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"/>
    </mc:Choice>
  </mc:AlternateContent>
  <xr:revisionPtr revIDLastSave="0" documentId="8_{B1A19BAD-51E7-4BB6-8158-AED7A879EDAC}" xr6:coauthVersionLast="47" xr6:coauthVersionMax="47" xr10:uidLastSave="{00000000-0000-0000-0000-000000000000}"/>
  <bookViews>
    <workbookView xWindow="-120" yWindow="-120" windowWidth="29040" windowHeight="15720" tabRatio="850" activeTab="1" xr2:uid="{725AE9FA-2892-4DD3-8D95-A7F6AC8C4708}"/>
  </bookViews>
  <sheets>
    <sheet name="갑지" sheetId="29" r:id="rId1"/>
    <sheet name="조경원가계산서" sheetId="15" r:id="rId2"/>
    <sheet name="내역서" sheetId="16" r:id="rId3"/>
    <sheet name="일위대가목록 (신규)" sheetId="30" state="hidden" r:id="rId4"/>
    <sheet name="일위대가_호표(신규)" sheetId="18" state="hidden" r:id="rId5"/>
    <sheet name="일위대가목록" sheetId="17" state="hidden" r:id="rId6"/>
    <sheet name="일위대가_산근" sheetId="19" state="hidden" r:id="rId7"/>
    <sheet name="중기사용료목록" sheetId="20" state="hidden" r:id="rId8"/>
    <sheet name="중기사용료" sheetId="21" state="hidden" r:id="rId9"/>
    <sheet name="중기기초자료" sheetId="22" state="hidden" r:id="rId10"/>
    <sheet name="자재" sheetId="23" state="hidden" r:id="rId11"/>
    <sheet name="노임" sheetId="24" state="hidden" r:id="rId12"/>
    <sheet name="경비" sheetId="25" state="hidden" r:id="rId13"/>
    <sheet name="자재조서" sheetId="26" state="hidden" r:id="rId14"/>
    <sheet name="전역변수" sheetId="27" state="hidden" r:id="rId15"/>
    <sheet name="중기전역변수" sheetId="28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</externalReferences>
  <definedNames>
    <definedName name="__1_0Crite">[1]총괄내역서!#REF!</definedName>
    <definedName name="__2_0Extr">[1]총괄내역서!#REF!</definedName>
    <definedName name="__3Crite">[1]총괄내역서!#REF!</definedName>
    <definedName name="__4Extr">[1]총괄내역서!#REF!</definedName>
    <definedName name="_" localSheetId="1">#REF!</definedName>
    <definedName name="_">#REF!</definedName>
    <definedName name="_?ó_ü?Ì?æ">#REF!</definedName>
    <definedName name="___A100000">#REF!</definedName>
    <definedName name="___A183154">#REF!</definedName>
    <definedName name="___A69999">#REF!</definedName>
    <definedName name="___A99999">#REF!</definedName>
    <definedName name="___bar10">#REF!</definedName>
    <definedName name="___bar13">#REF!</definedName>
    <definedName name="___bar16">#REF!</definedName>
    <definedName name="___bar19">#REF!</definedName>
    <definedName name="___bar22">#REF!</definedName>
    <definedName name="___bar25">#REF!</definedName>
    <definedName name="___bar29">#REF!</definedName>
    <definedName name="___bar32">#REF!</definedName>
    <definedName name="___ctc1">#REF!</definedName>
    <definedName name="___ctc2">#REF!</definedName>
    <definedName name="___ctc3">#REF!</definedName>
    <definedName name="___dia35">#REF!</definedName>
    <definedName name="___DOG1">#REF!</definedName>
    <definedName name="___DOG2">#REF!</definedName>
    <definedName name="___DOG3">#REF!</definedName>
    <definedName name="___DOG4">#REF!</definedName>
    <definedName name="___ELL1">#REF!</definedName>
    <definedName name="___ELL2">#REF!</definedName>
    <definedName name="___faf98">#REF!</definedName>
    <definedName name="___FBB1">#REF!</definedName>
    <definedName name="___FBB2">#REF!</definedName>
    <definedName name="___FBB3">#REF!</definedName>
    <definedName name="___FHH1">#REF!</definedName>
    <definedName name="___FHH2">#REF!</definedName>
    <definedName name="___FHH3">#REF!</definedName>
    <definedName name="___GHH1">#REF!</definedName>
    <definedName name="___GHH2">#REF!</definedName>
    <definedName name="___HSH1">#REF!</definedName>
    <definedName name="___HSH2">#REF!</definedName>
    <definedName name="___JEA1">#REF!</definedName>
    <definedName name="___JEA2">#REF!</definedName>
    <definedName name="___JOI13">#REF!</definedName>
    <definedName name="___JY1" localSheetId="3">BlankMacro1</definedName>
    <definedName name="___JY1">BlankMacro1</definedName>
    <definedName name="___KK1">#REF!</definedName>
    <definedName name="___kM1">#REF!</definedName>
    <definedName name="___kM2">#REF!</definedName>
    <definedName name="___kM3">#REF!</definedName>
    <definedName name="___LP1">#REF!</definedName>
    <definedName name="___LP2">#REF!</definedName>
    <definedName name="___MaL1">#REF!</definedName>
    <definedName name="___MaL2">#REF!</definedName>
    <definedName name="___NLL1">#REF!</definedName>
    <definedName name="___NLL2">#REF!</definedName>
    <definedName name="___NLL3">#REF!</definedName>
    <definedName name="___NLL4">#REF!</definedName>
    <definedName name="___NLL5">#REF!</definedName>
    <definedName name="___NMB96">#REF!</definedName>
    <definedName name="___NP1">#REF!</definedName>
    <definedName name="___NP2">#REF!</definedName>
    <definedName name="___NSH1">#REF!</definedName>
    <definedName name="___NSH2">#REF!</definedName>
    <definedName name="___phi1">#REF!</definedName>
    <definedName name="___phi3">#REF!</definedName>
    <definedName name="___PI48">#REF!</definedName>
    <definedName name="___PI60">#REF!</definedName>
    <definedName name="___pl1">#REF!</definedName>
    <definedName name="___PL2">#REF!</definedName>
    <definedName name="___PL3">#REF!</definedName>
    <definedName name="___RO110">#REF!</definedName>
    <definedName name="___RO22">#REF!</definedName>
    <definedName name="___RO35">#REF!</definedName>
    <definedName name="___RO60">#REF!</definedName>
    <definedName name="___RO80">#REF!</definedName>
    <definedName name="___SBB1">#REF!</definedName>
    <definedName name="___SBB2">#REF!</definedName>
    <definedName name="___SBB3">#REF!</definedName>
    <definedName name="___SBB4">#REF!</definedName>
    <definedName name="___SBB5">#REF!</definedName>
    <definedName name="___SCH1">#REF!</definedName>
    <definedName name="___SEL1">#N/A</definedName>
    <definedName name="___SHH1">#REF!</definedName>
    <definedName name="___shh10">#REF!</definedName>
    <definedName name="___shh11">#REF!</definedName>
    <definedName name="___shh12">#REF!</definedName>
    <definedName name="___SHH13">#REF!</definedName>
    <definedName name="___SHH2">#REF!</definedName>
    <definedName name="___SHH3">#REF!</definedName>
    <definedName name="___shh4">#REF!</definedName>
    <definedName name="___shh5">#REF!</definedName>
    <definedName name="___shh6">#REF!</definedName>
    <definedName name="___shh7">#REF!</definedName>
    <definedName name="___shh8">#REF!</definedName>
    <definedName name="___shh9">#REF!</definedName>
    <definedName name="___SLL1">#REF!</definedName>
    <definedName name="___SLL2">#REF!</definedName>
    <definedName name="___SLL3">#REF!</definedName>
    <definedName name="___ST1">#REF!</definedName>
    <definedName name="___STT1">#REF!</definedName>
    <definedName name="___STT2">#REF!</definedName>
    <definedName name="___STT3">#REF!</definedName>
    <definedName name="___STT4">#REF!</definedName>
    <definedName name="___STT5">#REF!</definedName>
    <definedName name="___STT6">#REF!</definedName>
    <definedName name="___tbb1">#REF!</definedName>
    <definedName name="___tbb2">#REF!</definedName>
    <definedName name="___tbb3">#REF!</definedName>
    <definedName name="___tbb4">#REF!</definedName>
    <definedName name="___tbb5">#REF!</definedName>
    <definedName name="___tbb6">#REF!</definedName>
    <definedName name="___tbb7">#REF!</definedName>
    <definedName name="___TON1">#REF!</definedName>
    <definedName name="___TON2">#REF!</definedName>
    <definedName name="___Ty1">#REF!</definedName>
    <definedName name="___Ty2">#REF!</definedName>
    <definedName name="___WW2">#REF!</definedName>
    <definedName name="___WW6">#REF!</definedName>
    <definedName name="__123Graph_A" hidden="1">'[6]1TL종점(1)'!#REF!</definedName>
    <definedName name="__123Graph_X" hidden="1">'[6]1TL종점(1)'!#REF!</definedName>
    <definedName name="__A100000">#REF!</definedName>
    <definedName name="__A183154">#REF!</definedName>
    <definedName name="__A69999">#REF!</definedName>
    <definedName name="__A99999">#REF!</definedName>
    <definedName name="__bar10">#REF!</definedName>
    <definedName name="__bar13">#REF!</definedName>
    <definedName name="__bar16">#REF!</definedName>
    <definedName name="__bar19">#REF!</definedName>
    <definedName name="__bar22">#REF!</definedName>
    <definedName name="__bar25">#REF!</definedName>
    <definedName name="__bar29">#REF!</definedName>
    <definedName name="__bar32">#REF!</definedName>
    <definedName name="__cc1">#REF!</definedName>
    <definedName name="__cc2">#REF!</definedName>
    <definedName name="__cc3">#REF!</definedName>
    <definedName name="__cc4">#REF!</definedName>
    <definedName name="__cc5">#REF!</definedName>
    <definedName name="__cc75">#REF!</definedName>
    <definedName name="__ctc1">#REF!</definedName>
    <definedName name="__ctc2">#REF!</definedName>
    <definedName name="__ctc3">#REF!</definedName>
    <definedName name="__dia35">#REF!</definedName>
    <definedName name="__DOG1">#REF!</definedName>
    <definedName name="__DOG2">#REF!</definedName>
    <definedName name="__DOG3">#REF!</definedName>
    <definedName name="__DOG4">#REF!</definedName>
    <definedName name="__ELL1">#REF!</definedName>
    <definedName name="__ELL2">#REF!</definedName>
    <definedName name="__faf98">#REF!</definedName>
    <definedName name="__FBB1">#REF!</definedName>
    <definedName name="__FBB2">#REF!</definedName>
    <definedName name="__FBB3">#REF!</definedName>
    <definedName name="__FF1">#REF!</definedName>
    <definedName name="__fg34444" localSheetId="3">BlankMacro1</definedName>
    <definedName name="__fg34444">BlankMacro1</definedName>
    <definedName name="__FHH1">#REF!</definedName>
    <definedName name="__FHH2">#REF!</definedName>
    <definedName name="__FHH3">#REF!</definedName>
    <definedName name="__GHH1">#REF!</definedName>
    <definedName name="__GHH2">#REF!</definedName>
    <definedName name="__HSH1">#REF!</definedName>
    <definedName name="__HSH2">#REF!</definedName>
    <definedName name="__JEA1">#REF!</definedName>
    <definedName name="__JEA2">#REF!</definedName>
    <definedName name="__JOI13">#REF!</definedName>
    <definedName name="__JY1" localSheetId="3">BlankMacro1</definedName>
    <definedName name="__JY1">BlankMacro1</definedName>
    <definedName name="__KK1">#REF!</definedName>
    <definedName name="__kM1">#REF!</definedName>
    <definedName name="__kM2">#REF!</definedName>
    <definedName name="__kM3">#REF!</definedName>
    <definedName name="__LP1">#REF!</definedName>
    <definedName name="__LP2">#REF!</definedName>
    <definedName name="__MaL1">#REF!</definedName>
    <definedName name="__MaL2">#REF!</definedName>
    <definedName name="__NLL1">#REF!</definedName>
    <definedName name="__NLL2">#REF!</definedName>
    <definedName name="__NLL3">#REF!</definedName>
    <definedName name="__NLL4">#REF!</definedName>
    <definedName name="__NLL5">#REF!</definedName>
    <definedName name="__NMB96">#REF!</definedName>
    <definedName name="__NP1">#REF!</definedName>
    <definedName name="__NP2">#REF!</definedName>
    <definedName name="__NSH1">#REF!</definedName>
    <definedName name="__NSH2">#REF!</definedName>
    <definedName name="__phi1">#REF!</definedName>
    <definedName name="__phi3">#REF!</definedName>
    <definedName name="__PI48">#REF!</definedName>
    <definedName name="__PI60">#REF!</definedName>
    <definedName name="__pl1">#REF!</definedName>
    <definedName name="__PL2">#REF!</definedName>
    <definedName name="__PL3">#REF!</definedName>
    <definedName name="__RO110">#REF!</definedName>
    <definedName name="__RO22">#REF!</definedName>
    <definedName name="__RO35">#REF!</definedName>
    <definedName name="__RO60">#REF!</definedName>
    <definedName name="__RO80">#REF!</definedName>
    <definedName name="__SBB1">#REF!</definedName>
    <definedName name="__SBB2">#REF!</definedName>
    <definedName name="__SBB3">#REF!</definedName>
    <definedName name="__SBB4">#REF!</definedName>
    <definedName name="__SBB5">#REF!</definedName>
    <definedName name="__SCH1">#REF!</definedName>
    <definedName name="__SEL1">#N/A</definedName>
    <definedName name="__SHH1">#REF!</definedName>
    <definedName name="__shh10">#REF!</definedName>
    <definedName name="__shh11">#REF!</definedName>
    <definedName name="__shh12">#REF!</definedName>
    <definedName name="__SHH13">#REF!</definedName>
    <definedName name="__SHH2">#REF!</definedName>
    <definedName name="__SHH3">#REF!</definedName>
    <definedName name="__shh4">#REF!</definedName>
    <definedName name="__shh5">#REF!</definedName>
    <definedName name="__shh6">#REF!</definedName>
    <definedName name="__shh7">#REF!</definedName>
    <definedName name="__shh8">#REF!</definedName>
    <definedName name="__shh9">#REF!</definedName>
    <definedName name="__SLL1">#REF!</definedName>
    <definedName name="__SLL2">#REF!</definedName>
    <definedName name="__SLL3">#REF!</definedName>
    <definedName name="__ST1">#REF!</definedName>
    <definedName name="__STT1">#REF!</definedName>
    <definedName name="__STT2">#REF!</definedName>
    <definedName name="__STT3">#REF!</definedName>
    <definedName name="__STT4">#REF!</definedName>
    <definedName name="__STT5">#REF!</definedName>
    <definedName name="__STT6">#REF!</definedName>
    <definedName name="__tbb1">#REF!</definedName>
    <definedName name="__tbb2">#REF!</definedName>
    <definedName name="__tbb3">#REF!</definedName>
    <definedName name="__tbb4">#REF!</definedName>
    <definedName name="__tbb5">#REF!</definedName>
    <definedName name="__tbb6">#REF!</definedName>
    <definedName name="__tbb7">#REF!</definedName>
    <definedName name="__TON1">#REF!</definedName>
    <definedName name="__TON2">#REF!</definedName>
    <definedName name="__Ty1">#REF!</definedName>
    <definedName name="__Ty2">#REF!</definedName>
    <definedName name="__WW2">#REF!</definedName>
    <definedName name="__WW6">#REF!</definedName>
    <definedName name="_1._PANEL_BD.__LP___1" localSheetId="1">#REF!</definedName>
    <definedName name="_1._PANEL_BD.__LP___1">#REF!</definedName>
    <definedName name="_1_0_S" hidden="1">'[7]6PILE  (돌출)'!#REF!</definedName>
    <definedName name="_1_0Crite">[1]총괄내역서!#REF!</definedName>
    <definedName name="_10_3__Criteria">#REF!</definedName>
    <definedName name="_11단">#REF!</definedName>
    <definedName name="_12cc1_">#REF!</definedName>
    <definedName name="_13cc2_">#REF!</definedName>
    <definedName name="_14cc3_">#REF!</definedName>
    <definedName name="_15A">[9]가격조사서!$D$4:$D$11</definedName>
    <definedName name="_15cc4_">#REF!</definedName>
    <definedName name="_16cc5_">#REF!</definedName>
    <definedName name="_17cc75_">#REF!</definedName>
    <definedName name="_18FF1_">#REF!</definedName>
    <definedName name="_1공장">#REF!</definedName>
    <definedName name="_2_0Extr">[1]총괄내역서!#REF!</definedName>
    <definedName name="_22fg34444_" localSheetId="3">BlankMacro1</definedName>
    <definedName name="_22fg34444_">BlankMacro1</definedName>
    <definedName name="_23G_0Extr">#REF!</definedName>
    <definedName name="_24G_0Extract">#REF!</definedName>
    <definedName name="_25G__Extr">#REF!</definedName>
    <definedName name="_26G__Extract">#REF!</definedName>
    <definedName name="_2공장">#REF!</definedName>
    <definedName name="_3Crite">[1]총괄내역서!#REF!</definedName>
    <definedName name="_3공장">#REF!</definedName>
    <definedName name="_4Extr">[1]총괄내역서!#REF!</definedName>
    <definedName name="_5S">#REF!</definedName>
    <definedName name="_6_0_S">#REF!</definedName>
    <definedName name="_7_3_0Crite">#REF!</definedName>
    <definedName name="_8_3_0Criteria">#REF!</definedName>
    <definedName name="_9_3__Crite">#REF!</definedName>
    <definedName name="_99_상반기시중노임">[11]노임단가!$C$2:$C$65536</definedName>
    <definedName name="_99_하반기시중노임">[11]노임단가!$D$2:$D$65536</definedName>
    <definedName name="_A" localSheetId="1">#REF!</definedName>
    <definedName name="_A">#REF!</definedName>
    <definedName name="_A100000">#REF!</definedName>
    <definedName name="_A183154">#REF!</definedName>
    <definedName name="_A69999">#REF!</definedName>
    <definedName name="_A99999">#REF!</definedName>
    <definedName name="_aab42">[12]Sheet1!$G$48</definedName>
    <definedName name="_bar10">#REF!</definedName>
    <definedName name="_bar13">#REF!</definedName>
    <definedName name="_bar16">#REF!</definedName>
    <definedName name="_bar19">#REF!</definedName>
    <definedName name="_bar22">#REF!</definedName>
    <definedName name="_bar25">#REF!</definedName>
    <definedName name="_bar29">#REF!</definedName>
    <definedName name="_bar32">#REF!</definedName>
    <definedName name="_cc1">#REF!</definedName>
    <definedName name="_cc2">#REF!</definedName>
    <definedName name="_cc3">#REF!</definedName>
    <definedName name="_cc4">#REF!</definedName>
    <definedName name="_cc5">#REF!</definedName>
    <definedName name="_cc75">#REF!</definedName>
    <definedName name="_ctc1">#REF!</definedName>
    <definedName name="_ctc2">#REF!</definedName>
    <definedName name="_ctc3">#REF!</definedName>
    <definedName name="_dia10">[13]철근단면적!$C$2</definedName>
    <definedName name="_dia13">[14]철근단면적!$C$3</definedName>
    <definedName name="_dia16">[14]철근단면적!$C$4</definedName>
    <definedName name="_dia19">[14]철근단면적!$C$5</definedName>
    <definedName name="_dia22">[14]철근단면적!$C$6</definedName>
    <definedName name="_dia25">[14]철근단면적!$C$7</definedName>
    <definedName name="_dia29">[13]철근단면적!$C$8</definedName>
    <definedName name="_dia32">[13]철근단면적!$C$9</definedName>
    <definedName name="_dia35">#REF!</definedName>
    <definedName name="_Dist_Bin" hidden="1">[15]조명시설!#REF!</definedName>
    <definedName name="_Dist_Values" hidden="1">[15]조명시설!#REF!</definedName>
    <definedName name="_DOG1">#REF!</definedName>
    <definedName name="_DOG2">#REF!</definedName>
    <definedName name="_DOG3">#REF!</definedName>
    <definedName name="_DOG4">#REF!</definedName>
    <definedName name="_ELL1">#REF!</definedName>
    <definedName name="_ELL2">#REF!</definedName>
    <definedName name="_faf98">#REF!</definedName>
    <definedName name="_FBB1">#REF!</definedName>
    <definedName name="_FBB2">#REF!</definedName>
    <definedName name="_FBB3">#REF!</definedName>
    <definedName name="_FF1">#REF!</definedName>
    <definedName name="_fg34444" localSheetId="3">BlankMacro1</definedName>
    <definedName name="_fg34444">BlankMacro1</definedName>
    <definedName name="_FHH1">#REF!</definedName>
    <definedName name="_FHH2">#REF!</definedName>
    <definedName name="_FHH3">#REF!</definedName>
    <definedName name="_Fill" localSheetId="1" hidden="1">#REF!</definedName>
    <definedName name="_Fill">#REF!</definedName>
    <definedName name="_xlnm._FilterDatabase" localSheetId="1" hidden="1">#REF!</definedName>
    <definedName name="_xlnm._FilterDatabase">#REF!</definedName>
    <definedName name="_GHH1">#REF!</definedName>
    <definedName name="_GHH2">#REF!</definedName>
    <definedName name="_HSH1">#REF!</definedName>
    <definedName name="_HSH2">#REF!</definedName>
    <definedName name="_JEA1">#REF!</definedName>
    <definedName name="_JEA2">#REF!</definedName>
    <definedName name="_JH10">[17]현황산출서!#REF!</definedName>
    <definedName name="_JH11">[17]현황산출서!#REF!</definedName>
    <definedName name="_JH12">[17]현황산출서!#REF!</definedName>
    <definedName name="_JH13">[17]현황산출서!#REF!</definedName>
    <definedName name="_JH14">[17]현황산출서!#REF!</definedName>
    <definedName name="_JH15">[17]현황산출서!#REF!</definedName>
    <definedName name="_JH16">[17]현황산출서!#REF!</definedName>
    <definedName name="_JH17">[17]현황산출서!#REF!</definedName>
    <definedName name="_JH18">[17]현황산출서!#REF!</definedName>
    <definedName name="_JH19">[17]현황산출서!#REF!</definedName>
    <definedName name="_JH20">[17]현황산출서!#REF!</definedName>
    <definedName name="_jh8">[17]현황산출서!#REF!</definedName>
    <definedName name="_JH9">[17]현황산출서!#REF!</definedName>
    <definedName name="_JK7">[17]현황산출서!#REF!</definedName>
    <definedName name="_JK8">[17]현황산출서!#REF!</definedName>
    <definedName name="_JL1">[17]현황산출서!#REF!</definedName>
    <definedName name="_JL2">[17]현황산출서!#REF!</definedName>
    <definedName name="_JOI13">#REF!</definedName>
    <definedName name="_JY1" localSheetId="3">BlankMacro1</definedName>
    <definedName name="_JY1">BlankMacro1</definedName>
    <definedName name="_Key1">#REF!</definedName>
    <definedName name="_Key2">#REF!</definedName>
    <definedName name="_kfkf" localSheetId="1" hidden="1">#REF!</definedName>
    <definedName name="_kfkf">#REF!</definedName>
    <definedName name="_KK1">#REF!</definedName>
    <definedName name="_kM1">#REF!</definedName>
    <definedName name="_kM2">#REF!</definedName>
    <definedName name="_kM3">#REF!</definedName>
    <definedName name="_LAB5">[17]현황산출서!#REF!</definedName>
    <definedName name="_LG15">[18]노임단가!$D$12</definedName>
    <definedName name="_LG17">[18]노임단가!$D$30</definedName>
    <definedName name="_LG18">[18]노임단가!$D$89</definedName>
    <definedName name="_LG21">[18]노임단가!$D$8</definedName>
    <definedName name="_LG6">[18]노임단가!$D$90</definedName>
    <definedName name="_LG9">[18]노임단가!$D$86</definedName>
    <definedName name="_LL1">[19]수질정화시설!#REF!</definedName>
    <definedName name="_LL2">[19]수질정화시설!#REF!</definedName>
    <definedName name="_LP1">#REF!</definedName>
    <definedName name="_LP2">#REF!</definedName>
    <definedName name="_LPB1">[20]부하계산서!#REF!</definedName>
    <definedName name="_LPK1">[20]부하계산서!#REF!</definedName>
    <definedName name="_LS15">[18]노임단가!$C$12</definedName>
    <definedName name="_LS17">[18]노임단가!$C$30</definedName>
    <definedName name="_LS18">[18]노임단가!$C$89</definedName>
    <definedName name="_LS21">[18]노임단가!$C$8</definedName>
    <definedName name="_LS6">[18]노임단가!$C$90</definedName>
    <definedName name="_LS9">[18]노임단가!$C$86</definedName>
    <definedName name="_LU1">'[21]부하(성남)'!#REF!</definedName>
    <definedName name="_LU2">'[21]부하(성남)'!#REF!</definedName>
    <definedName name="_LV01">'[21]부하(성남)'!#REF!</definedName>
    <definedName name="_MaL1">#REF!</definedName>
    <definedName name="_MaL2">#REF!</definedName>
    <definedName name="_MatInverse_In" hidden="1">#REF!</definedName>
    <definedName name="_MatMult_A" hidden="1">#REF!</definedName>
    <definedName name="_MatMult_AxB" hidden="1">#REF!</definedName>
    <definedName name="_MatMult_B" hidden="1">#REF!</definedName>
    <definedName name="_MG109">[18]자재단가!$H$220</definedName>
    <definedName name="_MG135">[18]자재단가!$H$272</definedName>
    <definedName name="_MG15">[18]자재단가!$H$32</definedName>
    <definedName name="_MG3">[18]자재단가!$H$8</definedName>
    <definedName name="_MG43">[18]자재단가!$H$88</definedName>
    <definedName name="_MG44">[18]자재단가!$H$90</definedName>
    <definedName name="_MG46">[18]자재단가!$H$94</definedName>
    <definedName name="_MG57">[18]자재단가!$H$116</definedName>
    <definedName name="_MG6">[18]자재단가!$H$14</definedName>
    <definedName name="_MG8">[18]자재단가!$H$18</definedName>
    <definedName name="_MG9">[18]자재단가!$H$20</definedName>
    <definedName name="_MS109">[18]자재단가!$H$221</definedName>
    <definedName name="_MS135">[18]자재단가!$H$273</definedName>
    <definedName name="_MS15">[18]자재단가!$H$33</definedName>
    <definedName name="_MS3">[18]자재단가!$H$9</definedName>
    <definedName name="_MS43">[18]자재단가!$H$89</definedName>
    <definedName name="_MS44">[18]자재단가!$H$91</definedName>
    <definedName name="_MS46">[18]자재단가!$H$95</definedName>
    <definedName name="_MS57">[18]자재단가!$H$117</definedName>
    <definedName name="_MS6">[18]자재단가!$H$15</definedName>
    <definedName name="_MS8">[18]자재단가!$H$19</definedName>
    <definedName name="_MS9">[18]자재단가!$H$21</definedName>
    <definedName name="_NLL1">#REF!</definedName>
    <definedName name="_NLL2">#REF!</definedName>
    <definedName name="_NLL3">#REF!</definedName>
    <definedName name="_NLL4">#REF!</definedName>
    <definedName name="_NLL5">#REF!</definedName>
    <definedName name="_NMB96">#REF!</definedName>
    <definedName name="_NP1">#REF!</definedName>
    <definedName name="_NP2">#REF!</definedName>
    <definedName name="_NSH1">#REF!</definedName>
    <definedName name="_NSH2">#REF!</definedName>
    <definedName name="_Order1">255</definedName>
    <definedName name="_Order2">255</definedName>
    <definedName name="_Parse_Out" localSheetId="1" hidden="1">#REF!</definedName>
    <definedName name="_Parse_Out">#REF!</definedName>
    <definedName name="_phi1">#REF!</definedName>
    <definedName name="_phi3">#REF!</definedName>
    <definedName name="_Pi1">[22]역T형!$M$79</definedName>
    <definedName name="_PI48">#REF!</definedName>
    <definedName name="_PI60">#REF!</definedName>
    <definedName name="_pl1">#REF!</definedName>
    <definedName name="_PL2">#REF!</definedName>
    <definedName name="_PL3">#REF!</definedName>
    <definedName name="_PNO10">[23]INPUT!#REF!</definedName>
    <definedName name="_PNO3">[23]INPUT!#REF!</definedName>
    <definedName name="_PNO4">[23]INPUT!#REF!</definedName>
    <definedName name="_PNO5">[23]INPUT!#REF!</definedName>
    <definedName name="_PNO6">[23]INPUT!#REF!</definedName>
    <definedName name="_PNO7">[23]INPUT!#REF!</definedName>
    <definedName name="_PNO8">[23]INPUT!#REF!</definedName>
    <definedName name="_PNO9">[23]INPUT!#REF!</definedName>
    <definedName name="_R10㎝" localSheetId="1">#REF!</definedName>
    <definedName name="_R10㎝">#REF!</definedName>
    <definedName name="_R12㎝" localSheetId="1">#REF!</definedName>
    <definedName name="_R12㎝">#REF!</definedName>
    <definedName name="_R15㎝" localSheetId="1">#REF!</definedName>
    <definedName name="_R15㎝">#REF!</definedName>
    <definedName name="_R18㎝" localSheetId="1">#REF!</definedName>
    <definedName name="_R18㎝">#REF!</definedName>
    <definedName name="_R20㎝" localSheetId="1">#REF!</definedName>
    <definedName name="_R20㎝">#REF!</definedName>
    <definedName name="_R25㎝" localSheetId="1">#REF!</definedName>
    <definedName name="_R25㎝">#REF!</definedName>
    <definedName name="_R30㎝" localSheetId="1">#REF!</definedName>
    <definedName name="_R30㎝">#REF!</definedName>
    <definedName name="_R4㎝이하" localSheetId="1">#REF!</definedName>
    <definedName name="_R4㎝이하">#REF!</definedName>
    <definedName name="_R5㎝" localSheetId="1">#REF!</definedName>
    <definedName name="_R5㎝">#REF!</definedName>
    <definedName name="_R6㎝" localSheetId="1">#REF!</definedName>
    <definedName name="_R6㎝">#REF!</definedName>
    <definedName name="_R7㎝" localSheetId="1">#REF!</definedName>
    <definedName name="_R7㎝">#REF!</definedName>
    <definedName name="_R8㎝" localSheetId="1">#REF!</definedName>
    <definedName name="_R8㎝">#REF!</definedName>
    <definedName name="_RO110">#REF!</definedName>
    <definedName name="_RO22">#REF!</definedName>
    <definedName name="_RO35">#REF!</definedName>
    <definedName name="_RO60">#REF!</definedName>
    <definedName name="_RO80">#REF!</definedName>
    <definedName name="__5S" hidden="1">#REF!</definedName>
    <definedName name="_SBB1">#REF!</definedName>
    <definedName name="_SBB2">#REF!</definedName>
    <definedName name="_SBB3">#REF!</definedName>
    <definedName name="_SBB4">#REF!</definedName>
    <definedName name="_SBB5">#REF!</definedName>
    <definedName name="_SCH1">#REF!</definedName>
    <definedName name="_sd10">[13]철근단면적!#REF!</definedName>
    <definedName name="_sd13">[13]철근단면적!#REF!</definedName>
    <definedName name="_sd16">[13]철근단면적!#REF!</definedName>
    <definedName name="_sd19">[13]철근단면적!#REF!</definedName>
    <definedName name="_sd22">[13]철근단면적!#REF!</definedName>
    <definedName name="_sd25">[13]철근단면적!#REF!</definedName>
    <definedName name="_sd29">[13]철근단면적!#REF!</definedName>
    <definedName name="_sd32">[13]철근단면적!#REF!</definedName>
    <definedName name="_SEL1">#N/A</definedName>
    <definedName name="_SH10">[17]현황산출서!#REF!</definedName>
    <definedName name="_SH11">[17]현황산출서!#REF!</definedName>
    <definedName name="_SH12">[17]현황산출서!#REF!</definedName>
    <definedName name="_SH13">[17]현황산출서!#REF!</definedName>
    <definedName name="_SH14">[17]현황산출서!#REF!</definedName>
    <definedName name="_SH15">[17]현황산출서!#REF!</definedName>
    <definedName name="_SH16">[17]현황산출서!#REF!</definedName>
    <definedName name="_SH17">[17]현황산출서!#REF!</definedName>
    <definedName name="_SH18">[17]현황산출서!#REF!</definedName>
    <definedName name="_SH19">[17]현황산출서!#REF!</definedName>
    <definedName name="_SH20">[17]현황산출서!#REF!</definedName>
    <definedName name="_SH8">[17]현황산출서!#REF!</definedName>
    <definedName name="_SH9">[17]현황산출서!#REF!</definedName>
    <definedName name="_SHH1">#REF!</definedName>
    <definedName name="_shh10">#REF!</definedName>
    <definedName name="_shh11">#REF!</definedName>
    <definedName name="_shh12">#REF!</definedName>
    <definedName name="_SHH13">#REF!</definedName>
    <definedName name="_SHH2">#REF!</definedName>
    <definedName name="_SHH3">#REF!</definedName>
    <definedName name="_shh4">#REF!</definedName>
    <definedName name="_shh5">#REF!</definedName>
    <definedName name="_shh6">#REF!</definedName>
    <definedName name="_shh7">#REF!</definedName>
    <definedName name="_shh8">#REF!</definedName>
    <definedName name="_shh9">#REF!</definedName>
    <definedName name="_SLL1">#REF!</definedName>
    <definedName name="_SLL2">#REF!</definedName>
    <definedName name="_SLL3">#REF!</definedName>
    <definedName name="_Sort">#REF!</definedName>
    <definedName name="_Sortt" hidden="1">#REF!</definedName>
    <definedName name="_ST1">#REF!</definedName>
    <definedName name="_STT1">#REF!</definedName>
    <definedName name="_STT2">#REF!</definedName>
    <definedName name="_STT3">#REF!</definedName>
    <definedName name="_STT4">#REF!</definedName>
    <definedName name="_STT5">#REF!</definedName>
    <definedName name="_STT6">#REF!</definedName>
    <definedName name="_tbb1">#REF!</definedName>
    <definedName name="_tbb2">#REF!</definedName>
    <definedName name="_tbb3">#REF!</definedName>
    <definedName name="_tbb4">#REF!</definedName>
    <definedName name="_tbb5">#REF!</definedName>
    <definedName name="_tbb6">#REF!</definedName>
    <definedName name="_tbb7">#REF!</definedName>
    <definedName name="_TON1">#REF!</definedName>
    <definedName name="_TON2">#REF!</definedName>
    <definedName name="_Ty1">#REF!</definedName>
    <definedName name="_Ty2">#REF!</definedName>
    <definedName name="_UP1">[20]부하계산서!#REF!</definedName>
    <definedName name="_UP2">[20]부하계산서!#REF!</definedName>
    <definedName name="_woogi" localSheetId="1" hidden="1">#REF!</definedName>
    <definedName name="_woogi">#REF!</definedName>
    <definedName name="_woogi2" localSheetId="1" hidden="1">#REF!</definedName>
    <definedName name="_woogi2">#REF!</definedName>
    <definedName name="_woogi24" localSheetId="1" hidden="1">#REF!</definedName>
    <definedName name="_woogi24">#REF!</definedName>
    <definedName name="_woogi3" localSheetId="1" hidden="1">#REF!</definedName>
    <definedName name="_woogi3">#REF!</definedName>
    <definedName name="_WW2">#REF!</definedName>
    <definedName name="_WW6">#REF!</definedName>
    <definedName name="_ㄱ55" localSheetId="1">#REF!</definedName>
    <definedName name="_ㄱ55">#REF!</definedName>
    <definedName name="_건축목공">'[26]#REF'!$A$2</definedName>
    <definedName name="_재ㅐ햐" localSheetId="1" hidden="1">#REF!</definedName>
    <definedName name="_재ㅐ햐">#REF!</definedName>
    <definedName name="¤C315">#REF!</definedName>
    <definedName name="¤Ç315" localSheetId="1">#REF!</definedName>
    <definedName name="¤Ç315">#REF!</definedName>
    <definedName name="\0" localSheetId="1">#REF!</definedName>
    <definedName name="\0">#REF!</definedName>
    <definedName name="\a">#REF!</definedName>
    <definedName name="\b">[30]밸브설치!#REF!</definedName>
    <definedName name="\c" localSheetId="1">#N/A</definedName>
    <definedName name="\c">#REF!</definedName>
    <definedName name="\d">#REF!</definedName>
    <definedName name="\e">#REF!</definedName>
    <definedName name="\f">#REF!</definedName>
    <definedName name="\g">[30]밸브설치!#REF!</definedName>
    <definedName name="\h">[30]밸브설치!#REF!</definedName>
    <definedName name="\i" localSheetId="1">#REF!</definedName>
    <definedName name="\i">#REF!</definedName>
    <definedName name="\j">[30]밸브설치!#REF!</definedName>
    <definedName name="\k">[30]밸브설치!#REF!</definedName>
    <definedName name="\l">#REF!</definedName>
    <definedName name="\m">#REF!</definedName>
    <definedName name="\n" localSheetId="1">#REF!</definedName>
    <definedName name="\n">#REF!</definedName>
    <definedName name="\o">#N/A</definedName>
    <definedName name="\q">#REF!</definedName>
    <definedName name="\r">#N/A</definedName>
    <definedName name="\s">#N/A</definedName>
    <definedName name="\x">#REF!</definedName>
    <definedName name="\z">#REF!</definedName>
    <definedName name="__6_0_S" hidden="1">#REF!</definedName>
    <definedName name="__7_3_0Crite">#REF!</definedName>
    <definedName name="__8_3_0Criteria">#REF!</definedName>
    <definedName name="__9_3__Crite">#REF!</definedName>
    <definedName name="__10_3__Criteria">#REF!</definedName>
    <definedName name="A">#REF!</definedName>
    <definedName name="A_HH">'[35]IMPEADENCE MAP 취수장'!#REF!,'[35]IMPEADENCE MAP 취수장'!#REF!,'[35]IMPEADENCE MAP 취수장'!#REF!,'[35]IMPEADENCE MAP 취수장'!#REF!,'[35]IMPEADENCE MAP 취수장'!$Q$19,'[35]IMPEADENCE MAP 취수장'!$R$19,'[35]IMPEADENCE MAP 취수장'!$S$19,'[35]IMPEADENCE MAP 취수장'!$T$19:$X$19,'[35]IMPEADENCE MAP 취수장'!$Z$19:$AA$19,'[35]IMPEADENCE MAP 취수장'!$AC$19</definedName>
    <definedName name="A0">[36]차선도색현황!$A$63597</definedName>
    <definedName name="_A100000" localSheetId="1">#REF!</definedName>
    <definedName name="____A100000">#REF!</definedName>
    <definedName name="A10B1L">[37]INPUT!#REF!</definedName>
    <definedName name="A10B1R">[37]INPUT!#REF!</definedName>
    <definedName name="A10B2L">[37]INPUT!#REF!</definedName>
    <definedName name="A10B2R">[37]INPUT!#REF!</definedName>
    <definedName name="A10B3L">[37]INPUT!#REF!</definedName>
    <definedName name="A10B3R">[37]INPUT!#REF!</definedName>
    <definedName name="A10B4L">[37]INPUT!#REF!</definedName>
    <definedName name="A10B4R">[37]INPUT!#REF!</definedName>
    <definedName name="A10BFL">[37]INPUT!#REF!</definedName>
    <definedName name="A10BFR">[37]INPUT!#REF!</definedName>
    <definedName name="A10BQL">[37]INPUT!#REF!</definedName>
    <definedName name="A10BQR">[37]INPUT!#REF!</definedName>
    <definedName name="A10L1L">[37]INPUT!#REF!</definedName>
    <definedName name="A10L1R">[37]INPUT!#REF!</definedName>
    <definedName name="A10L2L">[37]INPUT!#REF!</definedName>
    <definedName name="A10L2R">[37]INPUT!#REF!</definedName>
    <definedName name="A10L3L">[37]INPUT!#REF!</definedName>
    <definedName name="A10L3R">[37]INPUT!#REF!</definedName>
    <definedName name="A10L4L">[37]INPUT!#REF!</definedName>
    <definedName name="A10L4R">[37]INPUT!#REF!</definedName>
    <definedName name="A10LFL">[37]INPUT!#REF!</definedName>
    <definedName name="A10LFR">[37]INPUT!#REF!</definedName>
    <definedName name="A10LQL">[37]INPUT!#REF!</definedName>
    <definedName name="A10LQR">[37]INPUT!#REF!</definedName>
    <definedName name="A1111111" localSheetId="1">#REF!</definedName>
    <definedName name="A1111111">#REF!</definedName>
    <definedName name="A12.">#REF!</definedName>
    <definedName name="_A183154" localSheetId="1">#REF!</definedName>
    <definedName name="____A183154">#REF!</definedName>
    <definedName name="A1A" localSheetId="1">#REF!</definedName>
    <definedName name="A1A">#REF!</definedName>
    <definedName name="A23b23">'[23]4)유동표'!$A$23</definedName>
    <definedName name="A2A" localSheetId="1">#REF!</definedName>
    <definedName name="A2A">#REF!</definedName>
    <definedName name="A3A" localSheetId="1">#REF!</definedName>
    <definedName name="A3A">#REF!</definedName>
    <definedName name="A3B1L">[37]INPUT!#REF!</definedName>
    <definedName name="A3B1R">[37]INPUT!#REF!</definedName>
    <definedName name="A3B2L">[37]INPUT!#REF!</definedName>
    <definedName name="A3B2R">[37]INPUT!#REF!</definedName>
    <definedName name="A3B3L">[37]INPUT!#REF!</definedName>
    <definedName name="A3B3R">[37]INPUT!#REF!</definedName>
    <definedName name="A3B4L">[37]INPUT!#REF!</definedName>
    <definedName name="A3B4R">[37]INPUT!#REF!</definedName>
    <definedName name="A3BFL">[37]INPUT!#REF!</definedName>
    <definedName name="A3BFR">[37]INPUT!#REF!</definedName>
    <definedName name="A3BQL">[37]INPUT!#REF!</definedName>
    <definedName name="A3BQR">[37]INPUT!#REF!</definedName>
    <definedName name="A3L1L">[37]INPUT!#REF!</definedName>
    <definedName name="A3L1R">[37]INPUT!#REF!</definedName>
    <definedName name="A3L2L">[37]INPUT!#REF!</definedName>
    <definedName name="A3L2R">[37]INPUT!#REF!</definedName>
    <definedName name="A3L3L">[37]INPUT!#REF!</definedName>
    <definedName name="A3L3R">[37]INPUT!#REF!</definedName>
    <definedName name="A3L4L">[37]INPUT!#REF!</definedName>
    <definedName name="A3L4R">[37]INPUT!#REF!</definedName>
    <definedName name="A3LFL">[37]INPUT!#REF!</definedName>
    <definedName name="A3LFR">[37]INPUT!#REF!</definedName>
    <definedName name="A3LQL">[37]INPUT!#REF!</definedName>
    <definedName name="A3LQR">[37]INPUT!#REF!</definedName>
    <definedName name="A4B1L">[37]INPUT!#REF!</definedName>
    <definedName name="A4B1R">[37]INPUT!#REF!</definedName>
    <definedName name="A4B2L">[37]INPUT!#REF!</definedName>
    <definedName name="A4B2R">[37]INPUT!#REF!</definedName>
    <definedName name="A4B3L">[37]INPUT!#REF!</definedName>
    <definedName name="A4B3R">[37]INPUT!#REF!</definedName>
    <definedName name="A4B4L">[37]INPUT!#REF!</definedName>
    <definedName name="A4B4R">[37]INPUT!#REF!</definedName>
    <definedName name="A4BFL">[37]INPUT!#REF!</definedName>
    <definedName name="A4BFR">[37]INPUT!#REF!</definedName>
    <definedName name="A4BQL">[37]INPUT!#REF!</definedName>
    <definedName name="A4BQR">[37]INPUT!#REF!</definedName>
    <definedName name="A4L1L">[37]INPUT!#REF!</definedName>
    <definedName name="A4L1R">[37]INPUT!#REF!</definedName>
    <definedName name="A4L2L">[37]INPUT!#REF!</definedName>
    <definedName name="A4L2R">[37]INPUT!#REF!</definedName>
    <definedName name="A4L3L">[37]INPUT!#REF!</definedName>
    <definedName name="A4L3R">[37]INPUT!#REF!</definedName>
    <definedName name="A4L4L">[37]INPUT!#REF!</definedName>
    <definedName name="A4L4R">[37]INPUT!#REF!</definedName>
    <definedName name="A4LFL">[37]INPUT!#REF!</definedName>
    <definedName name="A4LFR">[37]INPUT!#REF!</definedName>
    <definedName name="A4LQL">[37]INPUT!#REF!</definedName>
    <definedName name="A4LQR">[37]INPUT!#REF!</definedName>
    <definedName name="A5B1L">[37]INPUT!#REF!</definedName>
    <definedName name="A5B1R">[37]INPUT!#REF!</definedName>
    <definedName name="A5B2L">[37]INPUT!#REF!</definedName>
    <definedName name="A5B2R">[37]INPUT!#REF!</definedName>
    <definedName name="A5B3L">[37]INPUT!#REF!</definedName>
    <definedName name="A5B3R">[37]INPUT!#REF!</definedName>
    <definedName name="A5B4L">[37]INPUT!#REF!</definedName>
    <definedName name="A5B4R">[37]INPUT!#REF!</definedName>
    <definedName name="A5BFL">[37]INPUT!#REF!</definedName>
    <definedName name="A5BFR">[37]INPUT!#REF!</definedName>
    <definedName name="A5BQL">[37]INPUT!#REF!</definedName>
    <definedName name="A5BQR">[37]INPUT!#REF!</definedName>
    <definedName name="A5L1L">[37]INPUT!#REF!</definedName>
    <definedName name="A5L1R">[37]INPUT!#REF!</definedName>
    <definedName name="A5L2L">[37]INPUT!#REF!</definedName>
    <definedName name="A5L2R">[37]INPUT!#REF!</definedName>
    <definedName name="A5L3L">[37]INPUT!#REF!</definedName>
    <definedName name="A5L3R">[37]INPUT!#REF!</definedName>
    <definedName name="A5L4L">[37]INPUT!#REF!</definedName>
    <definedName name="A5L4R">[37]INPUT!#REF!</definedName>
    <definedName name="A5LFL">[37]INPUT!#REF!</definedName>
    <definedName name="A5LFR">[37]INPUT!#REF!</definedName>
    <definedName name="A5LQL">[37]INPUT!#REF!</definedName>
    <definedName name="A5LQR">[37]INPUT!#REF!</definedName>
    <definedName name="_A69999" localSheetId="1">#REF!</definedName>
    <definedName name="____A69999">#REF!</definedName>
    <definedName name="A6B1L">[37]INPUT!#REF!</definedName>
    <definedName name="A6B1R">[37]INPUT!#REF!</definedName>
    <definedName name="A6B2L">[37]INPUT!#REF!</definedName>
    <definedName name="A6B2R">[37]INPUT!#REF!</definedName>
    <definedName name="A6B3L">[37]INPUT!#REF!</definedName>
    <definedName name="A6B3R">[37]INPUT!#REF!</definedName>
    <definedName name="A6B4L">[37]INPUT!#REF!</definedName>
    <definedName name="A6B4R">[37]INPUT!#REF!</definedName>
    <definedName name="A6BFL">[37]INPUT!#REF!</definedName>
    <definedName name="A6BFR">[37]INPUT!#REF!</definedName>
    <definedName name="A6BQL">[37]INPUT!#REF!</definedName>
    <definedName name="A6BQR">[37]INPUT!#REF!</definedName>
    <definedName name="A6L1L">[37]INPUT!#REF!</definedName>
    <definedName name="A6L1R">[37]INPUT!#REF!</definedName>
    <definedName name="A6L2L">[37]INPUT!#REF!</definedName>
    <definedName name="A6L2R">[37]INPUT!#REF!</definedName>
    <definedName name="A6L3L">[37]INPUT!#REF!</definedName>
    <definedName name="A6L3R">[37]INPUT!#REF!</definedName>
    <definedName name="A6L4L">[37]INPUT!#REF!</definedName>
    <definedName name="A6L4R">[37]INPUT!#REF!</definedName>
    <definedName name="A6LFL">[37]INPUT!#REF!</definedName>
    <definedName name="A6LFR">[37]INPUT!#REF!</definedName>
    <definedName name="A6LQL">[37]INPUT!#REF!</definedName>
    <definedName name="A6LQR">[37]INPUT!#REF!</definedName>
    <definedName name="A7B1L">[37]INPUT!#REF!</definedName>
    <definedName name="A7B1R">[37]INPUT!#REF!</definedName>
    <definedName name="A7B2L">[37]INPUT!#REF!</definedName>
    <definedName name="A7B2R">[37]INPUT!#REF!</definedName>
    <definedName name="A7B3L">[37]INPUT!#REF!</definedName>
    <definedName name="A7B3R">[37]INPUT!#REF!</definedName>
    <definedName name="A7B4L">[37]INPUT!#REF!</definedName>
    <definedName name="A7B4R">[37]INPUT!#REF!</definedName>
    <definedName name="A7BFL">[37]INPUT!#REF!</definedName>
    <definedName name="A7BFR">[37]INPUT!#REF!</definedName>
    <definedName name="A7BQL">[37]INPUT!#REF!</definedName>
    <definedName name="A7BQR">[37]INPUT!#REF!</definedName>
    <definedName name="A7L1L">[37]INPUT!#REF!</definedName>
    <definedName name="A7L1R">[37]INPUT!#REF!</definedName>
    <definedName name="A7L2L">[37]INPUT!#REF!</definedName>
    <definedName name="A7L2R">[37]INPUT!#REF!</definedName>
    <definedName name="A7L3L">[37]INPUT!#REF!</definedName>
    <definedName name="A7L3R">[37]INPUT!#REF!</definedName>
    <definedName name="A7L4L">[37]INPUT!#REF!</definedName>
    <definedName name="A7L4R">[37]INPUT!#REF!</definedName>
    <definedName name="A7LFL">[37]INPUT!#REF!</definedName>
    <definedName name="A7LFR">[37]INPUT!#REF!</definedName>
    <definedName name="A7LQL">[37]INPUT!#REF!</definedName>
    <definedName name="A7LQR">[37]INPUT!#REF!</definedName>
    <definedName name="A8B1L">[37]INPUT!#REF!</definedName>
    <definedName name="A8B1R">[37]INPUT!#REF!</definedName>
    <definedName name="A8B2L">[37]INPUT!#REF!</definedName>
    <definedName name="A8B2R">[37]INPUT!#REF!</definedName>
    <definedName name="A8B3L">[37]INPUT!#REF!</definedName>
    <definedName name="A8B3R">[37]INPUT!#REF!</definedName>
    <definedName name="A8B4L">[37]INPUT!#REF!</definedName>
    <definedName name="A8B4R">[37]INPUT!#REF!</definedName>
    <definedName name="A8BFL">[37]INPUT!#REF!</definedName>
    <definedName name="A8BFR">[37]INPUT!#REF!</definedName>
    <definedName name="A8BQL">[37]INPUT!#REF!</definedName>
    <definedName name="A8BQR">[37]INPUT!#REF!</definedName>
    <definedName name="A8L1L">[37]INPUT!#REF!</definedName>
    <definedName name="A8L1R">[37]INPUT!#REF!</definedName>
    <definedName name="A8L2L">[37]INPUT!#REF!</definedName>
    <definedName name="A8L2R">[37]INPUT!#REF!</definedName>
    <definedName name="A8L3L">[37]INPUT!#REF!</definedName>
    <definedName name="A8L3R">[37]INPUT!#REF!</definedName>
    <definedName name="A8L4L">[37]INPUT!#REF!</definedName>
    <definedName name="A8L4R">[37]INPUT!#REF!</definedName>
    <definedName name="A8LFL">[37]INPUT!#REF!</definedName>
    <definedName name="A8LFR">[37]INPUT!#REF!</definedName>
    <definedName name="A8LQL">[37]INPUT!#REF!</definedName>
    <definedName name="A8LQR">[37]INPUT!#REF!</definedName>
    <definedName name="_A99999" localSheetId="1">#REF!</definedName>
    <definedName name="____A99999">#REF!</definedName>
    <definedName name="A9B1L">[37]INPUT!#REF!</definedName>
    <definedName name="A9B1R">[37]INPUT!#REF!</definedName>
    <definedName name="A9B2L">[37]INPUT!#REF!</definedName>
    <definedName name="A9B2R">[37]INPUT!#REF!</definedName>
    <definedName name="A9B3L">[37]INPUT!#REF!</definedName>
    <definedName name="A9B3R">[37]INPUT!#REF!</definedName>
    <definedName name="A9B4L">[37]INPUT!#REF!</definedName>
    <definedName name="A9B4R">[37]INPUT!#REF!</definedName>
    <definedName name="A9BFL">[37]INPUT!#REF!</definedName>
    <definedName name="A9BFR">[37]INPUT!#REF!</definedName>
    <definedName name="A9BQL">[37]INPUT!#REF!</definedName>
    <definedName name="A9BQR">[37]INPUT!#REF!</definedName>
    <definedName name="A9L1L">[37]INPUT!#REF!</definedName>
    <definedName name="A9L1R">[37]INPUT!#REF!</definedName>
    <definedName name="A9L2L">[37]INPUT!#REF!</definedName>
    <definedName name="A9L2R">[37]INPUT!#REF!</definedName>
    <definedName name="A9L3L">[37]INPUT!#REF!</definedName>
    <definedName name="A9L3R">[37]INPUT!#REF!</definedName>
    <definedName name="A9L4L">[37]INPUT!#REF!</definedName>
    <definedName name="A9L4R">[37]INPUT!#REF!</definedName>
    <definedName name="A9LFL">[37]INPUT!#REF!</definedName>
    <definedName name="A9LFR">[37]INPUT!#REF!</definedName>
    <definedName name="A9LQL">[37]INPUT!#REF!</definedName>
    <definedName name="A9LQR">[37]INPUT!#REF!</definedName>
    <definedName name="aa">#REF!</definedName>
    <definedName name="aaa">#REF!</definedName>
    <definedName name="AAAA">#REF!</definedName>
    <definedName name="aaaaa">#REF!</definedName>
    <definedName name="aaaaaaa" localSheetId="1">#REF!</definedName>
    <definedName name="aaaaaaa">#REF!</definedName>
    <definedName name="aaaaaaaaaa" localSheetId="1">#REF!</definedName>
    <definedName name="aaaaaaaaaa">#REF!</definedName>
    <definedName name="aaaaaaaaaaa">#REF!</definedName>
    <definedName name="aaaaaaaaaaaaaaaa" localSheetId="1">#REF!</definedName>
    <definedName name="aaaaaaaaaaaaaaaa">#REF!</definedName>
    <definedName name="aaaaaaaaaaaaaaaaaaaaaaaaaaaaaaa" localSheetId="1">#REF!</definedName>
    <definedName name="aaaaaaaaaaaaaaaaaaaaaaaaaaaaaaa">#REF!</definedName>
    <definedName name="aaaaaaaaaaaaaaaf" localSheetId="1">#REF!</definedName>
    <definedName name="aaaaaaaaaaaaaaaf">#REF!</definedName>
    <definedName name="__aab42">[12]Sheet1!$G$48</definedName>
    <definedName name="abc" localSheetId="1">#REF!</definedName>
    <definedName name="abc">#REF!</definedName>
    <definedName name="AC">[40]내역서!#REF!</definedName>
    <definedName name="ACD10L">[41]INPUT!#REF!</definedName>
    <definedName name="ACD10R">[41]INPUT!#REF!</definedName>
    <definedName name="ACD3L">[41]INPUT!#REF!</definedName>
    <definedName name="ACD3R">[41]INPUT!#REF!</definedName>
    <definedName name="ACD4L">[41]INPUT!#REF!</definedName>
    <definedName name="ACD4R">[41]INPUT!#REF!</definedName>
    <definedName name="ACD5L">[41]INPUT!#REF!</definedName>
    <definedName name="ACD5R">[41]INPUT!#REF!</definedName>
    <definedName name="ACD6L">[41]INPUT!#REF!</definedName>
    <definedName name="ACD6R">[41]INPUT!#REF!</definedName>
    <definedName name="ACD7L">[41]INPUT!#REF!</definedName>
    <definedName name="ACD7R">[41]INPUT!#REF!</definedName>
    <definedName name="ACD8L">[41]INPUT!#REF!</definedName>
    <definedName name="ACD8R">[41]INPUT!#REF!</definedName>
    <definedName name="ACD9L">[41]INPUT!#REF!</definedName>
    <definedName name="ACD9R">[41]INPUT!#REF!</definedName>
    <definedName name="ACE10L">[41]INPUT!#REF!</definedName>
    <definedName name="ACE10R">[41]INPUT!#REF!</definedName>
    <definedName name="ACE3L">[41]INPUT!#REF!</definedName>
    <definedName name="ACE3R">[41]INPUT!#REF!</definedName>
    <definedName name="ACE4L">[41]INPUT!#REF!</definedName>
    <definedName name="ACE4R">[41]INPUT!#REF!</definedName>
    <definedName name="ACE5L">[41]INPUT!#REF!</definedName>
    <definedName name="ACE5R">[41]INPUT!#REF!</definedName>
    <definedName name="ACE6L">[41]INPUT!#REF!</definedName>
    <definedName name="ACE6R">[41]INPUT!#REF!</definedName>
    <definedName name="ACE7L">[41]INPUT!#REF!</definedName>
    <definedName name="ACE7R">[41]INPUT!#REF!</definedName>
    <definedName name="ACE8L">[41]INPUT!#REF!</definedName>
    <definedName name="ACE8R">[41]INPUT!#REF!</definedName>
    <definedName name="ACE9L">[41]INPUT!#REF!</definedName>
    <definedName name="ACE9R">[41]INPUT!#REF!</definedName>
    <definedName name="ACH10L">[41]INPUT!#REF!</definedName>
    <definedName name="ACH10R">[41]INPUT!#REF!</definedName>
    <definedName name="ACH3L">[41]INPUT!#REF!</definedName>
    <definedName name="ACH3R">[41]INPUT!#REF!</definedName>
    <definedName name="ACH4L">[41]INPUT!#REF!</definedName>
    <definedName name="ACH4R">[41]INPUT!#REF!</definedName>
    <definedName name="ACH5L">[41]INPUT!#REF!</definedName>
    <definedName name="ACH5R">[41]INPUT!#REF!</definedName>
    <definedName name="ACH6L">[41]INPUT!#REF!</definedName>
    <definedName name="ACH6R">[41]INPUT!#REF!</definedName>
    <definedName name="ACH7L">[41]INPUT!#REF!</definedName>
    <definedName name="ACH7R">[41]INPUT!#REF!</definedName>
    <definedName name="ACH8L">[41]INPUT!#REF!</definedName>
    <definedName name="ACH8R">[41]INPUT!#REF!</definedName>
    <definedName name="ACH9L">[41]INPUT!#REF!</definedName>
    <definedName name="ACH9R">[41]INPUT!#REF!</definedName>
    <definedName name="ad">#REF!</definedName>
    <definedName name="a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ee" localSheetId="3">BlankMacro1</definedName>
    <definedName name="aee" localSheetId="1">BlankMacro1</definedName>
    <definedName name="aee">BlankMacro1</definedName>
    <definedName name="Aend" localSheetId="1">#REF!</definedName>
    <definedName name="Aend">#REF!</definedName>
    <definedName name="aet" hidden="1">{#N/A,#N/A,FALSE,"구조1"}</definedName>
    <definedName name="Aex" localSheetId="1">#REF!</definedName>
    <definedName name="Aex">#REF!</definedName>
    <definedName name="AF">[43]DATA!$B$4:$C$15</definedName>
    <definedName name="afafafa" localSheetId="1">#REF!</definedName>
    <definedName name="afafafa">#REF!</definedName>
    <definedName name="AfCon" localSheetId="1">#REF!</definedName>
    <definedName name="AfCon">#REF!</definedName>
    <definedName name="Ag" localSheetId="1">#REF!</definedName>
    <definedName name="Ag">#REF!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 localSheetId="1">#REF!</definedName>
    <definedName name="Ah">#REF!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LPA" localSheetId="1">#REF!</definedName>
    <definedName name="ALPA">#REF!</definedName>
    <definedName name="alpha">[45]반중력식옹벽!#REF!</definedName>
    <definedName name="alpha3" localSheetId="1">#REF!</definedName>
    <definedName name="alpha3">#REF!</definedName>
    <definedName name="AlphaD" localSheetId="1">#REF!</definedName>
    <definedName name="AlphaD">#REF!</definedName>
    <definedName name="alphae">[45]반중력식옹벽!#REF!</definedName>
    <definedName name="AlphaL" localSheetId="1">#REF!</definedName>
    <definedName name="AlphaL">#REF!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scount">1</definedName>
    <definedName name="aoijrgpanb" localSheetId="1">#REF!</definedName>
    <definedName name="aoijrgpanb">#REF!</definedName>
    <definedName name="APB" localSheetId="1">#REF!</definedName>
    <definedName name="APB">#REF!</definedName>
    <definedName name="APL" localSheetId="1">#REF!</definedName>
    <definedName name="APL">#REF!</definedName>
    <definedName name="APT" localSheetId="1">#REF!</definedName>
    <definedName name="APT">#REF!</definedName>
    <definedName name="AQZSD" localSheetId="3">BlankMacro1</definedName>
    <definedName name="AQZSD" localSheetId="1">BlankMacro1</definedName>
    <definedName name="AQZSD">BlankMacro1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 localSheetId="3">BlankMacro1</definedName>
    <definedName name="AS" localSheetId="1">BlankMacro1</definedName>
    <definedName name="AS">BlankMacro1</definedName>
    <definedName name="ASA" localSheetId="1">#REF!</definedName>
    <definedName name="ASA">#REF!</definedName>
    <definedName name="asaasa">#REF!</definedName>
    <definedName name="asas" localSheetId="3">BlankMacro1</definedName>
    <definedName name="asas" localSheetId="1">BlankMacro1</definedName>
    <definedName name="asas">BlankMacro1</definedName>
    <definedName name="ASD" localSheetId="3">BlankMacro1</definedName>
    <definedName name="ASD" localSheetId="1">BlankMacro1</definedName>
    <definedName name="ASD">BlankMacro1</definedName>
    <definedName name="asda" localSheetId="3">BlankMacro1</definedName>
    <definedName name="asda" localSheetId="1">BlankMacro1</definedName>
    <definedName name="asda">BlankMacro1</definedName>
    <definedName name="asdasd" localSheetId="3">BlankMacro1</definedName>
    <definedName name="asdasd" localSheetId="1">BlankMacro1</definedName>
    <definedName name="asdasd">BlankMacro1</definedName>
    <definedName name="asddsfds" localSheetId="3">BlankMacro1</definedName>
    <definedName name="asddsfds" localSheetId="1">BlankMacro1</definedName>
    <definedName name="asddsfds">BlankMacro1</definedName>
    <definedName name="ASDFADSF" localSheetId="1">#REF!</definedName>
    <definedName name="ASDFADSF">#REF!</definedName>
    <definedName name="ASDFEW" localSheetId="3">BlankMacro1</definedName>
    <definedName name="ASDFEW" localSheetId="1">BlankMacro1</definedName>
    <definedName name="ASDFEW">BlankMacro1</definedName>
    <definedName name="asdfg" localSheetId="3">BlankMacro1</definedName>
    <definedName name="asdfg" localSheetId="1">BlankMacro1</definedName>
    <definedName name="asdfg">BlankMacro1</definedName>
    <definedName name="ASDFWA" localSheetId="3">BlankMacro1</definedName>
    <definedName name="ASDFWA" localSheetId="1">BlankMacro1</definedName>
    <definedName name="ASDFWA">BlankMacro1</definedName>
    <definedName name="ASDSAFSD" localSheetId="3">BlankMacro1</definedName>
    <definedName name="ASDSAFSD" localSheetId="1">BlankMacro1</definedName>
    <definedName name="ASDSAFSD">BlankMacro1</definedName>
    <definedName name="asdw" localSheetId="3">BlankMacro1</definedName>
    <definedName name="asdw" localSheetId="1">BlankMacro1</definedName>
    <definedName name="asdw">BlankMacro1</definedName>
    <definedName name="ASE" localSheetId="1">#REF!</definedName>
    <definedName name="ASE">#REF!</definedName>
    <definedName name="ASFE" localSheetId="3">BlankMacro1</definedName>
    <definedName name="ASFE" localSheetId="1">BlankMacro1</definedName>
    <definedName name="ASFE">BlankMacro1</definedName>
    <definedName name="ASFG" localSheetId="3">BlankMacro1</definedName>
    <definedName name="ASFG" localSheetId="1">BlankMacro1</definedName>
    <definedName name="ASFG">BlankMacro1</definedName>
    <definedName name="ashkdfa">#REF!</definedName>
    <definedName name="ASP" localSheetId="1">#REF!</definedName>
    <definedName name="ASP">#REF!</definedName>
    <definedName name="ASS" localSheetId="1">#REF!</definedName>
    <definedName name="ASS">#REF!</definedName>
    <definedName name="ASX" localSheetId="3">BlankMacro1</definedName>
    <definedName name="ASX" localSheetId="1">BlankMacro1</definedName>
    <definedName name="ASX">BlankMacro1</definedName>
    <definedName name="AT">[43]DATA!$E$4:$F$29</definedName>
    <definedName name="Av" localSheetId="1">#REF!</definedName>
    <definedName name="Av">#REF!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W" localSheetId="3">BlankMacro1</definedName>
    <definedName name="AW" localSheetId="1">BlankMacro1</definedName>
    <definedName name="AW">BlankMacro1</definedName>
    <definedName name="AWDSF" localSheetId="1">#REF!</definedName>
    <definedName name="AWDSF">#REF!</definedName>
    <definedName name="AX" localSheetId="3">BlankMacro1</definedName>
    <definedName name="AX" localSheetId="1">BlankMacro1</definedName>
    <definedName name="AX">BlankMacro1</definedName>
    <definedName name="AZ" localSheetId="3">BlankMacro1</definedName>
    <definedName name="AZ" localSheetId="1">BlankMacro1</definedName>
    <definedName name="AZ">BlankMacro1</definedName>
    <definedName name="b">#REF!</definedName>
    <definedName name="b10a2p">[48]INPUT!$I$36</definedName>
    <definedName name="B10㎝" localSheetId="1">#REF!</definedName>
    <definedName name="B10㎝">#REF!</definedName>
    <definedName name="b11a2p">[48]INPUT!$I$37</definedName>
    <definedName name="B12㎝" localSheetId="1">#REF!</definedName>
    <definedName name="B12㎝">#REF!</definedName>
    <definedName name="B15㎝" localSheetId="1">#REF!</definedName>
    <definedName name="B15㎝">#REF!</definedName>
    <definedName name="B16A2P">[48]INPUT!$I$43</definedName>
    <definedName name="B18㎝" localSheetId="1">#REF!</definedName>
    <definedName name="B18㎝">#REF!</definedName>
    <definedName name="B1A">#REF!</definedName>
    <definedName name="B1B">#REF!</definedName>
    <definedName name="B1WL">#REF!</definedName>
    <definedName name="B1WR">#REF!</definedName>
    <definedName name="B20㎝" localSheetId="1">#REF!</definedName>
    <definedName name="B20㎝">#REF!</definedName>
    <definedName name="B25㎝" localSheetId="1">#REF!</definedName>
    <definedName name="B25㎝">#REF!</definedName>
    <definedName name="B2A">#REF!</definedName>
    <definedName name="b2a2p">[48]INPUT!$I$28</definedName>
    <definedName name="B2B">#REF!</definedName>
    <definedName name="B2WL">#REF!</definedName>
    <definedName name="B2WR">#REF!</definedName>
    <definedName name="B30㎝" localSheetId="1">#REF!</definedName>
    <definedName name="B30㎝">#REF!</definedName>
    <definedName name="B3A">#REF!</definedName>
    <definedName name="B3B">#REF!</definedName>
    <definedName name="B4A">#REF!</definedName>
    <definedName name="B4B">#REF!</definedName>
    <definedName name="B4㎝이하" localSheetId="1">#REF!</definedName>
    <definedName name="B4㎝이하">#REF!</definedName>
    <definedName name="B5A">#REF!</definedName>
    <definedName name="B5B">#REF!</definedName>
    <definedName name="B5㎝" localSheetId="1">#REF!</definedName>
    <definedName name="B5㎝">#REF!</definedName>
    <definedName name="B6A">#REF!</definedName>
    <definedName name="B6B">#REF!</definedName>
    <definedName name="B6㎝" localSheetId="1">#REF!</definedName>
    <definedName name="B6㎝">#REF!</definedName>
    <definedName name="B7A">#REF!</definedName>
    <definedName name="B7B">#REF!</definedName>
    <definedName name="B7㎝" localSheetId="1">#REF!</definedName>
    <definedName name="B7㎝">#REF!</definedName>
    <definedName name="B8A">#REF!</definedName>
    <definedName name="B8㎝" localSheetId="1">#REF!</definedName>
    <definedName name="B8㎝">#REF!</definedName>
    <definedName name="B9A" localSheetId="1">#REF!</definedName>
    <definedName name="B9A">#REF!</definedName>
    <definedName name="BA">#REF!</definedName>
    <definedName name="ba2p">[48]INPUT!$I$26</definedName>
    <definedName name="back" localSheetId="1">#REF!</definedName>
    <definedName name="back">#REF!</definedName>
    <definedName name="BackLen">[50]역T형!$M$155</definedName>
    <definedName name="bae" localSheetId="1">조경원가계산서!bae</definedName>
    <definedName name="bae">[319]!bae</definedName>
    <definedName name="BaloonText" localSheetId="1">#REF!</definedName>
    <definedName name="BaloonText">#REF!</definedName>
    <definedName name="bang" localSheetId="1">#REF!</definedName>
    <definedName name="bang">#REF!</definedName>
    <definedName name="_bar10" localSheetId="1">#REF!</definedName>
    <definedName name="____bar10">#REF!</definedName>
    <definedName name="_bar13" localSheetId="1">#REF!</definedName>
    <definedName name="____bar13">#REF!</definedName>
    <definedName name="_bar16" localSheetId="1">#REF!</definedName>
    <definedName name="____bar16">#REF!</definedName>
    <definedName name="_bar19" localSheetId="1">#REF!</definedName>
    <definedName name="____bar19">#REF!</definedName>
    <definedName name="_bar22" localSheetId="1">#REF!</definedName>
    <definedName name="____bar22">#REF!</definedName>
    <definedName name="_bar25" localSheetId="1">#REF!</definedName>
    <definedName name="____bar25">#REF!</definedName>
    <definedName name="_bar29" localSheetId="1">#REF!</definedName>
    <definedName name="____bar29">#REF!</definedName>
    <definedName name="_bar32" localSheetId="1">#REF!</definedName>
    <definedName name="____bar32">#REF!</definedName>
    <definedName name="BB" localSheetId="1">#REF!</definedName>
    <definedName name="BB">#REF!</definedName>
    <definedName name="bba" localSheetId="1">#REF!</definedName>
    <definedName name="bba">#REF!</definedName>
    <definedName name="bbb" localSheetId="1">#REF!</definedName>
    <definedName name="bbb">#REF!</definedName>
    <definedName name="BBBB">[12]Sheet1!$G$48</definedName>
    <definedName name="bbbbb">[51]안정검토!$U$95</definedName>
    <definedName name="bbbbbb">[51]안정검토!$X$95</definedName>
    <definedName name="bbbbbbb">[51]안정검토!$AA$95</definedName>
    <definedName name="BC" localSheetId="1">#REF!</definedName>
    <definedName name="BC">#REF!</definedName>
    <definedName name="bd" localSheetId="1">#REF!</definedName>
    <definedName name="bd">#REF!</definedName>
    <definedName name="BDFTR" localSheetId="3">BlankMacro1</definedName>
    <definedName name="BDFTR" localSheetId="1">BlankMacro1</definedName>
    <definedName name="BDFTR">BlankMacro1</definedName>
    <definedName name="be" localSheetId="1">#REF!</definedName>
    <definedName name="be">#REF!</definedName>
    <definedName name="BEAB1" localSheetId="1">#REF!</definedName>
    <definedName name="BEAB1">#REF!</definedName>
    <definedName name="BEAB2" localSheetId="1">#REF!</definedName>
    <definedName name="BEAB2">#REF!</definedName>
    <definedName name="BEAB3" localSheetId="1">#REF!</definedName>
    <definedName name="BEAB3">#REF!</definedName>
    <definedName name="BEAB4" localSheetId="1">#REF!</definedName>
    <definedName name="BEAB4">#REF!</definedName>
    <definedName name="BEAB5" localSheetId="1">#REF!</definedName>
    <definedName name="BEAB5">#REF!</definedName>
    <definedName name="BEAR1" localSheetId="1">#REF!</definedName>
    <definedName name="BEAR1">#REF!</definedName>
    <definedName name="BEAR2" localSheetId="1">#REF!</definedName>
    <definedName name="BEAR2">#REF!</definedName>
    <definedName name="BEB" localSheetId="1">#REF!</definedName>
    <definedName name="BEB">#REF!</definedName>
    <definedName name="begin">[22]버스운행안내!$F$6</definedName>
    <definedName name="BETA" localSheetId="1">#REF!</definedName>
    <definedName name="BETA">#REF!</definedName>
    <definedName name="beta5" localSheetId="1">#REF!</definedName>
    <definedName name="beta5">#REF!</definedName>
    <definedName name="beta6" localSheetId="1">#REF!</definedName>
    <definedName name="beta6">#REF!</definedName>
    <definedName name="BF" localSheetId="1">#REF!</definedName>
    <definedName name="BF">#REF!</definedName>
    <definedName name="BG" localSheetId="3">BlankMacro1</definedName>
    <definedName name="BG" localSheetId="1">BlankMacro1</definedName>
    <definedName name="BG">BlankMacro1</definedName>
    <definedName name="BH" localSheetId="1">#REF!</definedName>
    <definedName name="BH">#REF!</definedName>
    <definedName name="BHB" localSheetId="1">#REF!</definedName>
    <definedName name="BHB">#REF!</definedName>
    <definedName name="BHU">#REF!</definedName>
    <definedName name="birthday">[22]예방접종계획!$H$2</definedName>
    <definedName name="BM" localSheetId="3">BlankMacro1</definedName>
    <definedName name="BM" localSheetId="1">BlankMacro1</definedName>
    <definedName name="BM">BlankMacro1</definedName>
    <definedName name="BMO">#REF!</definedName>
    <definedName name="BN" localSheetId="3">BlankMacro1</definedName>
    <definedName name="BN" localSheetId="1">BlankMacro1</definedName>
    <definedName name="BN">BlankMacro1</definedName>
    <definedName name="BND" localSheetId="3">BlankMacro1</definedName>
    <definedName name="BND" localSheetId="1">BlankMacro1</definedName>
    <definedName name="BND">BlankMacro1</definedName>
    <definedName name="bnfghrt" localSheetId="3">BlankMacro1</definedName>
    <definedName name="bnfghrt" localSheetId="1">BlankMacro1</definedName>
    <definedName name="bnfghrt">BlankMacro1</definedName>
    <definedName name="BOH10L">[41]INPUT!#REF!</definedName>
    <definedName name="BOH10R">[41]INPUT!#REF!</definedName>
    <definedName name="BOH3L">[41]INPUT!#REF!</definedName>
    <definedName name="BOH3R">[41]INPUT!#REF!</definedName>
    <definedName name="BOH4L">[41]INPUT!#REF!</definedName>
    <definedName name="BOH4R">[41]INPUT!#REF!</definedName>
    <definedName name="BOH5L">[41]INPUT!#REF!</definedName>
    <definedName name="BOH5R">[41]INPUT!#REF!</definedName>
    <definedName name="BOH6L">[41]INPUT!#REF!</definedName>
    <definedName name="BOH6R">[41]INPUT!#REF!</definedName>
    <definedName name="BOH7L">[41]INPUT!#REF!</definedName>
    <definedName name="BOH7R">[41]INPUT!#REF!</definedName>
    <definedName name="BOH8L">[41]INPUT!#REF!</definedName>
    <definedName name="BOH8R">[41]INPUT!#REF!</definedName>
    <definedName name="BOH9L">[41]INPUT!#REF!</definedName>
    <definedName name="BOH9R">[41]INPUT!#REF!</definedName>
    <definedName name="BOK10L">[41]INPUT!#REF!</definedName>
    <definedName name="BOK10R">[41]INPUT!#REF!</definedName>
    <definedName name="BOK3L">[41]INPUT!#REF!</definedName>
    <definedName name="BOK3R">[41]INPUT!#REF!</definedName>
    <definedName name="BOK4L">[41]INPUT!#REF!</definedName>
    <definedName name="BOK4R">[41]INPUT!#REF!</definedName>
    <definedName name="BOK5L">[41]INPUT!#REF!</definedName>
    <definedName name="BOK5R">[41]INPUT!#REF!</definedName>
    <definedName name="BOK6L">[41]INPUT!#REF!</definedName>
    <definedName name="BOK6R">[41]INPUT!#REF!</definedName>
    <definedName name="BOK7L">[41]INPUT!#REF!</definedName>
    <definedName name="BOK7R">[41]INPUT!#REF!</definedName>
    <definedName name="BOK8L">[41]INPUT!#REF!</definedName>
    <definedName name="BOK8R">[41]INPUT!#REF!</definedName>
    <definedName name="BOK9L">[41]INPUT!#REF!</definedName>
    <definedName name="BOK9R">[41]INPUT!#REF!</definedName>
    <definedName name="Bolts" localSheetId="1">#REF!</definedName>
    <definedName name="Bolts">#REF!</definedName>
    <definedName name="bp">[51]단면설계!#REF!</definedName>
    <definedName name="BQ" localSheetId="3">BlankMacro1</definedName>
    <definedName name="BQ" localSheetId="1">BlankMacro1</definedName>
    <definedName name="BQ">BlankMacro1</definedName>
    <definedName name="BR" localSheetId="3">BlankMacro1</definedName>
    <definedName name="BR" localSheetId="1">BlankMacro1</definedName>
    <definedName name="BR">BlankMacro1</definedName>
    <definedName name="BR.1" localSheetId="1">#REF!</definedName>
    <definedName name="BR.1">#REF!</definedName>
    <definedName name="BS" localSheetId="3">BlankMacro1</definedName>
    <definedName name="BS" localSheetId="1">BlankMacro1</definedName>
    <definedName name="BS">BlankMacro1</definedName>
    <definedName name="bs_chekjum" localSheetId="1">#REF!</definedName>
    <definedName name="bs_chekjum">#REF!</definedName>
    <definedName name="bs_chekplus" localSheetId="1">#REF!</definedName>
    <definedName name="bs_chekplus">#REF!</definedName>
    <definedName name="bs_chekwave" localSheetId="1">#REF!</definedName>
    <definedName name="bs_chekwave">#REF!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H">#REF!</definedName>
    <definedName name="BSX" localSheetId="3">BlankMacro1</definedName>
    <definedName name="BSX" localSheetId="1">BlankMacro1</definedName>
    <definedName name="BSX">BlankMacro1</definedName>
    <definedName name="BT" localSheetId="1">#REF!</definedName>
    <definedName name="BT">#REF!</definedName>
    <definedName name="BUI" localSheetId="3">BlankMacro1</definedName>
    <definedName name="BUI" localSheetId="1">BlankMacro1</definedName>
    <definedName name="BUI">BlankMacro1</definedName>
    <definedName name="bukno">#REF!</definedName>
    <definedName name="bute">#REF!</definedName>
    <definedName name="buts">#REF!</definedName>
    <definedName name="BV" localSheetId="3">BlankMacro1</definedName>
    <definedName name="BV" localSheetId="1">BlankMacro1</definedName>
    <definedName name="BV">BlankMacro1</definedName>
    <definedName name="BW" localSheetId="3">BlankMacro1</definedName>
    <definedName name="BW" localSheetId="1">BlankMacro1</definedName>
    <definedName name="BW">BlankMacro1</definedName>
    <definedName name="BX" localSheetId="3">BlankMacro1</definedName>
    <definedName name="BX" localSheetId="1">BlankMacro1</definedName>
    <definedName name="BX">BlankMacro1</definedName>
    <definedName name="BY" localSheetId="3">BlankMacro1</definedName>
    <definedName name="BY" localSheetId="1">BlankMacro1</definedName>
    <definedName name="BY">BlankMacro1</definedName>
    <definedName name="c1.a2p">[48]INPUT!$F$44</definedName>
    <definedName name="c2.a2p">[48]INPUT!$F$45</definedName>
    <definedName name="CA" localSheetId="1">#REF!</definedName>
    <definedName name="CA">#REF!</definedName>
    <definedName name="CA10L">[37]INPUT!#REF!</definedName>
    <definedName name="CA10R">[37]INPUT!#REF!</definedName>
    <definedName name="CA3L">[37]INPUT!#REF!</definedName>
    <definedName name="CA3R">[37]INPUT!#REF!</definedName>
    <definedName name="CA4L">[37]INPUT!#REF!</definedName>
    <definedName name="CA4R">[37]INPUT!#REF!</definedName>
    <definedName name="CA5L">[37]INPUT!#REF!</definedName>
    <definedName name="CA5R">[37]INPUT!#REF!</definedName>
    <definedName name="CA6L">[37]INPUT!#REF!</definedName>
    <definedName name="CA6R">[37]INPUT!#REF!</definedName>
    <definedName name="CA7L">[37]INPUT!#REF!</definedName>
    <definedName name="CA7R">[37]INPUT!#REF!</definedName>
    <definedName name="CA8L">[37]INPUT!#REF!</definedName>
    <definedName name="CA8R">[37]INPUT!#REF!</definedName>
    <definedName name="CA9L">[37]INPUT!#REF!</definedName>
    <definedName name="CA9R">[37]INPUT!#REF!</definedName>
    <definedName name="cable">#REF!</definedName>
    <definedName name="camberWork">#N/A</definedName>
    <definedName name="cbb" localSheetId="3">BlankMacro1</definedName>
    <definedName name="cbb" localSheetId="1">BlankMacro1</definedName>
    <definedName name="cbb">BlankMacro1</definedName>
    <definedName name="CBF" localSheetId="3">BlankMacro1</definedName>
    <definedName name="CBF" localSheetId="1">BlankMacro1</definedName>
    <definedName name="CBF">BlankMacro1</definedName>
    <definedName name="CC" localSheetId="1">#REF!</definedName>
    <definedName name="CC">#REF!</definedName>
    <definedName name="_11cc1_" localSheetId="1">#REF!</definedName>
    <definedName name="__12cc1_">#REF!</definedName>
    <definedName name="_13cc2_" localSheetId="1">#REF!</definedName>
    <definedName name="_14cc2_">#REF!</definedName>
    <definedName name="_15cc3_" localSheetId="1">#REF!</definedName>
    <definedName name="_16cc3_">#REF!</definedName>
    <definedName name="_17cc4_" localSheetId="1">#REF!</definedName>
    <definedName name="_18cc4_">#REF!</definedName>
    <definedName name="_19cc5_" localSheetId="1">#REF!</definedName>
    <definedName name="_20cc5_">#REF!</definedName>
    <definedName name="_21cc75_" localSheetId="1">#REF!</definedName>
    <definedName name="_22cc75_">#REF!</definedName>
    <definedName name="CCC">#REF!</definedName>
    <definedName name="CCCC">[12]Sheet1!$G$48</definedName>
    <definedName name="ccdc" localSheetId="1">#REF!</definedName>
    <definedName name="ccdc">#REF!</definedName>
    <definedName name="CCSB" localSheetId="3">BlankMacro1</definedName>
    <definedName name="CCSB" localSheetId="1">BlankMacro1</definedName>
    <definedName name="CCSB">BlankMacro1</definedName>
    <definedName name="cd">[54]통합!#REF!</definedName>
    <definedName name="cdd">[54]통합!#REF!</definedName>
    <definedName name="CF" localSheetId="3">BlankMacro1</definedName>
    <definedName name="CF" localSheetId="1">BlankMacro1</definedName>
    <definedName name="CF">BlankMacro1</definedName>
    <definedName name="CFB" localSheetId="3">BlankMacro1</definedName>
    <definedName name="CFB" localSheetId="1">BlankMacro1</definedName>
    <definedName name="CFB">BlankMacro1</definedName>
    <definedName name="CH" localSheetId="1">#REF!</definedName>
    <definedName name="CH">#REF!</definedName>
    <definedName name="CHN10L">[41]INPUT!#REF!</definedName>
    <definedName name="CHN10R">[41]INPUT!#REF!</definedName>
    <definedName name="CHN3L">[41]INPUT!#REF!</definedName>
    <definedName name="CHN3R">[41]INPUT!#REF!</definedName>
    <definedName name="CHN4L">[41]INPUT!#REF!</definedName>
    <definedName name="CHN4R">[41]INPUT!#REF!</definedName>
    <definedName name="CHN5L">[41]INPUT!#REF!</definedName>
    <definedName name="CHN5R">[41]INPUT!#REF!</definedName>
    <definedName name="CHN6L">[41]INPUT!#REF!</definedName>
    <definedName name="CHN6R">[41]INPUT!#REF!</definedName>
    <definedName name="CHN7L">[41]INPUT!#REF!</definedName>
    <definedName name="CHN7R">[41]INPUT!#REF!</definedName>
    <definedName name="CHN8L">[41]INPUT!#REF!</definedName>
    <definedName name="CHN8R">[41]INPUT!#REF!</definedName>
    <definedName name="CHN9L">[41]INPUT!#REF!</definedName>
    <definedName name="CHN9R">[41]INPUT!#REF!</definedName>
    <definedName name="CHO10L">[41]INPUT!#REF!</definedName>
    <definedName name="CHO10R">[41]INPUT!#REF!</definedName>
    <definedName name="CHO3L">[41]INPUT!#REF!</definedName>
    <definedName name="CHO3R">[41]INPUT!#REF!</definedName>
    <definedName name="CHO4L">[41]INPUT!#REF!</definedName>
    <definedName name="CHO4R">[41]INPUT!#REF!</definedName>
    <definedName name="CHO5L">[41]INPUT!#REF!</definedName>
    <definedName name="CHO5R">[41]INPUT!#REF!</definedName>
    <definedName name="CHO6L">[41]INPUT!#REF!</definedName>
    <definedName name="CHO6R">[41]INPUT!#REF!</definedName>
    <definedName name="CHO7L">[41]INPUT!#REF!</definedName>
    <definedName name="CHO7R">[41]INPUT!#REF!</definedName>
    <definedName name="CHO8L">[41]INPUT!#REF!</definedName>
    <definedName name="CHO8R">[41]INPUT!#REF!</definedName>
    <definedName name="CHO9L">[41]INPUT!#REF!</definedName>
    <definedName name="CHO9R">[41]INPUT!#REF!</definedName>
    <definedName name="CHP10L">[41]INPUT!#REF!</definedName>
    <definedName name="CHP10R">[41]INPUT!#REF!</definedName>
    <definedName name="CHP3L">[41]INPUT!#REF!</definedName>
    <definedName name="CHP3R">[41]INPUT!#REF!</definedName>
    <definedName name="CHP4L">[41]INPUT!#REF!</definedName>
    <definedName name="CHP4R">[41]INPUT!#REF!</definedName>
    <definedName name="CHP5L">[41]INPUT!#REF!</definedName>
    <definedName name="CHP5R">[41]INPUT!#REF!</definedName>
    <definedName name="CHP6L">[41]INPUT!#REF!</definedName>
    <definedName name="CHP6R">[41]INPUT!#REF!</definedName>
    <definedName name="CHP7L">[41]INPUT!#REF!</definedName>
    <definedName name="CHP7R">[41]INPUT!#REF!</definedName>
    <definedName name="CHP8L">[41]INPUT!#REF!</definedName>
    <definedName name="CHP8R">[41]INPUT!#REF!</definedName>
    <definedName name="CHP9L">[41]INPUT!#REF!</definedName>
    <definedName name="CHP9R">[41]INPUT!#REF!</definedName>
    <definedName name="CHQ10L">[41]INPUT!#REF!</definedName>
    <definedName name="CHQ10R">[41]INPUT!#REF!</definedName>
    <definedName name="CHQ3L">[41]INPUT!#REF!</definedName>
    <definedName name="CHQ3R">[41]INPUT!#REF!</definedName>
    <definedName name="CHQ4L">[41]INPUT!#REF!</definedName>
    <definedName name="CHQ4R">[41]INPUT!#REF!</definedName>
    <definedName name="CHQ5L">[41]INPUT!#REF!</definedName>
    <definedName name="CHQ5R">[41]INPUT!#REF!</definedName>
    <definedName name="CHQ6L">[41]INPUT!#REF!</definedName>
    <definedName name="CHQ6R">[41]INPUT!#REF!</definedName>
    <definedName name="CHQ7L">[41]INPUT!#REF!</definedName>
    <definedName name="CHQ7R">[41]INPUT!#REF!</definedName>
    <definedName name="CHQ8L">[41]INPUT!#REF!</definedName>
    <definedName name="CHQ8R">[41]INPUT!#REF!</definedName>
    <definedName name="CHQ9L">[41]INPUT!#REF!</definedName>
    <definedName name="CHQ9R">[41]INPUT!#REF!</definedName>
    <definedName name="CHR10L">[41]INPUT!#REF!</definedName>
    <definedName name="CHR10R">[41]INPUT!#REF!</definedName>
    <definedName name="CHR3L">[41]INPUT!#REF!</definedName>
    <definedName name="CHR3R">[41]INPUT!#REF!</definedName>
    <definedName name="CHR4L">[41]INPUT!#REF!</definedName>
    <definedName name="CHR4R">[41]INPUT!#REF!</definedName>
    <definedName name="CHR5L">[41]INPUT!#REF!</definedName>
    <definedName name="CHR5R">[41]INPUT!#REF!</definedName>
    <definedName name="CHR6L">[41]INPUT!#REF!</definedName>
    <definedName name="CHR6R">[41]INPUT!#REF!</definedName>
    <definedName name="CHR7L">[41]INPUT!#REF!</definedName>
    <definedName name="CHR7R">[41]INPUT!#REF!</definedName>
    <definedName name="CHR8L">[41]INPUT!#REF!</definedName>
    <definedName name="CHR8R">[41]INPUT!#REF!</definedName>
    <definedName name="CHR9L">[41]INPUT!#REF!</definedName>
    <definedName name="CHR9R">[41]INPUT!#REF!</definedName>
    <definedName name="CHSUM10L">[41]INPUT!#REF!</definedName>
    <definedName name="CHSUM10R">[41]INPUT!#REF!</definedName>
    <definedName name="CHSUM3L">[41]INPUT!#REF!</definedName>
    <definedName name="CHSUM3R">[41]INPUT!#REF!</definedName>
    <definedName name="CHSUM4L">[41]INPUT!#REF!</definedName>
    <definedName name="CHSUM4R">[41]INPUT!#REF!</definedName>
    <definedName name="CHSUM5L">[41]INPUT!#REF!</definedName>
    <definedName name="CHSUM5R">[41]INPUT!#REF!</definedName>
    <definedName name="CHSUM6L">[41]INPUT!#REF!</definedName>
    <definedName name="CHSUM6R">[41]INPUT!#REF!</definedName>
    <definedName name="CHSUM7L">[41]INPUT!#REF!</definedName>
    <definedName name="CHSUM7R">[41]INPUT!#REF!</definedName>
    <definedName name="CHSUM8L">[41]INPUT!#REF!</definedName>
    <definedName name="CHSUM8R">[41]INPUT!#REF!</definedName>
    <definedName name="CHSUM9L">[41]INPUT!#REF!</definedName>
    <definedName name="CHSUM9R">[41]INPUT!#REF!</definedName>
    <definedName name="CJFRMS" localSheetId="1">#REF!</definedName>
    <definedName name="CJFRMS">#REF!</definedName>
    <definedName name="CK" localSheetId="1">#REF!</definedName>
    <definedName name="CK">#REF!</definedName>
    <definedName name="Cm" localSheetId="1">#REF!</definedName>
    <definedName name="Cm">#REF!</definedName>
    <definedName name="CN10TL">[41]INPUT!#REF!</definedName>
    <definedName name="CN10TR">[41]INPUT!#REF!</definedName>
    <definedName name="CN3TL">[41]INPUT!#REF!</definedName>
    <definedName name="CN3TR">[41]INPUT!#REF!</definedName>
    <definedName name="CN4TL">[41]INPUT!#REF!</definedName>
    <definedName name="CN4TR">[41]INPUT!#REF!</definedName>
    <definedName name="CN5TL">[41]INPUT!#REF!</definedName>
    <definedName name="CN5TR">[41]INPUT!#REF!</definedName>
    <definedName name="CN6TL">[41]INPUT!#REF!</definedName>
    <definedName name="CN6TR">[41]INPUT!#REF!</definedName>
    <definedName name="CN7TL">[41]INPUT!#REF!</definedName>
    <definedName name="CN7TR">[41]INPUT!#REF!</definedName>
    <definedName name="CN8TL">[41]INPUT!#REF!</definedName>
    <definedName name="CN8TR">[41]INPUT!#REF!</definedName>
    <definedName name="CN9TL">[41]INPUT!#REF!</definedName>
    <definedName name="CN9TR">[41]INPUT!#REF!</definedName>
    <definedName name="CODE">#REF!</definedName>
    <definedName name="CON" localSheetId="1">#REF!</definedName>
    <definedName name="CON">#REF!</definedName>
    <definedName name="CON1H1" localSheetId="1">#REF!</definedName>
    <definedName name="CON1H1">#REF!</definedName>
    <definedName name="CON2H1" localSheetId="1">#REF!</definedName>
    <definedName name="CON2H1">#REF!</definedName>
    <definedName name="conc">[54]통합!#REF!</definedName>
    <definedName name="conc단위중량" localSheetId="1">#REF!</definedName>
    <definedName name="conc단위중량">#REF!</definedName>
    <definedName name="CONDUIT" localSheetId="1">#REF!</definedName>
    <definedName name="CONDUIT">#REF!</definedName>
    <definedName name="CPU_시험기사" localSheetId="1">#REF!</definedName>
    <definedName name="CPU_시험기사">#REF!</definedName>
    <definedName name="_xlnm.Criteria">#REF!</definedName>
    <definedName name="Cs" localSheetId="1">#REF!</definedName>
    <definedName name="Cs">#REF!</definedName>
    <definedName name="_ctc1" localSheetId="1">#REF!</definedName>
    <definedName name="____ctc1">#REF!</definedName>
    <definedName name="_ctc2" localSheetId="1">#REF!</definedName>
    <definedName name="____ctc2">#REF!</definedName>
    <definedName name="_ctc3" localSheetId="1">#REF!</definedName>
    <definedName name="____ctc3">#REF!</definedName>
    <definedName name="CUT10L">[41]INPUT!#REF!</definedName>
    <definedName name="CUT10R">[41]INPUT!#REF!</definedName>
    <definedName name="CUT3L">[41]INPUT!#REF!</definedName>
    <definedName name="CUT3R">[41]INPUT!#REF!</definedName>
    <definedName name="CUT4L">[41]INPUT!#REF!</definedName>
    <definedName name="CUT4R">[41]INPUT!#REF!</definedName>
    <definedName name="CUT5L">[41]INPUT!#REF!</definedName>
    <definedName name="CUT5R">[41]INPUT!#REF!</definedName>
    <definedName name="CUT6L">[41]INPUT!#REF!</definedName>
    <definedName name="CUT6R">[41]INPUT!#REF!</definedName>
    <definedName name="CUT7L">[41]INPUT!#REF!</definedName>
    <definedName name="CUT7R">[41]INPUT!#REF!</definedName>
    <definedName name="CUT8L">[41]INPUT!#REF!</definedName>
    <definedName name="CUT8R">[41]INPUT!#REF!</definedName>
    <definedName name="CUT9L">[41]INPUT!#REF!</definedName>
    <definedName name="CUT9R">[41]INPUT!#REF!</definedName>
    <definedName name="CV">[59]DATA!$F$4:$J$14</definedName>
    <definedName name="cvb">[60]토공!$A$1:$IV$2</definedName>
    <definedName name="cvbdf" localSheetId="3">BlankMacro1</definedName>
    <definedName name="cvbdf" localSheetId="1">BlankMacro1</definedName>
    <definedName name="cvbdf">BlankMacro1</definedName>
    <definedName name="cvbrg" localSheetId="3">BlankMacro1</definedName>
    <definedName name="cvbrg" localSheetId="1">BlankMacro1</definedName>
    <definedName name="cvbrg">BlankMacro1</definedName>
    <definedName name="CX10L">[41]INPUT!#REF!</definedName>
    <definedName name="CX10R">[41]INPUT!#REF!</definedName>
    <definedName name="CX3L">[41]INPUT!#REF!</definedName>
    <definedName name="CX3R">[41]INPUT!#REF!</definedName>
    <definedName name="CX4L">[41]INPUT!#REF!</definedName>
    <definedName name="CX4R">[41]INPUT!#REF!</definedName>
    <definedName name="CX5L">[41]INPUT!#REF!</definedName>
    <definedName name="CX5R">[41]INPUT!#REF!</definedName>
    <definedName name="CX6L">[41]INPUT!#REF!</definedName>
    <definedName name="CX6R">[41]INPUT!#REF!</definedName>
    <definedName name="CX7L">[41]INPUT!#REF!</definedName>
    <definedName name="CX7R">[41]INPUT!#REF!</definedName>
    <definedName name="CX8L">[41]INPUT!#REF!</definedName>
    <definedName name="CX8R">[41]INPUT!#REF!</definedName>
    <definedName name="CX9L">[41]INPUT!#REF!</definedName>
    <definedName name="CX9R">[41]INPUT!#REF!</definedName>
    <definedName name="cxvdvc" localSheetId="3">BlankMacro1</definedName>
    <definedName name="cxvdvc" localSheetId="1">BlankMacro1</definedName>
    <definedName name="cxvdvc">BlankMacro1</definedName>
    <definedName name="cxvxcv" localSheetId="3">BlankMacro1</definedName>
    <definedName name="cxvxcv" localSheetId="1">BlankMacro1</definedName>
    <definedName name="cxvxcv">BlankMacro1</definedName>
    <definedName name="CXXV" localSheetId="3">BlankMacro1</definedName>
    <definedName name="CXXV" localSheetId="1">BlankMacro1</definedName>
    <definedName name="CXXV">BlankMacro1</definedName>
    <definedName name="CY10L">[41]INPUT!#REF!</definedName>
    <definedName name="CY10R">[41]INPUT!#REF!</definedName>
    <definedName name="CY3L">[41]INPUT!#REF!</definedName>
    <definedName name="CY3R">[41]INPUT!#REF!</definedName>
    <definedName name="CY4L">[41]INPUT!#REF!</definedName>
    <definedName name="CY4R">[41]INPUT!#REF!</definedName>
    <definedName name="CY5L">[41]INPUT!#REF!</definedName>
    <definedName name="CY5R">[41]INPUT!#REF!</definedName>
    <definedName name="CY6L">[41]INPUT!#REF!</definedName>
    <definedName name="CY6R">[41]INPUT!#REF!</definedName>
    <definedName name="CY7L">[41]INPUT!#REF!</definedName>
    <definedName name="CY7R">[41]INPUT!#REF!</definedName>
    <definedName name="CY8L">[41]INPUT!#REF!</definedName>
    <definedName name="CY8R">[41]INPUT!#REF!</definedName>
    <definedName name="CY9L">[41]INPUT!#REF!</definedName>
    <definedName name="CY9R">[41]INPUT!#REF!</definedName>
    <definedName name="CYA10L">[41]INPUT!#REF!</definedName>
    <definedName name="CYA10R">[41]INPUT!#REF!</definedName>
    <definedName name="CYA3L">[41]INPUT!#REF!</definedName>
    <definedName name="CYA3R">[41]INPUT!#REF!</definedName>
    <definedName name="CYA4L">[41]INPUT!#REF!</definedName>
    <definedName name="CYA4R">[41]INPUT!#REF!</definedName>
    <definedName name="CYA5L">[41]INPUT!#REF!</definedName>
    <definedName name="CYA5R">[41]INPUT!#REF!</definedName>
    <definedName name="CYA6L">[41]INPUT!#REF!</definedName>
    <definedName name="CYA6R">[41]INPUT!#REF!</definedName>
    <definedName name="CYA7L">[41]INPUT!#REF!</definedName>
    <definedName name="CYA7R">[41]INPUT!#REF!</definedName>
    <definedName name="CYA8L">[41]INPUT!#REF!</definedName>
    <definedName name="CYA8R">[41]INPUT!#REF!</definedName>
    <definedName name="CYA9L">[41]INPUT!#REF!</definedName>
    <definedName name="CYA9R">[41]INPUT!#REF!</definedName>
    <definedName name="CYB10L">[41]INPUT!#REF!</definedName>
    <definedName name="CYB10R">[41]INPUT!#REF!</definedName>
    <definedName name="CYB3L">[41]INPUT!#REF!</definedName>
    <definedName name="CYB3R">[41]INPUT!#REF!</definedName>
    <definedName name="CYB4L">[41]INPUT!#REF!</definedName>
    <definedName name="CYB4R">[41]INPUT!#REF!</definedName>
    <definedName name="CYB5L">[41]INPUT!#REF!</definedName>
    <definedName name="CYB5R">[41]INPUT!#REF!</definedName>
    <definedName name="CYB6L">[41]INPUT!#REF!</definedName>
    <definedName name="CYB6R">[41]INPUT!#REF!</definedName>
    <definedName name="CYB7L">[41]INPUT!#REF!</definedName>
    <definedName name="CYB7R">[41]INPUT!#REF!</definedName>
    <definedName name="CYB8L">[41]INPUT!#REF!</definedName>
    <definedName name="CYB8R">[41]INPUT!#REF!</definedName>
    <definedName name="CYB9L">[41]INPUT!#REF!</definedName>
    <definedName name="CYB9R">[41]INPUT!#REF!</definedName>
    <definedName name="CYC10L">[41]INPUT!#REF!</definedName>
    <definedName name="CYC10R">[41]INPUT!#REF!</definedName>
    <definedName name="CYC3L">[41]INPUT!#REF!</definedName>
    <definedName name="CYC3R">[41]INPUT!#REF!</definedName>
    <definedName name="CYC4L">[41]INPUT!#REF!</definedName>
    <definedName name="CYC4R">[41]INPUT!#REF!</definedName>
    <definedName name="CYC5L">[41]INPUT!#REF!</definedName>
    <definedName name="CYC5R">[41]INPUT!#REF!</definedName>
    <definedName name="CYC6L">[41]INPUT!#REF!</definedName>
    <definedName name="CYC6R">[41]INPUT!#REF!</definedName>
    <definedName name="CYC7L">[41]INPUT!#REF!</definedName>
    <definedName name="CYC7R">[41]INPUT!#REF!</definedName>
    <definedName name="CYC8L">[41]INPUT!#REF!</definedName>
    <definedName name="CYC8R">[41]INPUT!#REF!</definedName>
    <definedName name="CYC9L">[41]INPUT!#REF!</definedName>
    <definedName name="CYC9R">[41]INPUT!#REF!</definedName>
    <definedName name="CYY10L">[41]INPUT!#REF!</definedName>
    <definedName name="CYY10R">[41]INPUT!#REF!</definedName>
    <definedName name="CYY3L">[41]INPUT!#REF!</definedName>
    <definedName name="CYY3R">[41]INPUT!#REF!</definedName>
    <definedName name="CYY4L">[41]INPUT!#REF!</definedName>
    <definedName name="CYY4R">[41]INPUT!#REF!</definedName>
    <definedName name="CYY5L">[41]INPUT!#REF!</definedName>
    <definedName name="CYY5R">[41]INPUT!#REF!</definedName>
    <definedName name="CYY6L">[41]INPUT!#REF!</definedName>
    <definedName name="CYY6R">[41]INPUT!#REF!</definedName>
    <definedName name="CYY7L">[41]INPUT!#REF!</definedName>
    <definedName name="CYY7R">[41]INPUT!#REF!</definedName>
    <definedName name="CYY8L">[41]INPUT!#REF!</definedName>
    <definedName name="CYY8R">[41]INPUT!#REF!</definedName>
    <definedName name="CYY9L">[41]INPUT!#REF!</definedName>
    <definedName name="CYY9R">[41]INPUT!#REF!</definedName>
    <definedName name="czxcas" localSheetId="3">BlankMacro1</definedName>
    <definedName name="czxcas" localSheetId="1">BlankMacro1</definedName>
    <definedName name="czxcas">BlankMacro1</definedName>
    <definedName name="D">'[61]3.하중산정4.지지력'!#REF!</definedName>
    <definedName name="D10L">[41]INPUT!#REF!</definedName>
    <definedName name="D10R">[41]INPUT!#REF!</definedName>
    <definedName name="D3L">[41]INPUT!#REF!</definedName>
    <definedName name="D3R">[41]INPUT!#REF!</definedName>
    <definedName name="D4L">[41]INPUT!#REF!</definedName>
    <definedName name="D4R">[41]INPUT!#REF!</definedName>
    <definedName name="D5L">[41]INPUT!#REF!</definedName>
    <definedName name="D5R">[41]INPUT!#REF!</definedName>
    <definedName name="D6L">[41]INPUT!#REF!</definedName>
    <definedName name="D6R">[41]INPUT!#REF!</definedName>
    <definedName name="D7L">[41]INPUT!#REF!</definedName>
    <definedName name="D7R">[41]INPUT!#REF!</definedName>
    <definedName name="D8L">[41]INPUT!#REF!</definedName>
    <definedName name="D8R">[41]INPUT!#REF!</definedName>
    <definedName name="D9L">[41]INPUT!#REF!</definedName>
    <definedName name="D9R">[41]INPUT!#REF!</definedName>
    <definedName name="DA" localSheetId="1">#REF!</definedName>
    <definedName name="DA">#REF!</definedName>
    <definedName name="DAN" localSheetId="1">#REF!</definedName>
    <definedName name="DAN">#REF!</definedName>
    <definedName name="DANGA">'[62]Y-WORK'!$D$19:$D$19,'[62]Y-WORK'!$F$19:$BD$19</definedName>
    <definedName name="DanW">[50]역T형!$N$1129</definedName>
    <definedName name="DATA" localSheetId="1">#REF!</definedName>
    <definedName name="DATA">#REF!</definedName>
    <definedName name="_xlnm.Database" localSheetId="1">#REF!</definedName>
    <definedName name="_xlnm.Database">#REF!</definedName>
    <definedName name="database2" localSheetId="1">#REF!</definedName>
    <definedName name="database2">#REF!</definedName>
    <definedName name="dataww" localSheetId="1" hidden="1">#REF!</definedName>
    <definedName name="dataww">#REF!</definedName>
    <definedName name="date" localSheetId="1">#REF!</definedName>
    <definedName name="date">#REF!</definedName>
    <definedName name="DC" localSheetId="1">#REF!</definedName>
    <definedName name="DC">#REF!</definedName>
    <definedName name="DD">#REF!</definedName>
    <definedName name="ddd">#REF!</definedName>
    <definedName name="DDDD">#REF!</definedName>
    <definedName name="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S" localSheetId="3">BlankMacro1</definedName>
    <definedName name="DDS" localSheetId="1">BlankMacro1</definedName>
    <definedName name="DDS">BlankMacro1</definedName>
    <definedName name="DDW" localSheetId="3">BlankMacro1</definedName>
    <definedName name="DDW" localSheetId="1">BlankMacro1</definedName>
    <definedName name="DDW">BlankMacro1</definedName>
    <definedName name="DE" localSheetId="3">BlankMacro1</definedName>
    <definedName name="DE" localSheetId="1">BlankMacro1</definedName>
    <definedName name="DE">BlankMacro1</definedName>
    <definedName name="DECK_PLATE" localSheetId="1">#REF!</definedName>
    <definedName name="DECK_PLATE">#REF!</definedName>
    <definedName name="def" localSheetId="1">#REF!</definedName>
    <definedName name="def">#REF!</definedName>
    <definedName name="delta">[22]버스운행안내!$C$7</definedName>
    <definedName name="delta3" localSheetId="1">#REF!</definedName>
    <definedName name="delta3">#REF!</definedName>
    <definedName name="delta4" localSheetId="1">#REF!</definedName>
    <definedName name="delta4">#REF!</definedName>
    <definedName name="delta5" localSheetId="1">#REF!</definedName>
    <definedName name="delta5">#REF!</definedName>
    <definedName name="delta6" localSheetId="1">#REF!</definedName>
    <definedName name="delta6">#REF!</definedName>
    <definedName name="DES" localSheetId="3">BlankMacro1</definedName>
    <definedName name="DES" localSheetId="1">BlankMacro1</definedName>
    <definedName name="DES">BlankMacro1</definedName>
    <definedName name="df">#REF!</definedName>
    <definedName name="DFASDF" localSheetId="3">BlankMacro1</definedName>
    <definedName name="DFASDF" localSheetId="1">BlankMacro1</definedName>
    <definedName name="DFASDF">BlankMacro1</definedName>
    <definedName name="DFASF" localSheetId="3">BlankMacro1</definedName>
    <definedName name="DFASF" localSheetId="1">BlankMacro1</definedName>
    <definedName name="DFASF">BlankMacro1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sfasd">[64]데이타!$E$25</definedName>
    <definedName name="dfdsgfhgfh" localSheetId="3">BlankMacro1</definedName>
    <definedName name="dfdsgfhgfh" localSheetId="1">BlankMacro1</definedName>
    <definedName name="dfdsgfhgfh">BlankMacro1</definedName>
    <definedName name="dfesdfsdf" localSheetId="3">BlankMacro1</definedName>
    <definedName name="dfesdfsdf" localSheetId="1">BlankMacro1</definedName>
    <definedName name="dfesdfsdf">BlankMacro1</definedName>
    <definedName name="dff" localSheetId="3">BlankMacro1</definedName>
    <definedName name="dff" localSheetId="1">BlankMacro1</definedName>
    <definedName name="dff">BlankMacro1</definedName>
    <definedName name="DFG" localSheetId="3">BlankMacro1</definedName>
    <definedName name="DFG" localSheetId="1">BlankMacro1</definedName>
    <definedName name="DFG">BlankMacro1</definedName>
    <definedName name="dfgdfgdfg" localSheetId="3">BlankMacro1</definedName>
    <definedName name="dfgdfgdfg" localSheetId="1">BlankMacro1</definedName>
    <definedName name="dfgdfgdfg">BlankMacro1</definedName>
    <definedName name="dfgdsfgdfg" localSheetId="3">BlankMacro1</definedName>
    <definedName name="dfgdsfgdfg" localSheetId="1">BlankMacro1</definedName>
    <definedName name="dfgdsfgdfg">BlankMacro1</definedName>
    <definedName name="DFGERGREG" localSheetId="3">BlankMacro1</definedName>
    <definedName name="DFGERGREG" localSheetId="1">BlankMacro1</definedName>
    <definedName name="DFGERGREG">BlankMacro1</definedName>
    <definedName name="DFGGDF" localSheetId="3">BlankMacro1</definedName>
    <definedName name="DFGGDF" localSheetId="1">BlankMacro1</definedName>
    <definedName name="DFGGDF">BlankMacro1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hr" localSheetId="3">BlankMacro1</definedName>
    <definedName name="dfghr" localSheetId="1">BlankMacro1</definedName>
    <definedName name="dfghr">BlankMacro1</definedName>
    <definedName name="DFGSD" localSheetId="3">BlankMacro1</definedName>
    <definedName name="DFGSD" localSheetId="1">BlankMacro1</definedName>
    <definedName name="DFGSD">BlankMacro1</definedName>
    <definedName name="DFGWEAG" localSheetId="3">BlankMacro1</definedName>
    <definedName name="DFGWEAG" localSheetId="1">BlankMacro1</definedName>
    <definedName name="DFGWEAG">BlankMacro1</definedName>
    <definedName name="dfsdf" localSheetId="3">BlankMacro1</definedName>
    <definedName name="dfsdf" localSheetId="1">BlankMacro1</definedName>
    <definedName name="dfsdf">BlankMacro1</definedName>
    <definedName name="dg" localSheetId="3">BlankMacro1</definedName>
    <definedName name="dg" localSheetId="1">BlankMacro1</definedName>
    <definedName name="dg">BlankMacro1</definedName>
    <definedName name="dge" hidden="1">{#N/A,#N/A,FALSE,"포장1";#N/A,#N/A,FALSE,"포장1"}</definedName>
    <definedName name="DGEG" localSheetId="1">#REF!</definedName>
    <definedName name="DGEG">#REF!</definedName>
    <definedName name="DGF" localSheetId="3">BlankMacro1</definedName>
    <definedName name="DGF" localSheetId="1">BlankMacro1</definedName>
    <definedName name="DGF">BlankMacro1</definedName>
    <definedName name="DGG" localSheetId="3">BlankMacro1</definedName>
    <definedName name="DGG" localSheetId="1">BlankMacro1</definedName>
    <definedName name="DGG">BlankMacro1</definedName>
    <definedName name="Dh" localSheetId="1">#REF!</definedName>
    <definedName name="Dh">#REF!</definedName>
    <definedName name="DIA">#REF!</definedName>
    <definedName name="dia_mm">[65]말뚝지지력산정!$J$19</definedName>
    <definedName name="__dia10">[66]철근단면적!$C$2</definedName>
    <definedName name="__dia13">[13]철근단면적!$C$3</definedName>
    <definedName name="__dia16">[13]철근단면적!$C$4</definedName>
    <definedName name="__dia19">[13]철근단면적!$C$5</definedName>
    <definedName name="__dia22">[13]철근단면적!$C$6</definedName>
    <definedName name="__dia25">[13]철근단면적!$C$7</definedName>
    <definedName name="__dia29">[66]철근단면적!$C$8</definedName>
    <definedName name="__dia32">[66]철근단면적!$C$9</definedName>
    <definedName name="_dia35" localSheetId="1">#REF!</definedName>
    <definedName name="____dia35">#REF!</definedName>
    <definedName name="DIAP10.1L">[37]INPUT!#REF!</definedName>
    <definedName name="DIAP10.1R">[37]INPUT!#REF!</definedName>
    <definedName name="DIAP10L">[37]INPUT!#REF!</definedName>
    <definedName name="DIAP10R">[37]INPUT!#REF!</definedName>
    <definedName name="DIAP3.1L">[37]INPUT!#REF!</definedName>
    <definedName name="DIAP3.1R">[37]INPUT!#REF!</definedName>
    <definedName name="DIAP3L">[37]INPUT!#REF!</definedName>
    <definedName name="DIAP3R">[37]INPUT!#REF!</definedName>
    <definedName name="DIAP4.1L">[37]INPUT!#REF!</definedName>
    <definedName name="DIAP4.1R">[37]INPUT!#REF!</definedName>
    <definedName name="DIAP4L">[37]INPUT!#REF!</definedName>
    <definedName name="DIAP4R">[37]INPUT!#REF!</definedName>
    <definedName name="DIAP5.1L">[37]INPUT!#REF!</definedName>
    <definedName name="DIAP5.1R">[37]INPUT!#REF!</definedName>
    <definedName name="DIAP5L">[37]INPUT!#REF!</definedName>
    <definedName name="DIAP5R">[37]INPUT!#REF!</definedName>
    <definedName name="DIAP6.1L">[37]INPUT!#REF!</definedName>
    <definedName name="DIAP6.1R">[37]INPUT!#REF!</definedName>
    <definedName name="DIAP6L">[37]INPUT!#REF!</definedName>
    <definedName name="DIAP6R">[37]INPUT!#REF!</definedName>
    <definedName name="DIAP7.1L">[37]INPUT!#REF!</definedName>
    <definedName name="DIAP7.1R">[37]INPUT!#REF!</definedName>
    <definedName name="DIAP7L">[37]INPUT!#REF!</definedName>
    <definedName name="DIAP7R">[37]INPUT!#REF!</definedName>
    <definedName name="DIAP8.1L">[37]INPUT!#REF!</definedName>
    <definedName name="DIAP8.1R">[37]INPUT!#REF!</definedName>
    <definedName name="DIAP8L">[37]INPUT!#REF!</definedName>
    <definedName name="DIAP8R">[37]INPUT!#REF!</definedName>
    <definedName name="DIAP9.1L">[37]INPUT!#REF!</definedName>
    <definedName name="DIAP9.1R">[37]INPUT!#REF!</definedName>
    <definedName name="DIAP9L">[37]INPUT!#REF!</definedName>
    <definedName name="DIAP9R">[37]INPUT!#REF!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>#REF!</definedName>
    <definedName name="DKD" localSheetId="3">BlankMacro1</definedName>
    <definedName name="DKD" localSheetId="1">BlankMacro1</definedName>
    <definedName name="DKD">BlankMacro1</definedName>
    <definedName name="DKE" localSheetId="3">BlankMacro1</definedName>
    <definedName name="DKE" localSheetId="1">BlankMacro1</definedName>
    <definedName name="DKE">BlankMacro1</definedName>
    <definedName name="dks" localSheetId="1">#REF!</definedName>
    <definedName name="dks">#REF!</definedName>
    <definedName name="dl">[68]일위대가!#REF!</definedName>
    <definedName name="DLA" localSheetId="1">#REF!</definedName>
    <definedName name="DLA">#REF!</definedName>
    <definedName name="dld">[69]내역서!#REF!</definedName>
    <definedName name="dldldldll" hidden="1">[70]조명시설!#REF!</definedName>
    <definedName name="DLRJDTLF" hidden="1">#REF!</definedName>
    <definedName name="Document_array" localSheetId="1">{"Book1","부대-(표지판,데리,가드).xls","부대-(낙,차,중분대).xls"}</definedName>
    <definedName name="Document_array">{"Book1","부대-(표지판,데리,가드).xls","부대-(낙,차,중분대).xls"}</definedName>
    <definedName name="_DOG1" localSheetId="1">#REF!</definedName>
    <definedName name="____DOG1">#REF!</definedName>
    <definedName name="_DOG2" localSheetId="1">#REF!</definedName>
    <definedName name="____DOG2">#REF!</definedName>
    <definedName name="_DOG3" localSheetId="1">#REF!</definedName>
    <definedName name="____DOG3">#REF!</definedName>
    <definedName name="_DOG4" localSheetId="1">#REF!</definedName>
    <definedName name="____DOG4">#REF!</definedName>
    <definedName name="DON" localSheetId="1">#REF!</definedName>
    <definedName name="DON">#REF!</definedName>
    <definedName name="DONG1" localSheetId="1">#REF!</definedName>
    <definedName name="DONG1">#REF!</definedName>
    <definedName name="DONG2" localSheetId="1">#REF!</definedName>
    <definedName name="DONG2">#REF!</definedName>
    <definedName name="DOWEL" localSheetId="1">#REF!</definedName>
    <definedName name="DOWEL">#REF!</definedName>
    <definedName name="dpae">'[14]H-pile(298x299)'!#REF!</definedName>
    <definedName name="dped">'[14]H-pile(298x299)'!#REF!</definedName>
    <definedName name="dpel">'[14]H-pile(298x299)'!#REF!</definedName>
    <definedName name="DPI">#REF!</definedName>
    <definedName name="DRIVE" localSheetId="1">#REF!</definedName>
    <definedName name="DRIVE">#REF!</definedName>
    <definedName name="drsg">#REF!</definedName>
    <definedName name="DS" localSheetId="3">BlankMacro1</definedName>
    <definedName name="DS" localSheetId="1">BlankMacro1</definedName>
    <definedName name="DS">BlankMacro1</definedName>
    <definedName name="dsa" localSheetId="3">BlankMacro1</definedName>
    <definedName name="dsa" localSheetId="1">BlankMacro1</definedName>
    <definedName name="dsa">BlankMacro1</definedName>
    <definedName name="dsaf" hidden="1">{#N/A,#N/A,FALSE,"조골재"}</definedName>
    <definedName name="DSF" localSheetId="3">BlankMacro1</definedName>
    <definedName name="DSF" localSheetId="1">BlankMacro1</definedName>
    <definedName name="DSF">BlankMacro1</definedName>
    <definedName name="dsfaa" localSheetId="3">BlankMacro1</definedName>
    <definedName name="dsfaa" localSheetId="1">BlankMacro1</definedName>
    <definedName name="dsfaa">BlankMacro1</definedName>
    <definedName name="DSFAESF" localSheetId="3">BlankMacro1</definedName>
    <definedName name="DSFAESF" localSheetId="1">BlankMacro1</definedName>
    <definedName name="DSFAESF">BlankMacro1</definedName>
    <definedName name="dsfasddsf" localSheetId="3">BlankMacro1</definedName>
    <definedName name="dsfasddsf" localSheetId="1">BlankMacro1</definedName>
    <definedName name="dsfasddsf">BlankMacro1</definedName>
    <definedName name="dsfds" localSheetId="3">BlankMacro1</definedName>
    <definedName name="dsfds" localSheetId="1">BlankMacro1</definedName>
    <definedName name="dsfds">BlankMacro1</definedName>
    <definedName name="dsfew" localSheetId="3">BlankMacro1</definedName>
    <definedName name="dsfew" localSheetId="1">BlankMacro1</definedName>
    <definedName name="dsfew">BlankMacro1</definedName>
    <definedName name="dsfsdf" localSheetId="3">BlankMacro1</definedName>
    <definedName name="dsfsdf" localSheetId="1">BlankMacro1</definedName>
    <definedName name="dsfsdf">BlankMacro1</definedName>
    <definedName name="dsfwsdf" localSheetId="3">BlankMacro1</definedName>
    <definedName name="dsfwsdf" localSheetId="1">BlankMacro1</definedName>
    <definedName name="dsfwsdf">BlankMacro1</definedName>
    <definedName name="dsg" localSheetId="3">BlankMacro1</definedName>
    <definedName name="dsg" localSheetId="1">BlankMacro1</definedName>
    <definedName name="dsg">BlankMacro1</definedName>
    <definedName name="dsv" localSheetId="3">[319]!BlankMacro1</definedName>
    <definedName name="dsv" localSheetId="1">[319]!BlankMacro1</definedName>
    <definedName name="dsv">[319]!BlankMacro1</definedName>
    <definedName name="DT">'[72]인건-측정'!#REF!</definedName>
    <definedName name="Dv" localSheetId="1">#REF!</definedName>
    <definedName name="Dv">#REF!</definedName>
    <definedName name="DW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WS" localSheetId="3">BlankMacro1</definedName>
    <definedName name="DWS" localSheetId="1">BlankMacro1</definedName>
    <definedName name="DWS">BlankMacro1</definedName>
    <definedName name="DX" localSheetId="3">BlankMacro1</definedName>
    <definedName name="DX" localSheetId="1">BlankMacro1</definedName>
    <definedName name="DX">BlankMacro1</definedName>
    <definedName name="DX10L">[41]INPUT!#REF!</definedName>
    <definedName name="DX10R">[41]INPUT!#REF!</definedName>
    <definedName name="DX3L">[41]INPUT!#REF!</definedName>
    <definedName name="DX3R">[41]INPUT!#REF!</definedName>
    <definedName name="DX4L">[41]INPUT!#REF!</definedName>
    <definedName name="DX4R">[41]INPUT!#REF!</definedName>
    <definedName name="DX5L">[41]INPUT!#REF!</definedName>
    <definedName name="DX5R">[41]INPUT!#REF!</definedName>
    <definedName name="DX6L">[41]INPUT!#REF!</definedName>
    <definedName name="DX6R">[41]INPUT!#REF!</definedName>
    <definedName name="DX7L">[41]INPUT!#REF!</definedName>
    <definedName name="DX7R">[41]INPUT!#REF!</definedName>
    <definedName name="DX8L">[41]INPUT!#REF!</definedName>
    <definedName name="DX8R">[41]INPUT!#REF!</definedName>
    <definedName name="DX9L">[41]INPUT!#REF!</definedName>
    <definedName name="DX9R">[41]INPUT!#REF!</definedName>
    <definedName name="DXZ" localSheetId="3">BlankMacro1</definedName>
    <definedName name="DXZ" localSheetId="1">BlankMacro1</definedName>
    <definedName name="DXZ">BlankMacro1</definedName>
    <definedName name="DY10L">[41]INPUT!#REF!</definedName>
    <definedName name="DY10R">[41]INPUT!#REF!</definedName>
    <definedName name="DY3L">[41]INPUT!#REF!</definedName>
    <definedName name="DY3R">[41]INPUT!#REF!</definedName>
    <definedName name="DY4L">[41]INPUT!#REF!</definedName>
    <definedName name="DY4R">[41]INPUT!#REF!</definedName>
    <definedName name="DY5L">[41]INPUT!#REF!</definedName>
    <definedName name="DY5R">[41]INPUT!#REF!</definedName>
    <definedName name="DY6L">[41]INPUT!#REF!</definedName>
    <definedName name="DY6R">[41]INPUT!#REF!</definedName>
    <definedName name="DY7L">[41]INPUT!#REF!</definedName>
    <definedName name="DY7R">[41]INPUT!#REF!</definedName>
    <definedName name="DY8L">[41]INPUT!#REF!</definedName>
    <definedName name="DY8R">[41]INPUT!#REF!</definedName>
    <definedName name="DY9L">[41]INPUT!#REF!</definedName>
    <definedName name="DY9R">[41]INPUT!#REF!</definedName>
    <definedName name="DZ" localSheetId="3">BlankMacro1</definedName>
    <definedName name="DZ" localSheetId="1">BlankMacro1</definedName>
    <definedName name="DZ">BlankMacro1</definedName>
    <definedName name="E" localSheetId="3">BlankMacro1</definedName>
    <definedName name="E" localSheetId="1">BlankMacro1</definedName>
    <definedName name="E">BlankMacro1</definedName>
    <definedName name="EA" localSheetId="1">#REF!</definedName>
    <definedName name="EA">#REF!</definedName>
    <definedName name="Ec" localSheetId="1">#REF!</definedName>
    <definedName name="Ec">#REF!</definedName>
    <definedName name="Ecenter">[50]역T형!#REF!</definedName>
    <definedName name="Ecenter1">[50]역T형!#REF!</definedName>
    <definedName name="edgh">#REF!</definedName>
    <definedName name="edtgh">#REF!</definedName>
    <definedName name="ee">[64]식재인부!#REF!</definedName>
    <definedName name="eee" localSheetId="3">[319]!BlankMacro1</definedName>
    <definedName name="eee" localSheetId="1">[319]!BlankMacro1</definedName>
    <definedName name="eee">[319]!BlankMacro1</definedName>
    <definedName name="eeee2q" localSheetId="3">BlankMacro1</definedName>
    <definedName name="eeee2q" localSheetId="1">BlankMacro1</definedName>
    <definedName name="eeee2q">BlankMacro1</definedName>
    <definedName name="EEETG" localSheetId="3">BlankMacro1</definedName>
    <definedName name="EEETG" localSheetId="1">BlankMacro1</definedName>
    <definedName name="EEETG">BlankMacro1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ight">[22]버스운행안내!$J$8</definedName>
    <definedName name="el">[73]안정검토!$K$77</definedName>
    <definedName name="_ELL1" localSheetId="1">#REF!</definedName>
    <definedName name="____ELL1">#REF!</definedName>
    <definedName name="_ELL2" localSheetId="1">#REF!</definedName>
    <definedName name="____ELL2">#REF!</definedName>
    <definedName name="ELP">#REF!</definedName>
    <definedName name="Em" localSheetId="1">#REF!</definedName>
    <definedName name="Em">#REF!</definedName>
    <definedName name="end">[22]버스운행안내!$H$6</definedName>
    <definedName name="eo">[50]역T형!#REF!</definedName>
    <definedName name="ERBRE" localSheetId="3">BlankMacro1</definedName>
    <definedName name="ERBRE" localSheetId="1">BlankMacro1</definedName>
    <definedName name="ERBRE">BlankMacro1</definedName>
    <definedName name="ERC" localSheetId="3">BlankMacro1</definedName>
    <definedName name="ERC" localSheetId="1">BlankMacro1</definedName>
    <definedName name="ERC">BlankMacro1</definedName>
    <definedName name="ERER" localSheetId="1">#REF!</definedName>
    <definedName name="ERER">#REF!</definedName>
    <definedName name="erewr" localSheetId="3">BlankMacro1</definedName>
    <definedName name="erewr" localSheetId="1">BlankMacro1</definedName>
    <definedName name="erewr">BlankMacro1</definedName>
    <definedName name="erfgseg" localSheetId="3">BlankMacro1</definedName>
    <definedName name="erfgseg" localSheetId="1">BlankMacro1</definedName>
    <definedName name="erfgseg">BlankMacro1</definedName>
    <definedName name="ERGBERGBES" localSheetId="3">BlankMacro1</definedName>
    <definedName name="ERGBERGBES" localSheetId="1">BlankMacro1</definedName>
    <definedName name="ERGBERGBES">BlankMacro1</definedName>
    <definedName name="ERRR" localSheetId="3">BlankMacro1</definedName>
    <definedName name="ERRR" localSheetId="1">BlankMacro1</definedName>
    <definedName name="ERRR">BlankMacro1</definedName>
    <definedName name="ert">[75]부하계산서!#REF!</definedName>
    <definedName name="ertertert" localSheetId="3">BlankMacro1</definedName>
    <definedName name="ertertert" localSheetId="1">BlankMacro1</definedName>
    <definedName name="ertertert">BlankMacro1</definedName>
    <definedName name="ERTGESDF" localSheetId="3">BlankMacro1</definedName>
    <definedName name="ERTGESDF" localSheetId="1">BlankMacro1</definedName>
    <definedName name="ERTGESDF">BlankMacro1</definedName>
    <definedName name="ERTGTSWR" localSheetId="3">BlankMacro1</definedName>
    <definedName name="ERTGTSWR" localSheetId="1">BlankMacro1</definedName>
    <definedName name="ERTGTSWR">BlankMacro1</definedName>
    <definedName name="Es" localSheetId="1">#REF!</definedName>
    <definedName name="Es">#REF!</definedName>
    <definedName name="ESA" localSheetId="3">BlankMacro1</definedName>
    <definedName name="ESA" localSheetId="1">BlankMacro1</definedName>
    <definedName name="ESA">BlankMacro1</definedName>
    <definedName name="ESTAWEREW" localSheetId="3">BlankMacro1</definedName>
    <definedName name="ESTAWEREW" localSheetId="1">BlankMacro1</definedName>
    <definedName name="ESTAWEREW">BlankMacro1</definedName>
    <definedName name="ET" localSheetId="3">BlankMacro1</definedName>
    <definedName name="ET" localSheetId="1">BlankMacro1</definedName>
    <definedName name="ET">BlankMacro1</definedName>
    <definedName name="etb">[75]부하계산서!#REF!</definedName>
    <definedName name="EW" localSheetId="3">BlankMacro1</definedName>
    <definedName name="EW" localSheetId="1">BlankMacro1</definedName>
    <definedName name="EW">BlankMacro1</definedName>
    <definedName name="EWDGF" localSheetId="3">BlankMacro1</definedName>
    <definedName name="EWDGF" localSheetId="1">BlankMacro1</definedName>
    <definedName name="EWDGF">BlankMacro1</definedName>
    <definedName name="EWE" localSheetId="3">BlankMacro1</definedName>
    <definedName name="EWE" localSheetId="1">BlankMacro1</definedName>
    <definedName name="EWE">BlankMacro1</definedName>
    <definedName name="EWQ" localSheetId="3">BlankMacro1</definedName>
    <definedName name="EWQ" localSheetId="1">BlankMacro1</definedName>
    <definedName name="EWQ">BlankMacro1</definedName>
    <definedName name="ewr" localSheetId="3">BlankMacro1</definedName>
    <definedName name="ewr" localSheetId="1">BlankMacro1</definedName>
    <definedName name="ewr">BlankMacro1</definedName>
    <definedName name="EWT" localSheetId="3">BlankMacro1</definedName>
    <definedName name="EWT" localSheetId="1">BlankMacro1</definedName>
    <definedName name="EWT">BlankMacro1</definedName>
    <definedName name="EWTERDGD" localSheetId="3">BlankMacro1</definedName>
    <definedName name="EWTERDGD" localSheetId="1">BlankMacro1</definedName>
    <definedName name="EWTERDGD">BlankMacro1</definedName>
    <definedName name="EWVAW" localSheetId="3">BlankMacro1</definedName>
    <definedName name="EWVAW" localSheetId="1">BlankMacro1</definedName>
    <definedName name="EWVAW">BlankMacro1</definedName>
    <definedName name="_xlnm.Extract">#REF!</definedName>
    <definedName name="F">#REF!</definedName>
    <definedName name="F10LX">[37]INPUT!#REF!</definedName>
    <definedName name="F10LY">[37]INPUT!#REF!</definedName>
    <definedName name="F10RX">[37]INPUT!#REF!</definedName>
    <definedName name="F10RY">[37]INPUT!#REF!</definedName>
    <definedName name="F1F">#REF!</definedName>
    <definedName name="F2F">#REF!</definedName>
    <definedName name="F3F">#REF!</definedName>
    <definedName name="F3LX">[37]INPUT!#REF!</definedName>
    <definedName name="F3LY">[37]INPUT!#REF!</definedName>
    <definedName name="F3RX">[37]INPUT!#REF!</definedName>
    <definedName name="F3RY">[37]INPUT!#REF!</definedName>
    <definedName name="F4LX">[37]INPUT!#REF!</definedName>
    <definedName name="F4LY">[37]INPUT!#REF!</definedName>
    <definedName name="F4RX">[37]INPUT!#REF!</definedName>
    <definedName name="F4RY">[37]INPUT!#REF!</definedName>
    <definedName name="F5LX">[37]INPUT!#REF!</definedName>
    <definedName name="F5LY">[37]INPUT!#REF!</definedName>
    <definedName name="F5RX">[37]INPUT!#REF!</definedName>
    <definedName name="F5RY">[37]INPUT!#REF!</definedName>
    <definedName name="F6LX">[37]INPUT!#REF!</definedName>
    <definedName name="F6LY">[37]INPUT!#REF!</definedName>
    <definedName name="F6RX">[37]INPUT!#REF!</definedName>
    <definedName name="F6RY">[37]INPUT!#REF!</definedName>
    <definedName name="F7LX">[37]INPUT!#REF!</definedName>
    <definedName name="F7LY">[37]INPUT!#REF!</definedName>
    <definedName name="F7RX">[37]INPUT!#REF!</definedName>
    <definedName name="F7RY">[37]INPUT!#REF!</definedName>
    <definedName name="F8LX">[37]INPUT!#REF!</definedName>
    <definedName name="F8LY">[37]INPUT!#REF!</definedName>
    <definedName name="F8RX">[37]INPUT!#REF!</definedName>
    <definedName name="F8RY">[37]INPUT!#REF!</definedName>
    <definedName name="F9LX">[37]INPUT!#REF!</definedName>
    <definedName name="F9LY">[37]INPUT!#REF!</definedName>
    <definedName name="F9RX">[37]INPUT!#REF!</definedName>
    <definedName name="F9RY">[37]INPUT!#REF!</definedName>
    <definedName name="FacterEarth">[50]역T형!$J$575</definedName>
    <definedName name="FacterLive">[50]역T형!$J$574</definedName>
    <definedName name="_faf98" localSheetId="1">#REF!</definedName>
    <definedName name="____faf98">#REF!</definedName>
    <definedName name="fafafafaaf" localSheetId="1">#REF!</definedName>
    <definedName name="fafafafaaf">#REF!</definedName>
    <definedName name="fb" localSheetId="1">#REF!</definedName>
    <definedName name="fb">#REF!</definedName>
    <definedName name="_FBB1" localSheetId="1">#REF!</definedName>
    <definedName name="____FBB1">#REF!</definedName>
    <definedName name="_FBB2" localSheetId="1">#REF!</definedName>
    <definedName name="____FBB2">#REF!</definedName>
    <definedName name="_FBB3" localSheetId="1">#REF!</definedName>
    <definedName name="____FBB3">#REF!</definedName>
    <definedName name="fc" localSheetId="1">#REF!</definedName>
    <definedName name="fc">#REF!</definedName>
    <definedName name="Fck" localSheetId="1">#REF!</definedName>
    <definedName name="Fck">#REF!</definedName>
    <definedName name="fczc" hidden="1">{#N/A,#N/A,FALSE,"구조2"}</definedName>
    <definedName name="fd">'[14]H-pile(298x299)'!#REF!</definedName>
    <definedName name="FDBHRTDBGRE" localSheetId="3">BlankMacro1</definedName>
    <definedName name="FDBHRTDBGRE" localSheetId="1">BlankMacro1</definedName>
    <definedName name="FDBHRTDBGRE">BlankMacro1</definedName>
    <definedName name="FDBSERHGB" localSheetId="3">BlankMacro1</definedName>
    <definedName name="FDBSERHGB" localSheetId="1">BlankMacro1</definedName>
    <definedName name="FDBSERHGB">BlankMacro1</definedName>
    <definedName name="fdcvas" localSheetId="3">BlankMacro1</definedName>
    <definedName name="fdcvas" localSheetId="1">BlankMacro1</definedName>
    <definedName name="fdcvas">BlankMacro1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G" localSheetId="3">BlankMacro1</definedName>
    <definedName name="FDG" localSheetId="1">BlankMacro1</definedName>
    <definedName name="FDG">BlankMacro1</definedName>
    <definedName name="fdght" localSheetId="3">BlankMacro1</definedName>
    <definedName name="fdght" localSheetId="1">BlankMacro1</definedName>
    <definedName name="fdght">BlankMacro1</definedName>
    <definedName name="fdgsfdg" localSheetId="3">BlankMacro1</definedName>
    <definedName name="fdgsfdg" localSheetId="1">BlankMacro1</definedName>
    <definedName name="fdgsfdg">BlankMacro1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a" localSheetId="3">BlankMacro1</definedName>
    <definedName name="fdsa" localSheetId="1">BlankMacro1</definedName>
    <definedName name="fdsa">BlankMacro1</definedName>
    <definedName name="FDSAUJG" hidden="1">{#N/A,#N/A,FALSE,"배수2"}</definedName>
    <definedName name="FE10L">[41]INPUT!#REF!</definedName>
    <definedName name="FE10R">[41]INPUT!#REF!</definedName>
    <definedName name="FE3L">[41]INPUT!#REF!</definedName>
    <definedName name="FE3R">[41]INPUT!#REF!</definedName>
    <definedName name="FE4L">[41]INPUT!#REF!</definedName>
    <definedName name="FE4R">[41]INPUT!#REF!</definedName>
    <definedName name="FE5L">[41]INPUT!#REF!</definedName>
    <definedName name="FE5R">[41]INPUT!#REF!</definedName>
    <definedName name="FE6L">[41]INPUT!#REF!</definedName>
    <definedName name="FE6R">[41]INPUT!#REF!</definedName>
    <definedName name="FE7L">[41]INPUT!#REF!</definedName>
    <definedName name="FE7R">[41]INPUT!#REF!</definedName>
    <definedName name="FE8L">[41]INPUT!#REF!</definedName>
    <definedName name="FE8R">[41]INPUT!#REF!</definedName>
    <definedName name="FE9L">[41]INPUT!#REF!</definedName>
    <definedName name="FE9R">[41]INPUT!#REF!</definedName>
    <definedName name="FEEL">#REF!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">[69]내역서!#REF!</definedName>
    <definedName name="_23FF1_">#REF!</definedName>
    <definedName name="FFDGGFD">#REF!</definedName>
    <definedName name="fff">[76]일위대가목차!$D$3:$D$9</definedName>
    <definedName name="fffaafr" localSheetId="1">#REF!</definedName>
    <definedName name="fffaafr">#REF!</definedName>
    <definedName name="FFFF">#REF!</definedName>
    <definedName name="FFFFF">#REF!</definedName>
    <definedName name="ffffff">#REF!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24fg34444_" localSheetId="3">BlankMacro1</definedName>
    <definedName name="_25fg34444_" localSheetId="1">BlankMacro1</definedName>
    <definedName name="_26fg34444_">BlankMacro1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G" localSheetId="3">BlankMacro1</definedName>
    <definedName name="FGG" localSheetId="1">BlankMacro1</definedName>
    <definedName name="FGG">BlankMacro1</definedName>
    <definedName name="fgh" localSheetId="3">BlankMacro1</definedName>
    <definedName name="fgh" localSheetId="1">BlankMacro1</definedName>
    <definedName name="fgh">BlankMacro1</definedName>
    <definedName name="fghfgh" localSheetId="3">BlankMacro1</definedName>
    <definedName name="fghfgh" localSheetId="1">BlankMacro1</definedName>
    <definedName name="fghfgh">BlankMacro1</definedName>
    <definedName name="fghfghfgh" localSheetId="3">BlankMacro1</definedName>
    <definedName name="fghfghfgh" localSheetId="1">BlankMacro1</definedName>
    <definedName name="fghfghfgh">BlankMacro1</definedName>
    <definedName name="fghghf" localSheetId="3">BlankMacro1</definedName>
    <definedName name="fghghf" localSheetId="1">BlankMacro1</definedName>
    <definedName name="fghghf">BlankMacro1</definedName>
    <definedName name="fghrt" localSheetId="3">BlankMacro1</definedName>
    <definedName name="fghrt" localSheetId="1">BlankMacro1</definedName>
    <definedName name="fghrt">BlankMacro1</definedName>
    <definedName name="fgsdfgf" localSheetId="3">BlankMacro1</definedName>
    <definedName name="fgsdfgf" localSheetId="1">BlankMacro1</definedName>
    <definedName name="fgsdfgf">BlankMacro1</definedName>
    <definedName name="fh">[66]통합!#REF!</definedName>
    <definedName name="FH10L">[37]INPUT!#REF!</definedName>
    <definedName name="FH10R">[37]INPUT!#REF!</definedName>
    <definedName name="FH3L">[37]INPUT!#REF!</definedName>
    <definedName name="FH3R">[37]INPUT!#REF!</definedName>
    <definedName name="FH4L">[37]INPUT!#REF!</definedName>
    <definedName name="FH4R">[37]INPUT!#REF!</definedName>
    <definedName name="FH5L">[37]INPUT!#REF!</definedName>
    <definedName name="FH5R">[37]INPUT!#REF!</definedName>
    <definedName name="FH6L">[37]INPUT!#REF!</definedName>
    <definedName name="FH6R">[37]INPUT!#REF!</definedName>
    <definedName name="FH7L">[37]INPUT!#REF!</definedName>
    <definedName name="FH7R">[37]INPUT!#REF!</definedName>
    <definedName name="FH8L">[37]INPUT!#REF!</definedName>
    <definedName name="FH8R">[37]INPUT!#REF!</definedName>
    <definedName name="FH9L">[37]INPUT!#REF!</definedName>
    <definedName name="FH9R">[37]INPUT!#REF!</definedName>
    <definedName name="_FHH1" localSheetId="1">#REF!</definedName>
    <definedName name="____FHH1">#REF!</definedName>
    <definedName name="_FHH2" localSheetId="1">#REF!</definedName>
    <definedName name="____FHH2">#REF!</definedName>
    <definedName name="_FHH3" localSheetId="1">#REF!</definedName>
    <definedName name="____FHH3">#REF!</definedName>
    <definedName name="fi">[78]옹벽!$AA$308</definedName>
    <definedName name="five">[22]버스운행안내!$G$8</definedName>
    <definedName name="FIX" localSheetId="1">#REF!</definedName>
    <definedName name="FIX">#REF!</definedName>
    <definedName name="FIXT">[79]데이타!$U$23:$V$50</definedName>
    <definedName name="fj">[69]내역서!#REF!</definedName>
    <definedName name="fl" localSheetId="1">#REF!</definedName>
    <definedName name="fl">#REF!</definedName>
    <definedName name="Fm" localSheetId="1">#REF!</definedName>
    <definedName name="Fm">#REF!</definedName>
    <definedName name="FN">#REF!</definedName>
    <definedName name="FootH">[50]역T형!$C$148</definedName>
    <definedName name="four">[22]버스운행안내!$F$8</definedName>
    <definedName name="front" localSheetId="1">#REF!</definedName>
    <definedName name="front">#REF!</definedName>
    <definedName name="FrontLen">[50]역T형!$F$155</definedName>
    <definedName name="FS">[80]통합!#REF!</definedName>
    <definedName name="FT10TL">[41]INPUT!#REF!</definedName>
    <definedName name="FT10TR">[41]INPUT!#REF!</definedName>
    <definedName name="FT1TL">[41]INPUT!$A$13</definedName>
    <definedName name="FT1TR">[41]INPUT!$A$15</definedName>
    <definedName name="FT2TL">[41]INPUT!$A$43</definedName>
    <definedName name="FT2TR">[41]INPUT!$A$45</definedName>
    <definedName name="FT3TL">[41]INPUT!#REF!</definedName>
    <definedName name="FT3TR">[41]INPUT!#REF!</definedName>
    <definedName name="FT4TL">[41]INPUT!#REF!</definedName>
    <definedName name="FT4TR">[41]INPUT!#REF!</definedName>
    <definedName name="FT5TL">[41]INPUT!#REF!</definedName>
    <definedName name="FT5TR">[41]INPUT!#REF!</definedName>
    <definedName name="FT6TL">[41]INPUT!#REF!</definedName>
    <definedName name="FT6TR">[41]INPUT!#REF!</definedName>
    <definedName name="FT7TL">[41]INPUT!#REF!</definedName>
    <definedName name="FT7TR">[41]INPUT!#REF!</definedName>
    <definedName name="FT8TL">[41]INPUT!#REF!</definedName>
    <definedName name="FT8TR">[41]INPUT!#REF!</definedName>
    <definedName name="FT9TL">[41]INPUT!#REF!</definedName>
    <definedName name="FT9TR">[41]INPUT!#REF!</definedName>
    <definedName name="FTE10L">[41]INPUT!#REF!</definedName>
    <definedName name="FTE10R">[41]INPUT!#REF!</definedName>
    <definedName name="FTE3L">[41]INPUT!#REF!</definedName>
    <definedName name="FTE3R">[41]INPUT!#REF!</definedName>
    <definedName name="FTE4L">[41]INPUT!#REF!</definedName>
    <definedName name="FTE4R">[41]INPUT!#REF!</definedName>
    <definedName name="FTE5L">[41]INPUT!#REF!</definedName>
    <definedName name="FTE5R">[41]INPUT!#REF!</definedName>
    <definedName name="FTE6L">[41]INPUT!#REF!</definedName>
    <definedName name="FTE6R">[41]INPUT!#REF!</definedName>
    <definedName name="FTE7L">[41]INPUT!#REF!</definedName>
    <definedName name="FTE7R">[41]INPUT!#REF!</definedName>
    <definedName name="FTE8L">[41]INPUT!#REF!</definedName>
    <definedName name="FTE8R">[41]INPUT!#REF!</definedName>
    <definedName name="FTE9L">[41]INPUT!#REF!</definedName>
    <definedName name="FTE9R">[41]INPUT!#REF!</definedName>
    <definedName name="FTG10L">[41]INPUT!#REF!</definedName>
    <definedName name="FTG10R">[41]INPUT!#REF!</definedName>
    <definedName name="FTG3L">[41]INPUT!#REF!</definedName>
    <definedName name="FTG3R">[41]INPUT!#REF!</definedName>
    <definedName name="FTG4L">[41]INPUT!#REF!</definedName>
    <definedName name="FTG4R">[41]INPUT!#REF!</definedName>
    <definedName name="FTG5L">[41]INPUT!#REF!</definedName>
    <definedName name="FTG5R">[41]INPUT!#REF!</definedName>
    <definedName name="FTG6L">[41]INPUT!#REF!</definedName>
    <definedName name="FTG6R">[41]INPUT!#REF!</definedName>
    <definedName name="FTG7L">[41]INPUT!#REF!</definedName>
    <definedName name="FTG7R">[41]INPUT!#REF!</definedName>
    <definedName name="FTG8L">[41]INPUT!#REF!</definedName>
    <definedName name="FTG8R">[41]INPUT!#REF!</definedName>
    <definedName name="FTG9L">[41]INPUT!#REF!</definedName>
    <definedName name="FTG9R">[41]INPUT!#REF!</definedName>
    <definedName name="FTS10L">[41]INPUT!#REF!</definedName>
    <definedName name="FTS10R">[41]INPUT!#REF!</definedName>
    <definedName name="FTS3L">[41]INPUT!#REF!</definedName>
    <definedName name="FTS3R">[41]INPUT!#REF!</definedName>
    <definedName name="FTS4L">[41]INPUT!#REF!</definedName>
    <definedName name="FTS4R">[41]INPUT!#REF!</definedName>
    <definedName name="FTS5L">[41]INPUT!#REF!</definedName>
    <definedName name="FTS5R">[41]INPUT!#REF!</definedName>
    <definedName name="FTS6L">[41]INPUT!#REF!</definedName>
    <definedName name="FTS6R">[41]INPUT!#REF!</definedName>
    <definedName name="FTS7L">[41]INPUT!#REF!</definedName>
    <definedName name="FTS7R">[41]INPUT!#REF!</definedName>
    <definedName name="FTS8L">[41]INPUT!#REF!</definedName>
    <definedName name="FTS8R">[41]INPUT!#REF!</definedName>
    <definedName name="FTS9L">[41]INPUT!#REF!</definedName>
    <definedName name="FTS9R">[41]INPUT!#REF!</definedName>
    <definedName name="FTW10L">[41]INPUT!#REF!</definedName>
    <definedName name="FTW10R">[41]INPUT!#REF!</definedName>
    <definedName name="FTW3L">[41]INPUT!#REF!</definedName>
    <definedName name="FTW3R">[41]INPUT!#REF!</definedName>
    <definedName name="FTW4L">[41]INPUT!#REF!</definedName>
    <definedName name="FTW4R">[41]INPUT!#REF!</definedName>
    <definedName name="FTW5L">[41]INPUT!#REF!</definedName>
    <definedName name="FTW5R">[41]INPUT!#REF!</definedName>
    <definedName name="FTW6L">[41]INPUT!#REF!</definedName>
    <definedName name="FTW6R">[41]INPUT!#REF!</definedName>
    <definedName name="FTW7L">[41]INPUT!#REF!</definedName>
    <definedName name="FTW7R">[41]INPUT!#REF!</definedName>
    <definedName name="FTW8L">[41]INPUT!#REF!</definedName>
    <definedName name="FTW8R">[41]INPUT!#REF!</definedName>
    <definedName name="FTW9L">[41]INPUT!#REF!</definedName>
    <definedName name="FTW9R">[41]INPUT!#REF!</definedName>
    <definedName name="FTZ10L">[41]INPUT!#REF!</definedName>
    <definedName name="FTZ10R">[41]INPUT!#REF!</definedName>
    <definedName name="FTZ3L">[41]INPUT!#REF!</definedName>
    <definedName name="FTZ3R">[41]INPUT!#REF!</definedName>
    <definedName name="FTZ4L">[41]INPUT!#REF!</definedName>
    <definedName name="FTZ4R">[41]INPUT!#REF!</definedName>
    <definedName name="FTZ5L">[41]INPUT!#REF!</definedName>
    <definedName name="FTZ5R">[41]INPUT!#REF!</definedName>
    <definedName name="FTZ6L">[41]INPUT!#REF!</definedName>
    <definedName name="FTZ6R">[41]INPUT!#REF!</definedName>
    <definedName name="FTZ7L">[41]INPUT!#REF!</definedName>
    <definedName name="FTZ7R">[41]INPUT!#REF!</definedName>
    <definedName name="FTZ8L">[41]INPUT!#REF!</definedName>
    <definedName name="FTZ8R">[41]INPUT!#REF!</definedName>
    <definedName name="FTZ9L">[41]INPUT!#REF!</definedName>
    <definedName name="FTZ9R">[41]INPUT!#REF!</definedName>
    <definedName name="fuk" hidden="1">{#N/A,#N/A,FALSE,"배수2"}</definedName>
    <definedName name="fwer" localSheetId="3">BlankMacro1</definedName>
    <definedName name="fwer" localSheetId="1">BlankMacro1</definedName>
    <definedName name="fwer">BlankMacro1</definedName>
    <definedName name="FX10L">[41]INPUT!#REF!</definedName>
    <definedName name="FX10R">[41]INPUT!#REF!</definedName>
    <definedName name="FX3L">[41]INPUT!#REF!</definedName>
    <definedName name="FX3R">[41]INPUT!#REF!</definedName>
    <definedName name="FX4L">[41]INPUT!#REF!</definedName>
    <definedName name="FX4R">[41]INPUT!#REF!</definedName>
    <definedName name="FX5L">[41]INPUT!#REF!</definedName>
    <definedName name="FX5R">[41]INPUT!#REF!</definedName>
    <definedName name="FX6L">[41]INPUT!#REF!</definedName>
    <definedName name="FX6R">[41]INPUT!#REF!</definedName>
    <definedName name="FX7L">[41]INPUT!#REF!</definedName>
    <definedName name="FX7R">[41]INPUT!#REF!</definedName>
    <definedName name="FX8L">[41]INPUT!#REF!</definedName>
    <definedName name="FX8R">[41]INPUT!#REF!</definedName>
    <definedName name="FX9L">[41]INPUT!#REF!</definedName>
    <definedName name="FX9R">[41]INPUT!#REF!</definedName>
    <definedName name="Fy" localSheetId="1">#REF!</definedName>
    <definedName name="Fy">#REF!</definedName>
    <definedName name="FY10L">[41]INPUT!#REF!</definedName>
    <definedName name="FY10R">[41]INPUT!#REF!</definedName>
    <definedName name="FY3L">[41]INPUT!#REF!</definedName>
    <definedName name="FY3R">[41]INPUT!#REF!</definedName>
    <definedName name="FY4L">[41]INPUT!#REF!</definedName>
    <definedName name="FY4R">[41]INPUT!#REF!</definedName>
    <definedName name="FY5L">[41]INPUT!#REF!</definedName>
    <definedName name="FY5R">[41]INPUT!#REF!</definedName>
    <definedName name="FY6L">[41]INPUT!#REF!</definedName>
    <definedName name="FY6R">[41]INPUT!#REF!</definedName>
    <definedName name="FY7L">[41]INPUT!#REF!</definedName>
    <definedName name="FY7R">[41]INPUT!#REF!</definedName>
    <definedName name="FY8L">[41]INPUT!#REF!</definedName>
    <definedName name="FY8R">[41]INPUT!#REF!</definedName>
    <definedName name="FY9L">[41]INPUT!#REF!</definedName>
    <definedName name="FY9R">[41]INPUT!#REF!</definedName>
    <definedName name="FYY10L">[41]INPUT!#REF!</definedName>
    <definedName name="FYY10R">[41]INPUT!#REF!</definedName>
    <definedName name="FYY3L">[41]INPUT!#REF!</definedName>
    <definedName name="FYY3R">[41]INPUT!#REF!</definedName>
    <definedName name="FYY4L">[41]INPUT!#REF!</definedName>
    <definedName name="FYY4R">[41]INPUT!#REF!</definedName>
    <definedName name="FYY5L">[41]INPUT!#REF!</definedName>
    <definedName name="FYY5R">[41]INPUT!#REF!</definedName>
    <definedName name="FYY6L">[41]INPUT!#REF!</definedName>
    <definedName name="FYY6R">[41]INPUT!#REF!</definedName>
    <definedName name="FYY7L">[41]INPUT!#REF!</definedName>
    <definedName name="FYY7R">[41]INPUT!#REF!</definedName>
    <definedName name="FYY8L">[41]INPUT!#REF!</definedName>
    <definedName name="FYY8R">[41]INPUT!#REF!</definedName>
    <definedName name="FYY9L">[41]INPUT!#REF!</definedName>
    <definedName name="FYY9R">[41]INPUT!#REF!</definedName>
    <definedName name="F수축줄눈">'[81]type-F'!$AS$419</definedName>
    <definedName name="F스치로폴">'[81]type-F'!$AS$411</definedName>
    <definedName name="F실링재">'[81]type-F'!$AS$415</definedName>
    <definedName name="g">[75]부하계산서!#REF!</definedName>
    <definedName name="_27G_0Extr">#REF!</definedName>
    <definedName name="_28G_0Extract">#REF!</definedName>
    <definedName name="G10L">[37]INPUT!#REF!</definedName>
    <definedName name="G10R">[37]INPUT!#REF!</definedName>
    <definedName name="g1a2p">[48]INPUT!$L$26</definedName>
    <definedName name="G3L">[37]INPUT!#REF!</definedName>
    <definedName name="G3R">[37]INPUT!#REF!</definedName>
    <definedName name="G4L">[37]INPUT!#REF!</definedName>
    <definedName name="G4R">[37]INPUT!#REF!</definedName>
    <definedName name="G5L">[37]INPUT!#REF!</definedName>
    <definedName name="G5R">[37]INPUT!#REF!</definedName>
    <definedName name="G6L">[37]INPUT!#REF!</definedName>
    <definedName name="G6R">[37]INPUT!#REF!</definedName>
    <definedName name="G7L">[37]INPUT!#REF!</definedName>
    <definedName name="G7R">[37]INPUT!#REF!</definedName>
    <definedName name="G8L">[37]INPUT!#REF!</definedName>
    <definedName name="G8R">[37]INPUT!#REF!</definedName>
    <definedName name="G9L">[37]INPUT!#REF!</definedName>
    <definedName name="G9R">[37]INPUT!#REF!</definedName>
    <definedName name="GAB" localSheetId="1">#REF!</definedName>
    <definedName name="GAB">#REF!</definedName>
    <definedName name="gamma" localSheetId="1">#REF!</definedName>
    <definedName name="gamma">#REF!</definedName>
    <definedName name="gamma1">[73]안정검토!$J$7</definedName>
    <definedName name="gamma2">[73]안정검토!$J$9</definedName>
    <definedName name="GammaS1">[50]역T형!$M$69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rgas" hidden="1">{#N/A,#N/A,FALSE,"토공2"}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_29G__Extr">#REF!</definedName>
    <definedName name="_30G__Extract">#REF!</definedName>
    <definedName name="GF" localSheetId="1">#REF!</definedName>
    <definedName name="GF">#REF!</definedName>
    <definedName name="GFD">#REF!</definedName>
    <definedName name="GFDG" localSheetId="3">BlankMacro1</definedName>
    <definedName name="GFDG" localSheetId="1">BlankMacro1</definedName>
    <definedName name="GFDG">BlankMacro1</definedName>
    <definedName name="gfdghg" hidden="1">{#N/A,#N/A,FALSE,"토공2"}</definedName>
    <definedName name="gfdhrt" localSheetId="3">BlankMacro1</definedName>
    <definedName name="gfdhrt" localSheetId="1">BlankMacro1</definedName>
    <definedName name="gfdhrt">BlankMacro1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e" localSheetId="3">BlankMacro1</definedName>
    <definedName name="gfge" localSheetId="1">BlankMacro1</definedName>
    <definedName name="gfge">BlankMacro1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h" localSheetId="3">BlankMacro1</definedName>
    <definedName name="gfh" localSheetId="1">BlankMacro1</definedName>
    <definedName name="gfh">BlankMacro1</definedName>
    <definedName name="gfhgfh" localSheetId="3">BlankMacro1</definedName>
    <definedName name="gfhgfh" localSheetId="1">BlankMacro1</definedName>
    <definedName name="gfhgfh">BlankMacro1</definedName>
    <definedName name="gfhrthfgh" localSheetId="3">BlankMacro1</definedName>
    <definedName name="gfhrthfgh" localSheetId="1">BlankMacro1</definedName>
    <definedName name="gfhrthfgh">BlankMacro1</definedName>
    <definedName name="gg">#N/A</definedName>
    <definedName name="ggg">#REF!</definedName>
    <definedName name="GGGG">#REF!</definedName>
    <definedName name="ggh">#REF!</definedName>
    <definedName name="GH" localSheetId="1">#REF!</definedName>
    <definedName name="GH">#REF!</definedName>
    <definedName name="GH10L">[41]INPUT!#REF!</definedName>
    <definedName name="GH10R">[41]INPUT!#REF!</definedName>
    <definedName name="GH3L">[41]INPUT!#REF!</definedName>
    <definedName name="GH3R">[41]INPUT!#REF!</definedName>
    <definedName name="GH4L">[41]INPUT!#REF!</definedName>
    <definedName name="GH4R">[41]INPUT!#REF!</definedName>
    <definedName name="GH5L">[41]INPUT!#REF!</definedName>
    <definedName name="GH5R">[41]INPUT!#REF!</definedName>
    <definedName name="GH6L">[41]INPUT!#REF!</definedName>
    <definedName name="GH6R">[41]INPUT!#REF!</definedName>
    <definedName name="GH7L">[41]INPUT!#REF!</definedName>
    <definedName name="GH7R">[41]INPUT!#REF!</definedName>
    <definedName name="GH8L">[41]INPUT!#REF!</definedName>
    <definedName name="GH8R">[41]INPUT!#REF!</definedName>
    <definedName name="GH9L">[41]INPUT!#REF!</definedName>
    <definedName name="GH9R">[41]INPUT!#REF!</definedName>
    <definedName name="ghbnb" localSheetId="3">BlankMacro1</definedName>
    <definedName name="ghbnb" localSheetId="1">BlankMacro1</definedName>
    <definedName name="ghbnb">BlankMacro1</definedName>
    <definedName name="GHE" localSheetId="3">BlankMacro1</definedName>
    <definedName name="GHE" localSheetId="1">BlankMacro1</definedName>
    <definedName name="GHE">BlankMacro1</definedName>
    <definedName name="_GHH1" localSheetId="1">#REF!</definedName>
    <definedName name="____GHH1">#REF!</definedName>
    <definedName name="_GHH2" localSheetId="1">#REF!</definedName>
    <definedName name="____GHH2">#REF!</definedName>
    <definedName name="ghhdfh" localSheetId="3">BlankMacro1</definedName>
    <definedName name="ghhdfh" localSheetId="1">BlankMacro1</definedName>
    <definedName name="ghhdfh">BlankMacro1</definedName>
    <definedName name="ghjhjg" localSheetId="3">BlankMacro1</definedName>
    <definedName name="ghjhjg" localSheetId="1">BlankMacro1</definedName>
    <definedName name="ghjhjg">BlankMacro1</definedName>
    <definedName name="GHNRTDY" localSheetId="3">BlankMacro1</definedName>
    <definedName name="GHNRTDY" localSheetId="1">BlankMacro1</definedName>
    <definedName name="GHNRTDY">BlankMacro1</definedName>
    <definedName name="ghr" localSheetId="3">BlankMacro1</definedName>
    <definedName name="ghr" localSheetId="1">BlankMacro1</definedName>
    <definedName name="ghr">BlankMacro1</definedName>
    <definedName name="GKS">[84]현황산출서!#REF!</definedName>
    <definedName name="GKSKSK">[84]현황산출서!#REF!</definedName>
    <definedName name="GO목차">[85]Macro1!$E$1:$E$4</definedName>
    <definedName name="GQ">#REF!</definedName>
    <definedName name="GR" localSheetId="3">BlankMacro1</definedName>
    <definedName name="GR" localSheetId="1">BlankMacro1</definedName>
    <definedName name="GR">BlankMacro1</definedName>
    <definedName name="GuBae" localSheetId="1">#REF!</definedName>
    <definedName name="GuBae">#REF!</definedName>
    <definedName name="GuidText" localSheetId="1">#REF!</definedName>
    <definedName name="GuidText">#REF!</definedName>
    <definedName name="GUS" localSheetId="1" hidden="1">{#N/A,#N/A,FALSE,"현장 NCR 분석";#N/A,#N/A,FALSE,"현장품질감사";#N/A,#N/A,FALSE,"현장품질감사"}</definedName>
    <definedName name="GUS">{#N/A,#N/A,FALSE,"현장 NCR 분석";#N/A,#N/A,FALSE,"현장품질감사";#N/A,#N/A,FALSE,"현장품질감사"}</definedName>
    <definedName name="GY">#REF!</definedName>
    <definedName name="H">#REF!</definedName>
    <definedName name="H_W_설치기사" localSheetId="1">#REF!</definedName>
    <definedName name="H_W_설치기사">#REF!</definedName>
    <definedName name="H_W_시험기사" localSheetId="1">#REF!</definedName>
    <definedName name="H_W_시험기사">#REF!</definedName>
    <definedName name="h_water">'[87]3BL공동구 수량'!#REF!</definedName>
    <definedName name="H1.0m이하" localSheetId="1">#REF!</definedName>
    <definedName name="H1.0m이하">#REF!</definedName>
    <definedName name="H1.2m" localSheetId="1">#REF!</definedName>
    <definedName name="H1.2m">#REF!</definedName>
    <definedName name="H1.5m" localSheetId="1">#REF!</definedName>
    <definedName name="H1.5m">#REF!</definedName>
    <definedName name="H1.8m" localSheetId="1">#REF!</definedName>
    <definedName name="H1.8m">#REF!</definedName>
    <definedName name="H10A" localSheetId="1">#REF!</definedName>
    <definedName name="H10A">#REF!</definedName>
    <definedName name="h10a2p">[48]INPUT!$C$36</definedName>
    <definedName name="H10AAL">[41]INPUT!#REF!</definedName>
    <definedName name="H10AAR">[41]INPUT!#REF!</definedName>
    <definedName name="H10ABL">[41]INPUT!#REF!</definedName>
    <definedName name="H10ABR">[41]INPUT!#REF!</definedName>
    <definedName name="H10ACL">[41]INPUT!#REF!</definedName>
    <definedName name="H10ACR">[41]INPUT!#REF!</definedName>
    <definedName name="H10ADL">[41]INPUT!#REF!</definedName>
    <definedName name="H10ADR">[41]INPUT!#REF!</definedName>
    <definedName name="H10AEL">[41]INPUT!#REF!</definedName>
    <definedName name="H10AER">[41]INPUT!#REF!</definedName>
    <definedName name="H10AFL">[41]INPUT!#REF!</definedName>
    <definedName name="H10AFR">[41]INPUT!#REF!</definedName>
    <definedName name="H10AGL">[41]INPUT!#REF!</definedName>
    <definedName name="H10AGR">[41]INPUT!#REF!</definedName>
    <definedName name="H10BAL">[41]INPUT!#REF!</definedName>
    <definedName name="H10BAR">[41]INPUT!#REF!</definedName>
    <definedName name="H10BBL">[41]INPUT!#REF!</definedName>
    <definedName name="H10BBR">[41]INPUT!#REF!</definedName>
    <definedName name="H10CAL">[41]INPUT!#REF!</definedName>
    <definedName name="H10CAR">[41]INPUT!#REF!</definedName>
    <definedName name="H10CBL">[41]INPUT!#REF!</definedName>
    <definedName name="H10CBR">[41]INPUT!#REF!</definedName>
    <definedName name="H10CCL">[41]INPUT!#REF!</definedName>
    <definedName name="H10CCR">[41]INPUT!#REF!</definedName>
    <definedName name="H10D1L">[41]INPUT!#REF!</definedName>
    <definedName name="H10D1R">[41]INPUT!#REF!</definedName>
    <definedName name="H10D2L">[41]INPUT!#REF!</definedName>
    <definedName name="H10D2R">[41]INPUT!#REF!</definedName>
    <definedName name="H10D3L">[41]INPUT!#REF!</definedName>
    <definedName name="H10D3R">[41]INPUT!#REF!</definedName>
    <definedName name="H11A" localSheetId="1">#REF!</definedName>
    <definedName name="H11A">#REF!</definedName>
    <definedName name="H12A" localSheetId="1">#REF!</definedName>
    <definedName name="H12A">#REF!</definedName>
    <definedName name="H13A" localSheetId="1">#REF!</definedName>
    <definedName name="H13A">#REF!</definedName>
    <definedName name="H14A" localSheetId="1">#REF!</definedName>
    <definedName name="H14A">#REF!</definedName>
    <definedName name="H1A" localSheetId="1">#REF!</definedName>
    <definedName name="H1A">#REF!</definedName>
    <definedName name="h1a2p">[48]INPUT!$C$27</definedName>
    <definedName name="H1C" localSheetId="1">#REF!</definedName>
    <definedName name="H1C">#REF!</definedName>
    <definedName name="H1H">#REF!</definedName>
    <definedName name="H1L">#REF!</definedName>
    <definedName name="H1R">#REF!</definedName>
    <definedName name="H1WL">#REF!</definedName>
    <definedName name="H1WR">#REF!</definedName>
    <definedName name="H2.0m" localSheetId="1">#REF!</definedName>
    <definedName name="H2.0m">#REF!</definedName>
    <definedName name="H2.5m" localSheetId="1">#REF!</definedName>
    <definedName name="H2.5m">#REF!</definedName>
    <definedName name="H2A" localSheetId="1">#REF!</definedName>
    <definedName name="H2A">#REF!</definedName>
    <definedName name="h2a2p">[48]INPUT!$C$28</definedName>
    <definedName name="H2C" localSheetId="1">#REF!</definedName>
    <definedName name="H2C">#REF!</definedName>
    <definedName name="H2H">#REF!</definedName>
    <definedName name="H2L">#REF!</definedName>
    <definedName name="H2R">#REF!</definedName>
    <definedName name="H2WL">#REF!</definedName>
    <definedName name="H2WR">#REF!</definedName>
    <definedName name="H3.0m" localSheetId="1">#REF!</definedName>
    <definedName name="H3.0m">#REF!</definedName>
    <definedName name="H3.5m" localSheetId="1">#REF!</definedName>
    <definedName name="H3.5m">#REF!</definedName>
    <definedName name="H3A" localSheetId="1">#REF!</definedName>
    <definedName name="H3A">#REF!</definedName>
    <definedName name="H3AAL">[41]INPUT!#REF!</definedName>
    <definedName name="H3AAR">[41]INPUT!#REF!</definedName>
    <definedName name="H3ABL">[41]INPUT!#REF!</definedName>
    <definedName name="H3ABR">[41]INPUT!#REF!</definedName>
    <definedName name="H3ACL">[41]INPUT!#REF!</definedName>
    <definedName name="H3ACR">[41]INPUT!#REF!</definedName>
    <definedName name="H3ADL">[41]INPUT!#REF!</definedName>
    <definedName name="H3ADR">[41]INPUT!#REF!</definedName>
    <definedName name="H3AEL">[41]INPUT!#REF!</definedName>
    <definedName name="H3AER">[41]INPUT!#REF!</definedName>
    <definedName name="H3AFL">[41]INPUT!#REF!</definedName>
    <definedName name="H3AFR">[41]INPUT!#REF!</definedName>
    <definedName name="H3AGL">[41]INPUT!#REF!</definedName>
    <definedName name="H3AGR">[41]INPUT!#REF!</definedName>
    <definedName name="H3BAL">[41]INPUT!#REF!</definedName>
    <definedName name="H3BAR">[41]INPUT!#REF!</definedName>
    <definedName name="H3BBL">[41]INPUT!#REF!</definedName>
    <definedName name="H3BBR">[41]INPUT!#REF!</definedName>
    <definedName name="H3CAL">[41]INPUT!#REF!</definedName>
    <definedName name="H3CAR">[41]INPUT!#REF!</definedName>
    <definedName name="H3CBL">[41]INPUT!#REF!</definedName>
    <definedName name="H3CBR">[41]INPUT!#REF!</definedName>
    <definedName name="H3CCL">[41]INPUT!#REF!</definedName>
    <definedName name="H3CCR">[41]INPUT!#REF!</definedName>
    <definedName name="H3D1L">[41]INPUT!#REF!</definedName>
    <definedName name="H3D1R">[41]INPUT!#REF!</definedName>
    <definedName name="H3D2L">[41]INPUT!#REF!</definedName>
    <definedName name="H3D2R">[41]INPUT!#REF!</definedName>
    <definedName name="H3D3L">[41]INPUT!#REF!</definedName>
    <definedName name="H3D3R">[41]INPUT!#REF!</definedName>
    <definedName name="H3H">#REF!</definedName>
    <definedName name="H3L">#REF!</definedName>
    <definedName name="H3R">#REF!</definedName>
    <definedName name="H3WL">#REF!</definedName>
    <definedName name="H3WR">#REF!</definedName>
    <definedName name="H4.0m" localSheetId="1">#REF!</definedName>
    <definedName name="H4.0m">#REF!</definedName>
    <definedName name="H4.5m" localSheetId="1">#REF!</definedName>
    <definedName name="H4.5m">#REF!</definedName>
    <definedName name="H4A" localSheetId="1">#REF!</definedName>
    <definedName name="H4A">#REF!</definedName>
    <definedName name="h4a2p">[48]INPUT!$C$30</definedName>
    <definedName name="H4AAL">[41]INPUT!#REF!</definedName>
    <definedName name="H4AAR">[41]INPUT!#REF!</definedName>
    <definedName name="H4ABL">[41]INPUT!#REF!</definedName>
    <definedName name="H4ABR">[41]INPUT!#REF!</definedName>
    <definedName name="H4ACL">[41]INPUT!#REF!</definedName>
    <definedName name="H4ACR">[41]INPUT!#REF!</definedName>
    <definedName name="H4ADL">[41]INPUT!#REF!</definedName>
    <definedName name="H4ADR">[41]INPUT!#REF!</definedName>
    <definedName name="H4AEL">[41]INPUT!#REF!</definedName>
    <definedName name="H4AER">[41]INPUT!#REF!</definedName>
    <definedName name="H4AFL">[41]INPUT!#REF!</definedName>
    <definedName name="H4AFR">[41]INPUT!#REF!</definedName>
    <definedName name="H4AGL">[41]INPUT!#REF!</definedName>
    <definedName name="H4AGR">[41]INPUT!#REF!</definedName>
    <definedName name="H4BAL">[41]INPUT!#REF!</definedName>
    <definedName name="H4BAR">[41]INPUT!#REF!</definedName>
    <definedName name="H4BBL">[41]INPUT!#REF!</definedName>
    <definedName name="H4BBR">[41]INPUT!#REF!</definedName>
    <definedName name="H4CAL">[41]INPUT!#REF!</definedName>
    <definedName name="H4CAR">[41]INPUT!#REF!</definedName>
    <definedName name="H4CBL">[41]INPUT!#REF!</definedName>
    <definedName name="H4CBR">[41]INPUT!#REF!</definedName>
    <definedName name="H4CCL">[41]INPUT!#REF!</definedName>
    <definedName name="H4CCR">[41]INPUT!#REF!</definedName>
    <definedName name="H4D1L">[41]INPUT!#REF!</definedName>
    <definedName name="H4D1R">[41]INPUT!#REF!</definedName>
    <definedName name="H4D2L">[41]INPUT!#REF!</definedName>
    <definedName name="H4D2R">[41]INPUT!#REF!</definedName>
    <definedName name="H4D3L">[41]INPUT!#REF!</definedName>
    <definedName name="H4D3R">[41]INPUT!#REF!</definedName>
    <definedName name="H4H">#REF!</definedName>
    <definedName name="H4L">#REF!</definedName>
    <definedName name="H4R">#REF!</definedName>
    <definedName name="H5.0m" localSheetId="1">#REF!</definedName>
    <definedName name="H5.0m">#REF!</definedName>
    <definedName name="H5A" localSheetId="1">#REF!</definedName>
    <definedName name="H5A">#REF!</definedName>
    <definedName name="H5AAL">[41]INPUT!#REF!</definedName>
    <definedName name="H5AAR">[41]INPUT!#REF!</definedName>
    <definedName name="H5ABL">[41]INPUT!#REF!</definedName>
    <definedName name="H5ABR">[41]INPUT!#REF!</definedName>
    <definedName name="H5ACL">[41]INPUT!#REF!</definedName>
    <definedName name="H5ACR">[41]INPUT!#REF!</definedName>
    <definedName name="H5ADL">[41]INPUT!#REF!</definedName>
    <definedName name="H5ADR">[41]INPUT!#REF!</definedName>
    <definedName name="H5AEL">[41]INPUT!#REF!</definedName>
    <definedName name="H5AER">[41]INPUT!#REF!</definedName>
    <definedName name="H5AFL">[41]INPUT!#REF!</definedName>
    <definedName name="H5AFR">[41]INPUT!#REF!</definedName>
    <definedName name="H5AGL">[41]INPUT!#REF!</definedName>
    <definedName name="H5AGR">[41]INPUT!#REF!</definedName>
    <definedName name="H5BAL">[41]INPUT!#REF!</definedName>
    <definedName name="H5BAR">[41]INPUT!#REF!</definedName>
    <definedName name="H5BBL">[41]INPUT!#REF!</definedName>
    <definedName name="H5BBR">[41]INPUT!#REF!</definedName>
    <definedName name="H5CAL">[41]INPUT!#REF!</definedName>
    <definedName name="H5CAR">[41]INPUT!#REF!</definedName>
    <definedName name="H5CBL">[41]INPUT!#REF!</definedName>
    <definedName name="H5CBR">[41]INPUT!#REF!</definedName>
    <definedName name="H5CCL">[41]INPUT!#REF!</definedName>
    <definedName name="H5CCR">[41]INPUT!#REF!</definedName>
    <definedName name="H5D1L">[41]INPUT!#REF!</definedName>
    <definedName name="H5D1R">[41]INPUT!#REF!</definedName>
    <definedName name="H5D2L">[41]INPUT!#REF!</definedName>
    <definedName name="H5D2R">[41]INPUT!#REF!</definedName>
    <definedName name="H5D3L">[41]INPUT!#REF!</definedName>
    <definedName name="H5D3R">[41]INPUT!#REF!</definedName>
    <definedName name="H5L">#REF!</definedName>
    <definedName name="H5R">#REF!</definedName>
    <definedName name="H6A" localSheetId="1">#REF!</definedName>
    <definedName name="H6A">#REF!</definedName>
    <definedName name="H6AAL">[41]INPUT!#REF!</definedName>
    <definedName name="H6AAR">[41]INPUT!#REF!</definedName>
    <definedName name="H6ABL">[41]INPUT!#REF!</definedName>
    <definedName name="H6ABR">[41]INPUT!#REF!</definedName>
    <definedName name="H6ACL">[41]INPUT!#REF!</definedName>
    <definedName name="H6ACR">[41]INPUT!#REF!</definedName>
    <definedName name="H6ADL">[41]INPUT!#REF!</definedName>
    <definedName name="H6ADR">[41]INPUT!#REF!</definedName>
    <definedName name="H6AEL">[41]INPUT!#REF!</definedName>
    <definedName name="H6AER">[41]INPUT!#REF!</definedName>
    <definedName name="H6AFL">[41]INPUT!#REF!</definedName>
    <definedName name="H6AFR">[41]INPUT!#REF!</definedName>
    <definedName name="H6AGL">[41]INPUT!#REF!</definedName>
    <definedName name="H6AGR">[41]INPUT!#REF!</definedName>
    <definedName name="H6BAL">[41]INPUT!#REF!</definedName>
    <definedName name="H6BAR">[41]INPUT!#REF!</definedName>
    <definedName name="H6BBL">[41]INPUT!#REF!</definedName>
    <definedName name="H6BBR">[41]INPUT!#REF!</definedName>
    <definedName name="H6CAL">[41]INPUT!#REF!</definedName>
    <definedName name="H6CAR">[41]INPUT!#REF!</definedName>
    <definedName name="H6CBL">[41]INPUT!#REF!</definedName>
    <definedName name="H6CBR">[41]INPUT!#REF!</definedName>
    <definedName name="H6CCL">[41]INPUT!#REF!</definedName>
    <definedName name="H6CCR">[41]INPUT!#REF!</definedName>
    <definedName name="H6D1L">[41]INPUT!#REF!</definedName>
    <definedName name="H6D1R">[41]INPUT!#REF!</definedName>
    <definedName name="H6D2L">[41]INPUT!#REF!</definedName>
    <definedName name="H6D2R">[41]INPUT!#REF!</definedName>
    <definedName name="H6D3L">[41]INPUT!#REF!</definedName>
    <definedName name="H6D3R">[41]INPUT!#REF!</definedName>
    <definedName name="H6L">#REF!</definedName>
    <definedName name="H6R">#REF!</definedName>
    <definedName name="H7A" localSheetId="1">#REF!</definedName>
    <definedName name="H7A">#REF!</definedName>
    <definedName name="h7a2p">[48]INPUT!$C$33</definedName>
    <definedName name="H7AAL">[41]INPUT!#REF!</definedName>
    <definedName name="H7AAR">[41]INPUT!#REF!</definedName>
    <definedName name="H7ABL">[41]INPUT!#REF!</definedName>
    <definedName name="H7ABR">[41]INPUT!#REF!</definedName>
    <definedName name="H7ACL">[41]INPUT!#REF!</definedName>
    <definedName name="H7ACR">[41]INPUT!#REF!</definedName>
    <definedName name="H7ADL">[41]INPUT!#REF!</definedName>
    <definedName name="H7ADR">[41]INPUT!#REF!</definedName>
    <definedName name="H7AEL">[41]INPUT!#REF!</definedName>
    <definedName name="H7AER">[41]INPUT!#REF!</definedName>
    <definedName name="H7AFL">[41]INPUT!#REF!</definedName>
    <definedName name="H7AFR">[41]INPUT!#REF!</definedName>
    <definedName name="H7AGL">[41]INPUT!#REF!</definedName>
    <definedName name="H7AGR">[41]INPUT!#REF!</definedName>
    <definedName name="H7BAL">[41]INPUT!#REF!</definedName>
    <definedName name="H7BAR">[41]INPUT!#REF!</definedName>
    <definedName name="H7BBL">[41]INPUT!#REF!</definedName>
    <definedName name="H7BBR">[41]INPUT!#REF!</definedName>
    <definedName name="H7CAL">[41]INPUT!#REF!</definedName>
    <definedName name="H7CAR">[41]INPUT!#REF!</definedName>
    <definedName name="H7CBL">[41]INPUT!#REF!</definedName>
    <definedName name="H7CBR">[41]INPUT!#REF!</definedName>
    <definedName name="H7CCL">[41]INPUT!#REF!</definedName>
    <definedName name="H7CCR">[41]INPUT!#REF!</definedName>
    <definedName name="H7D1L">[41]INPUT!#REF!</definedName>
    <definedName name="H7D1R">[41]INPUT!#REF!</definedName>
    <definedName name="H7D2L">[41]INPUT!#REF!</definedName>
    <definedName name="H7D2R">[41]INPUT!#REF!</definedName>
    <definedName name="H7D3L">[41]INPUT!#REF!</definedName>
    <definedName name="H7D3R">[41]INPUT!#REF!</definedName>
    <definedName name="H7L">#REF!</definedName>
    <definedName name="H7R">#REF!</definedName>
    <definedName name="H8A" localSheetId="1">#REF!</definedName>
    <definedName name="H8A">#REF!</definedName>
    <definedName name="H8AAL">[41]INPUT!#REF!</definedName>
    <definedName name="H8AAR">[41]INPUT!#REF!</definedName>
    <definedName name="H8ABL">[41]INPUT!#REF!</definedName>
    <definedName name="H8ABR">[41]INPUT!#REF!</definedName>
    <definedName name="H8ACL">[41]INPUT!#REF!</definedName>
    <definedName name="H8ACR">[41]INPUT!#REF!</definedName>
    <definedName name="H8ADL">[41]INPUT!#REF!</definedName>
    <definedName name="H8ADR">[41]INPUT!#REF!</definedName>
    <definedName name="H8AEL">[41]INPUT!#REF!</definedName>
    <definedName name="H8AER">[41]INPUT!#REF!</definedName>
    <definedName name="H8AFL">[41]INPUT!#REF!</definedName>
    <definedName name="H8AFR">[41]INPUT!#REF!</definedName>
    <definedName name="H8AGL">[41]INPUT!#REF!</definedName>
    <definedName name="H8AGR">[41]INPUT!#REF!</definedName>
    <definedName name="H8BAL">[41]INPUT!#REF!</definedName>
    <definedName name="H8BAR">[41]INPUT!#REF!</definedName>
    <definedName name="H8BBL">[41]INPUT!#REF!</definedName>
    <definedName name="H8BBR">[41]INPUT!#REF!</definedName>
    <definedName name="H8CAL">[41]INPUT!#REF!</definedName>
    <definedName name="H8CAR">[41]INPUT!#REF!</definedName>
    <definedName name="H8CBL">[41]INPUT!#REF!</definedName>
    <definedName name="H8CBR">[41]INPUT!#REF!</definedName>
    <definedName name="H8CCL">[41]INPUT!#REF!</definedName>
    <definedName name="H8CCR">[41]INPUT!#REF!</definedName>
    <definedName name="H8D1L">[41]INPUT!#REF!</definedName>
    <definedName name="H8D1R">[41]INPUT!#REF!</definedName>
    <definedName name="H8D2L">[41]INPUT!#REF!</definedName>
    <definedName name="H8D2R">[41]INPUT!#REF!</definedName>
    <definedName name="H8D3L">[41]INPUT!#REF!</definedName>
    <definedName name="H8D3R">[41]INPUT!#REF!</definedName>
    <definedName name="H9A">#REF!</definedName>
    <definedName name="H9AAL">[41]INPUT!#REF!</definedName>
    <definedName name="H9AAR">[41]INPUT!#REF!</definedName>
    <definedName name="H9ABL">[41]INPUT!#REF!</definedName>
    <definedName name="H9ABR">[41]INPUT!#REF!</definedName>
    <definedName name="H9ACL">[41]INPUT!#REF!</definedName>
    <definedName name="H9ACR">[41]INPUT!#REF!</definedName>
    <definedName name="H9ADL">[41]INPUT!#REF!</definedName>
    <definedName name="H9ADR">[41]INPUT!#REF!</definedName>
    <definedName name="H9AEL">[41]INPUT!#REF!</definedName>
    <definedName name="H9AER">[41]INPUT!#REF!</definedName>
    <definedName name="H9AFL">[41]INPUT!#REF!</definedName>
    <definedName name="H9AFR">[41]INPUT!#REF!</definedName>
    <definedName name="H9AGL">[41]INPUT!#REF!</definedName>
    <definedName name="H9AGR">[41]INPUT!#REF!</definedName>
    <definedName name="H9BAL">[41]INPUT!#REF!</definedName>
    <definedName name="H9BAR">[41]INPUT!#REF!</definedName>
    <definedName name="H9BBL">[41]INPUT!#REF!</definedName>
    <definedName name="H9BBR">[41]INPUT!#REF!</definedName>
    <definedName name="H9CAL">[41]INPUT!#REF!</definedName>
    <definedName name="H9CAR">[41]INPUT!#REF!</definedName>
    <definedName name="H9CBL">[41]INPUT!#REF!</definedName>
    <definedName name="H9CBR">[41]INPUT!#REF!</definedName>
    <definedName name="H9CCL">[41]INPUT!#REF!</definedName>
    <definedName name="H9CCR">[41]INPUT!#REF!</definedName>
    <definedName name="H9D1L">[41]INPUT!#REF!</definedName>
    <definedName name="H9D1R">[41]INPUT!#REF!</definedName>
    <definedName name="H9D2L">[41]INPUT!#REF!</definedName>
    <definedName name="H9D2R">[41]INPUT!#REF!</definedName>
    <definedName name="H9D3L">[41]INPUT!#REF!</definedName>
    <definedName name="H9D3R">[41]INPUT!#REF!</definedName>
    <definedName name="ha">#REF!</definedName>
    <definedName name="HA10L">[41]INPUT!#REF!</definedName>
    <definedName name="HA10R">[41]INPUT!#REF!</definedName>
    <definedName name="HA3L">[41]INPUT!#REF!</definedName>
    <definedName name="HA3R">[41]INPUT!#REF!</definedName>
    <definedName name="HA4L">[41]INPUT!#REF!</definedName>
    <definedName name="HA4R">[41]INPUT!#REF!</definedName>
    <definedName name="HA5L">[41]INPUT!#REF!</definedName>
    <definedName name="HA5R">[41]INPUT!#REF!</definedName>
    <definedName name="HA6L">[41]INPUT!#REF!</definedName>
    <definedName name="HA6R">[41]INPUT!#REF!</definedName>
    <definedName name="HA7L">[41]INPUT!#REF!</definedName>
    <definedName name="HA7R">[41]INPUT!#REF!</definedName>
    <definedName name="HA8L">[41]INPUT!#REF!</definedName>
    <definedName name="HA8R">[41]INPUT!#REF!</definedName>
    <definedName name="HA9L">[41]INPUT!#REF!</definedName>
    <definedName name="HA9R">[41]INPUT!#REF!</definedName>
    <definedName name="hang">[54]통합!#REF!</definedName>
    <definedName name="hb" localSheetId="1">#REF!</definedName>
    <definedName name="hb">#REF!</definedName>
    <definedName name="hc">[73]안정검토!$R$83</definedName>
    <definedName name="hd">[73]안정검토!$U$83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RR" localSheetId="3">BlankMacro1</definedName>
    <definedName name="HDRR" localSheetId="1">BlankMacro1</definedName>
    <definedName name="HDRR">BlankMacro1</definedName>
    <definedName name="he" localSheetId="1">#REF!</definedName>
    <definedName name="he">#REF!</definedName>
    <definedName name="heo">[45]반중력식옹벽!#REF!</definedName>
    <definedName name="herdsf" localSheetId="3">BlankMacro1</definedName>
    <definedName name="herdsf" localSheetId="1">BlankMacro1</definedName>
    <definedName name="herdsf">BlankMacro1</definedName>
    <definedName name="HF" localSheetId="1">#REF!</definedName>
    <definedName name="HF">#REF!</definedName>
    <definedName name="HG">[40]내역서!#REF!</definedName>
    <definedName name="HGF" localSheetId="3">BlankMacro1</definedName>
    <definedName name="HGF" localSheetId="1">BlankMacro1</definedName>
    <definedName name="HGF">BlankMacro1</definedName>
    <definedName name="hgg">[54]통합!#REF!</definedName>
    <definedName name="HGH" localSheetId="1">#REF!</definedName>
    <definedName name="HGH">#REF!</definedName>
    <definedName name="HH" localSheetId="1">[88]정부노임단가!$A$5:$F$215</definedName>
    <definedName name="HH">#REF!</definedName>
    <definedName name="HH10L">[41]INPUT!#REF!</definedName>
    <definedName name="HH10R">[41]INPUT!#REF!</definedName>
    <definedName name="HH3L">[41]INPUT!#REF!</definedName>
    <definedName name="HH3R">[41]INPUT!#REF!</definedName>
    <definedName name="HH4L">[41]INPUT!#REF!</definedName>
    <definedName name="HH4R">[41]INPUT!#REF!</definedName>
    <definedName name="HH5L">[41]INPUT!#REF!</definedName>
    <definedName name="HH5R">[41]INPUT!#REF!</definedName>
    <definedName name="HH6L">[41]INPUT!#REF!</definedName>
    <definedName name="HH6R">[41]INPUT!#REF!</definedName>
    <definedName name="HH7L">[41]INPUT!#REF!</definedName>
    <definedName name="HH7R">[41]INPUT!#REF!</definedName>
    <definedName name="HH8L">[41]INPUT!#REF!</definedName>
    <definedName name="HH8R">[41]INPUT!#REF!</definedName>
    <definedName name="HH9L">[41]INPUT!#REF!</definedName>
    <definedName name="HH9R">[41]INPUT!#REF!</definedName>
    <definedName name="hha" localSheetId="1">#REF!</definedName>
    <definedName name="hha">#REF!</definedName>
    <definedName name="hhb" localSheetId="1">#REF!</definedName>
    <definedName name="hhb">#REF!</definedName>
    <definedName name="hhc" localSheetId="1">#REF!</definedName>
    <definedName name="hhc">#REF!</definedName>
    <definedName name="HHH">#REF!</definedName>
    <definedName name="hhhh">[51]안정검토!$R$92</definedName>
    <definedName name="hhhhh">[51]안정검토!$U$92</definedName>
    <definedName name="hi">[54]통합!#REF!</definedName>
    <definedName name="hidden">[89]TABLE!$H$1,[89]TABLE!$J$1,[89]TABLE!$K$1</definedName>
    <definedName name="hj">[75]부하계산서!#REF!</definedName>
    <definedName name="HJHG" localSheetId="3">BlankMacro1</definedName>
    <definedName name="HJHG" localSheetId="1">BlankMacro1</definedName>
    <definedName name="HJHG">BlankMacro1</definedName>
    <definedName name="hjk">'[90]부하(성남)'!#REF!</definedName>
    <definedName name="hk">[54]통합!#REF!</definedName>
    <definedName name="HL">#REF!</definedName>
    <definedName name="HLB" localSheetId="1">#REF!</definedName>
    <definedName name="HLB">#REF!</definedName>
    <definedName name="HMAX" localSheetId="1">#REF!</definedName>
    <definedName name="HMAX">#REF!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nk">[75]부하계산서!#REF!</definedName>
    <definedName name="HP" localSheetId="1">#REF!</definedName>
    <definedName name="HP">#REF!</definedName>
    <definedName name="hpa">'[14]H-pile(298x299)'!#REF!</definedName>
    <definedName name="hpb">'[14]H-pile(298x299)'!#REF!</definedName>
    <definedName name="hpc">'[14]H-pile(298x299)'!#REF!</definedName>
    <definedName name="hpd">'[14]H-pile(298x299)'!#REF!</definedName>
    <definedName name="Hpile">'[14]H-pile(250x250)'!#REF!</definedName>
    <definedName name="HR">#REF!</definedName>
    <definedName name="hrthruhrushgsbvb" hidden="1">{#N/A,#N/A,FALSE,"배수1"}</definedName>
    <definedName name="HRTT" localSheetId="3">BlankMacro1</definedName>
    <definedName name="HRTT" localSheetId="1">BlankMacro1</definedName>
    <definedName name="HRTT">BlankMacro1</definedName>
    <definedName name="HS">#REF!</definedName>
    <definedName name="HSH">#REF!</definedName>
    <definedName name="____HSH1">#REF!</definedName>
    <definedName name="____HSH2">#REF!</definedName>
    <definedName name="HSUM10L">[41]INPUT!#REF!</definedName>
    <definedName name="HSUM10R">[41]INPUT!#REF!</definedName>
    <definedName name="HSUM3L">[41]INPUT!#REF!</definedName>
    <definedName name="HSUM3R">[41]INPUT!#REF!</definedName>
    <definedName name="HSUM4L">[41]INPUT!#REF!</definedName>
    <definedName name="HSUM4R">[41]INPUT!#REF!</definedName>
    <definedName name="HSUM5L">[41]INPUT!#REF!</definedName>
    <definedName name="HSUM5R">[41]INPUT!#REF!</definedName>
    <definedName name="HSUM6L">[41]INPUT!#REF!</definedName>
    <definedName name="HSUM6R">[41]INPUT!#REF!</definedName>
    <definedName name="HSUM7L">[41]INPUT!#REF!</definedName>
    <definedName name="HSUM7R">[41]INPUT!#REF!</definedName>
    <definedName name="HSUM8L">[41]INPUT!#REF!</definedName>
    <definedName name="HSUM8R">[41]INPUT!#REF!</definedName>
    <definedName name="HSUM9L">[41]INPUT!#REF!</definedName>
    <definedName name="HSUM9R">[41]INPUT!#REF!</definedName>
    <definedName name="ht">'[14]H-pile(298x299)'!#REF!</definedName>
    <definedName name="HTA" localSheetId="1">#REF!</definedName>
    <definedName name="HTA">#REF!</definedName>
    <definedName name="HTB" localSheetId="1">#REF!</definedName>
    <definedName name="HTB">#REF!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unch" localSheetId="1">#REF!</definedName>
    <definedName name="hunch">#REF!</definedName>
    <definedName name="huncw" localSheetId="1">#REF!</definedName>
    <definedName name="huncw">#REF!</definedName>
    <definedName name="hunph" localSheetId="1">#REF!</definedName>
    <definedName name="hunph">#REF!</definedName>
    <definedName name="hunpw" localSheetId="1">#REF!</definedName>
    <definedName name="hunpw">#REF!</definedName>
    <definedName name="HWL">#REF!</definedName>
    <definedName name="HWR">#REF!</definedName>
    <definedName name="HX10L">[41]INPUT!#REF!</definedName>
    <definedName name="HX10R">[41]INPUT!#REF!</definedName>
    <definedName name="HX3L">[41]INPUT!#REF!</definedName>
    <definedName name="HX3R">[41]INPUT!#REF!</definedName>
    <definedName name="HX4L">[41]INPUT!#REF!</definedName>
    <definedName name="HX4R">[41]INPUT!#REF!</definedName>
    <definedName name="HX5L">[41]INPUT!#REF!</definedName>
    <definedName name="HX5R">[41]INPUT!#REF!</definedName>
    <definedName name="HX6L">[41]INPUT!#REF!</definedName>
    <definedName name="HX6R">[41]INPUT!#REF!</definedName>
    <definedName name="HX7L">[41]INPUT!#REF!</definedName>
    <definedName name="HX7R">[41]INPUT!#REF!</definedName>
    <definedName name="HX8L">[41]INPUT!#REF!</definedName>
    <definedName name="HX8R">[41]INPUT!#REF!</definedName>
    <definedName name="HX9L">[41]INPUT!#REF!</definedName>
    <definedName name="HX9R">[41]INPUT!#REF!</definedName>
    <definedName name="H간격" localSheetId="1">#REF!</definedName>
    <definedName name="H간격">#REF!</definedName>
    <definedName name="H단면2차모멘트" localSheetId="1">#REF!</definedName>
    <definedName name="H단면2차모멘트">#REF!</definedName>
    <definedName name="H단면계수" localSheetId="1">#REF!</definedName>
    <definedName name="H단면계수">#REF!</definedName>
    <definedName name="H단면적" localSheetId="1">#REF!</definedName>
    <definedName name="H단면적">#REF!</definedName>
    <definedName name="H모멘트" localSheetId="1">#REF!</definedName>
    <definedName name="H모멘트">#REF!</definedName>
    <definedName name="H전단력" localSheetId="1">#REF!</definedName>
    <definedName name="H전단력">#REF!</definedName>
    <definedName name="H전단면적" localSheetId="1">#REF!</definedName>
    <definedName name="H전단면적">#REF!</definedName>
    <definedName name="H지간" localSheetId="1">#REF!</definedName>
    <definedName name="H지간">#REF!</definedName>
    <definedName name="H폭" localSheetId="1">#REF!</definedName>
    <definedName name="H폭">#REF!</definedName>
    <definedName name="i">[75]부하계산서!#REF!</definedName>
    <definedName name="iaj" localSheetId="1">#REF!</definedName>
    <definedName name="iaj">#REF!</definedName>
    <definedName name="IB">#REF!</definedName>
    <definedName name="IB_2">'[35]IMPEADENCE MAP 취수장'!#REF!</definedName>
    <definedName name="ID">'[62]Y-WORK'!$I$268:$I$417,'[62]Y-WORK'!$I$427:$I$450</definedName>
    <definedName name="Ig" localSheetId="1">#REF!</definedName>
    <definedName name="Ig">#REF!</definedName>
    <definedName name="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K">#REF!</definedName>
    <definedName name="IKJ" localSheetId="3">BlankMacro1</definedName>
    <definedName name="IKJ" localSheetId="1">BlankMacro1</definedName>
    <definedName name="IKJ">BlankMacro1</definedName>
    <definedName name="IKL" localSheetId="3">BlankMacro1</definedName>
    <definedName name="IKL" localSheetId="1">BlankMacro1</definedName>
    <definedName name="IKL">BlankMacro1</definedName>
    <definedName name="IL" localSheetId="1">#REF!</definedName>
    <definedName name="IL">#REF!</definedName>
    <definedName name="ilch">[92]ilch!$A$3:$M$25</definedName>
    <definedName name="ilchu" localSheetId="1">#REF!</definedName>
    <definedName name="ilchu">#REF!</definedName>
    <definedName name="ILK" localSheetId="3">BlankMacro1</definedName>
    <definedName name="ILK" localSheetId="1">BlankMacro1</definedName>
    <definedName name="ILK">BlankMacro1</definedName>
    <definedName name="ILP80적">[93]단가!$A$36</definedName>
    <definedName name="ILP80회">[93]단가!$A$35</definedName>
    <definedName name="ILP적">[93]단가!$A$34</definedName>
    <definedName name="ILP회">[93]단가!$A$33</definedName>
    <definedName name="INTPUT" localSheetId="1">#REF!</definedName>
    <definedName name="INTPUT">#REF!</definedName>
    <definedName name="INTPUTDATA" localSheetId="1">#REF!</definedName>
    <definedName name="INTPUTDATA">#REF!</definedName>
    <definedName name="io">#REF!</definedName>
    <definedName name="IPOI" localSheetId="3">BlankMacro1</definedName>
    <definedName name="IPOI" localSheetId="1">BlankMacro1</definedName>
    <definedName name="IPOI">BlankMacro1</definedName>
    <definedName name="ir_d3" localSheetId="1">#REF!</definedName>
    <definedName name="ir_d3">#REF!</definedName>
    <definedName name="ITEM">[94]ITEM!#REF!</definedName>
    <definedName name="IU" localSheetId="3">BlankMacro1</definedName>
    <definedName name="IU" localSheetId="1">BlankMacro1</definedName>
    <definedName name="IU">BlankMacro1</definedName>
    <definedName name="IUOUIP" localSheetId="3">BlankMacro1</definedName>
    <definedName name="IUOUIP" localSheetId="1">BlankMacro1</definedName>
    <definedName name="IUOUIP">BlankMacro1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yr">#REF!</definedName>
    <definedName name="J">'[90]부하(성남)'!#REF!</definedName>
    <definedName name="J_S_P_용__믹서">[95]장비집계!#REF!</definedName>
    <definedName name="J10L1">[84]현황산출서!#REF!</definedName>
    <definedName name="J10L2">[84]현황산출서!#REF!</definedName>
    <definedName name="J11L1">[84]현황산출서!#REF!</definedName>
    <definedName name="J11L2">[84]현황산출서!#REF!</definedName>
    <definedName name="J12L1">[84]현황산출서!#REF!</definedName>
    <definedName name="J12L2">[84]현황산출서!#REF!</definedName>
    <definedName name="J13L1">[84]현황산출서!#REF!</definedName>
    <definedName name="J13L2">[84]현황산출서!#REF!</definedName>
    <definedName name="J14L1">[84]현황산출서!#REF!</definedName>
    <definedName name="J14L2">[84]현황산출서!#REF!</definedName>
    <definedName name="J15L1">[84]현황산출서!#REF!</definedName>
    <definedName name="J15L2">[84]현황산출서!#REF!</definedName>
    <definedName name="J16L1">[84]현황산출서!#REF!</definedName>
    <definedName name="J16L2">[84]현황산출서!#REF!</definedName>
    <definedName name="J17L1">[84]현황산출서!#REF!</definedName>
    <definedName name="J17L2">[84]현황산출서!#REF!</definedName>
    <definedName name="J18L1">[84]현황산출서!#REF!</definedName>
    <definedName name="J18L2">[84]현황산출서!#REF!</definedName>
    <definedName name="J19L1">[84]현황산출서!#REF!</definedName>
    <definedName name="J19L2">[84]현황산출서!#REF!</definedName>
    <definedName name="J20L1">[84]현황산출서!#REF!</definedName>
    <definedName name="J20L2">[84]현황산출서!#REF!</definedName>
    <definedName name="J21L1">[84]현황산출서!#REF!</definedName>
    <definedName name="J21L2">[84]현황산출서!#REF!</definedName>
    <definedName name="J22L1">[84]현황산출서!#REF!</definedName>
    <definedName name="J22L2">[84]현황산출서!#REF!</definedName>
    <definedName name="J23L1">[84]현황산출서!#REF!</definedName>
    <definedName name="J23L2">[84]현황산출서!#REF!</definedName>
    <definedName name="J24L1">[84]현황산출서!#REF!</definedName>
    <definedName name="J24L2">[84]현황산출서!#REF!</definedName>
    <definedName name="J8L1">[84]현황산출서!#REF!</definedName>
    <definedName name="J8L2">[84]현황산출서!#REF!</definedName>
    <definedName name="J9L1">[84]현황산출서!#REF!</definedName>
    <definedName name="J9L2">[84]현황산출서!#REF!</definedName>
    <definedName name="jang">[54]통합!#REF!</definedName>
    <definedName name="je">[54]통합!#REF!</definedName>
    <definedName name="_JEA1" localSheetId="1">#REF!</definedName>
    <definedName name="____JEA1">#REF!</definedName>
    <definedName name="_JEA2" localSheetId="1">#REF!</definedName>
    <definedName name="____JEA2">#REF!</definedName>
    <definedName name="jgytj" localSheetId="3">BlankMacro1</definedName>
    <definedName name="jgytj" localSheetId="1">BlankMacro1</definedName>
    <definedName name="jgytj">BlankMacro1</definedName>
    <definedName name="JH">[96]정부노임단가!$A$5:$F$215</definedName>
    <definedName name="__JH10">[84]현황산출서!#REF!</definedName>
    <definedName name="__JH11">[84]현황산출서!#REF!</definedName>
    <definedName name="__JH12">[84]현황산출서!#REF!</definedName>
    <definedName name="__JH13">[84]현황산출서!#REF!</definedName>
    <definedName name="__JH14">[84]현황산출서!#REF!</definedName>
    <definedName name="__JH15">[84]현황산출서!#REF!</definedName>
    <definedName name="__JH16">[84]현황산출서!#REF!</definedName>
    <definedName name="__JH17">[84]현황산출서!#REF!</definedName>
    <definedName name="__JH18">[84]현황산출서!#REF!</definedName>
    <definedName name="__JH19">[84]현황산출서!#REF!</definedName>
    <definedName name="__JH20">[84]현황산출서!#REF!</definedName>
    <definedName name="__jh8">[84]현황산출서!#REF!</definedName>
    <definedName name="__JH9">[84]현황산출서!#REF!</definedName>
    <definedName name="jhg">[75]부하계산서!#REF!</definedName>
    <definedName name="JJ">[97]정부노임단가!$A$5:$F$215</definedName>
    <definedName name="JK" localSheetId="1" hidden="1">{#N/A,#N/A,FALSE,"현장 NCR 분석";#N/A,#N/A,FALSE,"현장품질감사";#N/A,#N/A,FALSE,"현장품질감사"}</definedName>
    <definedName name="JK">{#N/A,#N/A,FALSE,"현장 NCR 분석";#N/A,#N/A,FALSE,"현장품질감사";#N/A,#N/A,FALSE,"현장품질감사"}</definedName>
    <definedName name="__JK7">[84]현황산출서!#REF!</definedName>
    <definedName name="__JK8">[84]현황산출서!#REF!</definedName>
    <definedName name="jkl">#REF!</definedName>
    <definedName name="__JL1">[84]현황산출서!#REF!</definedName>
    <definedName name="__JL2">[84]현황산출서!#REF!</definedName>
    <definedName name="_JOI13" localSheetId="1">#REF!</definedName>
    <definedName name="____JOI13">#REF!</definedName>
    <definedName name="jrygf" localSheetId="3">BlankMacro1</definedName>
    <definedName name="jrygf" localSheetId="1">BlankMacro1</definedName>
    <definedName name="jrygf">BlankMacro1</definedName>
    <definedName name="JUI" localSheetId="3">BlankMacro1</definedName>
    <definedName name="JUI" localSheetId="1">BlankMacro1</definedName>
    <definedName name="JUI">BlankMacro1</definedName>
    <definedName name="junm">[54]통합!#REF!</definedName>
    <definedName name="junp">[54]통합!#REF!</definedName>
    <definedName name="juyi" hidden="1">{#N/A,#N/A,FALSE,"토공2"}</definedName>
    <definedName name="JY" localSheetId="3">BlankMacro1</definedName>
    <definedName name="JY" localSheetId="1">BlankMacro1</definedName>
    <definedName name="JY">BlankMacro1</definedName>
    <definedName name="____JY1" localSheetId="3">BlankMacro1</definedName>
    <definedName name="_JY1" localSheetId="1">BlankMacro1</definedName>
    <definedName name="____JY1">BlankMacro1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tj" hidden="1">{#N/A,#N/A,FALSE,"부대1"}</definedName>
    <definedName name="K">'[98]#REF'!#REF!</definedName>
    <definedName name="KA">'[99]조도계산서 (도서)'!$B$61:$E$68</definedName>
    <definedName name="kaa">'[14]H-pile(298x299)'!#REF!</definedName>
    <definedName name="KANG1" localSheetId="1">#REF!</definedName>
    <definedName name="KANG1">#REF!</definedName>
    <definedName name="KANG2" localSheetId="1">#REF!</definedName>
    <definedName name="KANG2">#REF!</definedName>
    <definedName name="KBS" hidden="1">#REF!</definedName>
    <definedName name="keh">[45]반중력식옹벽!#REF!</definedName>
    <definedName name="kev">[45]반중력식옹벽!#REF!</definedName>
    <definedName name="keyb">#REF!</definedName>
    <definedName name="keyh">#REF!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our" localSheetId="1">#REF!</definedName>
    <definedName name="kFour">#REF!</definedName>
    <definedName name="KH">[100]설계조건!$R$180</definedName>
    <definedName name="KI" localSheetId="3">BlankMacro1</definedName>
    <definedName name="KI" localSheetId="1">BlankMacro1</definedName>
    <definedName name="KI">BlankMacro1</definedName>
    <definedName name="Kiho">[50]역T형!#REF!</definedName>
    <definedName name="KIM">#REF!</definedName>
    <definedName name="KIU" localSheetId="3">BlankMacro1</definedName>
    <definedName name="KIU" localSheetId="1">BlankMacro1</definedName>
    <definedName name="KIU">BlankMacro1</definedName>
    <definedName name="kj">[101]내역서!#REF!</definedName>
    <definedName name="KJA" localSheetId="1">#REF!</definedName>
    <definedName name="KJA">#REF!</definedName>
    <definedName name="kjavopi" localSheetId="1">#REF!</definedName>
    <definedName name="kjavopi">#REF!</definedName>
    <definedName name="KJDA" localSheetId="1">#REF!</definedName>
    <definedName name="KJDA">#REF!</definedName>
    <definedName name="kjdvf" localSheetId="1">#REF!</definedName>
    <definedName name="kjdvf">#REF!</definedName>
    <definedName name="KJHGHGGTG" localSheetId="1">#REF!</definedName>
    <definedName name="KJHGHGGTG">#REF!</definedName>
    <definedName name="KK" localSheetId="1">[96]정부노임단가!$A$5:$F$215</definedName>
    <definedName name="kk">[89]TABLE!$H$1,[89]TABLE!$J$1,[89]TABLE!$K$1,[89]TABLE!$M$1,[89]TABLE!$L$1</definedName>
    <definedName name="_KK1" localSheetId="1">#REF!</definedName>
    <definedName name="____KK1">#REF!</definedName>
    <definedName name="kkk" localSheetId="1">#REF!</definedName>
    <definedName name="kkk">#REF!</definedName>
    <definedName name="kkn" localSheetId="1">#REF!</definedName>
    <definedName name="kkn">#REF!</definedName>
    <definedName name="KKP" localSheetId="1">#REF!</definedName>
    <definedName name="KKP">#REF!</definedName>
    <definedName name="klkjl" localSheetId="3">BlankMacro1</definedName>
    <definedName name="klkjl" localSheetId="1">BlankMacro1</definedName>
    <definedName name="klkjl">BlankMacro1</definedName>
    <definedName name="_kM1" localSheetId="1">#REF!</definedName>
    <definedName name="____kM1">#REF!</definedName>
    <definedName name="_kM2" localSheetId="1">#REF!</definedName>
    <definedName name="____kM2">#REF!</definedName>
    <definedName name="_kM3" localSheetId="1">#REF!</definedName>
    <definedName name="____kM3">#REF!</definedName>
    <definedName name="KMP" localSheetId="1">#REF!</definedName>
    <definedName name="KMP">#REF!</definedName>
    <definedName name="Ko" localSheetId="1">#REF!</definedName>
    <definedName name="Ko">#REF!</definedName>
    <definedName name="kpi">'[102]안정검토(온1)'!#REF!</definedName>
    <definedName name="KSD" localSheetId="1">#REF!</definedName>
    <definedName name="KSD">#REF!</definedName>
    <definedName name="ktf" localSheetId="1" hidden="1">#REF!</definedName>
    <definedName name="ktf">#REF!</definedName>
    <definedName name="kty" localSheetId="1" hidden="1">#REF!</definedName>
    <definedName name="kty">#REF!</definedName>
    <definedName name="KU" localSheetId="3">BlankMacro1</definedName>
    <definedName name="KU" localSheetId="1">BlankMacro1</definedName>
    <definedName name="KU">BlankMacro1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P" localSheetId="1">#REF!</definedName>
    <definedName name="KUP">#REF!</definedName>
    <definedName name="L">#REF!</definedName>
    <definedName name="l1a2p">[48]INPUT!$F$27</definedName>
    <definedName name="L1L">#REF!</definedName>
    <definedName name="L2L">#REF!</definedName>
    <definedName name="L2L1">[84]현황산출서!#REF!</definedName>
    <definedName name="L3L">#REF!</definedName>
    <definedName name="L4L">#REF!</definedName>
    <definedName name="L5L" localSheetId="1">#REF!</definedName>
    <definedName name="L5L">#REF!</definedName>
    <definedName name="L6L" localSheetId="1">#REF!</definedName>
    <definedName name="L6L">#REF!</definedName>
    <definedName name="LA">#REF!</definedName>
    <definedName name="la2p">[48]INPUT!$F$26</definedName>
    <definedName name="Laa">#REF!</definedName>
    <definedName name="__LAB5">[84]현황산출서!#REF!</definedName>
    <definedName name="labor">#REF!</definedName>
    <definedName name="lambda" localSheetId="1">#REF!</definedName>
    <definedName name="lambda">#REF!</definedName>
    <definedName name="LAN">[84]현황산출서!#REF!</definedName>
    <definedName name="LAS" localSheetId="1">#REF!</definedName>
    <definedName name="LAS">#REF!</definedName>
    <definedName name="lb">[54]통합!#REF!</definedName>
    <definedName name="Lc" localSheetId="1">#REF!</definedName>
    <definedName name="Lc">#REF!</definedName>
    <definedName name="LE" localSheetId="1">#REF!</definedName>
    <definedName name="LE">#REF!</definedName>
    <definedName name="len">#REF!</definedName>
    <definedName name="LfpCon" localSheetId="1">#REF!</definedName>
    <definedName name="LfpCon">#REF!</definedName>
    <definedName name="__LG15">[18]노임단가!$D$12</definedName>
    <definedName name="__LG17">[18]노임단가!$D$30</definedName>
    <definedName name="__LG18">[18]노임단가!$D$89</definedName>
    <definedName name="__LG21">[18]노임단가!$D$8</definedName>
    <definedName name="__LG6">[18]노임단가!$D$90</definedName>
    <definedName name="__LG9">[18]노임단가!$D$86</definedName>
    <definedName name="li">[40]내역서!#REF!</definedName>
    <definedName name="LIAHV" localSheetId="1">#REF!</definedName>
    <definedName name="LIAHV">#REF!</definedName>
    <definedName name="LIAHVL" localSheetId="1">#REF!</definedName>
    <definedName name="LIAHVL">#REF!</definedName>
    <definedName name="LIANLA" localSheetId="1">#REF!</definedName>
    <definedName name="LIANLA">#REF!</definedName>
    <definedName name="list01" localSheetId="1">#REF!</definedName>
    <definedName name="list01">#REF!</definedName>
    <definedName name="list02" localSheetId="1">#REF!</definedName>
    <definedName name="list02">#REF!</definedName>
    <definedName name="list03" localSheetId="1">#REF!</definedName>
    <definedName name="list03">#REF!</definedName>
    <definedName name="list04" localSheetId="1">#REF!</definedName>
    <definedName name="list04">#REF!</definedName>
    <definedName name="list05" localSheetId="1">#REF!</definedName>
    <definedName name="list05">#REF!</definedName>
    <definedName name="list06" localSheetId="1">#REF!</definedName>
    <definedName name="list06">#REF!</definedName>
    <definedName name="liul" hidden="1">{#N/A,#N/A,FALSE,"배수2"}</definedName>
    <definedName name="Live">[50]역T형!$M$71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w" localSheetId="1">#REF!</definedName>
    <definedName name="ljgw">#REF!</definedName>
    <definedName name="LK" localSheetId="3">BlankMacro1</definedName>
    <definedName name="LK" localSheetId="1">BlankMacro1</definedName>
    <definedName name="LK">BlankMacro1</definedName>
    <definedName name="LKI" localSheetId="3">BlankMacro1</definedName>
    <definedName name="LKI" localSheetId="1">BlankMacro1</definedName>
    <definedName name="LKI">BlankMacro1</definedName>
    <definedName name="lk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LKL" localSheetId="1">#REF!</definedName>
    <definedName name="LKLKL">#REF!</definedName>
    <definedName name="LKU" localSheetId="3">BlankMacro1</definedName>
    <definedName name="LKU" localSheetId="1">BlankMacro1</definedName>
    <definedName name="LKU">BlankMacro1</definedName>
    <definedName name="LL" localSheetId="1">#REF!</definedName>
    <definedName name="LL">#REF!</definedName>
    <definedName name="__LL1">[19]수질정화시설!#REF!</definedName>
    <definedName name="__LL2">[19]수질정화시설!#REF!</definedName>
    <definedName name="lldl" localSheetId="1">#REF!</definedName>
    <definedName name="lldl">#REF!</definedName>
    <definedName name="LLFE" localSheetId="1">#REF!</definedName>
    <definedName name="LLFE">#REF!</definedName>
    <definedName name="lll" localSheetId="3">[319]!BlankMacro1</definedName>
    <definedName name="lll" localSheetId="1">[319]!BlankMacro1</definedName>
    <definedName name="lll">[319]!BlankMacro1</definedName>
    <definedName name="lllgr" localSheetId="1">#REF!</definedName>
    <definedName name="lllgr">#REF!</definedName>
    <definedName name="LLLL" localSheetId="3">BlankMacro1</definedName>
    <definedName name="LLLL" localSheetId="1">BlankMacro1</definedName>
    <definedName name="LLLL">BlankMacro1</definedName>
    <definedName name="LMO">#REF!</definedName>
    <definedName name="LO">#REF!</definedName>
    <definedName name="LOIW" localSheetId="1">#REF!</definedName>
    <definedName name="LOIW">#REF!</definedName>
    <definedName name="LOP">[105]LOPCALC!$A$4:$J$8</definedName>
    <definedName name="LP" localSheetId="3">BlankMacro1</definedName>
    <definedName name="LP" localSheetId="1">BlankMacro1</definedName>
    <definedName name="LP">BlankMacro1</definedName>
    <definedName name="_LP1" localSheetId="1">#REF!</definedName>
    <definedName name="____LP1">#REF!</definedName>
    <definedName name="LP1A">'[21]부하(성남)'!#REF!</definedName>
    <definedName name="LP1B">[20]부하계산서!#REF!</definedName>
    <definedName name="_LP2" localSheetId="1">#REF!</definedName>
    <definedName name="____LP2">#REF!</definedName>
    <definedName name="LP3A">'[21]부하(성남)'!#REF!</definedName>
    <definedName name="LPB">'[21]부하(성남)'!#REF!</definedName>
    <definedName name="__LPB1">[20]부하계산서!#REF!</definedName>
    <definedName name="LPBA">[20]부하계산서!#REF!</definedName>
    <definedName name="LPI">#REF!</definedName>
    <definedName name="__LPK1">[20]부하계산서!#REF!</definedName>
    <definedName name="LPKA">[20]부하계산서!#REF!</definedName>
    <definedName name="LPKB">[20]부하계산서!#REF!</definedName>
    <definedName name="LPM">[20]부하계산서!#REF!</definedName>
    <definedName name="LPMA">[20]부하계산서!#REF!</definedName>
    <definedName name="LPO">[20]부하계산서!#REF!</definedName>
    <definedName name="LPOA">[20]부하계산서!#REF!</definedName>
    <definedName name="ls" localSheetId="1">#REF!</definedName>
    <definedName name="ls">#REF!</definedName>
    <definedName name="__LS15">[18]노임단가!$C$12</definedName>
    <definedName name="__LS17">[18]노임단가!$C$30</definedName>
    <definedName name="__LS18">[18]노임단가!$C$89</definedName>
    <definedName name="__LS21">[18]노임단가!$C$8</definedName>
    <definedName name="__LS6">[18]노임단가!$C$90</definedName>
    <definedName name="__LS9">[18]노임단가!$C$86</definedName>
    <definedName name="LSH">#REF!</definedName>
    <definedName name="Lt">'[14]H-pile(298x299)'!#REF!</definedName>
    <definedName name="LtCon" localSheetId="1">#REF!</definedName>
    <definedName name="LtCon">#REF!</definedName>
    <definedName name="Lu" localSheetId="1">#REF!</definedName>
    <definedName name="Lu">#REF!</definedName>
    <definedName name="__LU1">'[21]부하(성남)'!#REF!</definedName>
    <definedName name="__LU2">'[21]부하(성남)'!#REF!</definedName>
    <definedName name="__LV01">'[21]부하(성남)'!#REF!</definedName>
    <definedName name="LV02A">[20]부하계산서!#REF!</definedName>
    <definedName name="LV02B">[20]부하계산서!#REF!</definedName>
    <definedName name="LV04A">[20]부하계산서!#REF!</definedName>
    <definedName name="LV04B">[20]부하계산서!#REF!</definedName>
    <definedName name="L형측구" localSheetId="1">#REF!</definedName>
    <definedName name="L형측구">#REF!</definedName>
    <definedName name="m" localSheetId="1" hidden="1">#REF!</definedName>
    <definedName name="m">#REF!</definedName>
    <definedName name="M_TR">#REF!</definedName>
    <definedName name="㎥" localSheetId="1">#REF!</definedName>
    <definedName name="㎥">#REF!</definedName>
    <definedName name="MA" localSheetId="1">#REF!</definedName>
    <definedName name="MA">#REF!</definedName>
    <definedName name="Macro10" localSheetId="3">[106]!Macro10</definedName>
    <definedName name="Macro10">[106]!Macro10</definedName>
    <definedName name="Macro11" localSheetId="3">[106]!Macro11</definedName>
    <definedName name="Macro11">[106]!Macro11</definedName>
    <definedName name="Macro12" localSheetId="3">[106]!Macro12</definedName>
    <definedName name="Macro12">[106]!Macro12</definedName>
    <definedName name="Macro13" localSheetId="3">[106]!Macro13</definedName>
    <definedName name="Macro13">[106]!Macro13</definedName>
    <definedName name="Macro14" localSheetId="3">[106]!Macro14</definedName>
    <definedName name="Macro14">[106]!Macro14</definedName>
    <definedName name="Macro2" localSheetId="1">조경원가계산서!Macro2</definedName>
    <definedName name="Macro2">[319]!Macro2</definedName>
    <definedName name="Macro4" localSheetId="1">조경원가계산서!Macro4</definedName>
    <definedName name="Macro4">[319]!Macro4</definedName>
    <definedName name="Macro5" localSheetId="1">조경원가계산서!Macro5</definedName>
    <definedName name="Macro5">[319]!Macro5</definedName>
    <definedName name="Macro6" localSheetId="3">[106]!Macro6</definedName>
    <definedName name="Macro6">[106]!Macro6</definedName>
    <definedName name="Macro7" localSheetId="3">[106]!Macro7</definedName>
    <definedName name="Macro7">[106]!Macro7</definedName>
    <definedName name="Macro8" localSheetId="3">[106]!Macro8</definedName>
    <definedName name="Macro8">[106]!Macro8</definedName>
    <definedName name="Macro9" localSheetId="3">[106]!Macro9</definedName>
    <definedName name="Macro9">[106]!Macro9</definedName>
    <definedName name="MaH" localSheetId="1">#REF!</definedName>
    <definedName name="MaH">#REF!</definedName>
    <definedName name="_MaL1" localSheetId="1">#REF!</definedName>
    <definedName name="____MaL1">#REF!</definedName>
    <definedName name="_MaL2" localSheetId="1">#REF!</definedName>
    <definedName name="____MaL2">#REF!</definedName>
    <definedName name="MB" localSheetId="3">BlankMacro1</definedName>
    <definedName name="MB" localSheetId="1">BlankMacro1</definedName>
    <definedName name="MB">BlankMacro1</definedName>
    <definedName name="mbn">[75]부하계산서!#REF!</definedName>
    <definedName name="MC" localSheetId="3">BlankMacro1</definedName>
    <definedName name="MC" localSheetId="1">BlankMacro1</definedName>
    <definedName name="MC">BlankMacro1</definedName>
    <definedName name="MC___1" localSheetId="1">#REF!</definedName>
    <definedName name="MC___1">#REF!</definedName>
    <definedName name="MCCEA">[20]부하계산서!#REF!</definedName>
    <definedName name="MCCEB">[20]부하계산서!#REF!</definedName>
    <definedName name="MCCF">[20]부하계산서!#REF!</definedName>
    <definedName name="MCCN">'[21]부하(성남)'!#REF!</definedName>
    <definedName name="MCCP">[20]부하계산서!#REF!</definedName>
    <definedName name="MCCS">[20]부하계산서!#REF!</definedName>
    <definedName name="MCON" localSheetId="1">#REF!</definedName>
    <definedName name="MCON">#REF!</definedName>
    <definedName name="MD" localSheetId="1">#REF!</definedName>
    <definedName name="MD">#REF!</definedName>
    <definedName name="MDA" localSheetId="1">#REF!</definedName>
    <definedName name="MDA">#REF!</definedName>
    <definedName name="MDE" localSheetId="1">#REF!</definedName>
    <definedName name="MDE">#REF!</definedName>
    <definedName name="ME" localSheetId="1">#REF!</definedName>
    <definedName name="ME">#REF!</definedName>
    <definedName name="Mf">[50]역T형!#REF!</definedName>
    <definedName name="MG" localSheetId="3">BlankMacro1</definedName>
    <definedName name="MG" localSheetId="1">BlankMacro1</definedName>
    <definedName name="MG">BlankMacro1</definedName>
    <definedName name="__MG109">[18]자재단가!$H$220</definedName>
    <definedName name="__MG135">[18]자재단가!$H$272</definedName>
    <definedName name="__MG15">[18]자재단가!$H$32</definedName>
    <definedName name="__MG3">[18]자재단가!$H$8</definedName>
    <definedName name="__MG43">[18]자재단가!$H$88</definedName>
    <definedName name="__MG44">[18]자재단가!$H$90</definedName>
    <definedName name="__MG46">[18]자재단가!$H$94</definedName>
    <definedName name="__MG57">[18]자재단가!$H$116</definedName>
    <definedName name="__MG6">[18]자재단가!$H$14</definedName>
    <definedName name="__MG8">[18]자재단가!$H$18</definedName>
    <definedName name="__MG9">[18]자재단가!$H$20</definedName>
    <definedName name="MH" localSheetId="1">#REF!</definedName>
    <definedName name="MH">#REF!</definedName>
    <definedName name="MID" localSheetId="1">#REF!</definedName>
    <definedName name="MID">#REF!</definedName>
    <definedName name="MJ" localSheetId="3">BlankMacro1</definedName>
    <definedName name="MJ" localSheetId="1">BlankMacro1</definedName>
    <definedName name="MJ">BlankMacro1</definedName>
    <definedName name="MJU" localSheetId="1">#REF!</definedName>
    <definedName name="MJU">#REF!</definedName>
    <definedName name="MK" localSheetId="3">BlankMacro1</definedName>
    <definedName name="MK" localSheetId="1">BlankMacro1</definedName>
    <definedName name="MK">BlankMacro1</definedName>
    <definedName name="MKJ" localSheetId="3">BlankMacro1</definedName>
    <definedName name="MKJ" localSheetId="1">BlankMacro1</definedName>
    <definedName name="MKJ">BlankMacro1</definedName>
    <definedName name="ML" localSheetId="3">BlankMacro1</definedName>
    <definedName name="ML" localSheetId="1">BlankMacro1</definedName>
    <definedName name="ML">BlankMacro1</definedName>
    <definedName name="MLA" localSheetId="1">#REF!</definedName>
    <definedName name="MLA">#REF!</definedName>
    <definedName name="MLE" localSheetId="1">#REF!</definedName>
    <definedName name="MLE">#REF!</definedName>
    <definedName name="MM">[69]내역서!#REF!</definedName>
    <definedName name="MMJ" localSheetId="3">BlankMacro1</definedName>
    <definedName name="MMJ" localSheetId="1">BlankMacro1</definedName>
    <definedName name="MMJ">BlankMacro1</definedName>
    <definedName name="MMM" localSheetId="1">#REF!</definedName>
    <definedName name="MMM">#REF!</definedName>
    <definedName name="MNHL">[106]Sheet1!$A$4:$H$5</definedName>
    <definedName name="MO" localSheetId="1">#REF!</definedName>
    <definedName name="MO">#REF!</definedName>
    <definedName name="Mone" localSheetId="1">#REF!</definedName>
    <definedName name="Mone">#REF!</definedName>
    <definedName name="MONEY">'[62]Y-WORK'!$F$21:$M$417,'[62]Y-WORK'!$F$427:$M$450</definedName>
    <definedName name="monitor">#REF!</definedName>
    <definedName name="month">[22]근태계획서!$D$5</definedName>
    <definedName name="MOO" localSheetId="1">#REF!</definedName>
    <definedName name="MOO">#REF!</definedName>
    <definedName name="MOR10L">[41]INPUT!#REF!</definedName>
    <definedName name="MOR10R">[41]INPUT!#REF!</definedName>
    <definedName name="MOR3L">[41]INPUT!#REF!</definedName>
    <definedName name="MOR3R">[41]INPUT!#REF!</definedName>
    <definedName name="MOR4L">[41]INPUT!#REF!</definedName>
    <definedName name="MOR4R">[41]INPUT!#REF!</definedName>
    <definedName name="MOR5L">[41]INPUT!#REF!</definedName>
    <definedName name="MOR5R">[41]INPUT!#REF!</definedName>
    <definedName name="MOR6L">[41]INPUT!#REF!</definedName>
    <definedName name="MOR6R">[41]INPUT!#REF!</definedName>
    <definedName name="MOR7L">[41]INPUT!#REF!</definedName>
    <definedName name="MOR7R">[41]INPUT!#REF!</definedName>
    <definedName name="MOR8L">[41]INPUT!#REF!</definedName>
    <definedName name="MOR8R">[41]INPUT!#REF!</definedName>
    <definedName name="MOR9L">[41]INPUT!#REF!</definedName>
    <definedName name="MOR9R">[41]INPUT!#REF!</definedName>
    <definedName name="MOTOR__농형_전폐" localSheetId="1">#REF!</definedName>
    <definedName name="MOTOR__농형_전폐">#REF!</definedName>
    <definedName name="Mpf" localSheetId="1">#REF!</definedName>
    <definedName name="Mpf">#REF!</definedName>
    <definedName name="MpLower" localSheetId="1">#REF!</definedName>
    <definedName name="MpLower">#REF!</definedName>
    <definedName name="MpUpper" localSheetId="1">#REF!</definedName>
    <definedName name="MpUpper">#REF!</definedName>
    <definedName name="MQ" localSheetId="3">BlankMacro1</definedName>
    <definedName name="MQ" localSheetId="1">BlankMacro1</definedName>
    <definedName name="MQ">BlankMacro1</definedName>
    <definedName name="MR" localSheetId="3">BlankMacro1</definedName>
    <definedName name="MR" localSheetId="1">BlankMacro1</definedName>
    <definedName name="MR">BlankMacro1</definedName>
    <definedName name="__MS109">[18]자재단가!$H$221</definedName>
    <definedName name="__MS135">[18]자재단가!$H$273</definedName>
    <definedName name="__MS15">[18]자재단가!$H$33</definedName>
    <definedName name="__MS3">[18]자재단가!$H$9</definedName>
    <definedName name="__MS43">[18]자재단가!$H$89</definedName>
    <definedName name="__MS44">[18]자재단가!$H$91</definedName>
    <definedName name="__MS46">[18]자재단가!$H$95</definedName>
    <definedName name="__MS57">[18]자재단가!$H$117</definedName>
    <definedName name="__MS6">[18]자재단가!$H$15</definedName>
    <definedName name="__MS8">[18]자재단가!$H$19</definedName>
    <definedName name="__MS9">[18]자재단가!$H$21</definedName>
    <definedName name="mu" localSheetId="1">#REF!</definedName>
    <definedName name="mu">#REF!</definedName>
    <definedName name="musu" localSheetId="1">#REF!</definedName>
    <definedName name="musu">#REF!</definedName>
    <definedName name="MV" localSheetId="3">BlankMacro1</definedName>
    <definedName name="MV" localSheetId="1">BlankMacro1</definedName>
    <definedName name="MV">BlankMacro1</definedName>
    <definedName name="MW" localSheetId="3">BlankMacro1</definedName>
    <definedName name="MW" localSheetId="1">BlankMacro1</definedName>
    <definedName name="MW">BlankMacro1</definedName>
    <definedName name="M당무게">[109]간지!$E$24:$E$85</definedName>
    <definedName name="M당무게1">[110]DATE!$E$24:$E$85</definedName>
    <definedName name="M당무게2">[110]DATE!$E$24:$E$85</definedName>
    <definedName name="n">#REF!</definedName>
    <definedName name="N1S">#REF!</definedName>
    <definedName name="N2S">#REF!</definedName>
    <definedName name="N3S">#REF!</definedName>
    <definedName name="NA" localSheetId="1">#REF!</definedName>
    <definedName name="NA">#REF!</definedName>
    <definedName name="NAME" localSheetId="1">#N/A</definedName>
    <definedName name="NAME">#REF!</definedName>
    <definedName name="NBV" localSheetId="3">BlankMacro1</definedName>
    <definedName name="NBV" localSheetId="1">BlankMacro1</definedName>
    <definedName name="NBV">BlankMacro1</definedName>
    <definedName name="NCV" localSheetId="3">BlankMacro1</definedName>
    <definedName name="NCV" localSheetId="1">BlankMacro1</definedName>
    <definedName name="NCV">BlankMacro1</definedName>
    <definedName name="NDO">#REF!</definedName>
    <definedName name="ne">[78]옹벽!$H$322</definedName>
    <definedName name="NF" localSheetId="1">#REF!</definedName>
    <definedName name="NF">#REF!</definedName>
    <definedName name="NFG" localSheetId="3">BlankMacro1</definedName>
    <definedName name="NFG" localSheetId="1">BlankMacro1</definedName>
    <definedName name="NFG">BlankMacro1</definedName>
    <definedName name="NFGH" localSheetId="3">BlankMacro1</definedName>
    <definedName name="NFGH" localSheetId="1">BlankMacro1</definedName>
    <definedName name="NFGH">BlankMacro1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hgn" localSheetId="3">BlankMacro1</definedName>
    <definedName name="nhgn" localSheetId="1">BlankMacro1</definedName>
    <definedName name="nhgn">BlankMacro1</definedName>
    <definedName name="NHL">[111]터널조도!$AR$19:$AT$25</definedName>
    <definedName name="NHM" localSheetId="1">#REF!</definedName>
    <definedName name="NHM">#REF!</definedName>
    <definedName name="nhnt" localSheetId="3">BlankMacro1</definedName>
    <definedName name="nhnt" localSheetId="1">BlankMacro1</definedName>
    <definedName name="nhnt">BlankMacro1</definedName>
    <definedName name="NI">[112]노임!$A$1:$B$65536</definedName>
    <definedName name="NKL" localSheetId="3">BlankMacro1</definedName>
    <definedName name="NKL" localSheetId="1">BlankMacro1</definedName>
    <definedName name="NKL">BlankMacro1</definedName>
    <definedName name="NL" localSheetId="1">#REF!</definedName>
    <definedName name="NL">#REF!</definedName>
    <definedName name="_NLL1" localSheetId="1">#REF!</definedName>
    <definedName name="____NLL1">#REF!</definedName>
    <definedName name="_NLL2" localSheetId="1">#REF!</definedName>
    <definedName name="____NLL2">#REF!</definedName>
    <definedName name="_NLL3" localSheetId="1">#REF!</definedName>
    <definedName name="____NLL3">#REF!</definedName>
    <definedName name="_NLL4" localSheetId="1">#REF!</definedName>
    <definedName name="____NLL4">#REF!</definedName>
    <definedName name="_NLL5" localSheetId="1">#REF!</definedName>
    <definedName name="____NLL5">#REF!</definedName>
    <definedName name="____NMB96">#REF!</definedName>
    <definedName name="nn" hidden="1">{#N/A,#N/A,FALSE,"토공2"}</definedName>
    <definedName name="NoCon" localSheetId="1">#REF!</definedName>
    <definedName name="NoCon">#REF!</definedName>
    <definedName name="NOIM">[112]노임!$A$1:$B$17</definedName>
    <definedName name="NOMUBY">#REF!</definedName>
    <definedName name="NOT" localSheetId="1">#REF!</definedName>
    <definedName name="NOT">#REF!</definedName>
    <definedName name="NOTCH" localSheetId="1">#REF!</definedName>
    <definedName name="NOTCH">#REF!</definedName>
    <definedName name="____NP1">#REF!</definedName>
    <definedName name="____NP2">#REF!</definedName>
    <definedName name="NPI">#REF!</definedName>
    <definedName name="NR" localSheetId="3">BlankMacro1</definedName>
    <definedName name="NR" localSheetId="1">BlankMacro1</definedName>
    <definedName name="NR">BlankMacro1</definedName>
    <definedName name="NSH">#REF!</definedName>
    <definedName name="____NSH1">#REF!</definedName>
    <definedName name="____NSH2">#REF!</definedName>
    <definedName name="NSO">#REF!</definedName>
    <definedName name="NT" localSheetId="3">BlankMacro1</definedName>
    <definedName name="NT" localSheetId="1">BlankMacro1</definedName>
    <definedName name="NT">BlankMacro1</definedName>
    <definedName name="NTFT" localSheetId="3">BlankMacro1</definedName>
    <definedName name="NTFT" localSheetId="1">BlankMacro1</definedName>
    <definedName name="NTFT">BlankMacro1</definedName>
    <definedName name="NY" localSheetId="3">BlankMacro1</definedName>
    <definedName name="NY" localSheetId="1">BlankMacro1</definedName>
    <definedName name="NY">BlankMacro1</definedName>
    <definedName name="o">[75]부하계산서!#REF!</definedName>
    <definedName name="OAQF" localSheetId="1">#REF!</definedName>
    <definedName name="OAQF">#REF!</definedName>
    <definedName name="OI" localSheetId="3">BlankMacro1</definedName>
    <definedName name="OI" localSheetId="1">BlankMacro1</definedName>
    <definedName name="OI">BlankMacro1</definedName>
    <definedName name="OIDGLD" localSheetId="1">#REF!</definedName>
    <definedName name="OIDGLD">#REF!</definedName>
    <definedName name="OIOPOI" localSheetId="3">BlankMacro1</definedName>
    <definedName name="OIOPOI" localSheetId="1">BlankMacro1</definedName>
    <definedName name="OIOPOI">BlankMacro1</definedName>
    <definedName name="OIPUIOUI" localSheetId="3">BlankMacro1</definedName>
    <definedName name="OIPUIOUI" localSheetId="1">BlankMacro1</definedName>
    <definedName name="OIPUIOUI">BlankMacro1</definedName>
    <definedName name="OISDFG" localSheetId="1">#REF!</definedName>
    <definedName name="OISDFG">#REF!</definedName>
    <definedName name="OIU" localSheetId="3">BlankMacro1</definedName>
    <definedName name="OIU" localSheetId="1">BlankMacro1</definedName>
    <definedName name="OIU">BlankMacro1</definedName>
    <definedName name="OK" localSheetId="3">BlankMacro1</definedName>
    <definedName name="OK" localSheetId="1">BlankMacro1</definedName>
    <definedName name="OK">BlankMacro1</definedName>
    <definedName name="OL">'[72]인건-측정'!#REF!</definedName>
    <definedName name="old" localSheetId="1">#REF!</definedName>
    <definedName name="old">#REF!</definedName>
    <definedName name="one">[22]버스운행안내!$C$8</definedName>
    <definedName name="OOIY" localSheetId="3">BlankMacro1</definedName>
    <definedName name="OOIY" localSheetId="1">BlankMacro1</definedName>
    <definedName name="OOIY">BlankMacro1</definedName>
    <definedName name="OOO">#REF!</definedName>
    <definedName name="ooooo">#REF!</definedName>
    <definedName name="OP" localSheetId="1">#REF!</definedName>
    <definedName name="OP">#REF!</definedName>
    <definedName name="or">[113]과천MAIN!#REF!</definedName>
    <definedName name="P" localSheetId="1">#REF!</definedName>
    <definedName name="P">#REF!</definedName>
    <definedName name="P10TL">[41]INPUT!#REF!</definedName>
    <definedName name="P10TR">[41]INPUT!#REF!</definedName>
    <definedName name="P1H1" localSheetId="1">#REF!</definedName>
    <definedName name="P1H1">#REF!</definedName>
    <definedName name="P3TL">[41]INPUT!#REF!</definedName>
    <definedName name="P3TR">[41]INPUT!#REF!</definedName>
    <definedName name="P4TL">[41]INPUT!#REF!</definedName>
    <definedName name="P4TR">[41]INPUT!#REF!</definedName>
    <definedName name="P5TL">[41]INPUT!#REF!</definedName>
    <definedName name="P5TR">[41]INPUT!#REF!</definedName>
    <definedName name="P6TL">[41]INPUT!#REF!</definedName>
    <definedName name="P6TR">[41]INPUT!#REF!</definedName>
    <definedName name="P7TL">[41]INPUT!#REF!</definedName>
    <definedName name="P7TR">[41]INPUT!#REF!</definedName>
    <definedName name="P8TL">[41]INPUT!#REF!</definedName>
    <definedName name="P8TR">[41]INPUT!#REF!</definedName>
    <definedName name="P9TL">[41]INPUT!#REF!</definedName>
    <definedName name="P9TR">[41]INPUT!#REF!</definedName>
    <definedName name="pa">[54]통합!#REF!</definedName>
    <definedName name="pae">'[14]H-pile(298x299)'!#REF!</definedName>
    <definedName name="pah">'[14]H-pile(298x299)'!#REF!</definedName>
    <definedName name="pav">'[14]H-pile(298x299)'!#REF!</definedName>
    <definedName name="PB">'[21]부하(성남)'!#REF!</definedName>
    <definedName name="PB_2">'[35]IMPEADENCE MAP 취수장'!#REF!</definedName>
    <definedName name="pc">[54]통합!#REF!</definedName>
    <definedName name="pd">'[14]H-pile(298x299)'!#REF!</definedName>
    <definedName name="pdh">'[14]H-pile(298x299)'!#REF!</definedName>
    <definedName name="pdv">'[14]H-pile(298x299)'!#REF!</definedName>
    <definedName name="PE">#REF!</definedName>
    <definedName name="ped">'[14]H-pile(298x299)'!#REF!</definedName>
    <definedName name="PEE">[59]DATA!$N$4:$P$12</definedName>
    <definedName name="pel">'[14]H-pile(298x299)'!#REF!</definedName>
    <definedName name="PersonSelectionRange" localSheetId="1">#REF!</definedName>
    <definedName name="PersonSelectionRange">#REF!</definedName>
    <definedName name="PG" localSheetId="3">BlankMacro1</definedName>
    <definedName name="PG" localSheetId="1">BlankMacro1</definedName>
    <definedName name="PG">BlankMacro1</definedName>
    <definedName name="PH">#REF!</definedName>
    <definedName name="phcl">[78]옹벽!$B$284</definedName>
    <definedName name="phi" localSheetId="1">#REF!</definedName>
    <definedName name="phi">#REF!</definedName>
    <definedName name="_phi1" localSheetId="1">#REF!</definedName>
    <definedName name="____phi1">#REF!</definedName>
    <definedName name="_phi3" localSheetId="1">#REF!</definedName>
    <definedName name="____phi3">#REF!</definedName>
    <definedName name="phib" localSheetId="1">#REF!</definedName>
    <definedName name="phib">#REF!</definedName>
    <definedName name="PhiH" localSheetId="1">#REF!</definedName>
    <definedName name="PhiH">#REF!</definedName>
    <definedName name="PhiJ" localSheetId="1">#REF!</definedName>
    <definedName name="PhiJ">#REF!</definedName>
    <definedName name="PhiT" localSheetId="1">#REF!</definedName>
    <definedName name="PhiT">#REF!</definedName>
    <definedName name="phiv" localSheetId="1">#REF!</definedName>
    <definedName name="phiv">#REF!</definedName>
    <definedName name="PI" localSheetId="3">BlankMacro1</definedName>
    <definedName name="PI" localSheetId="1">BlankMacro1</definedName>
    <definedName name="PI">BlankMacro1</definedName>
    <definedName name="__Pi1">[50]역T형!$M$79</definedName>
    <definedName name="_PI48" localSheetId="1">#REF!</definedName>
    <definedName name="____PI48">#REF!</definedName>
    <definedName name="_PI60" localSheetId="1">#REF!</definedName>
    <definedName name="____PI60">#REF!</definedName>
    <definedName name="PIBA">[100]설계조건!$I$41</definedName>
    <definedName name="picture7">[114]기계경비!#REF!</definedName>
    <definedName name="pijgs" localSheetId="1">#REF!</definedName>
    <definedName name="pijgs">#REF!</definedName>
    <definedName name="PILE" localSheetId="1">#REF!</definedName>
    <definedName name="PILE">#REF!</definedName>
    <definedName name="pile_s">[65]말뚝지지력산정!$F$116</definedName>
    <definedName name="pileD" localSheetId="1">#REF!</definedName>
    <definedName name="pileD">#REF!</definedName>
    <definedName name="PILED10L">[41]INPUT!#REF!</definedName>
    <definedName name="PILED10R">[41]INPUT!#REF!</definedName>
    <definedName name="PILED3L">[41]INPUT!#REF!</definedName>
    <definedName name="PILED3R">[41]INPUT!#REF!</definedName>
    <definedName name="PILED4L">[41]INPUT!#REF!</definedName>
    <definedName name="PILED4R">[41]INPUT!#REF!</definedName>
    <definedName name="PILED5L">[41]INPUT!#REF!</definedName>
    <definedName name="PILED5R">[41]INPUT!#REF!</definedName>
    <definedName name="PILED6L">[41]INPUT!#REF!</definedName>
    <definedName name="PILED6R">[41]INPUT!#REF!</definedName>
    <definedName name="PILED7L">[41]INPUT!#REF!</definedName>
    <definedName name="PILED7R">[41]INPUT!#REF!</definedName>
    <definedName name="PILED8L">[41]INPUT!#REF!</definedName>
    <definedName name="PILED8R">[41]INPUT!#REF!</definedName>
    <definedName name="PILED9L">[41]INPUT!#REF!</definedName>
    <definedName name="PILED9R">[41]INPUT!#REF!</definedName>
    <definedName name="PILEH">[115]통합!$M$5</definedName>
    <definedName name="pileL" localSheetId="1">#REF!</definedName>
    <definedName name="pileL">#REF!</definedName>
    <definedName name="PILET10L">[41]INPUT!#REF!</definedName>
    <definedName name="PILET10R">[41]INPUT!#REF!</definedName>
    <definedName name="PILET3L">[41]INPUT!#REF!</definedName>
    <definedName name="PILET3R">[41]INPUT!#REF!</definedName>
    <definedName name="PILET4L">[41]INPUT!#REF!</definedName>
    <definedName name="PILET4R">[41]INPUT!#REF!</definedName>
    <definedName name="PILET5L">[41]INPUT!#REF!</definedName>
    <definedName name="PILET5R">[41]INPUT!#REF!</definedName>
    <definedName name="PILET6L">[41]INPUT!#REF!</definedName>
    <definedName name="PILET6R">[41]INPUT!#REF!</definedName>
    <definedName name="PILET7L">[41]INPUT!#REF!</definedName>
    <definedName name="PILET7R">[41]INPUT!#REF!</definedName>
    <definedName name="PILET8L">[41]INPUT!#REF!</definedName>
    <definedName name="PILET8R">[41]INPUT!#REF!</definedName>
    <definedName name="PILET9L">[41]INPUT!#REF!</definedName>
    <definedName name="PILET9R">[41]INPUT!#REF!</definedName>
    <definedName name="PL">#REF!</definedName>
    <definedName name="_pl1" localSheetId="1">#REF!</definedName>
    <definedName name="____pl1">#REF!</definedName>
    <definedName name="_PL2" localSheetId="1">#REF!</definedName>
    <definedName name="____PL2">#REF!</definedName>
    <definedName name="_PL3" localSheetId="1">#REF!</definedName>
    <definedName name="____PL3">#REF!</definedName>
    <definedName name="PLB" localSheetId="1">#REF!</definedName>
    <definedName name="PLB">#REF!</definedName>
    <definedName name="plh">'[14]H-pile(298x299)'!#REF!</definedName>
    <definedName name="plv">'[14]H-pile(298x299)'!#REF!</definedName>
    <definedName name="PN">#REF!</definedName>
    <definedName name="PNLW10">[20]부하계산서!#REF!</definedName>
    <definedName name="PNLW8">[20]부하계산서!#REF!</definedName>
    <definedName name="__PNO10">[37]INPUT!#REF!</definedName>
    <definedName name="__PNO3">[37]INPUT!#REF!</definedName>
    <definedName name="__PNO4">[37]INPUT!#REF!</definedName>
    <definedName name="__PNO5">[37]INPUT!#REF!</definedName>
    <definedName name="__PNO6">[37]INPUT!#REF!</definedName>
    <definedName name="__PNO7">[37]INPUT!#REF!</definedName>
    <definedName name="__PNO8">[37]INPUT!#REF!</definedName>
    <definedName name="__PNO9">[37]INPUT!#REF!</definedName>
    <definedName name="po">#REF!</definedName>
    <definedName name="POJJV" localSheetId="1">#REF!</definedName>
    <definedName name="POJJV">#REF!</definedName>
    <definedName name="POT_BEARING" localSheetId="1">#REF!</definedName>
    <definedName name="POT_BEARING">#REF!</definedName>
    <definedName name="PP">'[21]부하(성남)'!#REF!</definedName>
    <definedName name="Ppf" localSheetId="1">#REF!</definedName>
    <definedName name="Ppf">#REF!</definedName>
    <definedName name="pphi">[116]옹벽!$M$3</definedName>
    <definedName name="PPP">#REF!</definedName>
    <definedName name="pppp" hidden="1">{#N/A,#N/A,FALSE,"배수2"}</definedName>
    <definedName name="ppppp" hidden="1">{#N/A,#N/A,FALSE,"부대1"}</definedName>
    <definedName name="pppppp" hidden="1">{#N/A,#N/A,FALSE,"부대2"}</definedName>
    <definedName name="Pr">#REF!</definedName>
    <definedName name="prin" localSheetId="1">#REF!</definedName>
    <definedName name="prin">#REF!</definedName>
    <definedName name="print">#REF!</definedName>
    <definedName name="_xlnm.Print_Area" localSheetId="0">갑지!$A$1:$J$19</definedName>
    <definedName name="_xlnm.Print_Area" localSheetId="2">내역서!$A$1:$Y$351</definedName>
    <definedName name="_xlnm.Print_Area" localSheetId="4">'일위대가_호표(신규)'!$A$1:$BG$2230</definedName>
    <definedName name="_xlnm.Print_Area" localSheetId="5">일위대가목록!$A$1:$K$285</definedName>
    <definedName name="_xlnm.Print_Area" localSheetId="3">'일위대가목록 (신규)'!$A$1:$K$33</definedName>
    <definedName name="_xlnm.Print_Area" localSheetId="1">조경원가계산서!$A$1:$L$32</definedName>
    <definedName name="_xlnm.Print_Area">#N/A</definedName>
    <definedName name="PRINT_AREA_MI">#N/A</definedName>
    <definedName name="PRINT_AREA_MI1" localSheetId="1">#REF!</definedName>
    <definedName name="PRINT_AREA_MI1">#REF!</definedName>
    <definedName name="PRINT_TILIES" localSheetId="1">#REF!,#REF!,#REF!,#REF!,#REF!</definedName>
    <definedName name="PRINT_TILIES">#REF!,#REF!,#REF!,#REF!,#REF!</definedName>
    <definedName name="PRINT_TILLES">[118]우수!$A$1:$IV$3,[118]우수!$A$1:$D$65536</definedName>
    <definedName name="Print_Title" localSheetId="1">#REF!</definedName>
    <definedName name="Print_Title">#REF!</definedName>
    <definedName name="_xlnm.Print_Titles" localSheetId="12">경비!$1:$2</definedName>
    <definedName name="_xlnm.Print_Titles" localSheetId="2">내역서!$1:$3</definedName>
    <definedName name="_xlnm.Print_Titles" localSheetId="11">노임!$1:$2</definedName>
    <definedName name="_xlnm.Print_Titles" localSheetId="6">일위대가_산근!$1:$2</definedName>
    <definedName name="_xlnm.Print_Titles" localSheetId="4">'일위대가_호표(신규)'!$1:$3</definedName>
    <definedName name="_xlnm.Print_Titles" localSheetId="5">일위대가목록!$1:$2</definedName>
    <definedName name="_xlnm.Print_Titles" localSheetId="3">'일위대가목록 (신규)'!$1:$2</definedName>
    <definedName name="_xlnm.Print_Titles" localSheetId="10">자재!$1:$2</definedName>
    <definedName name="_xlnm.Print_Titles" localSheetId="13">자재조서!$1:$3</definedName>
    <definedName name="_xlnm.Print_Titles" localSheetId="14">전역변수!$1:$2</definedName>
    <definedName name="_xlnm.Print_Titles" localSheetId="9">중기기초자료!$1:$2</definedName>
    <definedName name="_xlnm.Print_Titles" localSheetId="7">중기사용료목록!$1:$2</definedName>
    <definedName name="_xlnm.Print_Titles" localSheetId="15">중기전역변수!$1:$2</definedName>
    <definedName name="_xlnm.Print_Titles">#REF!</definedName>
    <definedName name="Print_Titles_MI">#REF!</definedName>
    <definedName name="printer">#REF!</definedName>
    <definedName name="PRINTER_AREA">#REF!</definedName>
    <definedName name="printer_Titles">#REF!</definedName>
    <definedName name="printer_ttitle">#REF!</definedName>
    <definedName name="PT">#REF!</definedName>
    <definedName name="PTA" localSheetId="1">#REF!</definedName>
    <definedName name="PTA">#REF!</definedName>
    <definedName name="PTB" localSheetId="1">#REF!</definedName>
    <definedName name="PTB">#REF!</definedName>
    <definedName name="PVC관">#REF!</definedName>
    <definedName name="pw" localSheetId="1">#REF!</definedName>
    <definedName name="pw">#REF!</definedName>
    <definedName name="P간격" localSheetId="1">#REF!</definedName>
    <definedName name="P간격">#REF!</definedName>
    <definedName name="P단면2차모멘트" localSheetId="1">#REF!</definedName>
    <definedName name="P단면2차모멘트">#REF!</definedName>
    <definedName name="P단면계수" localSheetId="1">#REF!</definedName>
    <definedName name="P단면계수">#REF!</definedName>
    <definedName name="P단면적" localSheetId="1">#REF!</definedName>
    <definedName name="P단면적">#REF!</definedName>
    <definedName name="P전단력" localSheetId="1">#REF!</definedName>
    <definedName name="P전단력">#REF!</definedName>
    <definedName name="P전단면적" localSheetId="1">#REF!</definedName>
    <definedName name="P전단면적">#REF!</definedName>
    <definedName name="P지간" localSheetId="1">#REF!</definedName>
    <definedName name="P지간">#REF!</definedName>
    <definedName name="P폭" localSheetId="1">#REF!</definedName>
    <definedName name="P폭">#REF!</definedName>
    <definedName name="Q" localSheetId="3">BlankMacro1</definedName>
    <definedName name="Q" localSheetId="1">BlankMacro1</definedName>
    <definedName name="Q">BlankMacro1</definedName>
    <definedName name="q3r" localSheetId="3">BlankMacro1</definedName>
    <definedName name="q3r" localSheetId="1">BlankMacro1</definedName>
    <definedName name="q3r">BlankMacro1</definedName>
    <definedName name="Q3WEE" hidden="1">{#N/A,#N/A,FALSE,"조골재"}</definedName>
    <definedName name="QAWE" localSheetId="3">BlankMacro1</definedName>
    <definedName name="QAWE" localSheetId="1">BlankMacro1</definedName>
    <definedName name="QAWE">BlankMacro1</definedName>
    <definedName name="QEL">[51]안정검토!#REF!</definedName>
    <definedName name="qet">[45]반중력식옹벽!#REF!</definedName>
    <definedName name="qfdewfvegre" hidden="1">{#N/A,#N/A,FALSE,"구조2"}</definedName>
    <definedName name="qkrtkddnr" localSheetId="1" hidden="1">{#N/A,#N/A,FALSE,"전력간선"}</definedName>
    <definedName name="qkrtkddnr">{#N/A,#N/A,FALSE,"전력간선"}</definedName>
    <definedName name="qpp">'[121]tggwan(mac)'!$A$1:$A$65536</definedName>
    <definedName name="qq">#REF!</definedName>
    <definedName name="QQQ" localSheetId="1">#REF!</definedName>
    <definedName name="QQQ">#REF!</definedName>
    <definedName name="qw">[122]단가!$C$3:$N$712</definedName>
    <definedName name="qwerqerwr" hidden="1">#REF!</definedName>
    <definedName name="qwewe" localSheetId="3">BlankMacro1</definedName>
    <definedName name="qwewe" localSheetId="1">BlankMacro1</definedName>
    <definedName name="qwewe">BlankMacro1</definedName>
    <definedName name="qwww" localSheetId="1">#REF!</definedName>
    <definedName name="qwww">#REF!</definedName>
    <definedName name="Ra">[54]통합!#REF!</definedName>
    <definedName name="RACK" localSheetId="1">#REF!</definedName>
    <definedName name="RACK">#REF!</definedName>
    <definedName name="Radius" localSheetId="1">#REF!</definedName>
    <definedName name="Radius">#REF!</definedName>
    <definedName name="rasdf" hidden="1">#REF!</definedName>
    <definedName name="Rb">[54]통합!#REF!</definedName>
    <definedName name="rcon" localSheetId="1">#REF!</definedName>
    <definedName name="rcon">#REF!</definedName>
    <definedName name="Rcrown" localSheetId="1">#REF!</definedName>
    <definedName name="Rcrown">#REF!</definedName>
    <definedName name="RDGF" localSheetId="3">BlankMacro1</definedName>
    <definedName name="RDGF" localSheetId="1">BlankMacro1</definedName>
    <definedName name="RDGF">BlankMacro1</definedName>
    <definedName name="RDWET" localSheetId="3">BlankMacro1</definedName>
    <definedName name="RDWET" localSheetId="1">BlankMacro1</definedName>
    <definedName name="RDWET">BlankMacro1</definedName>
    <definedName name="Re" localSheetId="1">#REF!</definedName>
    <definedName name="Re">#REF!</definedName>
    <definedName name="RecordCount" localSheetId="1">#REF!</definedName>
    <definedName name="RecordCount">#REF!</definedName>
    <definedName name="_xlnm.Recorder">#REF!</definedName>
    <definedName name="retert" localSheetId="3">BlankMacro1</definedName>
    <definedName name="retert" localSheetId="1">BlankMacro1</definedName>
    <definedName name="retert">BlankMacro1</definedName>
    <definedName name="retre" localSheetId="3">BlankMacro1</definedName>
    <definedName name="retre" localSheetId="1">BlankMacro1</definedName>
    <definedName name="retre">BlankMacro1</definedName>
    <definedName name="REW" localSheetId="3">BlankMacro1</definedName>
    <definedName name="REW" localSheetId="1">BlankMacro1</definedName>
    <definedName name="REW">BlankMacro1</definedName>
    <definedName name="RF" localSheetId="3">BlankMacro1</definedName>
    <definedName name="RF" localSheetId="1">BlankMacro1</definedName>
    <definedName name="RF">BlankMacro1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DF" localSheetId="3">BlankMacro1</definedName>
    <definedName name="RGDF" localSheetId="1">BlankMacro1</definedName>
    <definedName name="RGDF">BlankMacro1</definedName>
    <definedName name="rgfd" localSheetId="3">BlankMacro1</definedName>
    <definedName name="rgfd" localSheetId="1">BlankMacro1</definedName>
    <definedName name="rgfd">BlankMacro1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GREBGHRE" localSheetId="3">BlankMacro1</definedName>
    <definedName name="RHGREBGHRE" localSheetId="1">BlankMacro1</definedName>
    <definedName name="RHGREBGHRE">BlankMacro1</definedName>
    <definedName name="rho" localSheetId="1">#REF!</definedName>
    <definedName name="rho">#REF!</definedName>
    <definedName name="RJRJ" localSheetId="3">BlankMacro1</definedName>
    <definedName name="RJRJ" localSheetId="1">BlankMacro1</definedName>
    <definedName name="RJRJ">BlankMacro1</definedName>
    <definedName name="RJRKJRKJR" localSheetId="3">BlankMacro1</definedName>
    <definedName name="RJRKJRKJR" localSheetId="1">BlankMacro1</definedName>
    <definedName name="RJRKJRKJR">BlankMacro1</definedName>
    <definedName name="RL" localSheetId="3">BlankMacro1</definedName>
    <definedName name="RL" localSheetId="1">BlankMacro1</definedName>
    <definedName name="RL">BlankMacro1</definedName>
    <definedName name="RLTJD" localSheetId="3">BlankMacro1</definedName>
    <definedName name="RLTJD" localSheetId="1">BlankMacro1</definedName>
    <definedName name="RLTJD">BlankMacro1</definedName>
    <definedName name="_RO110" localSheetId="1">#REF!</definedName>
    <definedName name="____RO110">#REF!</definedName>
    <definedName name="_RO22" localSheetId="1">#REF!</definedName>
    <definedName name="____RO22">#REF!</definedName>
    <definedName name="_RO35" localSheetId="1">#REF!</definedName>
    <definedName name="____RO35">#REF!</definedName>
    <definedName name="_RO60" localSheetId="1">#REF!</definedName>
    <definedName name="____RO60">#REF!</definedName>
    <definedName name="_RO80" localSheetId="1">#REF!</definedName>
    <definedName name="____RO80">#REF!</definedName>
    <definedName name="ROCK_AUGER">[95]장비집계!#REF!</definedName>
    <definedName name="rog" localSheetId="1">#REF!</definedName>
    <definedName name="rog">#REF!</definedName>
    <definedName name="rp" localSheetId="1">#REF!</definedName>
    <definedName name="rp">#REF!</definedName>
    <definedName name="RR">[124]개략!$A$1:$Q$118</definedName>
    <definedName name="RRR">#REF!</definedName>
    <definedName name="rs" localSheetId="1">#REF!</definedName>
    <definedName name="rs">#REF!</definedName>
    <definedName name="RSTHTU">[75]부하계산서!#REF!</definedName>
    <definedName name="rsub">[54]통합!#REF!</definedName>
    <definedName name="rt">[54]통합!#REF!</definedName>
    <definedName name="rtt" localSheetId="1">#REF!</definedName>
    <definedName name="rtt">#REF!</definedName>
    <definedName name="RTYHERY" localSheetId="3">BlankMacro1</definedName>
    <definedName name="RTYHERY" localSheetId="1">BlankMacro1</definedName>
    <definedName name="RTYHERY">BlankMacro1</definedName>
    <definedName name="RWE" localSheetId="3">BlankMacro1</definedName>
    <definedName name="RWE" localSheetId="1">BlankMacro1</definedName>
    <definedName name="RWE">BlankMacro1</definedName>
    <definedName name="ry" hidden="1">{#N/A,#N/A,FALSE,"배수2"}</definedName>
    <definedName name="S" localSheetId="1">#REF!</definedName>
    <definedName name="S">#REF!</definedName>
    <definedName name="S_B">#REF!</definedName>
    <definedName name="S_B1">'[35]IMPEADENCE MAP 취수장'!#REF!</definedName>
    <definedName name="S_G">#REF!</definedName>
    <definedName name="S_G1">'[35]IMPEADENCE MAP 취수장'!#REF!</definedName>
    <definedName name="S_R">#REF!</definedName>
    <definedName name="S_R1">'[35]IMPEADENCE MAP 취수장'!#REF!</definedName>
    <definedName name="S_W_시험기사" localSheetId="1">#REF!</definedName>
    <definedName name="S_W_시험기사">#REF!</definedName>
    <definedName name="S_X">#REF!</definedName>
    <definedName name="S_X1">'[35]IMPEADENCE MAP 취수장'!#REF!</definedName>
    <definedName name="S_Y">#REF!</definedName>
    <definedName name="S_Y1">'[35]IMPEADENCE MAP 취수장'!#REF!</definedName>
    <definedName name="S_Z">#REF!</definedName>
    <definedName name="S_Z1">'[35]IMPEADENCE MAP 취수장'!#REF!</definedName>
    <definedName name="S10FL">[37]INPUT!#REF!</definedName>
    <definedName name="S10FR">[37]INPUT!#REF!</definedName>
    <definedName name="S10L">[37]INPUT!#REF!</definedName>
    <definedName name="S10L1">[84]현황산출서!#REF!</definedName>
    <definedName name="S10L2">[84]현황산출서!#REF!</definedName>
    <definedName name="S10R">[37]INPUT!#REF!</definedName>
    <definedName name="S10RL">[37]INPUT!#REF!</definedName>
    <definedName name="S10RR">[37]INPUT!#REF!</definedName>
    <definedName name="S10TL">[41]INPUT!#REF!</definedName>
    <definedName name="S10TR">[41]INPUT!#REF!</definedName>
    <definedName name="S11L1">[84]현황산출서!#REF!</definedName>
    <definedName name="S11L2">[84]현황산출서!#REF!</definedName>
    <definedName name="S11LA">[84]현황산출서!#REF!</definedName>
    <definedName name="S12L1">[84]현황산출서!#REF!</definedName>
    <definedName name="S12L2">[84]현황산출서!#REF!</definedName>
    <definedName name="S13L1">[84]현황산출서!#REF!</definedName>
    <definedName name="S13L2">[84]현황산출서!#REF!</definedName>
    <definedName name="S14L1">[84]현황산출서!#REF!</definedName>
    <definedName name="S14L2">[84]현황산출서!#REF!</definedName>
    <definedName name="S15L1">[84]현황산출서!#REF!</definedName>
    <definedName name="S15L2">[84]현황산출서!#REF!</definedName>
    <definedName name="S16L1">[84]현황산출서!#REF!</definedName>
    <definedName name="S16L2">[84]현황산출서!#REF!</definedName>
    <definedName name="S17L1">[84]현황산출서!#REF!</definedName>
    <definedName name="S17L2">[84]현황산출서!#REF!</definedName>
    <definedName name="S18L1">[84]현황산출서!#REF!</definedName>
    <definedName name="S18L2">[84]현황산출서!#REF!</definedName>
    <definedName name="S19L1">[84]현황산출서!#REF!</definedName>
    <definedName name="S19L2">[84]현황산출서!#REF!</definedName>
    <definedName name="S1L1">[84]현황산출서!#REF!</definedName>
    <definedName name="S1L2">[84]현황산출서!#REF!</definedName>
    <definedName name="S20L1">[84]현황산출서!#REF!</definedName>
    <definedName name="S20L2">[84]현황산출서!#REF!</definedName>
    <definedName name="S2L">#REF!</definedName>
    <definedName name="S2L1">[84]현황산출서!#REF!</definedName>
    <definedName name="S2L2">[84]현황산출서!#REF!</definedName>
    <definedName name="S3FL">[37]INPUT!#REF!</definedName>
    <definedName name="S3FR">[37]INPUT!#REF!</definedName>
    <definedName name="S3L">[37]INPUT!#REF!</definedName>
    <definedName name="S3L1">[84]현황산출서!#REF!</definedName>
    <definedName name="S3L2">[84]현황산출서!#REF!</definedName>
    <definedName name="S3L3">[84]현황산출서!#REF!</definedName>
    <definedName name="S3R">[37]INPUT!#REF!</definedName>
    <definedName name="S3RL">[37]INPUT!#REF!</definedName>
    <definedName name="S3RR">[37]INPUT!#REF!</definedName>
    <definedName name="S3TL">[41]INPUT!#REF!</definedName>
    <definedName name="S3TR">[41]INPUT!#REF!</definedName>
    <definedName name="S4FL">[37]INPUT!#REF!</definedName>
    <definedName name="S4FR">[37]INPUT!#REF!</definedName>
    <definedName name="S4L">[37]INPUT!#REF!</definedName>
    <definedName name="S4L1">[84]현황산출서!#REF!</definedName>
    <definedName name="S4L2">[84]현황산출서!#REF!</definedName>
    <definedName name="S4R">[37]INPUT!#REF!</definedName>
    <definedName name="S4RL">[37]INPUT!#REF!</definedName>
    <definedName name="S4RR">[37]INPUT!#REF!</definedName>
    <definedName name="S4TL">[41]INPUT!#REF!</definedName>
    <definedName name="S4TR">[41]INPUT!#REF!</definedName>
    <definedName name="S5FL">[37]INPUT!#REF!</definedName>
    <definedName name="S5FR">[37]INPUT!#REF!</definedName>
    <definedName name="S5L">[37]INPUT!#REF!</definedName>
    <definedName name="S5L1">[84]현황산출서!#REF!</definedName>
    <definedName name="S5L2">[84]현황산출서!#REF!</definedName>
    <definedName name="S5R">[37]INPUT!#REF!</definedName>
    <definedName name="S5RL">[37]INPUT!#REF!</definedName>
    <definedName name="S5RR">[37]INPUT!#REF!</definedName>
    <definedName name="S5TL">[41]INPUT!#REF!</definedName>
    <definedName name="S5TR">[41]INPUT!#REF!</definedName>
    <definedName name="S6FL">[37]INPUT!#REF!</definedName>
    <definedName name="S6FR">[37]INPUT!#REF!</definedName>
    <definedName name="S6L">[37]INPUT!#REF!</definedName>
    <definedName name="S6L1">[84]현황산출서!#REF!</definedName>
    <definedName name="S6L2">[84]현황산출서!#REF!</definedName>
    <definedName name="S6R">[37]INPUT!#REF!</definedName>
    <definedName name="S6RL">[37]INPUT!#REF!</definedName>
    <definedName name="S6RR">[37]INPUT!#REF!</definedName>
    <definedName name="S6TL">[41]INPUT!#REF!</definedName>
    <definedName name="S6TR">[41]INPUT!#REF!</definedName>
    <definedName name="S7FL">[37]INPUT!#REF!</definedName>
    <definedName name="S7FR">[37]INPUT!#REF!</definedName>
    <definedName name="S7L">[37]INPUT!#REF!</definedName>
    <definedName name="S7L1">[84]현황산출서!#REF!</definedName>
    <definedName name="S7L2">[84]현황산출서!#REF!</definedName>
    <definedName name="S7R">[37]INPUT!#REF!</definedName>
    <definedName name="S7RL">[37]INPUT!#REF!</definedName>
    <definedName name="S7RR">[37]INPUT!#REF!</definedName>
    <definedName name="S7TL">[41]INPUT!#REF!</definedName>
    <definedName name="S7TR">[41]INPUT!#REF!</definedName>
    <definedName name="S8FL">[37]INPUT!#REF!</definedName>
    <definedName name="S8FR">[37]INPUT!#REF!</definedName>
    <definedName name="S8L">[37]INPUT!#REF!</definedName>
    <definedName name="S8L1">[84]현황산출서!#REF!</definedName>
    <definedName name="S8L2">[84]현황산출서!#REF!</definedName>
    <definedName name="S8R">[37]INPUT!#REF!</definedName>
    <definedName name="S8RL">[37]INPUT!#REF!</definedName>
    <definedName name="S8RR">[37]INPUT!#REF!</definedName>
    <definedName name="S8TL">[41]INPUT!#REF!</definedName>
    <definedName name="S8TR">[41]INPUT!#REF!</definedName>
    <definedName name="S9FL">[37]INPUT!#REF!</definedName>
    <definedName name="S9FR">[37]INPUT!#REF!</definedName>
    <definedName name="S9L">[37]INPUT!#REF!</definedName>
    <definedName name="S9L1">[84]현황산출서!#REF!</definedName>
    <definedName name="S9L2">[84]현황산출서!#REF!</definedName>
    <definedName name="S9R">[37]INPUT!#REF!</definedName>
    <definedName name="S9RL">[37]INPUT!#REF!</definedName>
    <definedName name="S9RR">[37]INPUT!#REF!</definedName>
    <definedName name="S9TL">[41]INPUT!#REF!</definedName>
    <definedName name="S9TR">[41]INPUT!#REF!</definedName>
    <definedName name="SA" localSheetId="3">BlankMacro1</definedName>
    <definedName name="SA" localSheetId="1">BlankMacro1</definedName>
    <definedName name="SA">BlankMacro1</definedName>
    <definedName name="sadasd" localSheetId="3">BlankMacro1</definedName>
    <definedName name="sadasd" localSheetId="1">BlankMacro1</definedName>
    <definedName name="sadasd">BlankMacro1</definedName>
    <definedName name="SADF" localSheetId="3">BlankMacro1</definedName>
    <definedName name="SADF" localSheetId="1">BlankMacro1</definedName>
    <definedName name="SADF">BlankMacro1</definedName>
    <definedName name="sae" localSheetId="3">BlankMacro1</definedName>
    <definedName name="sae" localSheetId="1">BlankMacro1</definedName>
    <definedName name="sae">BlankMacro1</definedName>
    <definedName name="safddsf" localSheetId="3">BlankMacro1</definedName>
    <definedName name="safddsf" localSheetId="1">BlankMacro1</definedName>
    <definedName name="safddsf">BlankMacro1</definedName>
    <definedName name="SAN" localSheetId="1">#REF!</definedName>
    <definedName name="SAN">#REF!</definedName>
    <definedName name="sanch_2">#REF!</definedName>
    <definedName name="sanch_3">#REF!</definedName>
    <definedName name="sanch_4">#REF!</definedName>
    <definedName name="sangd" localSheetId="1">#REF!</definedName>
    <definedName name="sangd">#REF!</definedName>
    <definedName name="sangEL" localSheetId="1">#REF!</definedName>
    <definedName name="sangEL">#REF!</definedName>
    <definedName name="sangL" localSheetId="1">#REF!</definedName>
    <definedName name="sangL">#REF!</definedName>
    <definedName name="SB" localSheetId="1">#REF!</definedName>
    <definedName name="SB">#REF!</definedName>
    <definedName name="____SBB1">#REF!</definedName>
    <definedName name="____SBB2">#REF!</definedName>
    <definedName name="____SBB3">#REF!</definedName>
    <definedName name="____SBB4">#REF!</definedName>
    <definedName name="____SBB5">#REF!</definedName>
    <definedName name="_SCH1" localSheetId="1">#REF!</definedName>
    <definedName name="____SCH1">#REF!</definedName>
    <definedName name="sck">[126]INPUTDATA!$O$66</definedName>
    <definedName name="sd" localSheetId="1" hidden="1">{#N/A,#N/A,FALSE,"전력간선"}</definedName>
    <definedName name="sd">{#N/A,#N/A,FALSE,"전력간선"}</definedName>
    <definedName name="__sd10">[66]철근단면적!#REF!</definedName>
    <definedName name="__sd13">[66]철근단면적!#REF!</definedName>
    <definedName name="__sd16">[66]철근단면적!#REF!</definedName>
    <definedName name="__sd19">[66]철근단면적!#REF!</definedName>
    <definedName name="__sd22">[66]철근단면적!#REF!</definedName>
    <definedName name="__sd25">[66]철근단면적!#REF!</definedName>
    <definedName name="__sd29">[66]철근단면적!#REF!</definedName>
    <definedName name="__sd32">[66]철근단면적!#REF!</definedName>
    <definedName name="SDAGG" localSheetId="3">BlankMacro1</definedName>
    <definedName name="SDAGG" localSheetId="1">BlankMacro1</definedName>
    <definedName name="SDAGG">BlankMacro1</definedName>
    <definedName name="SDAGP" localSheetId="1">#REF!</definedName>
    <definedName name="SDAGP">#REF!</definedName>
    <definedName name="SDCFG\" localSheetId="1" hidden="1">{#N/A,#N/A,FALSE,"운반시간"}</definedName>
    <definedName name="SDCFG\">{#N/A,#N/A,FALSE,"운반시간"}</definedName>
    <definedName name="sdd" localSheetId="1" hidden="1">{#N/A,#N/A,FALSE,"전력간선"}</definedName>
    <definedName name="sdd">{#N/A,#N/A,FALSE,"전력간선"}</definedName>
    <definedName name="SDDG" localSheetId="3">BlankMacro1</definedName>
    <definedName name="SDDG" localSheetId="1">BlankMacro1</definedName>
    <definedName name="SDDG">BlankMacro1</definedName>
    <definedName name="SDE" localSheetId="3">BlankMacro1</definedName>
    <definedName name="SDE" localSheetId="1">BlankMacro1</definedName>
    <definedName name="SDE">BlankMacro1</definedName>
    <definedName name="SDF">#REF!</definedName>
    <definedName name="sdfa" localSheetId="3">BlankMacro1</definedName>
    <definedName name="sdfa" localSheetId="1">BlankMacro1</definedName>
    <definedName name="sdfa">BlankMacro1</definedName>
    <definedName name="sdfasad" localSheetId="3">BlankMacro1</definedName>
    <definedName name="sdfasad" localSheetId="1">BlankMacro1</definedName>
    <definedName name="sdfasad">BlankMacro1</definedName>
    <definedName name="sdfdf" localSheetId="3">BlankMacro1</definedName>
    <definedName name="sdfdf" localSheetId="1">BlankMacro1</definedName>
    <definedName name="sdfdf">BlankMacro1</definedName>
    <definedName name="sdfeer" localSheetId="3">BlankMacro1</definedName>
    <definedName name="sdfeer" localSheetId="1">BlankMacro1</definedName>
    <definedName name="sdfeer">BlankMacro1</definedName>
    <definedName name="SDFF" localSheetId="3">BlankMacro1</definedName>
    <definedName name="SDFF" localSheetId="1">BlankMacro1</definedName>
    <definedName name="SDFF">BlankMacro1</definedName>
    <definedName name="sdfghds" hidden="1">{#N/A,#N/A,FALSE,"배수2"}</definedName>
    <definedName name="sdfs" localSheetId="3">BlankMacro1</definedName>
    <definedName name="sdfs" localSheetId="1">BlankMacro1</definedName>
    <definedName name="sdfs">BlankMacro1</definedName>
    <definedName name="sdfsd" localSheetId="3">BlankMacro1</definedName>
    <definedName name="sdfsd" localSheetId="1">BlankMacro1</definedName>
    <definedName name="sdfsd">BlankMacro1</definedName>
    <definedName name="sdfsdf" localSheetId="3">BlankMacro1</definedName>
    <definedName name="sdfsdf" localSheetId="1">BlankMacro1</definedName>
    <definedName name="sdfsdf">BlankMacro1</definedName>
    <definedName name="sdfvcxv" localSheetId="3">BlankMacro1</definedName>
    <definedName name="sdfvcxv" localSheetId="1">BlankMacro1</definedName>
    <definedName name="sdfvcxv">BlankMacro1</definedName>
    <definedName name="SDFVDRF" localSheetId="3">BlankMacro1</definedName>
    <definedName name="SDFVDRF" localSheetId="1">BlankMacro1</definedName>
    <definedName name="SDFVDRF">BlankMacro1</definedName>
    <definedName name="SDFWE" localSheetId="3">BlankMacro1</definedName>
    <definedName name="SDFWE" localSheetId="1">BlankMacro1</definedName>
    <definedName name="SDFWE">BlankMacro1</definedName>
    <definedName name="SDFWEF" localSheetId="3">BlankMacro1</definedName>
    <definedName name="SDFWEF" localSheetId="1">BlankMacro1</definedName>
    <definedName name="SDFWEF">BlankMacro1</definedName>
    <definedName name="sdgdsa" localSheetId="3">BlankMacro1</definedName>
    <definedName name="sdgdsa" localSheetId="1">BlankMacro1</definedName>
    <definedName name="sdgdsa">BlankMacro1</definedName>
    <definedName name="SDGFFD" localSheetId="3">BlankMacro1</definedName>
    <definedName name="SDGFFD" localSheetId="1">BlankMacro1</definedName>
    <definedName name="SDGFFD">BlankMacro1</definedName>
    <definedName name="SDS" hidden="1">{#N/A,#N/A,FALSE,"2~8번"}</definedName>
    <definedName name="SDX" localSheetId="3">BlankMacro1</definedName>
    <definedName name="SDX" localSheetId="1">BlankMacro1</definedName>
    <definedName name="SDX">BlankMacro1</definedName>
    <definedName name="SDZFV">[75]부하계산서!#REF!</definedName>
    <definedName name="SE" localSheetId="3">BlankMacro1</definedName>
    <definedName name="SE" localSheetId="1">BlankMacro1</definedName>
    <definedName name="SE">BlankMacro1</definedName>
    <definedName name="SEGFDZRGREG" localSheetId="3">BlankMacro1</definedName>
    <definedName name="SEGFDZRGREG" localSheetId="1">BlankMacro1</definedName>
    <definedName name="SEGFDZRGREG">BlankMacro1</definedName>
    <definedName name="____SEL1">#N/A</definedName>
    <definedName name="selection">[22]근태계획서!$I$3:$Q$3</definedName>
    <definedName name="SER" localSheetId="3">BlankMacro1</definedName>
    <definedName name="SER" localSheetId="1">BlankMacro1</definedName>
    <definedName name="SER">BlankMacro1</definedName>
    <definedName name="ses" localSheetId="3">BlankMacro1</definedName>
    <definedName name="ses" localSheetId="1">BlankMacro1</definedName>
    <definedName name="ses">BlankMacro1</definedName>
    <definedName name="SET" localSheetId="3">BlankMacro1</definedName>
    <definedName name="SET" localSheetId="1">BlankMacro1</definedName>
    <definedName name="SET">BlankMacro1</definedName>
    <definedName name="seta" localSheetId="1">#REF!</definedName>
    <definedName name="seta">#REF!</definedName>
    <definedName name="seta3" localSheetId="1">#REF!</definedName>
    <definedName name="seta3">#REF!</definedName>
    <definedName name="seta4" localSheetId="1">#REF!</definedName>
    <definedName name="seta4">#REF!</definedName>
    <definedName name="seta5" localSheetId="1">#REF!</definedName>
    <definedName name="seta5">#REF!</definedName>
    <definedName name="seta6" localSheetId="1">#REF!</definedName>
    <definedName name="seta6">#REF!</definedName>
    <definedName name="seven">[22]버스운행안내!$I$8</definedName>
    <definedName name="SEW" localSheetId="3">BlankMacro1</definedName>
    <definedName name="SEW" localSheetId="1">BlankMacro1</definedName>
    <definedName name="SEW">BlankMacro1</definedName>
    <definedName name="SEZ" localSheetId="3">BlankMacro1</definedName>
    <definedName name="SEZ" localSheetId="1">BlankMacro1</definedName>
    <definedName name="SEZ">BlankMacro1</definedName>
    <definedName name="SF" localSheetId="3">BlankMacro1</definedName>
    <definedName name="SF" localSheetId="1">BlankMacro1</definedName>
    <definedName name="SF">BlankMacro1</definedName>
    <definedName name="SFDG" localSheetId="3">BlankMacro1</definedName>
    <definedName name="SFDG" localSheetId="1">BlankMacro1</definedName>
    <definedName name="SFDG">BlankMacro1</definedName>
    <definedName name="SFDGHG" localSheetId="3">BlankMacro1</definedName>
    <definedName name="SFDGHG" localSheetId="1">BlankMacro1</definedName>
    <definedName name="SFDGHG">BlankMacro1</definedName>
    <definedName name="SFFFFFWE" localSheetId="3">BlankMacro1</definedName>
    <definedName name="SFFFFFWE" localSheetId="1">BlankMacro1</definedName>
    <definedName name="SFFFFFWE">BlankMacro1</definedName>
    <definedName name="SFG" localSheetId="3">BlankMacro1</definedName>
    <definedName name="SFG" localSheetId="1">BlankMacro1</definedName>
    <definedName name="SFG">BlankMacro1</definedName>
    <definedName name="SfLower" localSheetId="1">#REF!</definedName>
    <definedName name="SfLower">#REF!</definedName>
    <definedName name="SfUpper" localSheetId="1">#REF!</definedName>
    <definedName name="SfUpper">#REF!</definedName>
    <definedName name="SFW" localSheetId="3">BlankMacro1</definedName>
    <definedName name="SFW" localSheetId="1">BlankMacro1</definedName>
    <definedName name="SFW">BlankMacro1</definedName>
    <definedName name="sfwe" localSheetId="3">BlankMacro1</definedName>
    <definedName name="sfwe" localSheetId="1">BlankMacro1</definedName>
    <definedName name="sfwe">BlankMacro1</definedName>
    <definedName name="sg" localSheetId="1">#REF!</definedName>
    <definedName name="sg">#REF!</definedName>
    <definedName name="sgge" localSheetId="3">BlankMacro1</definedName>
    <definedName name="sgge" localSheetId="1">BlankMacro1</definedName>
    <definedName name="sgge">BlankMacro1</definedName>
    <definedName name="SH" localSheetId="1">#REF!</definedName>
    <definedName name="SH">#REF!</definedName>
    <definedName name="__SH10">[84]현황산출서!#REF!</definedName>
    <definedName name="SH10L">[37]INPUT!#REF!</definedName>
    <definedName name="SH10R">[37]INPUT!#REF!</definedName>
    <definedName name="__SH11">[84]현황산출서!#REF!</definedName>
    <definedName name="__SH12">[84]현황산출서!#REF!</definedName>
    <definedName name="__SH13">[84]현황산출서!#REF!</definedName>
    <definedName name="__SH14">[84]현황산출서!#REF!</definedName>
    <definedName name="__SH15">[84]현황산출서!#REF!</definedName>
    <definedName name="__SH16">[84]현황산출서!#REF!</definedName>
    <definedName name="__SH17">[84]현황산출서!#REF!</definedName>
    <definedName name="__SH18">[84]현황산출서!#REF!</definedName>
    <definedName name="__SH19">[84]현황산출서!#REF!</definedName>
    <definedName name="__SH20">[84]현황산출서!#REF!</definedName>
    <definedName name="SH3L">[37]INPUT!#REF!</definedName>
    <definedName name="SH3R">[37]INPUT!#REF!</definedName>
    <definedName name="SH4L">[37]INPUT!#REF!</definedName>
    <definedName name="SH4R">[37]INPUT!#REF!</definedName>
    <definedName name="SH5L">[37]INPUT!#REF!</definedName>
    <definedName name="SH5R">[37]INPUT!#REF!</definedName>
    <definedName name="SH6L">[37]INPUT!#REF!</definedName>
    <definedName name="SH6R">[37]INPUT!#REF!</definedName>
    <definedName name="SH7L">[37]INPUT!#REF!</definedName>
    <definedName name="SH7R">[37]INPUT!#REF!</definedName>
    <definedName name="__SH8">[84]현황산출서!#REF!</definedName>
    <definedName name="SH8L">[37]INPUT!#REF!</definedName>
    <definedName name="SH8R">[37]INPUT!#REF!</definedName>
    <definedName name="__SH9">[84]현황산출서!#REF!</definedName>
    <definedName name="SH9L">[37]INPUT!#REF!</definedName>
    <definedName name="SH9R">[37]INPUT!#REF!</definedName>
    <definedName name="SHEET">#REF!</definedName>
    <definedName name="sheet1">#REF!</definedName>
    <definedName name="sheetName" localSheetId="1">#REF!</definedName>
    <definedName name="sheetName">#REF!</definedName>
    <definedName name="sheetNo" localSheetId="1">#REF!</definedName>
    <definedName name="sheetNo">#REF!</definedName>
    <definedName name="SheetNumber" localSheetId="1">#REF!</definedName>
    <definedName name="SheetNumber">#REF!</definedName>
    <definedName name="____SHH1">#REF!</definedName>
    <definedName name="_shh10" localSheetId="1">#REF!</definedName>
    <definedName name="____shh10">#REF!</definedName>
    <definedName name="_shh11" localSheetId="1">#REF!</definedName>
    <definedName name="____shh11">#REF!</definedName>
    <definedName name="_shh12" localSheetId="1">#REF!</definedName>
    <definedName name="____shh12">#REF!</definedName>
    <definedName name="_SHH13" localSheetId="1">#REF!</definedName>
    <definedName name="____SHH13">#REF!</definedName>
    <definedName name="____SHH2">#REF!</definedName>
    <definedName name="____SHH3">#REF!</definedName>
    <definedName name="_shh4" localSheetId="1">#REF!</definedName>
    <definedName name="____shh4">#REF!</definedName>
    <definedName name="_shh5" localSheetId="1">#REF!</definedName>
    <definedName name="____shh5">#REF!</definedName>
    <definedName name="_shh6" localSheetId="1">#REF!</definedName>
    <definedName name="____shh6">#REF!</definedName>
    <definedName name="_shh7" localSheetId="1">#REF!</definedName>
    <definedName name="____shh7">#REF!</definedName>
    <definedName name="_shh8" localSheetId="1">#REF!</definedName>
    <definedName name="____shh8">#REF!</definedName>
    <definedName name="_shh9" localSheetId="1">#REF!</definedName>
    <definedName name="____shh9">#REF!</definedName>
    <definedName name="SHOE10L">[41]INPUT!#REF!</definedName>
    <definedName name="SHOE10R">[41]INPUT!#REF!</definedName>
    <definedName name="SHOE3L">[41]INPUT!#REF!</definedName>
    <definedName name="SHOE3R">[41]INPUT!#REF!</definedName>
    <definedName name="SHOE4L">[41]INPUT!#REF!</definedName>
    <definedName name="SHOE4R">[41]INPUT!#REF!</definedName>
    <definedName name="SHOE5L">[41]INPUT!#REF!</definedName>
    <definedName name="SHOE5R">[41]INPUT!#REF!</definedName>
    <definedName name="SHOE6L">[41]INPUT!#REF!</definedName>
    <definedName name="SHOE6R">[41]INPUT!#REF!</definedName>
    <definedName name="SHOE7L">[41]INPUT!#REF!</definedName>
    <definedName name="SHOE7R">[41]INPUT!#REF!</definedName>
    <definedName name="SHOE8L">[41]INPUT!#REF!</definedName>
    <definedName name="SHOE8R">[41]INPUT!#REF!</definedName>
    <definedName name="SHOE9L">[41]INPUT!#REF!</definedName>
    <definedName name="SHOE9R">[41]INPUT!#REF!</definedName>
    <definedName name="SHT">#REF!</definedName>
    <definedName name="si">[51]단면설계!#REF!</definedName>
    <definedName name="sigma" localSheetId="1">#REF!</definedName>
    <definedName name="sigma">#REF!</definedName>
    <definedName name="sigmac" localSheetId="1">#REF!</definedName>
    <definedName name="sigmac">#REF!</definedName>
    <definedName name="sigmack">[73]안정검토!$O$45</definedName>
    <definedName name="SigmaL" localSheetId="1">#REF!</definedName>
    <definedName name="SigmaL">#REF!</definedName>
    <definedName name="sigmaLcon" localSheetId="1">#REF!</definedName>
    <definedName name="sigmaLcon">#REF!</definedName>
    <definedName name="sigmas" localSheetId="1">#REF!</definedName>
    <definedName name="sigmas">#REF!</definedName>
    <definedName name="sigmay">[51]단면설계!#REF!</definedName>
    <definedName name="SIL">[79]데이타!$R$23:$S$32</definedName>
    <definedName name="sinchook" localSheetId="1">#REF!</definedName>
    <definedName name="sinchook">#REF!</definedName>
    <definedName name="six">[22]버스운행안내!$H$8</definedName>
    <definedName name="sjg" localSheetId="1">#REF!</definedName>
    <definedName name="sjg">#REF!</definedName>
    <definedName name="SK">#REF!</definedName>
    <definedName name="SK10L">[41]INPUT!#REF!</definedName>
    <definedName name="SK10R">[41]INPUT!#REF!</definedName>
    <definedName name="SK3L">[41]INPUT!#REF!</definedName>
    <definedName name="SK3R">[41]INPUT!#REF!</definedName>
    <definedName name="SK4L">[41]INPUT!#REF!</definedName>
    <definedName name="SK4R">[41]INPUT!#REF!</definedName>
    <definedName name="SK5L">[41]INPUT!#REF!</definedName>
    <definedName name="SK5R">[41]INPUT!#REF!</definedName>
    <definedName name="SK6L">[41]INPUT!#REF!</definedName>
    <definedName name="SK6R">[41]INPUT!#REF!</definedName>
    <definedName name="SK7L">[41]INPUT!#REF!</definedName>
    <definedName name="SK7R">[41]INPUT!#REF!</definedName>
    <definedName name="SK8L">[41]INPUT!#REF!</definedName>
    <definedName name="SK8R">[41]INPUT!#REF!</definedName>
    <definedName name="SK9L">[41]INPUT!#REF!</definedName>
    <definedName name="SK9R">[41]INPUT!#REF!</definedName>
    <definedName name="SKE">#REF!</definedName>
    <definedName name="SKE10L">[41]INPUT!#REF!</definedName>
    <definedName name="SKE10R">[41]INPUT!#REF!</definedName>
    <definedName name="SKE3L">[41]INPUT!#REF!</definedName>
    <definedName name="SKE3R">[41]INPUT!#REF!</definedName>
    <definedName name="SKE4L">[41]INPUT!#REF!</definedName>
    <definedName name="SKE4R">[41]INPUT!#REF!</definedName>
    <definedName name="SKE5L">[41]INPUT!#REF!</definedName>
    <definedName name="SKE5R">[41]INPUT!#REF!</definedName>
    <definedName name="SKE6L">[41]INPUT!#REF!</definedName>
    <definedName name="SKE6R">[41]INPUT!#REF!</definedName>
    <definedName name="SKE7L">[41]INPUT!#REF!</definedName>
    <definedName name="SKE7R">[41]INPUT!#REF!</definedName>
    <definedName name="SKE8L">[41]INPUT!#REF!</definedName>
    <definedName name="SKE8R">[41]INPUT!#REF!</definedName>
    <definedName name="SKE9L">[41]INPUT!#REF!</definedName>
    <definedName name="SKE9R">[41]INPUT!#REF!</definedName>
    <definedName name="SKEW" localSheetId="1">#REF!</definedName>
    <definedName name="SKEW">#REF!</definedName>
    <definedName name="SKEW1" localSheetId="1">#REF!</definedName>
    <definedName name="SKEW1">#REF!</definedName>
    <definedName name="skew2" localSheetId="1">#REF!</definedName>
    <definedName name="skew2">#REF!</definedName>
    <definedName name="SKIN" localSheetId="1">#REF!</definedName>
    <definedName name="SKIN">#REF!</definedName>
    <definedName name="SLAB1" localSheetId="1">#REF!</definedName>
    <definedName name="SLAB1">#REF!</definedName>
    <definedName name="SLAB2" localSheetId="1">#REF!</definedName>
    <definedName name="SLAB2">#REF!</definedName>
    <definedName name="SLAB3" localSheetId="1">#REF!</definedName>
    <definedName name="SLAB3">#REF!</definedName>
    <definedName name="slab외측">[128]SLAB!#REF!</definedName>
    <definedName name="SLB" localSheetId="1">#REF!</definedName>
    <definedName name="SLB">#REF!</definedName>
    <definedName name="slh" localSheetId="1">#REF!</definedName>
    <definedName name="slh">#REF!</definedName>
    <definedName name="slkag" localSheetId="1">#REF!</definedName>
    <definedName name="slkag">#REF!</definedName>
    <definedName name="_SLL1" localSheetId="1">#REF!</definedName>
    <definedName name="____SLL1">#REF!</definedName>
    <definedName name="_SLL2" localSheetId="1">#REF!</definedName>
    <definedName name="____SLL2">#REF!</definedName>
    <definedName name="_SLL3" localSheetId="1">#REF!</definedName>
    <definedName name="____SLL3">#REF!</definedName>
    <definedName name="SLR" localSheetId="1">#REF!</definedName>
    <definedName name="SLR">#REF!</definedName>
    <definedName name="SMP" localSheetId="1">#REF!</definedName>
    <definedName name="SMP">#REF!</definedName>
    <definedName name="SOIL" localSheetId="1">#REF!</definedName>
    <definedName name="SOIL">#REF!</definedName>
    <definedName name="sort" hidden="1">#REF!</definedName>
    <definedName name="SPA" localSheetId="1">#REF!</definedName>
    <definedName name="SPA">#REF!</definedName>
    <definedName name="spce">#REF!</definedName>
    <definedName name="spcs">#REF!</definedName>
    <definedName name="sr" localSheetId="3">BlankMacro1</definedName>
    <definedName name="sr" localSheetId="1">BlankMacro1</definedName>
    <definedName name="sr">BlankMacro1</definedName>
    <definedName name="SRDBRE" localSheetId="3">BlankMacro1</definedName>
    <definedName name="SRDBRE" localSheetId="1">BlankMacro1</definedName>
    <definedName name="SRDBRE">BlankMacro1</definedName>
    <definedName name="ss">#REF!</definedName>
    <definedName name="SS10L">[41]INPUT!#REF!</definedName>
    <definedName name="SS10TR">[41]INPUT!#REF!</definedName>
    <definedName name="SS3L">[41]INPUT!#REF!</definedName>
    <definedName name="SS3R">[41]INPUT!#REF!</definedName>
    <definedName name="SS4L">[41]INPUT!#REF!</definedName>
    <definedName name="SS4R">[41]INPUT!#REF!</definedName>
    <definedName name="SS5L">[41]INPUT!#REF!</definedName>
    <definedName name="SS5R">[41]INPUT!#REF!</definedName>
    <definedName name="SS6L">[41]INPUT!#REF!</definedName>
    <definedName name="SS6R">[41]INPUT!#REF!</definedName>
    <definedName name="SS7L">[41]INPUT!#REF!</definedName>
    <definedName name="SS7R">[41]INPUT!#REF!</definedName>
    <definedName name="SS8L">[41]INPUT!#REF!</definedName>
    <definedName name="SS8R">[41]INPUT!#REF!</definedName>
    <definedName name="SS9L">[41]INPUT!#REF!</definedName>
    <definedName name="SS9R">[41]INPUT!#REF!</definedName>
    <definedName name="SSC10L">[41]INPUT!#REF!</definedName>
    <definedName name="SSC10R">[41]INPUT!#REF!</definedName>
    <definedName name="SSC3L">[41]INPUT!#REF!</definedName>
    <definedName name="SSC3R">[41]INPUT!#REF!</definedName>
    <definedName name="SSC4L">[41]INPUT!#REF!</definedName>
    <definedName name="SSC4R">[41]INPUT!#REF!</definedName>
    <definedName name="SSC5L">[41]INPUT!#REF!</definedName>
    <definedName name="SSC5R">[41]INPUT!#REF!</definedName>
    <definedName name="SSC6L">[41]INPUT!#REF!</definedName>
    <definedName name="SSC6R">[41]INPUT!#REF!</definedName>
    <definedName name="SSC7L">[41]INPUT!#REF!</definedName>
    <definedName name="SSC7R">[41]INPUT!#REF!</definedName>
    <definedName name="SSC8L">[41]INPUT!#REF!</definedName>
    <definedName name="SSC8R">[41]INPUT!#REF!</definedName>
    <definedName name="SSC9L">[41]INPUT!#REF!</definedName>
    <definedName name="SSC9R">[41]INPUT!#REF!</definedName>
    <definedName name="SSD" localSheetId="3">BlankMacro1</definedName>
    <definedName name="SSD" localSheetId="1">BlankMacro1</definedName>
    <definedName name="SSD">BlankMacro1</definedName>
    <definedName name="SSS">#REF!</definedName>
    <definedName name="SSSS">#REF!</definedName>
    <definedName name="SSSSS">#REF!</definedName>
    <definedName name="SSSSSS">#REF!</definedName>
    <definedName name="SST10L">[41]INPUT!#REF!</definedName>
    <definedName name="SST10R">[41]INPUT!#REF!</definedName>
    <definedName name="SST3L">[41]INPUT!#REF!</definedName>
    <definedName name="SST3R">[41]INPUT!#REF!</definedName>
    <definedName name="SST4L">[41]INPUT!#REF!</definedName>
    <definedName name="SST4R">[41]INPUT!#REF!</definedName>
    <definedName name="SST5L">[41]INPUT!#REF!</definedName>
    <definedName name="SST5R">[41]INPUT!#REF!</definedName>
    <definedName name="SST6L">[41]INPUT!#REF!</definedName>
    <definedName name="SST6R">[41]INPUT!#REF!</definedName>
    <definedName name="SST7L">[41]INPUT!#REF!</definedName>
    <definedName name="SST7R">[41]INPUT!#REF!</definedName>
    <definedName name="SST8L">[41]INPUT!#REF!</definedName>
    <definedName name="SST8R">[41]INPUT!#REF!</definedName>
    <definedName name="SST9L">[41]INPUT!#REF!</definedName>
    <definedName name="SST9R">[41]INPUT!#REF!</definedName>
    <definedName name="SSZ10XL">[41]INPUT!#REF!</definedName>
    <definedName name="SSZ10XR">[41]INPUT!#REF!</definedName>
    <definedName name="SSZ10YL">[41]INPUT!#REF!</definedName>
    <definedName name="SSZ10YR">[41]INPUT!#REF!</definedName>
    <definedName name="SSZ3XL">[41]INPUT!#REF!</definedName>
    <definedName name="SSZ3XR">[41]INPUT!#REF!</definedName>
    <definedName name="SSZ3YL">[41]INPUT!#REF!</definedName>
    <definedName name="SSZ3YR">[41]INPUT!#REF!</definedName>
    <definedName name="SSZ4XL">[41]INPUT!#REF!</definedName>
    <definedName name="SSZ4XR">[41]INPUT!#REF!</definedName>
    <definedName name="SSZ4YL">[41]INPUT!#REF!</definedName>
    <definedName name="SSZ4YR">[41]INPUT!#REF!</definedName>
    <definedName name="SSZ5XL">[41]INPUT!#REF!</definedName>
    <definedName name="SSZ5XR">[41]INPUT!#REF!</definedName>
    <definedName name="SSZ5YL">[41]INPUT!#REF!</definedName>
    <definedName name="SSZ5YR">[41]INPUT!#REF!</definedName>
    <definedName name="SSZ6XL">[41]INPUT!#REF!</definedName>
    <definedName name="SSZ6XR">[41]INPUT!#REF!</definedName>
    <definedName name="SSZ6YL">[41]INPUT!#REF!</definedName>
    <definedName name="SSZ6YR">[41]INPUT!#REF!</definedName>
    <definedName name="SSZ7XL">[41]INPUT!#REF!</definedName>
    <definedName name="SSZ7XR">[41]INPUT!#REF!</definedName>
    <definedName name="SSZ7YL">[41]INPUT!#REF!</definedName>
    <definedName name="SSZ7YR">[41]INPUT!#REF!</definedName>
    <definedName name="SSZ8XL">[41]INPUT!#REF!</definedName>
    <definedName name="SSZ8XR">[41]INPUT!#REF!</definedName>
    <definedName name="SSZ8YL">[41]INPUT!#REF!</definedName>
    <definedName name="SSZ8YR">[41]INPUT!#REF!</definedName>
    <definedName name="SSZ9XL">[41]INPUT!#REF!</definedName>
    <definedName name="SSZ9XR">[41]INPUT!#REF!</definedName>
    <definedName name="SSZ9YL">[41]INPUT!#REF!</definedName>
    <definedName name="SSZ9YR">[41]INPUT!#REF!</definedName>
    <definedName name="SSZQ10L">[41]INPUT!#REF!</definedName>
    <definedName name="SSZQ10R">[41]INPUT!#REF!</definedName>
    <definedName name="SSZQ3L">[41]INPUT!#REF!</definedName>
    <definedName name="SSZQ3R">[41]INPUT!#REF!</definedName>
    <definedName name="SSZQ4L">[41]INPUT!#REF!</definedName>
    <definedName name="SSZQ4R">[41]INPUT!#REF!</definedName>
    <definedName name="SSZQ5L">[41]INPUT!#REF!</definedName>
    <definedName name="SSZQ5R">[41]INPUT!#REF!</definedName>
    <definedName name="SSZQ6L">[41]INPUT!#REF!</definedName>
    <definedName name="SSZQ6R">[41]INPUT!#REF!</definedName>
    <definedName name="SSZQ7L">[41]INPUT!#REF!</definedName>
    <definedName name="SSZQ7R">[41]INPUT!#REF!</definedName>
    <definedName name="SSZQ8L">[41]INPUT!#REF!</definedName>
    <definedName name="SSZQ8R">[41]INPUT!#REF!</definedName>
    <definedName name="SSZQ9L">[41]INPUT!#REF!</definedName>
    <definedName name="SSZQ9R">[41]INPUT!#REF!</definedName>
    <definedName name="ST" localSheetId="1">#REF!</definedName>
    <definedName name="ST">#REF!</definedName>
    <definedName name="_ST1" localSheetId="1">#REF!</definedName>
    <definedName name="____ST1">#REF!</definedName>
    <definedName name="STA" localSheetId="1">#REF!</definedName>
    <definedName name="STA">#REF!</definedName>
    <definedName name="STB" localSheetId="1">#REF!</definedName>
    <definedName name="STB">#REF!</definedName>
    <definedName name="STRUT간격" localSheetId="1">#REF!</definedName>
    <definedName name="STRUT간격">#REF!</definedName>
    <definedName name="STRUT반력" localSheetId="1">#REF!</definedName>
    <definedName name="STRUT반력">#REF!</definedName>
    <definedName name="_STT1" localSheetId="1">#REF!</definedName>
    <definedName name="____STT1">#REF!</definedName>
    <definedName name="_STT2" localSheetId="1">#REF!</definedName>
    <definedName name="____STT2">#REF!</definedName>
    <definedName name="_STT3" localSheetId="1">#REF!</definedName>
    <definedName name="____STT3">#REF!</definedName>
    <definedName name="_STT4" localSheetId="1">#REF!</definedName>
    <definedName name="____STT4">#REF!</definedName>
    <definedName name="_STT5" localSheetId="1">#REF!</definedName>
    <definedName name="____STT5">#REF!</definedName>
    <definedName name="_STT6" localSheetId="1">#REF!</definedName>
    <definedName name="____STT6">#REF!</definedName>
    <definedName name="ST산출" localSheetId="3">[319]!BlankMacro1</definedName>
    <definedName name="ST산출" localSheetId="1">[319]!BlankMacro1</definedName>
    <definedName name="ST산출">[319]!BlankMacro1</definedName>
    <definedName name="sum">SUM('[130](A)내역서'!$C$148:$C$163)</definedName>
    <definedName name="SUM10L">[37]INPUT!#REF!</definedName>
    <definedName name="SUM10R">[37]INPUT!#REF!</definedName>
    <definedName name="SUM3L">[37]INPUT!#REF!</definedName>
    <definedName name="SUM3R">[37]INPUT!#REF!</definedName>
    <definedName name="SUM4L">[37]INPUT!#REF!</definedName>
    <definedName name="SUM4R">[37]INPUT!#REF!</definedName>
    <definedName name="SUM5L">[37]INPUT!#REF!</definedName>
    <definedName name="SUM5R">[37]INPUT!#REF!</definedName>
    <definedName name="SUM6L">[37]INPUT!#REF!</definedName>
    <definedName name="SUM6R">[37]INPUT!#REF!</definedName>
    <definedName name="SUM7L">[37]INPUT!#REF!</definedName>
    <definedName name="SUM7R">[37]INPUT!#REF!</definedName>
    <definedName name="SUM8L">[37]INPUT!#REF!</definedName>
    <definedName name="SUM8R">[37]INPUT!#REF!</definedName>
    <definedName name="SUM9L">[37]INPUT!#REF!</definedName>
    <definedName name="SUM9R">[37]INPUT!#REF!</definedName>
    <definedName name="SUP">#REF!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w">'[72]인건-측정'!#REF!</definedName>
    <definedName name="SWL">#REF!</definedName>
    <definedName name="SWR">#REF!</definedName>
    <definedName name="sx" localSheetId="3">BlankMacro1</definedName>
    <definedName name="sx" localSheetId="1">BlankMacro1</definedName>
    <definedName name="sx">BlankMacro1</definedName>
    <definedName name="SY" localSheetId="1">#REF!</definedName>
    <definedName name="SY">#REF!</definedName>
    <definedName name="S단면2차모멘트" localSheetId="1">#REF!</definedName>
    <definedName name="S단면2차모멘트">#REF!</definedName>
    <definedName name="s단면2차반경" localSheetId="1">#REF!</definedName>
    <definedName name="s단면2차반경">#REF!</definedName>
    <definedName name="S단면계수" localSheetId="1">#REF!</definedName>
    <definedName name="S단면계수">#REF!</definedName>
    <definedName name="S단면적" localSheetId="1">#REF!</definedName>
    <definedName name="S단면적">#REF!</definedName>
    <definedName name="S모멘트" localSheetId="1">#REF!</definedName>
    <definedName name="S모멘트">#REF!</definedName>
    <definedName name="S유효지간" localSheetId="1">#REF!</definedName>
    <definedName name="S유효지간">#REF!</definedName>
    <definedName name="S전단면적" localSheetId="1">#REF!</definedName>
    <definedName name="S전단면적">#REF!</definedName>
    <definedName name="S폭" localSheetId="1">#REF!</definedName>
    <definedName name="S폭">#REF!</definedName>
    <definedName name="T">#REF!</definedName>
    <definedName name="T10L">[37]INPUT!#REF!</definedName>
    <definedName name="T10R">[37]INPUT!#REF!</definedName>
    <definedName name="t1a2p">[48]INPUT!$I$45</definedName>
    <definedName name="T1L">[37]INPUT!$C$3</definedName>
    <definedName name="T1R">[37]INPUT!$E$3</definedName>
    <definedName name="T1S">#REF!</definedName>
    <definedName name="T1T" localSheetId="1">#REF!</definedName>
    <definedName name="T1T">#REF!</definedName>
    <definedName name="t2a2p">[48]INPUT!$I$46</definedName>
    <definedName name="T2L">[37]INPUT!$C$18</definedName>
    <definedName name="T2R">[37]INPUT!$E$18</definedName>
    <definedName name="T2S">#REF!</definedName>
    <definedName name="T2T" localSheetId="1">#REF!</definedName>
    <definedName name="T2T">#REF!</definedName>
    <definedName name="T3L">[37]INPUT!#REF!</definedName>
    <definedName name="T3R">[37]INPUT!#REF!</definedName>
    <definedName name="T3S">#REF!</definedName>
    <definedName name="T3T" localSheetId="1">#REF!</definedName>
    <definedName name="T3T">#REF!</definedName>
    <definedName name="T4L">[37]INPUT!#REF!</definedName>
    <definedName name="T4R">[37]INPUT!#REF!</definedName>
    <definedName name="T5L">[37]INPUT!#REF!</definedName>
    <definedName name="T5R">[37]INPUT!#REF!</definedName>
    <definedName name="T6L">[37]INPUT!#REF!</definedName>
    <definedName name="T6R">[37]INPUT!#REF!</definedName>
    <definedName name="T7L">[37]INPUT!#REF!</definedName>
    <definedName name="T7R">[37]INPUT!#REF!</definedName>
    <definedName name="T8L">[37]INPUT!#REF!</definedName>
    <definedName name="T8R">[37]INPUT!#REF!</definedName>
    <definedName name="T9L">[37]INPUT!#REF!</definedName>
    <definedName name="T9R">[37]INPUT!#REF!</definedName>
    <definedName name="TA" localSheetId="1">#REF!</definedName>
    <definedName name="TA">#REF!</definedName>
    <definedName name="ta2p">[48]INPUT!$I$44</definedName>
    <definedName name="TAK" localSheetId="1">#REF!</definedName>
    <definedName name="TAK">#REF!</definedName>
    <definedName name="_tbb1" localSheetId="1">#REF!</definedName>
    <definedName name="____tbb1">#REF!</definedName>
    <definedName name="_tbb2" localSheetId="1">#REF!</definedName>
    <definedName name="____tbb2">#REF!</definedName>
    <definedName name="_tbb3" localSheetId="1">#REF!</definedName>
    <definedName name="____tbb3">#REF!</definedName>
    <definedName name="_tbb4" localSheetId="1">#REF!</definedName>
    <definedName name="____tbb4">#REF!</definedName>
    <definedName name="_tbb5" localSheetId="1">#REF!</definedName>
    <definedName name="____tbb5">#REF!</definedName>
    <definedName name="_tbb6" localSheetId="1">#REF!</definedName>
    <definedName name="____tbb6">#REF!</definedName>
    <definedName name="_tbb7" localSheetId="1">#REF!</definedName>
    <definedName name="____tbb7">#REF!</definedName>
    <definedName name="TBM" localSheetId="1">#REF!</definedName>
    <definedName name="TBM">#REF!</definedName>
    <definedName name="Tc" localSheetId="1">#REF!</definedName>
    <definedName name="Tc">#REF!</definedName>
    <definedName name="TD" localSheetId="1">#REF!</definedName>
    <definedName name="TD">#REF!</definedName>
    <definedName name="TDcon" localSheetId="1">#REF!</definedName>
    <definedName name="TDcon">#REF!</definedName>
    <definedName name="TE" localSheetId="1">#REF!</definedName>
    <definedName name="TE">#REF!</definedName>
    <definedName name="text1">[131]가도공!#REF!</definedName>
    <definedName name="Tf" localSheetId="1">#REF!</definedName>
    <definedName name="Tf">#REF!</definedName>
    <definedName name="TG" localSheetId="3">BlankMacro1</definedName>
    <definedName name="TG" localSheetId="1">BlankMacro1</definedName>
    <definedName name="TG">BlankMacro1</definedName>
    <definedName name="THGB" localSheetId="3">BlankMacro1</definedName>
    <definedName name="THGB" localSheetId="1">BlankMacro1</definedName>
    <definedName name="THGB">BlankMacro1</definedName>
    <definedName name="three">[22]버스운행안내!$E$8</definedName>
    <definedName name="ths">#REF!</definedName>
    <definedName name="TL" localSheetId="1">#REF!</definedName>
    <definedName name="TL">#REF!</definedName>
    <definedName name="TMO">#REF!</definedName>
    <definedName name="TON" localSheetId="1">#REF!</definedName>
    <definedName name="TON">#REF!</definedName>
    <definedName name="_TON1" localSheetId="1">#REF!</definedName>
    <definedName name="____TON1">#REF!</definedName>
    <definedName name="_TON2" localSheetId="1">#REF!</definedName>
    <definedName name="____TON2">#REF!</definedName>
    <definedName name="TotalH">[50]역T형!$B$117</definedName>
    <definedName name="tothe">#REF!</definedName>
    <definedName name="toths">#REF!</definedName>
    <definedName name="TR_R">#REF!</definedName>
    <definedName name="TR_X">#REF!</definedName>
    <definedName name="tree" hidden="1">{#N/A,#N/A,FALSE,"포장1";#N/A,#N/A,FALSE,"포장1"}</definedName>
    <definedName name="TRT" localSheetId="3">BlankMacro1</definedName>
    <definedName name="TRT" localSheetId="1">BlankMacro1</definedName>
    <definedName name="TRT">BlankMacro1</definedName>
    <definedName name="TS" localSheetId="1">#REF!</definedName>
    <definedName name="TS">#REF!</definedName>
    <definedName name="TSS" localSheetId="1">#REF!</definedName>
    <definedName name="TSS">#REF!</definedName>
    <definedName name="tt" localSheetId="1">{"Book1","부대-(표지판,데리,가드).xls","부대-(낙,차,중분대).xls"}</definedName>
    <definedName name="tt">{"Book1","부대-(표지판,데리,가드).xls","부대-(낙,차,중분대).xls"}</definedName>
    <definedName name="TTT">#REF!</definedName>
    <definedName name="tttttttyu">[41]INPUT!#REF!</definedName>
    <definedName name="TUYT" localSheetId="3">BlankMacro1</definedName>
    <definedName name="TUYT" localSheetId="1">BlankMacro1</definedName>
    <definedName name="TUYT">BlankMacro1</definedName>
    <definedName name="TW">#REF!</definedName>
    <definedName name="twa1e">#REF!</definedName>
    <definedName name="twa1s">#REF!</definedName>
    <definedName name="TwallLen1">[50]역T형!$I$112</definedName>
    <definedName name="TwallLen2">[50]역T형!$L$112</definedName>
    <definedName name="TwallLen3">[50]역T형!$N$112</definedName>
    <definedName name="twb1e">#REF!</definedName>
    <definedName name="twb1s">#REF!</definedName>
    <definedName name="twb2e">#REF!</definedName>
    <definedName name="twb2s">#REF!</definedName>
    <definedName name="twb3e">#REF!</definedName>
    <definedName name="twb3s">#REF!</definedName>
    <definedName name="twh1e">#REF!</definedName>
    <definedName name="twh1s">#REF!</definedName>
    <definedName name="twh2e">#REF!</definedName>
    <definedName name="twh2s">#REF!</definedName>
    <definedName name="twh3e">#REF!</definedName>
    <definedName name="twh3s">#REF!</definedName>
    <definedName name="TWL">#REF!</definedName>
    <definedName name="two">[22]버스운행안내!$D$8</definedName>
    <definedName name="TWR">#REF!</definedName>
    <definedName name="TWW" localSheetId="1">#REF!</definedName>
    <definedName name="TWW">#REF!</definedName>
    <definedName name="ty" localSheetId="3">BlankMacro1</definedName>
    <definedName name="ty" localSheetId="1">BlankMacro1</definedName>
    <definedName name="ty">BlankMacro1</definedName>
    <definedName name="_Ty1" localSheetId="1">#REF!</definedName>
    <definedName name="____Ty1">#REF!</definedName>
    <definedName name="Ty1H1" localSheetId="1">#REF!</definedName>
    <definedName name="Ty1H1">#REF!</definedName>
    <definedName name="Ty1H2" localSheetId="1">#REF!</definedName>
    <definedName name="Ty1H2">#REF!</definedName>
    <definedName name="Ty1H3" localSheetId="1">#REF!</definedName>
    <definedName name="Ty1H3">#REF!</definedName>
    <definedName name="Ty1Hun1" localSheetId="1">#REF!</definedName>
    <definedName name="Ty1Hun1">#REF!</definedName>
    <definedName name="Ty1Hun2" localSheetId="1">#REF!</definedName>
    <definedName name="Ty1Hun2">#REF!</definedName>
    <definedName name="Ty1K1" localSheetId="1">#REF!</definedName>
    <definedName name="Ty1K1">#REF!</definedName>
    <definedName name="Ty1K2" localSheetId="1">#REF!</definedName>
    <definedName name="Ty1K2">#REF!</definedName>
    <definedName name="Ty1L1" localSheetId="1">#REF!</definedName>
    <definedName name="Ty1L1">#REF!</definedName>
    <definedName name="Ty1L2" localSheetId="1">#REF!</definedName>
    <definedName name="Ty1L2">#REF!</definedName>
    <definedName name="Ty1L3" localSheetId="1">#REF!</definedName>
    <definedName name="Ty1L3">#REF!</definedName>
    <definedName name="Ty1L4" localSheetId="1">#REF!</definedName>
    <definedName name="Ty1L4">#REF!</definedName>
    <definedName name="Ty1L5" localSheetId="1">#REF!</definedName>
    <definedName name="Ty1L5">#REF!</definedName>
    <definedName name="Ty1L6" localSheetId="1">#REF!</definedName>
    <definedName name="Ty1L6">#REF!</definedName>
    <definedName name="Ty1TH" localSheetId="1">#REF!</definedName>
    <definedName name="Ty1TH">#REF!</definedName>
    <definedName name="Ty1TL" localSheetId="1">#REF!</definedName>
    <definedName name="Ty1TL">#REF!</definedName>
    <definedName name="_Ty2" localSheetId="1">#REF!</definedName>
    <definedName name="____Ty2">#REF!</definedName>
    <definedName name="Ty2H1" localSheetId="1">#REF!</definedName>
    <definedName name="Ty2H1">#REF!</definedName>
    <definedName name="Ty2H2" localSheetId="1">#REF!</definedName>
    <definedName name="Ty2H2">#REF!</definedName>
    <definedName name="Ty2H3" localSheetId="1">#REF!</definedName>
    <definedName name="Ty2H3">#REF!</definedName>
    <definedName name="Ty2Hun1" localSheetId="1">#REF!</definedName>
    <definedName name="Ty2Hun1">#REF!</definedName>
    <definedName name="Ty2Hun2" localSheetId="1">#REF!</definedName>
    <definedName name="Ty2Hun2">#REF!</definedName>
    <definedName name="Ty2K1" localSheetId="1">#REF!</definedName>
    <definedName name="Ty2K1">#REF!</definedName>
    <definedName name="Ty2K2" localSheetId="1">#REF!</definedName>
    <definedName name="Ty2K2">#REF!</definedName>
    <definedName name="Ty2L1" localSheetId="1">#REF!</definedName>
    <definedName name="Ty2L1">#REF!</definedName>
    <definedName name="Ty2L2" localSheetId="1">#REF!</definedName>
    <definedName name="Ty2L2">#REF!</definedName>
    <definedName name="Ty2L3" localSheetId="1">#REF!</definedName>
    <definedName name="Ty2L3">#REF!</definedName>
    <definedName name="Ty2L4" localSheetId="1">#REF!</definedName>
    <definedName name="Ty2L4">#REF!</definedName>
    <definedName name="Ty2L5" localSheetId="1">#REF!</definedName>
    <definedName name="Ty2L5">#REF!</definedName>
    <definedName name="Ty2L6" localSheetId="1">#REF!</definedName>
    <definedName name="Ty2L6">#REF!</definedName>
    <definedName name="Ty2TH" localSheetId="1">#REF!</definedName>
    <definedName name="Ty2TH">#REF!</definedName>
    <definedName name="Ty2TL" localSheetId="1">#REF!</definedName>
    <definedName name="Ty2TL">#REF!</definedName>
    <definedName name="tyg">[75]부하계산서!#REF!</definedName>
    <definedName name="tyj">[75]부하계산서!#REF!</definedName>
    <definedName name="TYPE" localSheetId="1">#REF!</definedName>
    <definedName name="TYPE">#REF!</definedName>
    <definedName name="tyrrt" localSheetId="3">BlankMacro1</definedName>
    <definedName name="tyrrt" localSheetId="1">BlankMacro1</definedName>
    <definedName name="tyrrt">BlankMacro1</definedName>
    <definedName name="TYSEDRGS" localSheetId="3">BlankMacro1</definedName>
    <definedName name="TYSEDRGS" localSheetId="1">BlankMacro1</definedName>
    <definedName name="TYSEDRGS">BlankMacro1</definedName>
    <definedName name="TYT" localSheetId="3">BlankMacro1</definedName>
    <definedName name="TYT" localSheetId="1">BlankMacro1</definedName>
    <definedName name="TYT">BlankMacro1</definedName>
    <definedName name="tyth" hidden="1">{#N/A,#N/A,FALSE,"포장1";#N/A,#N/A,FALSE,"포장1"}</definedName>
    <definedName name="T자R10">[133]계수시트!$B$19</definedName>
    <definedName name="T자R15">[133]계수시트!$B$17</definedName>
    <definedName name="T자R20">[133]계수시트!$B$16</definedName>
    <definedName name="T자R5">[133]계수시트!$B$23</definedName>
    <definedName name="T자R6">[133]계수시트!$B$22</definedName>
    <definedName name="T자R7">[133]계수시트!$B$21</definedName>
    <definedName name="T자R8">[133]계수시트!$B$20</definedName>
    <definedName name="T자W0.3">[133]계수시트!$B$24</definedName>
    <definedName name="T자W0.4">[133]계수시트!$B$25</definedName>
    <definedName name="T자W0.5">[133]계수시트!$B$26</definedName>
    <definedName name="T자W0.6">[133]계수시트!$B$27</definedName>
    <definedName name="T자W0.8">[133]계수시트!$B$28</definedName>
    <definedName name="T자W1.0">[133]계수시트!$B$29</definedName>
    <definedName name="T자W1.2">[133]계수시트!$B$30</definedName>
    <definedName name="u">'[90]부하(성남)'!#REF!</definedName>
    <definedName name="ui" hidden="1">{#N/A,#N/A,FALSE,"배수2"}</definedName>
    <definedName name="UIV" localSheetId="1">#REF!</definedName>
    <definedName name="UIV">#REF!</definedName>
    <definedName name="UJI">[134]DATE!$I$24:$I$85</definedName>
    <definedName name="UJJ" localSheetId="3">BlankMacro1</definedName>
    <definedName name="UJJ" localSheetId="1">BlankMacro1</definedName>
    <definedName name="UJJ">BlankMacro1</definedName>
    <definedName name="UL" localSheetId="1">#REF!</definedName>
    <definedName name="UL">#REF!</definedName>
    <definedName name="UNITA">[20]부하계산서!#REF!</definedName>
    <definedName name="UNITAA">[20]부하계산서!#REF!</definedName>
    <definedName name="UNITB">[20]부하계산서!#REF!</definedName>
    <definedName name="UNITBB">[20]부하계산서!#REF!</definedName>
    <definedName name="UNITC">[20]부하계산서!#REF!</definedName>
    <definedName name="UNITC1">[20]부하계산서!#REF!</definedName>
    <definedName name="UNITCA">[20]부하계산서!#REF!</definedName>
    <definedName name="UNITD">[20]부하계산서!#REF!</definedName>
    <definedName name="UNITDA">[20]부하계산서!#REF!</definedName>
    <definedName name="uo">[75]부하계산서!#REF!</definedName>
    <definedName name="uoihvw" localSheetId="1">#REF!</definedName>
    <definedName name="uoihvw">#REF!</definedName>
    <definedName name="__UP1">[20]부하계산서!#REF!</definedName>
    <definedName name="__UP2">[20]부하계산서!#REF!</definedName>
    <definedName name="UPSR">[20]부하계산서!#REF!</definedName>
    <definedName name="UU">#REF!</definedName>
    <definedName name="UUI" localSheetId="3">BlankMacro1</definedName>
    <definedName name="UUI" localSheetId="1">BlankMacro1</definedName>
    <definedName name="UUI">BlankMacro1</definedName>
    <definedName name="UY">#REF!</definedName>
    <definedName name="uyijh" localSheetId="3">BlankMacro1</definedName>
    <definedName name="uyijh" localSheetId="1">BlankMacro1</definedName>
    <definedName name="uyijh">BlankMacro1</definedName>
    <definedName name="UYIJRTFY" localSheetId="3">BlankMacro1</definedName>
    <definedName name="UYIJRTFY" localSheetId="1">BlankMacro1</definedName>
    <definedName name="UYIJRTFY">BlankMacro1</definedName>
    <definedName name="uyiy" localSheetId="3">BlankMacro1</definedName>
    <definedName name="uyiy" localSheetId="1">BlankMacro1</definedName>
    <definedName name="uyiy">BlankMacro1</definedName>
    <definedName name="uyky" hidden="1">{#N/A,#N/A,FALSE,"배수2"}</definedName>
    <definedName name="U측구">#REF!</definedName>
    <definedName name="U형수로">'[135]집수정(600-700)'!$P$4</definedName>
    <definedName name="V" localSheetId="3">BlankMacro1</definedName>
    <definedName name="V" localSheetId="1">BlankMacro1</definedName>
    <definedName name="V">BlankMacro1</definedName>
    <definedName name="v6a" localSheetId="1">#REF!</definedName>
    <definedName name="v6a">#REF!</definedName>
    <definedName name="va" hidden="1">{#N/A,#N/A,FALSE,"배수2"}</definedName>
    <definedName name="VAESFV" localSheetId="3">BlankMacro1</definedName>
    <definedName name="VAESFV" localSheetId="1">BlankMacro1</definedName>
    <definedName name="VAESFV">BlankMacro1</definedName>
    <definedName name="VB">#REF!</definedName>
    <definedName name="VB_2">'[35]IMPEADENCE MAP 취수장'!#REF!</definedName>
    <definedName name="vbmnm" localSheetId="3">BlankMacro1</definedName>
    <definedName name="vbmnm" localSheetId="1">BlankMacro1</definedName>
    <definedName name="vbmnm">BlankMacro1</definedName>
    <definedName name="VBN" localSheetId="3">BlankMacro1</definedName>
    <definedName name="VBN" localSheetId="1">BlankMacro1</definedName>
    <definedName name="VBN">BlankMacro1</definedName>
    <definedName name="vbnvb" localSheetId="3">BlankMacro1</definedName>
    <definedName name="vbnvb" localSheetId="1">BlankMacro1</definedName>
    <definedName name="vbnvb">BlankMacro1</definedName>
    <definedName name="VC" localSheetId="3">BlankMacro1</definedName>
    <definedName name="VC" localSheetId="1">BlankMacro1</definedName>
    <definedName name="VC">BlankMacro1</definedName>
    <definedName name="vcbc" localSheetId="3">BlankMacro1</definedName>
    <definedName name="vcbc" localSheetId="1">BlankMacro1</definedName>
    <definedName name="vcbc">BlankMacro1</definedName>
    <definedName name="vcbcvbdf" localSheetId="3">BlankMacro1</definedName>
    <definedName name="vcbcvbdf" localSheetId="1">BlankMacro1</definedName>
    <definedName name="vcbcvbdf">BlankMacro1</definedName>
    <definedName name="vd">'[14]H-pile(298x299)'!#REF!</definedName>
    <definedName name="vddf" localSheetId="3">BlankMacro1</definedName>
    <definedName name="vddf" localSheetId="1">BlankMacro1</definedName>
    <definedName name="vddf">BlankMacro1</definedName>
    <definedName name="vel">'[14]H-pile(298x299)'!#REF!</definedName>
    <definedName name="VG" localSheetId="3">BlankMacro1</definedName>
    <definedName name="VG" localSheetId="1">BlankMacro1</definedName>
    <definedName name="VG">BlankMacro1</definedName>
    <definedName name="VGN" localSheetId="3">BlankMacro1</definedName>
    <definedName name="VGN" localSheetId="1">BlankMacro1</definedName>
    <definedName name="VGN">BlankMacro1</definedName>
    <definedName name="VHB" localSheetId="3">BlankMacro1</definedName>
    <definedName name="VHB" localSheetId="1">BlankMacro1</definedName>
    <definedName name="VHB">BlankMacro1</definedName>
    <definedName name="vl">'[14]H-pile(298x299)'!#REF!</definedName>
    <definedName name="VMAX" localSheetId="1">#REF!</definedName>
    <definedName name="VMAX">#REF!</definedName>
    <definedName name="VRT" localSheetId="3">BlankMacro1</definedName>
    <definedName name="VRT" localSheetId="1">BlankMacro1</definedName>
    <definedName name="VRT">BlankMacro1</definedName>
    <definedName name="VS" localSheetId="3">BlankMacro1</definedName>
    <definedName name="VS" localSheetId="1">BlankMacro1</definedName>
    <definedName name="VS">BlankMacro1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U" localSheetId="3">BlankMacro1</definedName>
    <definedName name="VU" localSheetId="1">BlankMacro1</definedName>
    <definedName name="VU">BlankMacro1</definedName>
    <definedName name="vv" hidden="1">{#N/A,#N/A,FALSE,"구조1"}</definedName>
    <definedName name="VVV">#REF!</definedName>
    <definedName name="VX" localSheetId="3">BlankMacro1</definedName>
    <definedName name="VX" localSheetId="1">BlankMacro1</definedName>
    <definedName name="VX">BlankMacro1</definedName>
    <definedName name="VY" localSheetId="3">BlankMacro1</definedName>
    <definedName name="VY" localSheetId="1">BlankMacro1</definedName>
    <definedName name="VY">BlankMacro1</definedName>
    <definedName name="W" localSheetId="3">BlankMacro1</definedName>
    <definedName name="W" localSheetId="1">BlankMacro1</definedName>
    <definedName name="W">BlankMacro1</definedName>
    <definedName name="W10H" localSheetId="1">#REF!</definedName>
    <definedName name="W10H">#REF!</definedName>
    <definedName name="W10H1" localSheetId="1">#REF!</definedName>
    <definedName name="W10H1">#REF!</definedName>
    <definedName name="W10H10" localSheetId="1">#REF!</definedName>
    <definedName name="W10H10">#REF!</definedName>
    <definedName name="W10H2" localSheetId="1">#REF!</definedName>
    <definedName name="W10H2">#REF!</definedName>
    <definedName name="W10H3" localSheetId="1">#REF!</definedName>
    <definedName name="W10H3">#REF!</definedName>
    <definedName name="W10H4" localSheetId="1">#REF!</definedName>
    <definedName name="W10H4">#REF!</definedName>
    <definedName name="W10H5" localSheetId="1">#REF!</definedName>
    <definedName name="W10H5">#REF!</definedName>
    <definedName name="W10H6" localSheetId="1">#REF!</definedName>
    <definedName name="W10H6">#REF!</definedName>
    <definedName name="W10H7" localSheetId="1">#REF!</definedName>
    <definedName name="W10H7">#REF!</definedName>
    <definedName name="W10H8" localSheetId="1">#REF!</definedName>
    <definedName name="W10H8">#REF!</definedName>
    <definedName name="W10H9" localSheetId="1">#REF!</definedName>
    <definedName name="W10H9">#REF!</definedName>
    <definedName name="W10L">[37]INPUT!#REF!</definedName>
    <definedName name="W10R">[37]INPUT!#REF!</definedName>
    <definedName name="W11H1" localSheetId="1">#REF!</definedName>
    <definedName name="W11H1">#REF!</definedName>
    <definedName name="W11H10" localSheetId="1">#REF!</definedName>
    <definedName name="W11H10">#REF!</definedName>
    <definedName name="W11H2" localSheetId="1">#REF!</definedName>
    <definedName name="W11H2">#REF!</definedName>
    <definedName name="W11H3" localSheetId="1">#REF!</definedName>
    <definedName name="W11H3">#REF!</definedName>
    <definedName name="W11H4" localSheetId="1">#REF!</definedName>
    <definedName name="W11H4">#REF!</definedName>
    <definedName name="W11H5" localSheetId="1">#REF!</definedName>
    <definedName name="W11H5">#REF!</definedName>
    <definedName name="W11H6" localSheetId="1">#REF!</definedName>
    <definedName name="W11H6">#REF!</definedName>
    <definedName name="W11H7" localSheetId="1">#REF!</definedName>
    <definedName name="W11H7">#REF!</definedName>
    <definedName name="W11H8" localSheetId="1">#REF!</definedName>
    <definedName name="W11H8">#REF!</definedName>
    <definedName name="W11H9" localSheetId="1">#REF!</definedName>
    <definedName name="W11H9">#REF!</definedName>
    <definedName name="W12H1" localSheetId="1">#REF!</definedName>
    <definedName name="W12H1">#REF!</definedName>
    <definedName name="W12H10" localSheetId="1">#REF!</definedName>
    <definedName name="W12H10">#REF!</definedName>
    <definedName name="W12H2" localSheetId="1">#REF!</definedName>
    <definedName name="W12H2">#REF!</definedName>
    <definedName name="W12H3" localSheetId="1">#REF!</definedName>
    <definedName name="W12H3">#REF!</definedName>
    <definedName name="W12H4" localSheetId="1">#REF!</definedName>
    <definedName name="W12H4">#REF!</definedName>
    <definedName name="W12H5" localSheetId="1">#REF!</definedName>
    <definedName name="W12H5">#REF!</definedName>
    <definedName name="W12H6" localSheetId="1">#REF!</definedName>
    <definedName name="W12H6">#REF!</definedName>
    <definedName name="W12H7" localSheetId="1">#REF!</definedName>
    <definedName name="W12H7">#REF!</definedName>
    <definedName name="W12H8" localSheetId="1">#REF!</definedName>
    <definedName name="W12H8">#REF!</definedName>
    <definedName name="W12H9" localSheetId="1">#REF!</definedName>
    <definedName name="W12H9">#REF!</definedName>
    <definedName name="W13H1" localSheetId="1">#REF!</definedName>
    <definedName name="W13H1">#REF!</definedName>
    <definedName name="W13H10" localSheetId="1">#REF!</definedName>
    <definedName name="W13H10">#REF!</definedName>
    <definedName name="W13H2" localSheetId="1">#REF!</definedName>
    <definedName name="W13H2">#REF!</definedName>
    <definedName name="W13H3" localSheetId="1">#REF!</definedName>
    <definedName name="W13H3">#REF!</definedName>
    <definedName name="W13H4" localSheetId="1">#REF!</definedName>
    <definedName name="W13H4">#REF!</definedName>
    <definedName name="W13H5" localSheetId="1">#REF!</definedName>
    <definedName name="W13H5">#REF!</definedName>
    <definedName name="W13H6" localSheetId="1">#REF!</definedName>
    <definedName name="W13H6">#REF!</definedName>
    <definedName name="W13H7" localSheetId="1">#REF!</definedName>
    <definedName name="W13H7">#REF!</definedName>
    <definedName name="W13H8" localSheetId="1">#REF!</definedName>
    <definedName name="W13H8">#REF!</definedName>
    <definedName name="W13H9" localSheetId="1">#REF!</definedName>
    <definedName name="W13H9">#REF!</definedName>
    <definedName name="W14H1" localSheetId="1">#REF!</definedName>
    <definedName name="W14H1">#REF!</definedName>
    <definedName name="W14H10" localSheetId="1">#REF!</definedName>
    <definedName name="W14H10">#REF!</definedName>
    <definedName name="W14H2" localSheetId="1">#REF!</definedName>
    <definedName name="W14H2">#REF!</definedName>
    <definedName name="W14H3" localSheetId="1">#REF!</definedName>
    <definedName name="W14H3">#REF!</definedName>
    <definedName name="W14H4" localSheetId="1">#REF!</definedName>
    <definedName name="W14H4">#REF!</definedName>
    <definedName name="W14H5" localSheetId="1">#REF!</definedName>
    <definedName name="W14H5">#REF!</definedName>
    <definedName name="W14H6" localSheetId="1">#REF!</definedName>
    <definedName name="W14H6">#REF!</definedName>
    <definedName name="W14H7" localSheetId="1">#REF!</definedName>
    <definedName name="W14H7">#REF!</definedName>
    <definedName name="W14H8" localSheetId="1">#REF!</definedName>
    <definedName name="W14H8">#REF!</definedName>
    <definedName name="W14H9" localSheetId="1">#REF!</definedName>
    <definedName name="W14H9">#REF!</definedName>
    <definedName name="W15H1" localSheetId="1">#REF!</definedName>
    <definedName name="W15H1">#REF!</definedName>
    <definedName name="W15H10" localSheetId="1">#REF!</definedName>
    <definedName name="W15H10">#REF!</definedName>
    <definedName name="W15H2" localSheetId="1">#REF!</definedName>
    <definedName name="W15H2">#REF!</definedName>
    <definedName name="W15H3" localSheetId="1">#REF!</definedName>
    <definedName name="W15H3">#REF!</definedName>
    <definedName name="W15H4" localSheetId="1">#REF!</definedName>
    <definedName name="W15H4">#REF!</definedName>
    <definedName name="W15H5" localSheetId="1">#REF!</definedName>
    <definedName name="W15H5">#REF!</definedName>
    <definedName name="W15H6" localSheetId="1">#REF!</definedName>
    <definedName name="W15H6">#REF!</definedName>
    <definedName name="W15H7" localSheetId="1">#REF!</definedName>
    <definedName name="W15H7">#REF!</definedName>
    <definedName name="W15H8" localSheetId="1">#REF!</definedName>
    <definedName name="W15H8">#REF!</definedName>
    <definedName name="W15H9" localSheetId="1">#REF!</definedName>
    <definedName name="W15H9">#REF!</definedName>
    <definedName name="W16H1" localSheetId="1">#REF!</definedName>
    <definedName name="W16H1">#REF!</definedName>
    <definedName name="W16H10" localSheetId="1">#REF!</definedName>
    <definedName name="W16H10">#REF!</definedName>
    <definedName name="W16H2" localSheetId="1">#REF!</definedName>
    <definedName name="W16H2">#REF!</definedName>
    <definedName name="W16H3" localSheetId="1">#REF!</definedName>
    <definedName name="W16H3">#REF!</definedName>
    <definedName name="W16H4" localSheetId="1">#REF!</definedName>
    <definedName name="W16H4">#REF!</definedName>
    <definedName name="W16H5" localSheetId="1">#REF!</definedName>
    <definedName name="W16H5">#REF!</definedName>
    <definedName name="W16H6" localSheetId="1">#REF!</definedName>
    <definedName name="W16H6">#REF!</definedName>
    <definedName name="W16H7" localSheetId="1">#REF!</definedName>
    <definedName name="W16H7">#REF!</definedName>
    <definedName name="W16H8" localSheetId="1">#REF!</definedName>
    <definedName name="W16H8">#REF!</definedName>
    <definedName name="W16H9" localSheetId="1">#REF!</definedName>
    <definedName name="W16H9">#REF!</definedName>
    <definedName name="W17H1" localSheetId="1">#REF!</definedName>
    <definedName name="W17H1">#REF!</definedName>
    <definedName name="W17H10" localSheetId="1">#REF!</definedName>
    <definedName name="W17H10">#REF!</definedName>
    <definedName name="W17H2" localSheetId="1">#REF!</definedName>
    <definedName name="W17H2">#REF!</definedName>
    <definedName name="W17H3" localSheetId="1">#REF!</definedName>
    <definedName name="W17H3">#REF!</definedName>
    <definedName name="W17H4" localSheetId="1">#REF!</definedName>
    <definedName name="W17H4">#REF!</definedName>
    <definedName name="W17H5" localSheetId="1">#REF!</definedName>
    <definedName name="W17H5">#REF!</definedName>
    <definedName name="W17H6" localSheetId="1">#REF!</definedName>
    <definedName name="W17H6">#REF!</definedName>
    <definedName name="W17H7" localSheetId="1">#REF!</definedName>
    <definedName name="W17H7">#REF!</definedName>
    <definedName name="W17H8" localSheetId="1">#REF!</definedName>
    <definedName name="W17H8">#REF!</definedName>
    <definedName name="W17H9" localSheetId="1">#REF!</definedName>
    <definedName name="W17H9">#REF!</definedName>
    <definedName name="W18H1" localSheetId="1">#REF!</definedName>
    <definedName name="W18H1">#REF!</definedName>
    <definedName name="W18H10" localSheetId="1">#REF!</definedName>
    <definedName name="W18H10">#REF!</definedName>
    <definedName name="W18H2" localSheetId="1">#REF!</definedName>
    <definedName name="W18H2">#REF!</definedName>
    <definedName name="W18H3" localSheetId="1">#REF!</definedName>
    <definedName name="W18H3">#REF!</definedName>
    <definedName name="W18H4" localSheetId="1">#REF!</definedName>
    <definedName name="W18H4">#REF!</definedName>
    <definedName name="W18H5" localSheetId="1">#REF!</definedName>
    <definedName name="W18H5">#REF!</definedName>
    <definedName name="W18H6" localSheetId="1">#REF!</definedName>
    <definedName name="W18H6">#REF!</definedName>
    <definedName name="W18H7" localSheetId="1">#REF!</definedName>
    <definedName name="W18H7">#REF!</definedName>
    <definedName name="W18H8" localSheetId="1">#REF!</definedName>
    <definedName name="W18H8">#REF!</definedName>
    <definedName name="W18H9" localSheetId="1">#REF!</definedName>
    <definedName name="W18H9">#REF!</definedName>
    <definedName name="W19H1" localSheetId="1">#REF!</definedName>
    <definedName name="W19H1">#REF!</definedName>
    <definedName name="W19H10" localSheetId="1">#REF!</definedName>
    <definedName name="W19H10">#REF!</definedName>
    <definedName name="W19H2" localSheetId="1">#REF!</definedName>
    <definedName name="W19H2">#REF!</definedName>
    <definedName name="W19H3" localSheetId="1">#REF!</definedName>
    <definedName name="W19H3">#REF!</definedName>
    <definedName name="W19H4" localSheetId="1">#REF!</definedName>
    <definedName name="W19H4">#REF!</definedName>
    <definedName name="W19H5" localSheetId="1">#REF!</definedName>
    <definedName name="W19H5">#REF!</definedName>
    <definedName name="W19H6" localSheetId="1">#REF!</definedName>
    <definedName name="W19H6">#REF!</definedName>
    <definedName name="W19H7" localSheetId="1">#REF!</definedName>
    <definedName name="W19H7">#REF!</definedName>
    <definedName name="W19H8" localSheetId="1">#REF!</definedName>
    <definedName name="W19H8">#REF!</definedName>
    <definedName name="W19H9" localSheetId="1">#REF!</definedName>
    <definedName name="W19H9">#REF!</definedName>
    <definedName name="W1H" localSheetId="1">#REF!</definedName>
    <definedName name="W1H">#REF!</definedName>
    <definedName name="W1H1" localSheetId="1">#REF!</definedName>
    <definedName name="W1H1">#REF!</definedName>
    <definedName name="W1H10" localSheetId="1">#REF!</definedName>
    <definedName name="W1H10">#REF!</definedName>
    <definedName name="W1H2" localSheetId="1">#REF!</definedName>
    <definedName name="W1H2">#REF!</definedName>
    <definedName name="W1H3" localSheetId="1">#REF!</definedName>
    <definedName name="W1H3">#REF!</definedName>
    <definedName name="W1H4" localSheetId="1">#REF!</definedName>
    <definedName name="W1H4">#REF!</definedName>
    <definedName name="W1H5" localSheetId="1">#REF!</definedName>
    <definedName name="W1H5">#REF!</definedName>
    <definedName name="W1H6" localSheetId="1">#REF!</definedName>
    <definedName name="W1H6">#REF!</definedName>
    <definedName name="W1H7" localSheetId="1">#REF!</definedName>
    <definedName name="W1H7">#REF!</definedName>
    <definedName name="W1H8" localSheetId="1">#REF!</definedName>
    <definedName name="W1H8">#REF!</definedName>
    <definedName name="W1H9" localSheetId="1">#REF!</definedName>
    <definedName name="W1H9">#REF!</definedName>
    <definedName name="W20H1" localSheetId="1">#REF!</definedName>
    <definedName name="W20H1">#REF!</definedName>
    <definedName name="W20H10" localSheetId="1">#REF!</definedName>
    <definedName name="W20H10">#REF!</definedName>
    <definedName name="W20H2" localSheetId="1">#REF!</definedName>
    <definedName name="W20H2">#REF!</definedName>
    <definedName name="W20H3" localSheetId="1">#REF!</definedName>
    <definedName name="W20H3">#REF!</definedName>
    <definedName name="W20H4" localSheetId="1">#REF!</definedName>
    <definedName name="W20H4">#REF!</definedName>
    <definedName name="W20H5" localSheetId="1">#REF!</definedName>
    <definedName name="W20H5">#REF!</definedName>
    <definedName name="W20H6" localSheetId="1">#REF!</definedName>
    <definedName name="W20H6">#REF!</definedName>
    <definedName name="W20H7" localSheetId="1">#REF!</definedName>
    <definedName name="W20H7">#REF!</definedName>
    <definedName name="W20H8" localSheetId="1">#REF!</definedName>
    <definedName name="W20H8">#REF!</definedName>
    <definedName name="W20H9" localSheetId="1">#REF!</definedName>
    <definedName name="W20H9">#REF!</definedName>
    <definedName name="W21H1" localSheetId="1">#REF!</definedName>
    <definedName name="W21H1">#REF!</definedName>
    <definedName name="W21H10" localSheetId="1">#REF!</definedName>
    <definedName name="W21H10">#REF!</definedName>
    <definedName name="W21H2" localSheetId="1">#REF!</definedName>
    <definedName name="W21H2">#REF!</definedName>
    <definedName name="W21H3" localSheetId="1">#REF!</definedName>
    <definedName name="W21H3">#REF!</definedName>
    <definedName name="W21H4" localSheetId="1">#REF!</definedName>
    <definedName name="W21H4">#REF!</definedName>
    <definedName name="W21H5" localSheetId="1">#REF!</definedName>
    <definedName name="W21H5">#REF!</definedName>
    <definedName name="W21H6" localSheetId="1">#REF!</definedName>
    <definedName name="W21H6">#REF!</definedName>
    <definedName name="W21H7" localSheetId="1">#REF!</definedName>
    <definedName name="W21H7">#REF!</definedName>
    <definedName name="W21H9" localSheetId="1">#REF!</definedName>
    <definedName name="W21H9">#REF!</definedName>
    <definedName name="W22H1" localSheetId="1">#REF!</definedName>
    <definedName name="W22H1">#REF!</definedName>
    <definedName name="W22H10" localSheetId="1">#REF!</definedName>
    <definedName name="W22H10">#REF!</definedName>
    <definedName name="W22H2" localSheetId="1">#REF!</definedName>
    <definedName name="W22H2">#REF!</definedName>
    <definedName name="W22H3" localSheetId="1">#REF!</definedName>
    <definedName name="W22H3">#REF!</definedName>
    <definedName name="W22H4" localSheetId="1">#REF!</definedName>
    <definedName name="W22H4">#REF!</definedName>
    <definedName name="W22H5" localSheetId="1">#REF!</definedName>
    <definedName name="W22H5">#REF!</definedName>
    <definedName name="W22H6" localSheetId="1">#REF!</definedName>
    <definedName name="W22H6">#REF!</definedName>
    <definedName name="W22H7" localSheetId="1">#REF!</definedName>
    <definedName name="W22H7">#REF!</definedName>
    <definedName name="W22H8" localSheetId="1">#REF!</definedName>
    <definedName name="W22H8">#REF!</definedName>
    <definedName name="W22H9" localSheetId="1">#REF!</definedName>
    <definedName name="W22H9">#REF!</definedName>
    <definedName name="W2H" localSheetId="1">#REF!</definedName>
    <definedName name="W2H">#REF!</definedName>
    <definedName name="W2H1" localSheetId="1">#REF!</definedName>
    <definedName name="W2H1">#REF!</definedName>
    <definedName name="W2H10" localSheetId="1">#REF!</definedName>
    <definedName name="W2H10">#REF!</definedName>
    <definedName name="W2H2" localSheetId="1">#REF!</definedName>
    <definedName name="W2H2">#REF!</definedName>
    <definedName name="W2H3" localSheetId="1">#REF!</definedName>
    <definedName name="W2H3">#REF!</definedName>
    <definedName name="W2H4" localSheetId="1">#REF!</definedName>
    <definedName name="W2H4">#REF!</definedName>
    <definedName name="W2H5" localSheetId="1">#REF!</definedName>
    <definedName name="W2H5">#REF!</definedName>
    <definedName name="W2H6" localSheetId="1">#REF!</definedName>
    <definedName name="W2H6">#REF!</definedName>
    <definedName name="W2H7" localSheetId="1">#REF!</definedName>
    <definedName name="W2H7">#REF!</definedName>
    <definedName name="W2H8" localSheetId="1">#REF!</definedName>
    <definedName name="W2H8">#REF!</definedName>
    <definedName name="W2H9" localSheetId="1">#REF!</definedName>
    <definedName name="W2H9">#REF!</definedName>
    <definedName name="W3H" localSheetId="1">#REF!</definedName>
    <definedName name="W3H">#REF!</definedName>
    <definedName name="W3H1" localSheetId="1">#REF!</definedName>
    <definedName name="W3H1">#REF!</definedName>
    <definedName name="W3H10" localSheetId="1">#REF!</definedName>
    <definedName name="W3H10">#REF!</definedName>
    <definedName name="W3H2" localSheetId="1">#REF!</definedName>
    <definedName name="W3H2">#REF!</definedName>
    <definedName name="W3H3" localSheetId="1">#REF!</definedName>
    <definedName name="W3H3">#REF!</definedName>
    <definedName name="W3H4" localSheetId="1">#REF!</definedName>
    <definedName name="W3H4">#REF!</definedName>
    <definedName name="W3H5" localSheetId="1">#REF!</definedName>
    <definedName name="W3H5">#REF!</definedName>
    <definedName name="W3H6" localSheetId="1">#REF!</definedName>
    <definedName name="W3H6">#REF!</definedName>
    <definedName name="W3H7" localSheetId="1">#REF!</definedName>
    <definedName name="W3H7">#REF!</definedName>
    <definedName name="W3H8" localSheetId="1">#REF!</definedName>
    <definedName name="W3H8">#REF!</definedName>
    <definedName name="W3H9" localSheetId="1">#REF!</definedName>
    <definedName name="W3H9">#REF!</definedName>
    <definedName name="W3L">[37]INPUT!#REF!</definedName>
    <definedName name="W3R">[37]INPUT!#REF!</definedName>
    <definedName name="W4H" localSheetId="1">#REF!</definedName>
    <definedName name="W4H">#REF!</definedName>
    <definedName name="W4H1" localSheetId="1">#REF!</definedName>
    <definedName name="W4H1">#REF!</definedName>
    <definedName name="W4H10" localSheetId="1">#REF!</definedName>
    <definedName name="W4H10">#REF!</definedName>
    <definedName name="W4H2" localSheetId="1">#REF!</definedName>
    <definedName name="W4H2">#REF!</definedName>
    <definedName name="W4H3" localSheetId="1">#REF!</definedName>
    <definedName name="W4H3">#REF!</definedName>
    <definedName name="W4H4" localSheetId="1">#REF!</definedName>
    <definedName name="W4H4">#REF!</definedName>
    <definedName name="W4H5" localSheetId="1">#REF!</definedName>
    <definedName name="W4H5">#REF!</definedName>
    <definedName name="W4H6" localSheetId="1">#REF!</definedName>
    <definedName name="W4H6">#REF!</definedName>
    <definedName name="W4H7" localSheetId="1">#REF!</definedName>
    <definedName name="W4H7">#REF!</definedName>
    <definedName name="W4H8" localSheetId="1">#REF!</definedName>
    <definedName name="W4H8">#REF!</definedName>
    <definedName name="W4H9" localSheetId="1">#REF!</definedName>
    <definedName name="W4H9">#REF!</definedName>
    <definedName name="W4L">[37]INPUT!#REF!</definedName>
    <definedName name="W4R">[37]INPUT!#REF!</definedName>
    <definedName name="W5H" localSheetId="1">#REF!</definedName>
    <definedName name="W5H">#REF!</definedName>
    <definedName name="W5H1" localSheetId="1">#REF!</definedName>
    <definedName name="W5H1">#REF!</definedName>
    <definedName name="W5H10" localSheetId="1">#REF!</definedName>
    <definedName name="W5H10">#REF!</definedName>
    <definedName name="W5H2" localSheetId="1">#REF!</definedName>
    <definedName name="W5H2">#REF!</definedName>
    <definedName name="W5H3" localSheetId="1">#REF!</definedName>
    <definedName name="W5H3">#REF!</definedName>
    <definedName name="W5H4" localSheetId="1">#REF!</definedName>
    <definedName name="W5H4">#REF!</definedName>
    <definedName name="W5H5" localSheetId="1">#REF!</definedName>
    <definedName name="W5H5">#REF!</definedName>
    <definedName name="W5H6" localSheetId="1">#REF!</definedName>
    <definedName name="W5H6">#REF!</definedName>
    <definedName name="W5H7" localSheetId="1">#REF!</definedName>
    <definedName name="W5H7">#REF!</definedName>
    <definedName name="W5H8" localSheetId="1">#REF!</definedName>
    <definedName name="W5H8">#REF!</definedName>
    <definedName name="W5H9" localSheetId="1">#REF!</definedName>
    <definedName name="W5H9">#REF!</definedName>
    <definedName name="W5L">[37]INPUT!#REF!</definedName>
    <definedName name="W5R">[37]INPUT!#REF!</definedName>
    <definedName name="W6H" localSheetId="1">#REF!</definedName>
    <definedName name="W6H">#REF!</definedName>
    <definedName name="W6H1" localSheetId="1">#REF!</definedName>
    <definedName name="W6H1">#REF!</definedName>
    <definedName name="W6H10" localSheetId="1">#REF!</definedName>
    <definedName name="W6H10">#REF!</definedName>
    <definedName name="W6H2" localSheetId="1">#REF!</definedName>
    <definedName name="W6H2">#REF!</definedName>
    <definedName name="W6H3" localSheetId="1">#REF!</definedName>
    <definedName name="W6H3">#REF!</definedName>
    <definedName name="W6H4" localSheetId="1">#REF!</definedName>
    <definedName name="W6H4">#REF!</definedName>
    <definedName name="W6H5" localSheetId="1">#REF!</definedName>
    <definedName name="W6H5">#REF!</definedName>
    <definedName name="W6H6" localSheetId="1">#REF!</definedName>
    <definedName name="W6H6">#REF!</definedName>
    <definedName name="W6H7" localSheetId="1">#REF!</definedName>
    <definedName name="W6H7">#REF!</definedName>
    <definedName name="W6H8" localSheetId="1">#REF!</definedName>
    <definedName name="W6H8">#REF!</definedName>
    <definedName name="W6H9" localSheetId="1">#REF!</definedName>
    <definedName name="W6H9">#REF!</definedName>
    <definedName name="W6L">[37]INPUT!#REF!</definedName>
    <definedName name="W6R">[37]INPUT!#REF!</definedName>
    <definedName name="W7H" localSheetId="1">#REF!</definedName>
    <definedName name="W7H">#REF!</definedName>
    <definedName name="W7H1" localSheetId="1">#REF!</definedName>
    <definedName name="W7H1">#REF!</definedName>
    <definedName name="W7H10" localSheetId="1">#REF!</definedName>
    <definedName name="W7H10">#REF!</definedName>
    <definedName name="W7H2" localSheetId="1">#REF!</definedName>
    <definedName name="W7H2">#REF!</definedName>
    <definedName name="W7H3" localSheetId="1">#REF!</definedName>
    <definedName name="W7H3">#REF!</definedName>
    <definedName name="W7H4" localSheetId="1">#REF!</definedName>
    <definedName name="W7H4">#REF!</definedName>
    <definedName name="W7H5" localSheetId="1">#REF!</definedName>
    <definedName name="W7H5">#REF!</definedName>
    <definedName name="W7H6" localSheetId="1">#REF!</definedName>
    <definedName name="W7H6">#REF!</definedName>
    <definedName name="W7H7" localSheetId="1">#REF!</definedName>
    <definedName name="W7H7">#REF!</definedName>
    <definedName name="W7H8" localSheetId="1">#REF!</definedName>
    <definedName name="W7H8">#REF!</definedName>
    <definedName name="W7H9" localSheetId="1">#REF!</definedName>
    <definedName name="W7H9">#REF!</definedName>
    <definedName name="W7L">[37]INPUT!#REF!</definedName>
    <definedName name="W7R">[37]INPUT!#REF!</definedName>
    <definedName name="W8H" localSheetId="1">#REF!</definedName>
    <definedName name="W8H">#REF!</definedName>
    <definedName name="W8H1" localSheetId="1">#REF!</definedName>
    <definedName name="W8H1">#REF!</definedName>
    <definedName name="W8H10" localSheetId="1">#REF!</definedName>
    <definedName name="W8H10">#REF!</definedName>
    <definedName name="W8H2" localSheetId="1">#REF!</definedName>
    <definedName name="W8H2">#REF!</definedName>
    <definedName name="W8H3" localSheetId="1">#REF!</definedName>
    <definedName name="W8H3">#REF!</definedName>
    <definedName name="W8H4" localSheetId="1">#REF!</definedName>
    <definedName name="W8H4">#REF!</definedName>
    <definedName name="W8H5" localSheetId="1">#REF!</definedName>
    <definedName name="W8H5">#REF!</definedName>
    <definedName name="W8H6" localSheetId="1">#REF!</definedName>
    <definedName name="W8H6">#REF!</definedName>
    <definedName name="W8H7" localSheetId="1">#REF!</definedName>
    <definedName name="W8H7">#REF!</definedName>
    <definedName name="W8H8" localSheetId="1">#REF!</definedName>
    <definedName name="W8H8">#REF!</definedName>
    <definedName name="W8H9" localSheetId="1">#REF!</definedName>
    <definedName name="W8H9">#REF!</definedName>
    <definedName name="W8L">[37]INPUT!#REF!</definedName>
    <definedName name="W8R">[37]INPUT!#REF!</definedName>
    <definedName name="W9H" localSheetId="1">#REF!</definedName>
    <definedName name="W9H">#REF!</definedName>
    <definedName name="W9H1" localSheetId="1">#REF!</definedName>
    <definedName name="W9H1">#REF!</definedName>
    <definedName name="W9H10" localSheetId="1">#REF!</definedName>
    <definedName name="W9H10">#REF!</definedName>
    <definedName name="W9H2" localSheetId="1">#REF!</definedName>
    <definedName name="W9H2">#REF!</definedName>
    <definedName name="W9H3" localSheetId="1">#REF!</definedName>
    <definedName name="W9H3">#REF!</definedName>
    <definedName name="W9H4" localSheetId="1">#REF!</definedName>
    <definedName name="W9H4">#REF!</definedName>
    <definedName name="W9H5" localSheetId="1">#REF!</definedName>
    <definedName name="W9H5">#REF!</definedName>
    <definedName name="W9H6" localSheetId="1">#REF!</definedName>
    <definedName name="W9H6">#REF!</definedName>
    <definedName name="W9H7" localSheetId="1">#REF!</definedName>
    <definedName name="W9H7">#REF!</definedName>
    <definedName name="W9H8" localSheetId="1">#REF!</definedName>
    <definedName name="W9H8">#REF!</definedName>
    <definedName name="W9H9" localSheetId="1">#REF!</definedName>
    <definedName name="W9H9">#REF!</definedName>
    <definedName name="W9L">[37]INPUT!#REF!</definedName>
    <definedName name="W9R">[37]INPUT!#REF!</definedName>
    <definedName name="WA">#REF!</definedName>
    <definedName name="wa1e">#REF!</definedName>
    <definedName name="wa1s">#REF!</definedName>
    <definedName name="WAA" localSheetId="1">#REF!</definedName>
    <definedName name="WAA">#REF!</definedName>
    <definedName name="WAAA" localSheetId="1">#REF!</definedName>
    <definedName name="WAAA">#REF!</definedName>
    <definedName name="WAFDREG" localSheetId="3">BlankMacro1</definedName>
    <definedName name="WAFDREG" localSheetId="1">BlankMacro1</definedName>
    <definedName name="WAFDREG">BlankMacro1</definedName>
    <definedName name="WallLen">[50]역T형!$I$155</definedName>
    <definedName name="wb1e">#REF!</definedName>
    <definedName name="wb1s">#REF!</definedName>
    <definedName name="wb2e">#REF!</definedName>
    <definedName name="wb2s">#REF!</definedName>
    <definedName name="wb3e">#REF!</definedName>
    <definedName name="wb3s">#REF!</definedName>
    <definedName name="Wcon" localSheetId="1">#REF!</definedName>
    <definedName name="Wcon">#REF!</definedName>
    <definedName name="we" localSheetId="3">BlankMacro1</definedName>
    <definedName name="we" localSheetId="1">BlankMacro1</definedName>
    <definedName name="we">BlankMacro1</definedName>
    <definedName name="webc" localSheetId="1">#REF!</definedName>
    <definedName name="webc">#REF!</definedName>
    <definedName name="webh" localSheetId="1">#REF!</definedName>
    <definedName name="webh">#REF!</definedName>
    <definedName name="webp" localSheetId="1">#REF!</definedName>
    <definedName name="webp">#REF!</definedName>
    <definedName name="WEDDG" localSheetId="3">BlankMacro1</definedName>
    <definedName name="WEDDG" localSheetId="1">BlankMacro1</definedName>
    <definedName name="WEDDG">BlankMacro1</definedName>
    <definedName name="WER" localSheetId="3">BlankMacro1</definedName>
    <definedName name="WER" localSheetId="1">BlankMacro1</definedName>
    <definedName name="WER">BlankMacro1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WES" localSheetId="3">BlankMacro1</definedName>
    <definedName name="WERWES" localSheetId="1">BlankMacro1</definedName>
    <definedName name="WERWES">BlankMacro1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ttt3" localSheetId="3">BlankMacro1</definedName>
    <definedName name="wettt3" localSheetId="1">BlankMacro1</definedName>
    <definedName name="wettt3">BlankMacro1</definedName>
    <definedName name="WEW" localSheetId="1">#REF!</definedName>
    <definedName name="WEW">#REF!</definedName>
    <definedName name="WfpCon" localSheetId="1">#REF!</definedName>
    <definedName name="WfpCon">#REF!</definedName>
    <definedName name="WH" localSheetId="1">#REF!</definedName>
    <definedName name="WH">#REF!</definedName>
    <definedName name="wh0">#REF!</definedName>
    <definedName name="wh1e">#REF!</definedName>
    <definedName name="wh1s">#REF!</definedName>
    <definedName name="wh2e">#REF!</definedName>
    <definedName name="wh2s">#REF!</definedName>
    <definedName name="wh3e">#REF!</definedName>
    <definedName name="wh3s">#REF!</definedName>
    <definedName name="wh4e">#REF!</definedName>
    <definedName name="wh4s">#REF!</definedName>
    <definedName name="wh5e">#REF!</definedName>
    <definedName name="wh5s">#REF!</definedName>
    <definedName name="wh6e">#REF!</definedName>
    <definedName name="wh6s">#REF!</definedName>
    <definedName name="wid" localSheetId="1">#REF!</definedName>
    <definedName name="wid">#REF!</definedName>
    <definedName name="widee">#REF!</definedName>
    <definedName name="wides">#REF!</definedName>
    <definedName name="wind1">[54]통합!#REF!</definedName>
    <definedName name="wind2">[54]통합!#REF!</definedName>
    <definedName name="wing_l" localSheetId="1">#REF!</definedName>
    <definedName name="wing_l">#REF!</definedName>
    <definedName name="WL">#REF!</definedName>
    <definedName name="WLB" localSheetId="1">#REF!</definedName>
    <definedName name="WLB">#REF!</definedName>
    <definedName name="WN">#REF!</definedName>
    <definedName name="WON" localSheetId="1">#REF!</definedName>
    <definedName name="WON">#REF!</definedName>
    <definedName name="WQ" localSheetId="3">BlankMacro1</definedName>
    <definedName name="WQ" localSheetId="1">BlankMacro1</definedName>
    <definedName name="WQ">BlankMacro1</definedName>
    <definedName name="wqF">[75]부하계산서!#REF!</definedName>
    <definedName name="WQR" localSheetId="3">BlankMacro1</definedName>
    <definedName name="WQR" localSheetId="1">BlankMacro1</definedName>
    <definedName name="WQR">BlankMacro1</definedName>
    <definedName name="WQRE" localSheetId="3">BlankMacro1</definedName>
    <definedName name="WQRE" localSheetId="1">BlankMacro1</definedName>
    <definedName name="WQRE">BlankMacro1</definedName>
    <definedName name="wqsdf" localSheetId="3">BlankMacro1</definedName>
    <definedName name="wqsdf" localSheetId="1">BlankMacro1</definedName>
    <definedName name="wqsdf">BlankMacro1</definedName>
    <definedName name="WQW" localSheetId="3">BlankMacro1</definedName>
    <definedName name="WQW" localSheetId="1">BlankMacro1</definedName>
    <definedName name="WQW">BlankMacro1</definedName>
    <definedName name="WRBESTE" localSheetId="3">BlankMacro1</definedName>
    <definedName name="WRBESTE" localSheetId="1">BlankMacro1</definedName>
    <definedName name="WRBESTE">BlankMacro1</definedName>
    <definedName name="WRE" localSheetId="3">BlankMacro1</definedName>
    <definedName name="WRE" localSheetId="1">BlankMacro1</definedName>
    <definedName name="WRE">BlankMacro1</definedName>
    <definedName name="wreewq" localSheetId="3">BlankMacro1</definedName>
    <definedName name="wreewq" localSheetId="1">BlankMacro1</definedName>
    <definedName name="wreewq">BlankMacro1</definedName>
    <definedName name="wrn.2번." localSheetId="1" hidden="1">{#N/A,#N/A,FALSE,"2~8번"}</definedName>
    <definedName name="wrn.2번.">{#N/A,#N/A,FALSE,"2~8번"}</definedName>
    <definedName name="wrn.97년._.사업계획._.및._.예산지침." localSheetId="1" hidden="1">{#N/A,#N/A,TRUE,"1";#N/A,#N/A,TRUE,"2";#N/A,#N/A,TRUE,"3";#N/A,#N/A,TRUE,"4";#N/A,#N/A,TRUE,"5";#N/A,#N/A,TRUE,"6";#N/A,#N/A,TRUE,"7"}</definedName>
    <definedName name="wrn.97년._.사업계획._.및._.예산지침.">{#N/A,#N/A,TRUE,"1";#N/A,#N/A,TRUE,"2";#N/A,#N/A,TRUE,"3";#N/A,#N/A,TRUE,"4";#N/A,#N/A,TRUE,"5";#N/A,#N/A,TRUE,"6";#N/A,#N/A,TRUE,"7"}</definedName>
    <definedName name="wrn.골재소요량." localSheetId="1" hidden="1">{#N/A,#N/A,FALSE,"골재소요량";#N/A,#N/A,FALSE,"골재소요량"}</definedName>
    <definedName name="wrn.골재소요량.">{#N/A,#N/A,FALSE,"골재소요량";#N/A,#N/A,FALSE,"골재소요량"}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localSheetId="1" hidden="1">{#N/A,#N/A,FALSE,"전력간선"}</definedName>
    <definedName name="wrn.교육청.">{#N/A,#N/A,FALSE,"전력간선"}</definedName>
    <definedName name="wrn.구조2." localSheetId="1" hidden="1">{#N/A,#N/A,FALSE,"구조2"}</definedName>
    <definedName name="wrn.구조2.">{#N/A,#N/A,FALSE,"구조2"}</definedName>
    <definedName name="wrn.단가표지." localSheetId="1" hidden="1">{#N/A,#N/A,FALSE,"단가표지"}</definedName>
    <definedName name="wrn.단가표지.">{#N/A,#N/A,FALSE,"단가표지"}</definedName>
    <definedName name="wrn.배수1." localSheetId="1" hidden="1">{#N/A,#N/A,FALSE,"배수1"}</definedName>
    <definedName name="wrn.배수1.">{#N/A,#N/A,FALSE,"배수1"}</definedName>
    <definedName name="wrn.배수2." localSheetId="1" hidden="1">{#N/A,#N/A,FALSE,"배수2"}</definedName>
    <definedName name="wrn.배수2.">{#N/A,#N/A,FALSE,"배수2"}</definedName>
    <definedName name="wrn.부대1." localSheetId="1" hidden="1">{#N/A,#N/A,FALSE,"부대1"}</definedName>
    <definedName name="wrn.부대1.">{#N/A,#N/A,FALSE,"부대1"}</definedName>
    <definedName name="wrn.부대2." localSheetId="1" hidden="1">{#N/A,#N/A,FALSE,"부대2"}</definedName>
    <definedName name="wrn.부대2.">{#N/A,#N/A,FALSE,"부대2"}</definedName>
    <definedName name="wrn.속도." localSheetId="1" hidden="1">{#N/A,#N/A,FALSE,"속도"}</definedName>
    <definedName name="wrn.속도.">{#N/A,#N/A,FALSE,"속도"}</definedName>
    <definedName name="wrn.연동제." hidden="1">{#N/A,#N/A,TRUE,"총괄"}</definedName>
    <definedName name="wrn.운반시간." localSheetId="1" hidden="1">{#N/A,#N/A,FALSE,"운반시간"}</definedName>
    <definedName name="wrn.운반시간.">{#N/A,#N/A,FALSE,"운반시간"}</definedName>
    <definedName name="wrn.이정표." localSheetId="1" hidden="1">{#N/A,#N/A,FALSE,"이정표"}</definedName>
    <definedName name="wrn.이정표.">{#N/A,#N/A,FALSE,"이정표"}</definedName>
    <definedName name="wrn.조골재." localSheetId="1" hidden="1">{#N/A,#N/A,FALSE,"조골재"}</definedName>
    <definedName name="wrn.조골재.">{#N/A,#N/A,FALSE,"조골재"}</definedName>
    <definedName name="wrn.토공1." localSheetId="1" hidden="1">{#N/A,#N/A,FALSE,"구조1"}</definedName>
    <definedName name="wrn.토공1.">{#N/A,#N/A,FALSE,"구조1"}</definedName>
    <definedName name="wrn.토공2." localSheetId="1" hidden="1">{#N/A,#N/A,FALSE,"토공2"}</definedName>
    <definedName name="wrn.토공2.">{#N/A,#N/A,FALSE,"토공2"}</definedName>
    <definedName name="wrn.포장1." localSheetId="1" hidden="1">{#N/A,#N/A,FALSE,"포장1";#N/A,#N/A,FALSE,"포장1"}</definedName>
    <definedName name="wrn.포장1.">{#N/A,#N/A,FALSE,"포장1";#N/A,#N/A,FALSE,"포장1"}</definedName>
    <definedName name="wrn.포장2." localSheetId="1" hidden="1">{#N/A,#N/A,FALSE,"포장2"}</definedName>
    <definedName name="wrn.포장2.">{#N/A,#N/A,FALSE,"포장2"}</definedName>
    <definedName name="wrn.표지." localSheetId="1" hidden="1">{#N/A,#N/A,FALSE,"표지"}</definedName>
    <definedName name="wrn.표지.">{#N/A,#N/A,FALSE,"표지"}</definedName>
    <definedName name="wrn.표지목차." localSheetId="1" hidden="1">{#N/A,#N/A,FALSE,"표지목차"}</definedName>
    <definedName name="wrn.표지목차.">{#N/A,#N/A,FALSE,"표지목차"}</definedName>
    <definedName name="wrn.현장._.NCR._.분석." localSheetId="1" hidden="1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name="wrn.혼합골재." localSheetId="1" hidden="1">{#N/A,#N/A,FALSE,"혼합골재"}</definedName>
    <definedName name="wrn.혼합골재.">{#N/A,#N/A,FALSE,"혼합골재"}</definedName>
    <definedName name="WRVFED" localSheetId="3">BlankMacro1</definedName>
    <definedName name="WRVFED" localSheetId="1">BlankMacro1</definedName>
    <definedName name="WRVFED">BlankMacro1</definedName>
    <definedName name="WS" localSheetId="3">BlankMacro1</definedName>
    <definedName name="WS" localSheetId="1">BlankMacro1</definedName>
    <definedName name="WS">BlankMacro1</definedName>
    <definedName name="WSO">#REF!</definedName>
    <definedName name="WTA" localSheetId="1">#REF!</definedName>
    <definedName name="WTA">#REF!</definedName>
    <definedName name="WTB" localSheetId="1">#REF!</definedName>
    <definedName name="WTB">#REF!</definedName>
    <definedName name="WW">#REF!</definedName>
    <definedName name="_WW2" localSheetId="1">#REF!</definedName>
    <definedName name="____WW2">#REF!</definedName>
    <definedName name="_WW6" localSheetId="1">#REF!</definedName>
    <definedName name="____WW6">#REF!</definedName>
    <definedName name="WZ" localSheetId="3">BlankMacro1</definedName>
    <definedName name="WZ" localSheetId="1">BlankMacro1</definedName>
    <definedName name="WZ">BlankMacro1</definedName>
    <definedName name="W단면2차모멘트" localSheetId="1">#REF!</definedName>
    <definedName name="W단면2차모멘트">#REF!</definedName>
    <definedName name="W단면계수" localSheetId="1">#REF!</definedName>
    <definedName name="W단면계수">#REF!</definedName>
    <definedName name="W단면적" localSheetId="1">#REF!</definedName>
    <definedName name="W단면적">#REF!</definedName>
    <definedName name="w모멘트" localSheetId="1">#REF!</definedName>
    <definedName name="w모멘트">#REF!</definedName>
    <definedName name="w유효지간" localSheetId="1">#REF!</definedName>
    <definedName name="w유효지간">#REF!</definedName>
    <definedName name="W전단면적" localSheetId="1">#REF!</definedName>
    <definedName name="W전단면적">#REF!</definedName>
    <definedName name="W폭" localSheetId="1">#REF!</definedName>
    <definedName name="W폭">#REF!</definedName>
    <definedName name="X">'[61]3.하중산정4.지지력'!#REF!</definedName>
    <definedName name="X48호선_1_구조물철거집계표_국도48__List">[12]Sheet1!#REF!</definedName>
    <definedName name="XA" localSheetId="1">#REF!</definedName>
    <definedName name="XA">#REF!</definedName>
    <definedName name="xc" localSheetId="3">BlankMacro1</definedName>
    <definedName name="xc" localSheetId="1">BlankMacro1</definedName>
    <definedName name="xc">BlankMacro1</definedName>
    <definedName name="XCDF" localSheetId="3">BlankMacro1</definedName>
    <definedName name="XCDF" localSheetId="1">BlankMacro1</definedName>
    <definedName name="XCDF">BlankMacro1</definedName>
    <definedName name="xcv" localSheetId="3">BlankMacro1</definedName>
    <definedName name="xcv" localSheetId="1">BlankMacro1</definedName>
    <definedName name="xcv">BlankMacro1</definedName>
    <definedName name="xcvxcvxv" localSheetId="3">BlankMacro1</definedName>
    <definedName name="xcvxcvxv" localSheetId="1">BlankMacro1</definedName>
    <definedName name="xcvxcvxv">BlankMacro1</definedName>
    <definedName name="xd" localSheetId="3">BlankMacro1</definedName>
    <definedName name="xd" localSheetId="1">BlankMacro1</definedName>
    <definedName name="xd">BlankMacro1</definedName>
    <definedName name="xdd" localSheetId="3">BlankMacro1</definedName>
    <definedName name="xdd" localSheetId="1">BlankMacro1</definedName>
    <definedName name="xdd">BlankMacro1</definedName>
    <definedName name="xddd" localSheetId="3">BlankMacro1</definedName>
    <definedName name="xddd" localSheetId="1">BlankMacro1</definedName>
    <definedName name="xddd">BlankMacro1</definedName>
    <definedName name="XDDDDW" localSheetId="3">BlankMacro1</definedName>
    <definedName name="XDDDDW" localSheetId="1">BlankMacro1</definedName>
    <definedName name="XDDDDW">BlankMacro1</definedName>
    <definedName name="XDDFE" localSheetId="3">BlankMacro1</definedName>
    <definedName name="XDDFE" localSheetId="1">BlankMacro1</definedName>
    <definedName name="XDDFE">BlankMacro1</definedName>
    <definedName name="XDV" localSheetId="3">BlankMacro1</definedName>
    <definedName name="XDV" localSheetId="1">BlankMacro1</definedName>
    <definedName name="XDV">BlankMacro1</definedName>
    <definedName name="XG" localSheetId="3">BlankMacro1</definedName>
    <definedName name="XG" localSheetId="1">BlankMacro1</definedName>
    <definedName name="XG">BlankMacro1</definedName>
    <definedName name="xs" localSheetId="3">BlankMacro1</definedName>
    <definedName name="xs" localSheetId="1">BlankMacro1</definedName>
    <definedName name="xs">BlankMacro1</definedName>
    <definedName name="xsa" localSheetId="3">BlankMacro1</definedName>
    <definedName name="xsa" localSheetId="1">BlankMacro1</definedName>
    <definedName name="xsa">BlankMacro1</definedName>
    <definedName name="xsdf" localSheetId="3">BlankMacro1</definedName>
    <definedName name="xsdf" localSheetId="1">BlankMacro1</definedName>
    <definedName name="xsdf">BlankMacro1</definedName>
    <definedName name="xv" localSheetId="3">BlankMacro1</definedName>
    <definedName name="xv" localSheetId="1">BlankMacro1</definedName>
    <definedName name="xv">BlankMacro1</definedName>
    <definedName name="xvb" localSheetId="3">BlankMacro1</definedName>
    <definedName name="xvb" localSheetId="1">BlankMacro1</definedName>
    <definedName name="xvb">BlankMacro1</definedName>
    <definedName name="XX">#REF!</definedName>
    <definedName name="xxx">#REF!</definedName>
    <definedName name="xz" localSheetId="3">BlankMacro1</definedName>
    <definedName name="xz" localSheetId="1">BlankMacro1</definedName>
    <definedName name="xz">BlankMacro1</definedName>
    <definedName name="xzcs" localSheetId="3">BlankMacro1</definedName>
    <definedName name="xzcs" localSheetId="1">BlankMacro1</definedName>
    <definedName name="xzcs">BlankMacro1</definedName>
    <definedName name="xzz" localSheetId="3">BlankMacro1</definedName>
    <definedName name="xzz" localSheetId="1">BlankMacro1</definedName>
    <definedName name="xzz">BlankMacro1</definedName>
    <definedName name="Y" localSheetId="3">BlankMacro1</definedName>
    <definedName name="Y" localSheetId="1">BlankMacro1</definedName>
    <definedName name="Y">BlankMacro1</definedName>
    <definedName name="ych">[51]단면설계!#REF!</definedName>
    <definedName name="year">[22]근태계획서!$B$5</definedName>
    <definedName name="YESFF" localSheetId="3">BlankMacro1</definedName>
    <definedName name="YESFF" localSheetId="1">BlankMacro1</definedName>
    <definedName name="YESFF">BlankMacro1</definedName>
    <definedName name="YHFXD" localSheetId="3">BlankMacro1</definedName>
    <definedName name="YHFXD" localSheetId="1">BlankMacro1</definedName>
    <definedName name="YHFXD">BlankMacro1</definedName>
    <definedName name="YTERT" localSheetId="3">BlankMacro1</definedName>
    <definedName name="YTERT" localSheetId="1">BlankMacro1</definedName>
    <definedName name="YTERT">BlankMacro1</definedName>
    <definedName name="YTGEGER" localSheetId="3">BlankMacro1</definedName>
    <definedName name="YTGEGER" localSheetId="1">BlankMacro1</definedName>
    <definedName name="YTGEGER">BlankMacro1</definedName>
    <definedName name="YTHIKYUI" localSheetId="3">BlankMacro1</definedName>
    <definedName name="YTHIKYUI" localSheetId="1">BlankMacro1</definedName>
    <definedName name="YTHIKYUI">BlankMacro1</definedName>
    <definedName name="ytry" hidden="1">{#N/A,#N/A,FALSE,"포장2"}</definedName>
    <definedName name="ytughjhg" localSheetId="3">BlankMacro1</definedName>
    <definedName name="ytughjhg" localSheetId="1">BlankMacro1</definedName>
    <definedName name="ytughjhg">BlankMacro1</definedName>
    <definedName name="YU" localSheetId="3">BlankMacro1</definedName>
    <definedName name="YU" localSheetId="1">BlankMacro1</definedName>
    <definedName name="YU">BlankMacro1</definedName>
    <definedName name="YUIKYUI" localSheetId="3">BlankMacro1</definedName>
    <definedName name="YUIKYUI" localSheetId="1">BlankMacro1</definedName>
    <definedName name="YUIKYUI">BlankMacro1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yyyyyyyyyyyy">#REF!</definedName>
    <definedName name="Z" localSheetId="3">BlankMacro1</definedName>
    <definedName name="Z" localSheetId="1">BlankMacro1</definedName>
    <definedName name="Z">BlankMacro1</definedName>
    <definedName name="ZA" localSheetId="3">BlankMacro1</definedName>
    <definedName name="ZA" localSheetId="1">BlankMacro1</definedName>
    <definedName name="ZA">BlankMacro1</definedName>
    <definedName name="ZB">#REF!</definedName>
    <definedName name="ZB_2">'[35]IMPEADENCE MAP 취수장'!#REF!</definedName>
    <definedName name="ZC" localSheetId="1">{"Book1","부대-(표지판,데리,가드).xls","부대-(낙,차,중분대).xls"}</definedName>
    <definedName name="ZC">{"Book1","부대-(표지판,데리,가드).xls","부대-(낙,차,중분대).xls"}</definedName>
    <definedName name="zigan" localSheetId="1">#REF!</definedName>
    <definedName name="zigan">#REF!</definedName>
    <definedName name="ZP">#REF!</definedName>
    <definedName name="zsddvc" localSheetId="3">BlankMacro1</definedName>
    <definedName name="zsddvc" localSheetId="1">BlankMacro1</definedName>
    <definedName name="zsddvc">BlankMacro1</definedName>
    <definedName name="ZSQ" localSheetId="3">BlankMacro1</definedName>
    <definedName name="ZSQ" localSheetId="1">BlankMacro1</definedName>
    <definedName name="ZSQ">BlankMacro1</definedName>
    <definedName name="zx" localSheetId="3">BlankMacro1</definedName>
    <definedName name="zx" localSheetId="1">BlankMacro1</definedName>
    <definedName name="zx">BlankMacro1</definedName>
    <definedName name="zxc" localSheetId="3">BlankMacro1</definedName>
    <definedName name="zxc" localSheetId="1">BlankMacro1</definedName>
    <definedName name="zxc">BlankMacro1</definedName>
    <definedName name="zxcasdas" localSheetId="3">BlankMacro1</definedName>
    <definedName name="zxcasdas" localSheetId="1">BlankMacro1</definedName>
    <definedName name="zxcasdas">BlankMacro1</definedName>
    <definedName name="zxczxc" localSheetId="3">BlankMacro1</definedName>
    <definedName name="zxczxc" localSheetId="1">BlankMacro1</definedName>
    <definedName name="zxczxc">BlankMacro1</definedName>
    <definedName name="zxczxczxc" localSheetId="3">BlankMacro1</definedName>
    <definedName name="zxczxczxc" localSheetId="1">BlankMacro1</definedName>
    <definedName name="zxczxczxc">BlankMacro1</definedName>
    <definedName name="zzS11111">#REF!</definedName>
    <definedName name="α1">[51]안정검토!#REF!</definedName>
    <definedName name="α2">[51]안정검토!#REF!</definedName>
    <definedName name="γ1">[51]안정검토!#REF!</definedName>
    <definedName name="δ2">[51]안정검토!#REF!</definedName>
    <definedName name="θ2">[51]안정검토!#REF!</definedName>
    <definedName name="φ2">[51]안정검토!#REF!</definedName>
    <definedName name="ㄱ">#REF!</definedName>
    <definedName name="ㄱ1" localSheetId="1">#REF!</definedName>
    <definedName name="ㄱ1">#REF!</definedName>
    <definedName name="ㄱ10" localSheetId="1">#REF!</definedName>
    <definedName name="ㄱ10">#REF!</definedName>
    <definedName name="ㄱ11" localSheetId="1">#REF!</definedName>
    <definedName name="ㄱ11">#REF!</definedName>
    <definedName name="ㄱ12" localSheetId="1">#REF!</definedName>
    <definedName name="ㄱ12">#REF!</definedName>
    <definedName name="ㄱ13" localSheetId="1">#REF!</definedName>
    <definedName name="ㄱ13">#REF!</definedName>
    <definedName name="ㄱ14" localSheetId="1">#REF!</definedName>
    <definedName name="ㄱ14">#REF!</definedName>
    <definedName name="ㄱ15" localSheetId="1">#REF!</definedName>
    <definedName name="ㄱ15">#REF!</definedName>
    <definedName name="ㄱ16" localSheetId="1">#REF!</definedName>
    <definedName name="ㄱ16">#REF!</definedName>
    <definedName name="ㄱ17" localSheetId="1">#REF!</definedName>
    <definedName name="ㄱ17">#REF!</definedName>
    <definedName name="ㄱ2" localSheetId="1">#REF!</definedName>
    <definedName name="ㄱ2">#REF!</definedName>
    <definedName name="ㄱ3" localSheetId="1">#REF!</definedName>
    <definedName name="ㄱ3">#REF!</definedName>
    <definedName name="ㄱ34">'[102]안정검토(온1)'!#REF!</definedName>
    <definedName name="ㄱ4" localSheetId="1">#REF!</definedName>
    <definedName name="ㄱ4">#REF!</definedName>
    <definedName name="ㄱ5" localSheetId="1">#REF!</definedName>
    <definedName name="ㄱ5">#REF!</definedName>
    <definedName name="ㄱ6" localSheetId="1">#REF!</definedName>
    <definedName name="ㄱ6">#REF!</definedName>
    <definedName name="ㄱ7" localSheetId="1">#REF!</definedName>
    <definedName name="ㄱ7">#REF!</definedName>
    <definedName name="ㄱ8" localSheetId="1">#REF!</definedName>
    <definedName name="ㄱ8">#REF!</definedName>
    <definedName name="ㄱ9" localSheetId="1">#REF!</definedName>
    <definedName name="ㄱ9">#REF!</definedName>
    <definedName name="ㄱㄱ" hidden="1">{#N/A,#N/A,FALSE,"운반시간"}</definedName>
    <definedName name="ㄱㄱㄱㄱㄱ" localSheetId="1">#REF!</definedName>
    <definedName name="ㄱㄱㄱㄱㄱ">#REF!</definedName>
    <definedName name="ㄱㅎ">#REF!</definedName>
    <definedName name="가" localSheetId="3">BlankMacro1</definedName>
    <definedName name="가" localSheetId="1">BlankMacro1</definedName>
    <definedName name="가">BlankMacro1</definedName>
    <definedName name="가.건축공사">[139]공구원가계산!#REF!</definedName>
    <definedName name="가.공원시설물공">[139]공구원가계산!#REF!</definedName>
    <definedName name="가나">#REF!</definedName>
    <definedName name="가나다" localSheetId="1">#REF!</definedName>
    <definedName name="가나다">#REF!</definedName>
    <definedName name="가로등부표1" localSheetId="3">[140]!Macro13</definedName>
    <definedName name="가로등부표1">[140]!Macro13</definedName>
    <definedName name="가로등부표2">#REF!,#REF!</definedName>
    <definedName name="가배수로" hidden="1">{#N/A,#N/A,FALSE,"포장1";#N/A,#N/A,FALSE,"포장1"}</definedName>
    <definedName name="가설사무소경">[142]시설물일위!#REF!</definedName>
    <definedName name="가설사무소노">[142]가설공사!#REF!</definedName>
    <definedName name="가설사무소재">[142]시설물일위!#REF!</definedName>
    <definedName name="가설창고경">[142]시설물일위!#REF!</definedName>
    <definedName name="가설창고노">[142]시설물일위!#REF!</definedName>
    <definedName name="가설창고재">[142]시설물일위!#REF!</definedName>
    <definedName name="가시나무5노무">#REF!</definedName>
    <definedName name="가시나무5재료">#REF!</definedName>
    <definedName name="가시나무6노무">#REF!</definedName>
    <definedName name="가시나무6재료">#REF!</definedName>
    <definedName name="가시나무R4">[64]데이타!$E$2</definedName>
    <definedName name="가시나무R5">[64]데이타!$E$3</definedName>
    <definedName name="가시나무R6">[64]데이타!$E$4</definedName>
    <definedName name="가시나무R8">[64]데이타!$E$5</definedName>
    <definedName name="가시나무노무8">#REF!</definedName>
    <definedName name="가시나무재료8">#REF!</definedName>
    <definedName name="가이즈까">[93]단가!$A$94</definedName>
    <definedName name="가이즈까향1204">[64]데이타!$E$6</definedName>
    <definedName name="가이즈까향1505">[64]데이타!$E$7</definedName>
    <definedName name="가이즈까향2006">[64]데이타!$E$8</definedName>
    <definedName name="가이즈까향2008">[64]데이타!$E$9</definedName>
    <definedName name="가이즈까향2510">[64]데이타!$E$10</definedName>
    <definedName name="가중나무B10">[64]데이타!$E$19</definedName>
    <definedName name="가중나무B4">[64]데이타!$E$15</definedName>
    <definedName name="가중나무B5">[64]데이타!$E$16</definedName>
    <definedName name="가중나무B6">[64]데이타!$E$17</definedName>
    <definedName name="가중나무B8">[64]데이타!$E$18</definedName>
    <definedName name="각" hidden="1">{#N/A,#N/A,FALSE,"부대2"}</definedName>
    <definedName name="각시" hidden="1">{#N/A,#N/A,FALSE,"속도"}</definedName>
    <definedName name="간">#REF!</definedName>
    <definedName name="간선변경" localSheetId="3">BlankMacro1</definedName>
    <definedName name="간선변경" localSheetId="1">BlankMacro1</definedName>
    <definedName name="간선변경">BlankMacro1</definedName>
    <definedName name="간성" localSheetId="1" hidden="1">{#N/A,#N/A,FALSE,"전력간선"}</definedName>
    <definedName name="간성">{#N/A,#N/A,FALSE,"전력간선"}</definedName>
    <definedName name="간접노무비" localSheetId="1">#REF!</definedName>
    <definedName name="간접노무비">#REF!</definedName>
    <definedName name="간접노무비후">[144]총괄내역서!#REF!</definedName>
    <definedName name="갈15">[133]계수시트!#REF!</definedName>
    <definedName name="갈대">[93]단가!$A$149</definedName>
    <definedName name="갈대3">[145]단가조사!#REF!</definedName>
    <definedName name="갈대노">[146]식재!$H$209</definedName>
    <definedName name="갈대재">[146]식재!$F$209</definedName>
    <definedName name="감">[93]단가!$A$102</definedName>
    <definedName name="감R10">[64]데이타!$E$24</definedName>
    <definedName name="감R12">[64]데이타!$E$25</definedName>
    <definedName name="감R15">[64]데이타!$E$26</definedName>
    <definedName name="감R5">[64]데이타!$E$20</definedName>
    <definedName name="감R6">[64]데이타!$E$21</definedName>
    <definedName name="감R7">[64]데이타!$E$22</definedName>
    <definedName name="감R8">[64]데이타!$E$23</definedName>
    <definedName name="감나무">#REF!</definedName>
    <definedName name="감속턱수량" localSheetId="1">#REF!</definedName>
    <definedName name="감속턱수량">#REF!</definedName>
    <definedName name="갑" localSheetId="1">#REF!</definedName>
    <definedName name="갑">#REF!</definedName>
    <definedName name="갑지">[147]일위대가!#REF!</definedName>
    <definedName name="갑지8" localSheetId="1" hidden="1">{#N/A,#N/A,FALSE,"전력간선"}</definedName>
    <definedName name="갑지8">{#N/A,#N/A,FALSE,"전력간선"}</definedName>
    <definedName name="갑지변경" localSheetId="1" hidden="1">{#N/A,#N/A,FALSE,"전력간선"}</definedName>
    <definedName name="갑지변경">{#N/A,#N/A,FALSE,"전력간선"}</definedName>
    <definedName name="갑지변경1" localSheetId="1" hidden="1">{#N/A,#N/A,FALSE,"전력간선"}</definedName>
    <definedName name="갑지변경1">{#N/A,#N/A,FALSE,"전력간선"}</definedName>
    <definedName name="갑지변경2" localSheetId="1" hidden="1">{#N/A,#N/A,FALSE,"전력간선"}</definedName>
    <definedName name="갑지변경2">{#N/A,#N/A,FALSE,"전력간선"}</definedName>
    <definedName name="갑지변경3" localSheetId="1" hidden="1">{#N/A,#N/A,FALSE,"전력간선"}</definedName>
    <definedName name="갑지변경3">{#N/A,#N/A,FALSE,"전력간선"}</definedName>
    <definedName name="갑지변경4" localSheetId="1" hidden="1">{#N/A,#N/A,FALSE,"전력간선"}</definedName>
    <definedName name="갑지변경4">{#N/A,#N/A,FALSE,"전력간선"}</definedName>
    <definedName name="갑지변경5" localSheetId="1" hidden="1">{#N/A,#N/A,FALSE,"전력간선"}</definedName>
    <definedName name="갑지변경5">{#N/A,#N/A,FALSE,"전력간선"}</definedName>
    <definedName name="갑지변경6" localSheetId="1" hidden="1">{#N/A,#N/A,FALSE,"전력간선"}</definedName>
    <definedName name="갑지변경6">{#N/A,#N/A,FALSE,"전력간선"}</definedName>
    <definedName name="갑지변경7" localSheetId="1" hidden="1">{#N/A,#N/A,FALSE,"전력간선"}</definedName>
    <definedName name="갑지변경7">{#N/A,#N/A,FALSE,"전력간선"}</definedName>
    <definedName name="갑지변경8" localSheetId="1" hidden="1">{#N/A,#N/A,FALSE,"전력간선"}</definedName>
    <definedName name="갑지변경8">{#N/A,#N/A,FALSE,"전력간선"}</definedName>
    <definedName name="갑지변경9" localSheetId="1" hidden="1">{#N/A,#N/A,FALSE,"전력간선"}</definedName>
    <definedName name="갑지변경9">{#N/A,#N/A,FALSE,"전력간선"}</definedName>
    <definedName name="강" localSheetId="3">BlankMacro1</definedName>
    <definedName name="강" localSheetId="1">BlankMacro1</definedName>
    <definedName name="강">BlankMacro1</definedName>
    <definedName name="강관말뚝공" localSheetId="1">#REF!</definedName>
    <definedName name="강관말뚝공">#REF!</definedName>
    <definedName name="강교스치로폴_채움" localSheetId="1">#REF!</definedName>
    <definedName name="강교스치로폴_채움">#REF!</definedName>
    <definedName name="강수지" hidden="1">{#N/A,#N/A,FALSE,"포장1";#N/A,#N/A,FALSE,"포장1"}</definedName>
    <definedName name="강아" localSheetId="3">BlankMacro1</definedName>
    <definedName name="강아" localSheetId="1">BlankMacro1</definedName>
    <definedName name="강아">BlankMacro1</definedName>
    <definedName name="강아지" localSheetId="3">BlankMacro1</definedName>
    <definedName name="강아지" localSheetId="1">BlankMacro1</definedName>
    <definedName name="강아지">BlankMacro1</definedName>
    <definedName name="강재거푸집" localSheetId="1">#REF!</definedName>
    <definedName name="강재거푸집">#REF!</definedName>
    <definedName name="갗" hidden="1">{#N/A,#N/A,FALSE,"구조1"}</definedName>
    <definedName name="갚" hidden="1">{#N/A,#N/A,FALSE,"이정표"}</definedName>
    <definedName name="개나리">#REF!</definedName>
    <definedName name="개나리12">[64]데이타!$E$31</definedName>
    <definedName name="개나리3">[64]데이타!$E$27</definedName>
    <definedName name="개나리5">[64]데이타!$E$28</definedName>
    <definedName name="개나리7">[64]데이타!$E$29</definedName>
    <definedName name="개나리9">[64]데이타!$E$30</definedName>
    <definedName name="개보지" hidden="1">{#N/A,#N/A,FALSE,"배수2"}</definedName>
    <definedName name="개쉬땅1204">[64]데이타!$E$32</definedName>
    <definedName name="개쉬땅1506">[64]데이타!$E$33</definedName>
    <definedName name="갭스" hidden="1">{#N/A,#N/A,FALSE,"포장1";#N/A,#N/A,FALSE,"포장1"}</definedName>
    <definedName name="갯버들">[145]단가조사!#REF!</definedName>
    <definedName name="갯버들노">[146]식재!$H$156</definedName>
    <definedName name="갯버들재">[146]식재!$F$156</definedName>
    <definedName name="갱부">[11]노임단가!$C$2:$F$2</definedName>
    <definedName name="거친마감" localSheetId="1">#REF!</definedName>
    <definedName name="거친마감">#REF!</definedName>
    <definedName name="건축목공">[11]노임단가!$C$3:$F$3</definedName>
    <definedName name="검___조___부">[11]노임단가!#REF!</definedName>
    <definedName name="게이트">[148]단가!$B$35</definedName>
    <definedName name="견" hidden="1">{#N/A,#N/A,FALSE,"배수2"}</definedName>
    <definedName name="견___출___공">[11]노임단가!$C$33:$F$33</definedName>
    <definedName name="견적서1">#REF!</definedName>
    <definedName name="결속선">[149]단가!$A$18</definedName>
    <definedName name="결정치" localSheetId="1">#REF!</definedName>
    <definedName name="결정치">#REF!</definedName>
    <definedName name="겹동백1002">[64]데이타!$E$145</definedName>
    <definedName name="겹동백1204">[64]데이타!$E$146</definedName>
    <definedName name="겹동백1506">[64]데이타!$E$147</definedName>
    <definedName name="겹벗R6">[64]데이타!$E$34</definedName>
    <definedName name="겹벗R8">[64]데이타!$E$35</definedName>
    <definedName name="겹철쭉">[93]단가!$A$143</definedName>
    <definedName name="겹철쭉0304">[64]데이타!$E$36</definedName>
    <definedName name="겹철쭉0506">[64]데이타!$E$37</definedName>
    <definedName name="겹철쭉0608">[64]데이타!$E$38</definedName>
    <definedName name="겹철쭉0810">[64]데이타!$E$39</definedName>
    <definedName name="겹철쭉0812">[64]데이타!$E$40</definedName>
    <definedName name="경">#REF!</definedName>
    <definedName name="경계블럭연장" hidden="1">[151]조명시설!#REF!</definedName>
    <definedName name="경계석">'[152]단가(자재)'!$D$4:$O$55</definedName>
    <definedName name="경비">[153]일위대가표!#REF!</definedName>
    <definedName name="경비2">[154]일위대가표!#REF!</definedName>
    <definedName name="경유">'[155]중기조종사 단위단가'!$B$6</definedName>
    <definedName name="계">#REF!</definedName>
    <definedName name="계___령___공">[11]노임단가!#REF!</definedName>
    <definedName name="계___장___공">[11]노임단가!$C$65:$F$65</definedName>
    <definedName name="계_①___⑦">#REF!</definedName>
    <definedName name="계수B5">[64]데이타!$E$41</definedName>
    <definedName name="계수B6">[64]데이타!$E$42</definedName>
    <definedName name="계수B8">[64]데이타!$E$43</definedName>
    <definedName name="계수나무6노무">#REF!</definedName>
    <definedName name="계수나무6재료">#REF!</definedName>
    <definedName name="계획표" localSheetId="3">[157]!일위코드입력매크로</definedName>
    <definedName name="계획표">[157]!일위코드입력매크로</definedName>
    <definedName name="고_급__선_원">[11]노임단가!$C$81:$F$81</definedName>
    <definedName name="고_압_호_스">[95]장비집계!#REF!</definedName>
    <definedName name="고강직경D13" localSheetId="1">#REF!</definedName>
    <definedName name="고강직경D13">#REF!</definedName>
    <definedName name="고강직경D16_25" localSheetId="1">#REF!</definedName>
    <definedName name="고강직경D16_25">#REF!</definedName>
    <definedName name="고강직경D29_35" localSheetId="1">#REF!</definedName>
    <definedName name="고강직경D29_35">#REF!</definedName>
    <definedName name="고광3">[64]데이타!$E$44</definedName>
    <definedName name="고광5">[64]데이타!$E$45</definedName>
    <definedName name="고급원자력비파괴시험">[11]노임단가!$C$136:$F$136</definedName>
    <definedName name="고속도러" hidden="1">{#N/A,#N/A,FALSE,"구조2"}</definedName>
    <definedName name="고압블럭수량" localSheetId="1">#REF!</definedName>
    <definedName name="고압블럭수량">#REF!</definedName>
    <definedName name="고압케이블전공">[11]노임단가!$C$62:$F$62</definedName>
    <definedName name="고재">#REF!</definedName>
    <definedName name="고케">#REF!</definedName>
    <definedName name="곰솔2508">[158]데이타!$E$46</definedName>
    <definedName name="곰솔3010">[64]데이타!$E$47</definedName>
    <definedName name="곰솔R10">[64]데이타!$E$48</definedName>
    <definedName name="곰솔R12">[64]데이타!$E$49</definedName>
    <definedName name="곰솔R15">[64]데이타!$E$50</definedName>
    <definedName name="곱">[109]간지!$I$24:$I$85</definedName>
    <definedName name="곱2">[110]DATE!$I$24:$I$85</definedName>
    <definedName name="공_____종">[159]일위대가!#REF!</definedName>
    <definedName name="공_기_압_축_기">[95]장비집계!#REF!</definedName>
    <definedName name="공급가액후">[144]총괄내역서!#REF!</definedName>
    <definedName name="공기_압축기">[95]장비집계!#REF!</definedName>
    <definedName name="공기_압축기__주간">[95]장비집계!#REF!</definedName>
    <definedName name="공동구공" localSheetId="1">#REF!</definedName>
    <definedName name="공동구공">#REF!</definedName>
    <definedName name="공동구공집계표" localSheetId="1">#REF!</definedName>
    <definedName name="공동구공집계표">#REF!</definedName>
    <definedName name="공사명" localSheetId="1">#REF!</definedName>
    <definedName name="공사명">#REF!</definedName>
    <definedName name="공사원가">#REF!</definedName>
    <definedName name="공사원가명세서">#REF!</definedName>
    <definedName name="공사원가명세서분석표1">[162]경산!#REF!</definedName>
    <definedName name="공원식재공">[139]공구원가계산!#REF!</definedName>
    <definedName name="공정">#REF!</definedName>
    <definedName name="공정표" localSheetId="1" hidden="1">{#N/A,#N/A,FALSE,"현장 NCR 분석";#N/A,#N/A,FALSE,"현장품질감사";#N/A,#N/A,FALSE,"현장품질감사"}</definedName>
    <definedName name="공정표">{#N/A,#N/A,FALSE,"현장 NCR 분석";#N/A,#N/A,FALSE,"현장품질감사";#N/A,#N/A,FALSE,"현장품질감사"}</definedName>
    <definedName name="공제">#REF!</definedName>
    <definedName name="공종대가">[165]내역서01!$A$6:$N$600</definedName>
    <definedName name="공종명">[11]노임단가!$C$2:$F$65536</definedName>
    <definedName name="공통일위" localSheetId="1">#REF!</definedName>
    <definedName name="공통일위">#REF!</definedName>
    <definedName name="관0.3_0.7" localSheetId="1">#REF!</definedName>
    <definedName name="관0.3_0.7">#REF!</definedName>
    <definedName name="관0.3m미만" localSheetId="1">#REF!</definedName>
    <definedName name="관0.3m미만">#REF!</definedName>
    <definedName name="관0.8_1.1" localSheetId="1">#REF!</definedName>
    <definedName name="관0.8_1.1">#REF!</definedName>
    <definedName name="관1.2_1.5" localSheetId="1">#REF!</definedName>
    <definedName name="관1.2_1.5">#REF!</definedName>
    <definedName name="관경03">[166]계수시트!$B$67</definedName>
    <definedName name="관경06">[166]계수시트!$B$70</definedName>
    <definedName name="관경08">[166]계수시트!$B$71</definedName>
    <definedName name="관경10">[166]계수시트!$B$63</definedName>
    <definedName name="관경15">[166]계수시트!$B$65</definedName>
    <definedName name="관경5">[166]계수시트!$B$59</definedName>
    <definedName name="관경6">[166]계수시트!$B$60</definedName>
    <definedName name="관경7">[166]계수시트!$B$61</definedName>
    <definedName name="관경8">[166]계수시트!$B$62</definedName>
    <definedName name="관계단노">[146]시설물!$H$294</definedName>
    <definedName name="관계단재">[146]시설물!$F$294</definedName>
    <definedName name="관급">#REF!,#REF!,#REF!</definedName>
    <definedName name="관급단가">#REF!</definedName>
    <definedName name="관급자재">[167]총괄내역서!#REF!</definedName>
    <definedName name="관급자재비">[144]총괄내역서!#REF!</definedName>
    <definedName name="관노03">[166]계수시트!$B$39</definedName>
    <definedName name="관노06">[166]계수시트!$B$42</definedName>
    <definedName name="관노08">[166]계수시트!$B$43</definedName>
    <definedName name="관노10">[166]계수시트!$B$35</definedName>
    <definedName name="관노15">[166]계수시트!$B$37</definedName>
    <definedName name="관노5">[166]계수시트!$B$31</definedName>
    <definedName name="관노6">[166]계수시트!$B$32</definedName>
    <definedName name="관노7">[166]계수시트!$B$33</definedName>
    <definedName name="관노8">[166]계수시트!$B$34</definedName>
    <definedName name="관로" hidden="1">{#N/A,#N/A,FALSE,"배수2"}</definedName>
    <definedName name="관목계">#REF!</definedName>
    <definedName name="관악IC교">[168]TOTAL_BOQ!#REF!</definedName>
    <definedName name="관용접노무">#REF!</definedName>
    <definedName name="관용접노무비">#REF!</definedName>
    <definedName name="관용접재료">#REF!</definedName>
    <definedName name="관용접재료비">#REF!</definedName>
    <definedName name="관재03">[166]계수시트!$B$53</definedName>
    <definedName name="관재06">[166]계수시트!$B$56</definedName>
    <definedName name="관재08">[166]계수시트!$B$57</definedName>
    <definedName name="관재10">[166]계수시트!$B$49</definedName>
    <definedName name="관재15">[166]계수시트!$B$51</definedName>
    <definedName name="관재5">[166]계수시트!$B$45</definedName>
    <definedName name="관재6">[166]계수시트!$B$46</definedName>
    <definedName name="관재7">[166]계수시트!$B$47</definedName>
    <definedName name="관재8">[166]계수시트!$B$48</definedName>
    <definedName name="관찰4경">[146]시설물!$J$357</definedName>
    <definedName name="관찰4노">[146]시설물!$H$357</definedName>
    <definedName name="관찰4재">[146]시설물!$F$357</definedName>
    <definedName name="관찰다리노">[146]시설물!$H$383</definedName>
    <definedName name="관찰다리재">[146]시설물!$F$383</definedName>
    <definedName name="관찰로경">[146]시설물!$J$370</definedName>
    <definedName name="관찰로노">[146]시설물!$H$370</definedName>
    <definedName name="관찰로재">[146]시설물!$F$370</definedName>
    <definedName name="광나무1003">[64]데이타!$E$51</definedName>
    <definedName name="광나무1203">[64]데이타!$E$52</definedName>
    <definedName name="광나무1506">[64]데이타!$E$53</definedName>
    <definedName name="광섬유일위">#REF!</definedName>
    <definedName name="광케이블기사">[11]노임단가!$C$110:$F$110</definedName>
    <definedName name="광통신__기사">[11]노임단가!$C$109:$F$109</definedName>
    <definedName name="광편백0405">[64]데이타!$E$153</definedName>
    <definedName name="광편백0507">[64]데이타!$E$154</definedName>
    <definedName name="광편백0509">[64]데이타!$E$155</definedName>
    <definedName name="교각자중" localSheetId="1">#REF!</definedName>
    <definedName name="교각자중">#REF!</definedName>
    <definedName name="교대보호블럭_설치" localSheetId="1">#REF!</definedName>
    <definedName name="교대보호블럭_설치">#REF!</definedName>
    <definedName name="교량">[169]토공!$A$1:$IV$2</definedName>
    <definedName name="교량2">[169]토공!$A$1:$IV$2</definedName>
    <definedName name="교량배수시설공" localSheetId="1">#REF!</definedName>
    <definedName name="교량배수시설공">#REF!</definedName>
    <definedName name="교목계">#REF!</definedName>
    <definedName name="교정" localSheetId="1" hidden="1">{#N/A,#N/A,FALSE,"전력간선"}</definedName>
    <definedName name="교정">{#N/A,#N/A,FALSE,"전력간선"}</definedName>
    <definedName name="구______분">#REF!</definedName>
    <definedName name="구분" localSheetId="3">BlankMacro1</definedName>
    <definedName name="구분" localSheetId="1">BlankMacro1</definedName>
    <definedName name="구분">BlankMacro1</definedName>
    <definedName name="구분1" localSheetId="3">BlankMacro1</definedName>
    <definedName name="구분1" localSheetId="1">BlankMacro1</definedName>
    <definedName name="구분1">BlankMacro1</definedName>
    <definedName name="구상나무1505">[64]데이타!$E$69</definedName>
    <definedName name="구상나무2008">[64]데이타!$E$70</definedName>
    <definedName name="구상나무2510">[64]데이타!$E$71</definedName>
    <definedName name="구상나무3012">[64]데이타!$E$72</definedName>
    <definedName name="구종물" hidden="1">{#N/A,#N/A,FALSE,"속도"}</definedName>
    <definedName name="굴취품셈기준" localSheetId="1">조경원가계산서!굴취품셈기준</definedName>
    <definedName name="굴취품셈기준">[319]!굴취품셈기준</definedName>
    <definedName name="권">[171]DATE!$I$24:$I$85</definedName>
    <definedName name="궤___도___공">[11]노임단가!$C$40:$F$40</definedName>
    <definedName name="규___격">#REF!</definedName>
    <definedName name="규격">[109]간지!$C$24:$C$85</definedName>
    <definedName name="규준노">[146]시설물!#REF!</definedName>
    <definedName name="규준재">[146]시설물!#REF!</definedName>
    <definedName name="균열검토" localSheetId="1">#REF!</definedName>
    <definedName name="균열검토">#REF!</definedName>
    <definedName name="그라우팅_펌프">[95]장비집계!#REF!</definedName>
    <definedName name="그레이팅" hidden="1">{#N/A,#N/A,FALSE,"토공2"}</definedName>
    <definedName name="극한모멘트" localSheetId="1">#REF!</definedName>
    <definedName name="극한모멘트">#REF!</definedName>
    <definedName name="글립" hidden="1">{#N/A,#N/A,FALSE,"포장2"}</definedName>
    <definedName name="금마타리">#REF!</definedName>
    <definedName name="금송1006">[64]데이타!$E$73</definedName>
    <definedName name="금송1208">[64]데이타!$E$74</definedName>
    <definedName name="금송1510">[64]데이타!$E$75</definedName>
    <definedName name="기">#N/A</definedName>
    <definedName name="기___계___공">[11]노임단가!$C$90:$F$90</definedName>
    <definedName name="기___와___공">[11]노임단가!#REF!</definedName>
    <definedName name="기경">#REF!</definedName>
    <definedName name="기계">#REF!</definedName>
    <definedName name="기계__설치공">[11]노임단가!$C$89:$F$89</definedName>
    <definedName name="기계3" localSheetId="3">BlankMacro1</definedName>
    <definedName name="기계3" localSheetId="1">BlankMacro1</definedName>
    <definedName name="기계3">BlankMacro1</definedName>
    <definedName name="기계경비후">[144]총괄내역서!#REF!</definedName>
    <definedName name="기계되경">#REF!</definedName>
    <definedName name="기계되노">#REF!</definedName>
    <definedName name="기계되재">#REF!</definedName>
    <definedName name="기계설치공">[174]노무비단가!$B$28</definedName>
    <definedName name="기계운전">#REF!</definedName>
    <definedName name="기계운전기사">'[175]99노임기준'!#REF!</definedName>
    <definedName name="기계운전사">'[176]중기조종사 단위단가'!$B$4</definedName>
    <definedName name="기계잔경">#REF!</definedName>
    <definedName name="기계잔노">#REF!</definedName>
    <definedName name="기계잔재">#REF!</definedName>
    <definedName name="기계터경">#REF!</definedName>
    <definedName name="기계터노">#REF!</definedName>
    <definedName name="기계터재">#REF!</definedName>
    <definedName name="기둥H" localSheetId="1">#REF!</definedName>
    <definedName name="기둥H">#REF!</definedName>
    <definedName name="기둥높이" localSheetId="1">#REF!</definedName>
    <definedName name="기둥높이">#REF!</definedName>
    <definedName name="기둥지름" localSheetId="1">#REF!</definedName>
    <definedName name="기둥지름">#REF!</definedName>
    <definedName name="기성">#N/A</definedName>
    <definedName name="기성1">#N/A</definedName>
    <definedName name="기성품" localSheetId="3">BlankMacro1</definedName>
    <definedName name="기성품" localSheetId="1">BlankMacro1</definedName>
    <definedName name="기성품">BlankMacro1</definedName>
    <definedName name="기자재수량">#REF!</definedName>
    <definedName name="기조일위대가">#REF!</definedName>
    <definedName name="기준" localSheetId="1">#REF!</definedName>
    <definedName name="기준">#REF!</definedName>
    <definedName name="기초">[179]소일위대가코드표!$A$1:$D$212</definedName>
    <definedName name="기초높이" localSheetId="1">#REF!</definedName>
    <definedName name="기초높이">#REF!</definedName>
    <definedName name="기초단가">[180]기초일위!$G$1:$M$65536</definedName>
    <definedName name="기초단가1">[180]기초일위!$B$1:$G$65536</definedName>
    <definedName name="기초두께" localSheetId="1">#REF!</definedName>
    <definedName name="기초두께">#REF!</definedName>
    <definedName name="기초말뚝">[146]시설물!#REF!</definedName>
    <definedName name="기초일위">[181]기초일위!$B$1:$M$65536</definedName>
    <definedName name="기초일위대가" localSheetId="1">#REF!</definedName>
    <definedName name="기초일위대가">#REF!</definedName>
    <definedName name="기초일위대가1">#REF!</definedName>
    <definedName name="기타경비후">[144]총괄내역서!#REF!</definedName>
    <definedName name="길1" localSheetId="1">#REF!</definedName>
    <definedName name="길1">#REF!</definedName>
    <definedName name="길10" localSheetId="1">#REF!</definedName>
    <definedName name="길10">#REF!</definedName>
    <definedName name="길11" localSheetId="1">#REF!</definedName>
    <definedName name="길11">#REF!</definedName>
    <definedName name="길12" localSheetId="1">#REF!</definedName>
    <definedName name="길12">#REF!</definedName>
    <definedName name="길13" localSheetId="1">#REF!</definedName>
    <definedName name="길13">#REF!</definedName>
    <definedName name="길14" localSheetId="1">#REF!</definedName>
    <definedName name="길14">#REF!</definedName>
    <definedName name="길15" localSheetId="1">#REF!</definedName>
    <definedName name="길15">#REF!</definedName>
    <definedName name="길16" localSheetId="1">#REF!</definedName>
    <definedName name="길16">#REF!</definedName>
    <definedName name="길2" localSheetId="1">#REF!</definedName>
    <definedName name="길2">#REF!</definedName>
    <definedName name="길3" localSheetId="1">#REF!</definedName>
    <definedName name="길3">#REF!</definedName>
    <definedName name="길4" localSheetId="1">#REF!</definedName>
    <definedName name="길4">#REF!</definedName>
    <definedName name="길5" localSheetId="1">#REF!</definedName>
    <definedName name="길5">#REF!</definedName>
    <definedName name="길6" localSheetId="1">#REF!</definedName>
    <definedName name="길6">#REF!</definedName>
    <definedName name="길7" localSheetId="1">#REF!</definedName>
    <definedName name="길7">#REF!</definedName>
    <definedName name="길8" localSheetId="1">#REF!</definedName>
    <definedName name="길8">#REF!</definedName>
    <definedName name="길9" localSheetId="1">#REF!</definedName>
    <definedName name="길9">#REF!</definedName>
    <definedName name="길이1" localSheetId="1">#REF!</definedName>
    <definedName name="길이1">#REF!</definedName>
    <definedName name="길이2" localSheetId="1">#REF!</definedName>
    <definedName name="길이2">#REF!</definedName>
    <definedName name="길이3" localSheetId="1">#REF!</definedName>
    <definedName name="길이3">#REF!</definedName>
    <definedName name="길이4" localSheetId="1">#REF!</definedName>
    <definedName name="길이4">#REF!</definedName>
    <definedName name="김">[40]내역서!#REF!</definedName>
    <definedName name="김성겸" hidden="1">{#N/A,#N/A,FALSE,"이정표"}</definedName>
    <definedName name="김정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김종현">[12]Sheet1!$G$48</definedName>
    <definedName name="김태주" hidden="1">{#N/A,#N/A,FALSE,"구조1"}</definedName>
    <definedName name="깊이">#REF!</definedName>
    <definedName name="깍기경">[166]계수시트!$B$88</definedName>
    <definedName name="깍기노">[166]계수시트!$B$86</definedName>
    <definedName name="깍기재">[166]계수시트!$B$87</definedName>
    <definedName name="깨기">#REF!</definedName>
    <definedName name="깨기수량" localSheetId="1">#REF!</definedName>
    <definedName name="깨기수량">#REF!</definedName>
    <definedName name="깨기집계간지" localSheetId="3">BlankMacro1</definedName>
    <definedName name="깨기집계간지" localSheetId="1">BlankMacro1</definedName>
    <definedName name="깨기집계간지">BlankMacro1</definedName>
    <definedName name="깨기총괄.">#REF!</definedName>
    <definedName name="꽃복숭아R3">[64]데이타!$E$58</definedName>
    <definedName name="꽃복숭아R4">[64]데이타!$E$59</definedName>
    <definedName name="꽃복숭아R5">[64]데이타!$E$60</definedName>
    <definedName name="꽃사과">[93]단가!$A$130</definedName>
    <definedName name="꽃사과10노무">#REF!</definedName>
    <definedName name="꽃사과10재료">#REF!</definedName>
    <definedName name="꽃사과6노무">#REF!</definedName>
    <definedName name="꽃사과6재료">#REF!</definedName>
    <definedName name="꽃사과8노무">#REF!</definedName>
    <definedName name="꽃사과8재료">#REF!</definedName>
    <definedName name="꽃사과R10">[64]데이타!$E$64</definedName>
    <definedName name="꽃사과R4">[64]데이타!$E$61</definedName>
    <definedName name="꽃사과R6">[64]데이타!$E$62</definedName>
    <definedName name="꽃사과R8">[64]데이타!$E$63</definedName>
    <definedName name="꽃아그배R10">[64]데이타!$E$68</definedName>
    <definedName name="꽃아그배R4">[64]데이타!$E$65</definedName>
    <definedName name="꽃아그배R6">[64]데이타!$E$66</definedName>
    <definedName name="꽃아그배R8">[64]데이타!$E$67</definedName>
    <definedName name="꽃창포">#REF!</definedName>
    <definedName name="꽃향유">#REF!</definedName>
    <definedName name="꽝꽝0304">[64]데이타!$E$54</definedName>
    <definedName name="꽝꽝0406">[64]데이타!$E$55</definedName>
    <definedName name="꽝꽝0508">[64]데이타!$E$56</definedName>
    <definedName name="꽝꽝0610">[64]데이타!$E$57</definedName>
    <definedName name="ㄳㄳ" localSheetId="1">#REF!</definedName>
    <definedName name="ㄳㄳ">#REF!</definedName>
    <definedName name="ㄴ">#REF!</definedName>
    <definedName name="ㄴ1" localSheetId="1">#REF!</definedName>
    <definedName name="ㄴ1">#REF!</definedName>
    <definedName name="ㄴ2" localSheetId="1">#REF!</definedName>
    <definedName name="ㄴ2">#REF!</definedName>
    <definedName name="ㄴ3" localSheetId="1">#REF!</definedName>
    <definedName name="ㄴ3">#REF!</definedName>
    <definedName name="ㄴ4" localSheetId="1">#REF!</definedName>
    <definedName name="ㄴ4">#REF!</definedName>
    <definedName name="ㄴ5" localSheetId="1">#REF!</definedName>
    <definedName name="ㄴ5">#REF!</definedName>
    <definedName name="ㄴ6" localSheetId="1">#REF!</definedName>
    <definedName name="ㄴ6">#REF!</definedName>
    <definedName name="ㄴㄴ">#REF!</definedName>
    <definedName name="ㄴㄴㄴ">#REF!</definedName>
    <definedName name="ㄴㄴㄴㄴ">#REF!</definedName>
    <definedName name="ㄴㄴㄴㄴㄴ">#REF!</definedName>
    <definedName name="ㄴㄴㄴㄴㄴㄴ">#REF!</definedName>
    <definedName name="ㄴㄴㄴㄴㄴㄴㄴㄴㄴㄴ">#REF!</definedName>
    <definedName name="ㄴㄴㄴㄴㄴㅁ">#REF!</definedName>
    <definedName name="ㄴㄴㅁㅁㅇㄴ">#REF!</definedName>
    <definedName name="ㄴㄴㅇㅇㄴ">#REF!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ㅇㄴㄹㅇ" localSheetId="1">#REF!</definedName>
    <definedName name="ㄴㄹㅇㄴㄹㅇ">#REF!</definedName>
    <definedName name="ㄴㅁ">#REF!</definedName>
    <definedName name="ㄴㅁㅁ">#REF!</definedName>
    <definedName name="ㄴㅁㅇㅇㄴㅇ">#REF!</definedName>
    <definedName name="ㄴㅁㅇㅇㄴㅇㄴ">#REF!</definedName>
    <definedName name="ㄴㅇ" localSheetId="1">#REF!</definedName>
    <definedName name="ㄴㅇ">#REF!</definedName>
    <definedName name="ㄴㅇㄴㄴㅁㅁ">#REF!</definedName>
    <definedName name="ㄴㅇㄹ" localSheetId="1">#REF!</definedName>
    <definedName name="ㄴㅇㄹ">#REF!</definedName>
    <definedName name="ㄴㅇㄹㄹㄹㄹㄹ" localSheetId="1" hidden="1">{#N/A,#N/A,FALSE,"전력간선"}</definedName>
    <definedName name="ㄴㅇㄹㄹㄹㄹㄹ">{#N/A,#N/A,FALSE,"전력간선"}</definedName>
    <definedName name="ㄴㅇㄹㅇㄷ" localSheetId="1">#REF!</definedName>
    <definedName name="ㄴㅇㄹㅇㄷ">#REF!</definedName>
    <definedName name="ㄴ퓽ㅋ" hidden="1">{#N/A,#N/A,FALSE,"구조2"}</definedName>
    <definedName name="나" localSheetId="3">BlankMacro1</definedName>
    <definedName name="나" localSheetId="1">BlankMacro1</definedName>
    <definedName name="나">BlankMacro1</definedName>
    <definedName name="나.주거공단완충녹지시설물공">[139]공구원가계산!#REF!</definedName>
    <definedName name="나라">[186]보도공제면적!#REF!</definedName>
    <definedName name="나무">#REF!</definedName>
    <definedName name="나사식_이음" localSheetId="1">#REF!</definedName>
    <definedName name="나사식_이음">#REF!</definedName>
    <definedName name="낙상홍">'[188]실행내역 '!$A$1:$A$65536</definedName>
    <definedName name="낙상홍1004">[64]데이타!$E$76</definedName>
    <definedName name="낙상홍1506">[64]데이타!$E$77</definedName>
    <definedName name="낙상홍1808">[64]데이타!$E$78</definedName>
    <definedName name="낙상홍2010">[64]데이타!$E$79</definedName>
    <definedName name="낙상홍2515">[64]데이타!$E$80</definedName>
    <definedName name="낙우송6노무">#REF!</definedName>
    <definedName name="낙우송6재료">#REF!</definedName>
    <definedName name="낙우송8노무">#REF!</definedName>
    <definedName name="낙우송8재료">#REF!</definedName>
    <definedName name="낙우송R10">[64]데이타!$E$84</definedName>
    <definedName name="낙우송R12">[64]데이타!$E$85</definedName>
    <definedName name="낙우송R5">[64]데이타!$E$81</definedName>
    <definedName name="낙우송R6">[64]데이타!$E$82</definedName>
    <definedName name="낙우송R8">[64]데이타!$E$83</definedName>
    <definedName name="낙차공" hidden="1">{#N/A,#N/A,FALSE,"2~8번"}</definedName>
    <definedName name="낙찰율적용가">[11]노임단가!$F$2:$F$65536</definedName>
    <definedName name="낙책" localSheetId="1">{"Book1","부대-(표지판,데리,가드).xls","부대-(낙,차,중분대).xls"}</definedName>
    <definedName name="낙책">{"Book1","부대-(표지판,데리,가드).xls","부대-(낙,차,중분대).xls"}</definedName>
    <definedName name="남덕" localSheetId="3">BlankMacro1</definedName>
    <definedName name="남덕" localSheetId="1">BlankMacro1</definedName>
    <definedName name="남덕">BlankMacro1</definedName>
    <definedName name="남양주시청" localSheetId="1" hidden="1">{#N/A,#N/A,FALSE,"표지"}</definedName>
    <definedName name="남양주시청">{#N/A,#N/A,FALSE,"표지"}</definedName>
    <definedName name="내">#N/A</definedName>
    <definedName name="내___장___공">[11]노임단가!$C$30:$F$30</definedName>
    <definedName name="내_선__전_공">[11]노임단가!$C$60:$F$60</definedName>
    <definedName name="내선전공">'[189]96노임기준'!$A$67</definedName>
    <definedName name="내역1">#REF!</definedName>
    <definedName name="내역2">#REF!</definedName>
    <definedName name="내역서갑지" localSheetId="1" hidden="1">{#N/A,#N/A,FALSE,"전력간선"}</definedName>
    <definedName name="내역서갑지">{#N/A,#N/A,FALSE,"전력간선"}</definedName>
    <definedName name="내역서갑지1" localSheetId="1" hidden="1">{#N/A,#N/A,FALSE,"전력간선"}</definedName>
    <definedName name="내역서갑지1">{#N/A,#N/A,FALSE,"전력간선"}</definedName>
    <definedName name="내역서갑지2" localSheetId="1" hidden="1">{#N/A,#N/A,FALSE,"전력간선"}</definedName>
    <definedName name="내역서갑지2">{#N/A,#N/A,FALSE,"전력간선"}</definedName>
    <definedName name="내역서갑지3" localSheetId="1" hidden="1">{#N/A,#N/A,FALSE,"전력간선"}</definedName>
    <definedName name="내역서갑지3">{#N/A,#N/A,FALSE,"전력간선"}</definedName>
    <definedName name="내역서갑지4" localSheetId="1" hidden="1">{#N/A,#N/A,FALSE,"전력간선"}</definedName>
    <definedName name="내역서갑지4">{#N/A,#N/A,FALSE,"전력간선"}</definedName>
    <definedName name="내역서갑지5" localSheetId="1" hidden="1">{#N/A,#N/A,FALSE,"전력간선"}</definedName>
    <definedName name="내역서갑지5">{#N/A,#N/A,FALSE,"전력간선"}</definedName>
    <definedName name="내역서갑지6" localSheetId="1" hidden="1">{#N/A,#N/A,FALSE,"전력간선"}</definedName>
    <definedName name="내역서갑지6">{#N/A,#N/A,FALSE,"전력간선"}</definedName>
    <definedName name="내역서갑지7" localSheetId="1" hidden="1">{#N/A,#N/A,FALSE,"전력간선"}</definedName>
    <definedName name="내역서갑지7">{#N/A,#N/A,FALSE,"전력간선"}</definedName>
    <definedName name="내역서갑지8" localSheetId="1" hidden="1">{#N/A,#N/A,FALSE,"전력간선"}</definedName>
    <definedName name="내역서갑지8">{#N/A,#N/A,FALSE,"전력간선"}</definedName>
    <definedName name="내역서갑지9" localSheetId="1" hidden="1">{#N/A,#N/A,FALSE,"전력간선"}</definedName>
    <definedName name="내역서갑지9">{#N/A,#N/A,FALSE,"전력간선"}</definedName>
    <definedName name="내역서을지">#REF!</definedName>
    <definedName name="내역적용">#REF!</definedName>
    <definedName name="내전">#REF!</definedName>
    <definedName name="낵역4">#REF!</definedName>
    <definedName name="냉장고" hidden="1">{#N/A,#N/A,FALSE,"배수2"}</definedName>
    <definedName name="너" localSheetId="1">#REF!</definedName>
    <definedName name="너">#REF!</definedName>
    <definedName name="노___즐___공">[11]노임단가!$C$143:$F$143</definedName>
    <definedName name="노__무__비">[93]시설물일위!#REF!</definedName>
    <definedName name="노르웨이R12">[64]데이타!$E$90</definedName>
    <definedName name="노르웨이R15">[64]데이타!$E$91</definedName>
    <definedName name="노르웨이R4">[64]데이타!$E$86</definedName>
    <definedName name="노르웨이R5">[64]데이타!$E$87</definedName>
    <definedName name="노르웨이R6">[64]데이타!$E$88</definedName>
    <definedName name="노르웨이R8">[64]데이타!$E$89</definedName>
    <definedName name="노면표지수량" localSheetId="3">BlankMacro1</definedName>
    <definedName name="노면표지수량" localSheetId="1">BlankMacro1</definedName>
    <definedName name="노면표지수량">BlankMacro1</definedName>
    <definedName name="노무">#REF!</definedName>
    <definedName name="노무비" localSheetId="1">#REF!</definedName>
    <definedName name="노무비">#REF!</definedName>
    <definedName name="노무비1">[194]수목표준대가!$J$1:$J$65536</definedName>
    <definedName name="노반경">#REF!</definedName>
    <definedName name="노반노무">#REF!</definedName>
    <definedName name="노반재료">#REF!</definedName>
    <definedName name="노부비">#REF!</definedName>
    <definedName name="노산3교집계표" localSheetId="1">#REF!</definedName>
    <definedName name="노산3교집계표">#REF!</definedName>
    <definedName name="노임">[195]노임단가!$B$1:$C$131</definedName>
    <definedName name="노임1" localSheetId="3">BlankMacro1</definedName>
    <definedName name="노임1" localSheetId="1">BlankMacro1</definedName>
    <definedName name="노임1">BlankMacro1</definedName>
    <definedName name="노임단가">[11]노임단가!$B$1:$F$65536</definedName>
    <definedName name="노적어린이공원" localSheetId="3">BlankMacro1</definedName>
    <definedName name="노적어린이공원">BlankMacro1</definedName>
    <definedName name="노출직">#REF!</definedName>
    <definedName name="노출직부">#REF!</definedName>
    <definedName name="노출형">[79]DATA!$E$50:$F$59</definedName>
    <definedName name="녹지노">#REF!</definedName>
    <definedName name="녹지재">#REF!</definedName>
    <definedName name="높이">#REF!</definedName>
    <definedName name="눈주목">#REF!</definedName>
    <definedName name="눈향">[149]단가!$A$135</definedName>
    <definedName name="눈향L06">[64]데이타!$E$92</definedName>
    <definedName name="눈향L08">[64]데이타!$E$93</definedName>
    <definedName name="눈향L10">[64]데이타!$E$94</definedName>
    <definedName name="눈향L14">[64]데이타!$E$95</definedName>
    <definedName name="눈향L20">[64]데이타!$E$96</definedName>
    <definedName name="느릅">[93]단가!$A$103</definedName>
    <definedName name="느릅R10">[64]데이타!$E$100</definedName>
    <definedName name="느릅R4">[64]데이타!$E$97</definedName>
    <definedName name="느릅R5">[64]데이타!$E$98</definedName>
    <definedName name="느릅R8">[158]데이타!$E$99</definedName>
    <definedName name="느릅나무10노무">#REF!</definedName>
    <definedName name="느릅나무10재료">#REF!</definedName>
    <definedName name="느릅나무5노무">#REF!</definedName>
    <definedName name="느릅나무5재료">#REF!</definedName>
    <definedName name="느릅나무8노무">#REF!</definedName>
    <definedName name="느릅나무8재료">#REF!</definedName>
    <definedName name="느티10">[93]단가!$A$106</definedName>
    <definedName name="느티15">[93]단가!$A$105</definedName>
    <definedName name="느티20">[93]단가!$A$104</definedName>
    <definedName name="느티8">[93]단가!$A$107</definedName>
    <definedName name="느티R10">[158]데이타!$E$104</definedName>
    <definedName name="느티R12">[64]데이타!$E$105</definedName>
    <definedName name="느티R15">[64]데이타!$E$106</definedName>
    <definedName name="느티R18">[64]데이타!$E$107</definedName>
    <definedName name="느티R20">[64]데이타!$E$108</definedName>
    <definedName name="느티R25">[64]데이타!$E$109</definedName>
    <definedName name="느티R30">[64]데이타!$E$110</definedName>
    <definedName name="느티R5">[64]데이타!$E$101</definedName>
    <definedName name="느티R6">[64]데이타!$E$102</definedName>
    <definedName name="느티R8">[64]데이타!$E$103</definedName>
    <definedName name="느티나무">#REF!</definedName>
    <definedName name="능소화R2">[64]데이타!$E$111</definedName>
    <definedName name="능소화R4">[64]데이타!$E$112</definedName>
    <definedName name="능소화R6">[64]데이타!$E$113</definedName>
    <definedName name="능형망철거" localSheetId="1">조경원가계산서!능형망철거</definedName>
    <definedName name="능형망철거">[319]!능형망철거</definedName>
    <definedName name="니보지" hidden="1">{#N/A,#N/A,FALSE,"포장2"}</definedName>
    <definedName name="니조개" hidden="1">{#N/A,#N/A,FALSE,"부대2"}</definedName>
    <definedName name="ㄷ" localSheetId="1">#REF!</definedName>
    <definedName name="ㄷ">#REF!</definedName>
    <definedName name="ㄷ1" localSheetId="1">#REF!</definedName>
    <definedName name="ㄷ1">#REF!</definedName>
    <definedName name="ㄷ2" localSheetId="1">#REF!</definedName>
    <definedName name="ㄷ2">#REF!</definedName>
    <definedName name="ㄷ3" localSheetId="1">#REF!</definedName>
    <definedName name="ㄷ3">#REF!</definedName>
    <definedName name="ㄷ4" localSheetId="1">#REF!</definedName>
    <definedName name="ㄷ4">#REF!</definedName>
    <definedName name="ㄷㄱㄷㅅㅅㅅ" localSheetId="1">#REF!</definedName>
    <definedName name="ㄷㄱㄷㅅㅅㅅ">#REF!</definedName>
    <definedName name="ㄷㄷ" localSheetId="1" hidden="1">#REF!</definedName>
    <definedName name="ㄷㄷ">#REF!</definedName>
    <definedName name="ㄷㄷㄷㄷㄷㄷ" localSheetId="3">BlankMacro1</definedName>
    <definedName name="ㄷㄷㄷㄷㄷㄷ" localSheetId="1">BlankMacro1</definedName>
    <definedName name="ㄷㄷㄷㄷㄷㄷ">BlankMacro1</definedName>
    <definedName name="ㄷㄷㅈ" localSheetId="1">#REF!</definedName>
    <definedName name="ㄷㄷㅈ">#REF!</definedName>
    <definedName name="ㄷㄹ1">#REF!</definedName>
    <definedName name="ㄷㄹㄹㅇ" localSheetId="1">#REF!</definedName>
    <definedName name="ㄷㄹㄹㅇ">#REF!</definedName>
    <definedName name="ㄷㄹㅇㄴ" localSheetId="1">#REF!</definedName>
    <definedName name="ㄷㄹㅇㄴ">#REF!</definedName>
    <definedName name="ㄷㄹㅇㄴㄹ" localSheetId="1">#REF!</definedName>
    <definedName name="ㄷㄹㅇㄴㄹ">#REF!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ㅇㄴ" localSheetId="1">#REF!</definedName>
    <definedName name="ㄷㅇㄴ">#REF!</definedName>
    <definedName name="ㄷㅇㄹ" localSheetId="1">#REF!</definedName>
    <definedName name="ㄷㅇㄹ">#REF!</definedName>
    <definedName name="ㄷㅇㄹㄴ" localSheetId="1">#REF!</definedName>
    <definedName name="ㄷㅇㄹㄴ">#REF!</definedName>
    <definedName name="ㄷㅈ" hidden="1">{#N/A,#N/A,FALSE,"토공2"}</definedName>
    <definedName name="ㄷㅈㅎㅁㅋ" hidden="1">{#N/A,#N/A,FALSE,"토공2"}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localSheetId="1" hidden="1">#REF!</definedName>
    <definedName name="ㄷㅎㄹㅇ">#REF!</definedName>
    <definedName name="다" localSheetId="3">BlankMacro1</definedName>
    <definedName name="다" localSheetId="1">BlankMacro1</definedName>
    <definedName name="다">BlankMacro1</definedName>
    <definedName name="다우웰바설치공" localSheetId="1">#REF!</definedName>
    <definedName name="다우웰바설치공">#REF!</definedName>
    <definedName name="다짐1경비">[93]시설물일위!#REF!</definedName>
    <definedName name="다짐1노무비">[93]시설물일위!#REF!</definedName>
    <definedName name="다짐1재료비">[93]시설물일위!#REF!</definedName>
    <definedName name="다짐경비">[93]시설물일위!#REF!</definedName>
    <definedName name="다짐노무비">[93]시설물일위!#REF!</definedName>
    <definedName name="다짐되메우기" localSheetId="1">#REF!</definedName>
    <definedName name="다짐되메우기">#REF!</definedName>
    <definedName name="닥___트___공">[11]노임단가!$C$98:$F$98</definedName>
    <definedName name="_31단">#REF!</definedName>
    <definedName name="단_가">#REF!</definedName>
    <definedName name="단_가2">#REF!</definedName>
    <definedName name="단_가3">#REF!</definedName>
    <definedName name="단_가4">#REF!</definedName>
    <definedName name="단_가5">#REF!</definedName>
    <definedName name="단_가6">#REF!</definedName>
    <definedName name="단가">#REF!</definedName>
    <definedName name="단가다">#REF!</definedName>
    <definedName name="단가비교">[153]일위대가표!#REF!</definedName>
    <definedName name="단가비교표">#REF!,#REF!</definedName>
    <definedName name="단가산출">#REF!</definedName>
    <definedName name="단가산출서외곽선_L2">[200]Macro1!$A$1</definedName>
    <definedName name="단가산출선내부세로선">[201]Mc1!#REF!</definedName>
    <definedName name="단가임">#REF!</definedName>
    <definedName name="단가적용표">#REF!</definedName>
    <definedName name="단가조사서">[202]일위대가목차!$D$3:$D$9</definedName>
    <definedName name="단가조사표">#REF!</definedName>
    <definedName name="단가표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관M">[109]간지!$H$24:$H$85</definedName>
    <definedName name="단뉘중량" localSheetId="1">#REF!</definedName>
    <definedName name="단뉘중량">#REF!</definedName>
    <definedName name="단면적" localSheetId="1">#REF!</definedName>
    <definedName name="단면적">#REF!</definedName>
    <definedName name="단수">#REF!</definedName>
    <definedName name="단위">#REF!</definedName>
    <definedName name="단위공량1">#REF!</definedName>
    <definedName name="단위공량10" localSheetId="1">#REF!</definedName>
    <definedName name="단위공량10">#REF!</definedName>
    <definedName name="단위공량11" localSheetId="1">#REF!</definedName>
    <definedName name="단위공량11">#REF!</definedName>
    <definedName name="단위공량12" localSheetId="1">#REF!</definedName>
    <definedName name="단위공량12">#REF!</definedName>
    <definedName name="단위공량13" localSheetId="1">#REF!</definedName>
    <definedName name="단위공량13">#REF!</definedName>
    <definedName name="단위공량14" localSheetId="1">#REF!</definedName>
    <definedName name="단위공량14">#REF!</definedName>
    <definedName name="단위공량15" localSheetId="1">#REF!</definedName>
    <definedName name="단위공량15">#REF!</definedName>
    <definedName name="단위공량16" localSheetId="1">#REF!</definedName>
    <definedName name="단위공량16">#REF!</definedName>
    <definedName name="단위공량17" localSheetId="1">#REF!</definedName>
    <definedName name="단위공량17">#REF!</definedName>
    <definedName name="단위공량2" localSheetId="1">#REF!</definedName>
    <definedName name="단위공량2">#REF!</definedName>
    <definedName name="단위공량3">#REF!</definedName>
    <definedName name="단위공량4" localSheetId="1">#REF!</definedName>
    <definedName name="단위공량4">#REF!</definedName>
    <definedName name="단위공량5" localSheetId="1">#REF!</definedName>
    <definedName name="단위공량5">#REF!</definedName>
    <definedName name="단위공량6" localSheetId="1">#REF!</definedName>
    <definedName name="단위공량6">#REF!</definedName>
    <definedName name="단위공량7" localSheetId="1">#REF!</definedName>
    <definedName name="단위공량7">#REF!</definedName>
    <definedName name="단위공량8" localSheetId="1">#REF!</definedName>
    <definedName name="단위공량8">#REF!</definedName>
    <definedName name="단위공량9" localSheetId="1">#REF!</definedName>
    <definedName name="단위공량9">#REF!</definedName>
    <definedName name="단위수량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달력" hidden="1">{#N/A,#N/A,FALSE,"배수2"}</definedName>
    <definedName name="담양" localSheetId="1">#REF!</definedName>
    <definedName name="담양">#REF!</definedName>
    <definedName name="담쟁이L03">[64]데이타!$E$114</definedName>
    <definedName name="대" localSheetId="3">BlankMacro1</definedName>
    <definedName name="대" localSheetId="1">BlankMacro1</definedName>
    <definedName name="대">BlankMacro1</definedName>
    <definedName name="대___장___공">[11]노임단가!#REF!</definedName>
    <definedName name="대가">#REF!</definedName>
    <definedName name="대개소" localSheetId="1">#REF!</definedName>
    <definedName name="대개소">#REF!</definedName>
    <definedName name="대관경" localSheetId="1">#REF!</definedName>
    <definedName name="대관경">#REF!</definedName>
    <definedName name="대기영역">#REF!</definedName>
    <definedName name="대나무">#REF!</definedName>
    <definedName name="대나무지주목">[146]식재출력용!#REF!</definedName>
    <definedName name="대리석포장" hidden="1">{#N/A,#N/A,TRUE,"총괄"}</definedName>
    <definedName name="대상" hidden="1">{#N/A,#N/A,FALSE,"포장1";#N/A,#N/A,FALSE,"포장1"}</definedName>
    <definedName name="대왕참R10">[64]데이타!$E$118</definedName>
    <definedName name="대왕참R4">[64]데이타!$E$115</definedName>
    <definedName name="대왕참R6">[64]데이타!$E$116</definedName>
    <definedName name="대왕참R8">[64]데이타!$E$117</definedName>
    <definedName name="대체도로" hidden="1">{#N/A,#N/A,FALSE,"토공2"}</definedName>
    <definedName name="대추">[93]단가!$A$108</definedName>
    <definedName name="대추R10">[64]데이타!$E$123</definedName>
    <definedName name="대추R4">[64]데이타!$E$119</definedName>
    <definedName name="대추R5">[64]데이타!$E$120</definedName>
    <definedName name="대추R6">[64]데이타!$E$121</definedName>
    <definedName name="대추R8">[64]데이타!$E$122</definedName>
    <definedName name="대호박" hidden="1">{#N/A,#N/A,FALSE,"배수1"}</definedName>
    <definedName name="더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더하기">[109]간지!$J$24:$J$85</definedName>
    <definedName name="더하기4">[110]DATE!$J$24:$J$85</definedName>
    <definedName name="덤프15경">#REF!</definedName>
    <definedName name="덤프15노무">#REF!</definedName>
    <definedName name="덤프15재료">#REF!</definedName>
    <definedName name="덤프2.5경">#REF!</definedName>
    <definedName name="덤프2.5노무">#REF!</definedName>
    <definedName name="덤프2.5재료">#REF!</definedName>
    <definedName name="덩굴장미">[149]단가!$A$148</definedName>
    <definedName name="덩굴장미3">[64]데이타!$E$128</definedName>
    <definedName name="덩굴장미4">[64]데이타!$E$129</definedName>
    <definedName name="덩굴장미5">[64]데이타!$E$130</definedName>
    <definedName name="데싱" hidden="1">{#N/A,#N/A,FALSE,"토공2"}</definedName>
    <definedName name="데이타" localSheetId="1">#REF!</definedName>
    <definedName name="데이타">#REF!</definedName>
    <definedName name="데크휘니샤면고르기" localSheetId="1">#REF!</definedName>
    <definedName name="데크휘니샤면고르기">#REF!</definedName>
    <definedName name="델리네이트" localSheetId="3">BlankMacro1</definedName>
    <definedName name="델리네이트" localSheetId="1">BlankMacro1</definedName>
    <definedName name="델리네이트">BlankMacro1</definedName>
    <definedName name="델리네이트설치현황" localSheetId="3">BlankMacro1</definedName>
    <definedName name="델리네이트설치현황" localSheetId="1">BlankMacro1</definedName>
    <definedName name="델리네이트설치현황">BlankMacro1</definedName>
    <definedName name="뎡유">#REF!</definedName>
    <definedName name="도">#REF!</definedName>
    <definedName name="도___배___공">[11]노임단가!$C$31:$F$31</definedName>
    <definedName name="도___장___공">[11]노임단가!$C$29:$F$29</definedName>
    <definedName name="도___편___수">[11]노임단가!$C$111:$F$111</definedName>
    <definedName name="도급공사비">'[206]2공구산출내역'!#REF!</definedName>
    <definedName name="도급단가">#REF!</definedName>
    <definedName name="도급액후">[144]총괄내역서!#REF!</definedName>
    <definedName name="도로중심">[128]SLAB!#REF!</definedName>
    <definedName name="도목수">[11]노임단가!#REF!</definedName>
    <definedName name="도장2">[207]Sheet3!#REF!</definedName>
    <definedName name="도장공">[93]단가!$A$43</definedName>
    <definedName name="도장수량2">[207]Sheet3!#REF!</definedName>
    <definedName name="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독일" hidden="1">{#N/A,#N/A,FALSE,"부대1"}</definedName>
    <definedName name="독일가문비1206">[64]데이타!$E$131</definedName>
    <definedName name="독일가문비1508">[64]데이타!$E$132</definedName>
    <definedName name="독일가문비2010">[64]데이타!$E$133</definedName>
    <definedName name="독일가문비2512">[64]데이타!$E$134</definedName>
    <definedName name="독일가문비3015">[64]데이타!$E$135</definedName>
    <definedName name="독일가문비3518">[64]데이타!$E$136</definedName>
    <definedName name="돈나무0504">[64]데이타!$E$137</definedName>
    <definedName name="돈나무0805">[64]데이타!$E$138</definedName>
    <definedName name="돈나무1007">[64]데이타!$E$139</definedName>
    <definedName name="돈나무1210">[64]데이타!$E$140</definedName>
    <definedName name="돌단풍">#REF!</definedName>
    <definedName name="동남" localSheetId="1" hidden="1">{#N/A,#N/A,FALSE,"표지"}</definedName>
    <definedName name="동남">{#N/A,#N/A,FALSE,"표지"}</definedName>
    <definedName name="동발공_터널">[11]노임단가!$C$15:$F$15</definedName>
    <definedName name="동백1002">[64]데이타!$E$141</definedName>
    <definedName name="동백1204">[64]데이타!$E$142</definedName>
    <definedName name="동백1506">[64]데이타!$E$143</definedName>
    <definedName name="동백1808">[64]데이타!$E$144</definedName>
    <definedName name="동백나무2노무">#REF!</definedName>
    <definedName name="동백나무2재료">#REF!</definedName>
    <definedName name="동백나무4노무">#REF!</definedName>
    <definedName name="동백나무4재료">#REF!</definedName>
    <definedName name="동백나무6노무">#REF!</definedName>
    <definedName name="동백나무6재료">#REF!</definedName>
    <definedName name="동백나무8노무">#REF!</definedName>
    <definedName name="동백나무8재료">#REF!</definedName>
    <definedName name="동시" localSheetId="1" hidden="1">{#N/A,#N/A,FALSE,"전력간선"}</definedName>
    <definedName name="동시">{#N/A,#N/A,FALSE,"전력간선"}</definedName>
    <definedName name="되다짐경비">[93]시설물일위!#REF!</definedName>
    <definedName name="되메우기">#REF!</definedName>
    <definedName name="되메우기경">#REF!</definedName>
    <definedName name="되메우기노">#REF!</definedName>
    <definedName name="되메우기다짐경비">[93]시설물일위!#REF!</definedName>
    <definedName name="되메우기다짐노무비">[93]시설물일위!#REF!</definedName>
    <definedName name="되메우기다짐재료비">[93]시설물일위!#REF!</definedName>
    <definedName name="되메우기재">#REF!</definedName>
    <definedName name="두겁노">#REF!</definedName>
    <definedName name="두겁재">#REF!</definedName>
    <definedName name="뒷굽" localSheetId="1">#REF!</definedName>
    <definedName name="뒷굽">#REF!</definedName>
    <definedName name="드_잡_이__공">[11]노임단가!$C$115:$F$115</definedName>
    <definedName name="등R2">[64]데이타!$E$156</definedName>
    <definedName name="등R4">[64]데이타!$E$157</definedName>
    <definedName name="등R6">[64]데이타!$E$158</definedName>
    <definedName name="등R8">[64]데이타!$E$159</definedName>
    <definedName name="ㄸㄱ구믇705547510" hidden="1">'[7]6PILE  (돌출)'!#REF!</definedName>
    <definedName name="때죽">[93]단가!$A$109</definedName>
    <definedName name="때죽R10">[64]데이타!$E$127</definedName>
    <definedName name="때죽R4">[64]데이타!$E$124</definedName>
    <definedName name="때죽R6">[64]데이타!$E$125</definedName>
    <definedName name="때죽R8">[64]데이타!$E$126</definedName>
    <definedName name="뚜껑" hidden="1">{#N/A,#N/A,FALSE,"구조1"}</definedName>
    <definedName name="ㄹ">[75]부하계산서!#REF!</definedName>
    <definedName name="ㄹ1" localSheetId="1">#REF!</definedName>
    <definedName name="ㄹ1">#REF!</definedName>
    <definedName name="ㄹ2" localSheetId="1">#REF!</definedName>
    <definedName name="ㄹ2">#REF!</definedName>
    <definedName name="ㄹ3" localSheetId="1">#REF!</definedName>
    <definedName name="ㄹ3">#REF!</definedName>
    <definedName name="ㄹ4" localSheetId="1">#REF!</definedName>
    <definedName name="ㄹ4">#REF!</definedName>
    <definedName name="ㄹ88" localSheetId="1">#REF!</definedName>
    <definedName name="ㄹ88">#REF!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">#REF!</definedName>
    <definedName name="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ㄹㄹㄹ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ㅇ퓨ㅓㅜㅏㅗㅜㅠㅅ퐇휴ㅗㅎ" hidden="1">{#N/A,#N/A,FALSE,"조골재"}</definedName>
    <definedName name="라" localSheetId="3">BlankMacro1</definedName>
    <definedName name="라" localSheetId="1">BlankMacro1</definedName>
    <definedName name="라">BlankMacro1</definedName>
    <definedName name="라__인__마__카">[95]장비집계!#REF!</definedName>
    <definedName name="라이터" hidden="1">{#N/A,#N/A,FALSE,"배수2"}</definedName>
    <definedName name="래" localSheetId="3">BlankMacro1</definedName>
    <definedName name="래" localSheetId="1">BlankMacro1</definedName>
    <definedName name="래">BlankMacro1</definedName>
    <definedName name="램__________머">[95]장비집계!#REF!</definedName>
    <definedName name="램머경">#REF!</definedName>
    <definedName name="램머경비">[93]시설물일위!#REF!</definedName>
    <definedName name="램머노무">#REF!</definedName>
    <definedName name="램머노무비">[93]시설물일위!#REF!</definedName>
    <definedName name="램머재료">#REF!</definedName>
    <definedName name="램머재료비">[93]시설물일위!#REF!</definedName>
    <definedName name="램프" hidden="1">{#N/A,#N/A,FALSE,"속도"}</definedName>
    <definedName name="램프A">[168]TOTAL_BOQ!#REF!</definedName>
    <definedName name="램프B">[168]TOTAL_BOQ!#REF!</definedName>
    <definedName name="램프D">[168]TOTAL_BOQ!#REF!</definedName>
    <definedName name="램픙">[168]TOTAL_BOQ!#REF!</definedName>
    <definedName name="레미콘135">[93]단가!$A$49</definedName>
    <definedName name="레미콘150">[93]단가!$A$50</definedName>
    <definedName name="레미콘180">[93]단가!$A$51</definedName>
    <definedName name="레미콘210">[93]단가!$A$52</definedName>
    <definedName name="레미콘무노">#REF!</definedName>
    <definedName name="레미콘무재">#REF!</definedName>
    <definedName name="레미콘소노">#REF!</definedName>
    <definedName name="레미콘소재">#REF!</definedName>
    <definedName name="레미콘철">#REF!</definedName>
    <definedName name="레미콘철노">#REF!</definedName>
    <definedName name="레미콘철재">#REF!</definedName>
    <definedName name="로드머">[93]단가!$A$66</definedName>
    <definedName name="롤라경비">[93]시설물일위!#REF!</definedName>
    <definedName name="롤라노무비">[93]시설물일위!#REF!</definedName>
    <definedName name="롤라재료비">[93]시설물일위!#REF!</definedName>
    <definedName name="루___핑___공">[11]노임단가!#REF!</definedName>
    <definedName name="리___벳___공">[11]노임단가!#REF!</definedName>
    <definedName name="ㅀ">'[72]인건-측정'!#REF!</definedName>
    <definedName name="ㅁ">#N/A</definedName>
    <definedName name="ㅁ1">#REF!</definedName>
    <definedName name="ㅁ1180">#REF!</definedName>
    <definedName name="ㅁ1382">#REF!</definedName>
    <definedName name="ㅁ2">[162]경산!#REF!</definedName>
    <definedName name="ㅁ202" localSheetId="1">#REF!</definedName>
    <definedName name="ㅁ202">#REF!</definedName>
    <definedName name="ㅁ278" localSheetId="1">#REF!</definedName>
    <definedName name="ㅁ278">#REF!</definedName>
    <definedName name="ㅁ302">[208]일위대가!#REF!</definedName>
    <definedName name="ㅁ331" localSheetId="1">#REF!</definedName>
    <definedName name="ㅁ331">#REF!</definedName>
    <definedName name="ㅁ35">#REF!</definedName>
    <definedName name="ㅁ450">'[210]내역서(삼호)'!#REF!</definedName>
    <definedName name="ㅁ459">[211]일위대가!#REF!</definedName>
    <definedName name="ㅁ497" localSheetId="1">#REF!</definedName>
    <definedName name="ㅁ497">#REF!</definedName>
    <definedName name="ㅁ500">'[210]내역서(삼호)'!#REF!</definedName>
    <definedName name="ㅁ540" localSheetId="1">#REF!</definedName>
    <definedName name="ㅁ540">#REF!</definedName>
    <definedName name="ㅁ545" localSheetId="1">#REF!</definedName>
    <definedName name="ㅁ545">#REF!</definedName>
    <definedName name="ㅁ549">[212]일위대가!#REF!</definedName>
    <definedName name="ㅁ60">[213]직노!#REF!</definedName>
    <definedName name="ㅁ76" localSheetId="1">#REF!</definedName>
    <definedName name="ㅁ76">#REF!</definedName>
    <definedName name="ㅁ771">#REF!</definedName>
    <definedName name="ㅁ940">[214]단가산출서!#REF!</definedName>
    <definedName name="ㅁㄴㅁㅇㄴㅁㄴㅇ" hidden="1">{#N/A,#N/A,FALSE,"조골재"}</definedName>
    <definedName name="ㅁㄴㅇ">#REF!</definedName>
    <definedName name="ㅁㄷㄱ" hidden="1">{#N/A,#N/A,FALSE,"포장2"}</definedName>
    <definedName name="ㅁㅁ">#REF!</definedName>
    <definedName name="ㅁㅁ158">#REF!</definedName>
    <definedName name="ㅁㅁㅁ">#REF!</definedName>
    <definedName name="ㅁㅇㄹ" localSheetId="3">BlankMacro1</definedName>
    <definedName name="ㅁㅇㄹ" localSheetId="1">BlankMacro1</definedName>
    <definedName name="ㅁㅇㄹ">BlankMacro1</definedName>
    <definedName name="마" localSheetId="3">BlankMacro1</definedName>
    <definedName name="마" localSheetId="1">BlankMacro1</definedName>
    <definedName name="마">BlankMacro1</definedName>
    <definedName name="마가목">[93]단가!$A$110</definedName>
    <definedName name="마가목R3">[64]데이타!$E$160</definedName>
    <definedName name="마가목R5">[64]데이타!$E$161</definedName>
    <definedName name="마가목R7">[64]데이타!$E$162</definedName>
    <definedName name="마대">[93]단가!$A$65</definedName>
    <definedName name="마부_우마차포함">[11]노임단가!#REF!</definedName>
    <definedName name="마사토">[93]단가!$A$29</definedName>
    <definedName name="마스콘수량" localSheetId="1">#REF!</definedName>
    <definedName name="마스콘수량">#REF!</definedName>
    <definedName name="마원1교" localSheetId="1">#REF!</definedName>
    <definedName name="마원1교">#REF!</definedName>
    <definedName name="마원1상" localSheetId="1">#REF!</definedName>
    <definedName name="마원1상">#REF!</definedName>
    <definedName name="마원1수" localSheetId="1">#REF!</definedName>
    <definedName name="마원1수">#REF!</definedName>
    <definedName name="마찰계수" localSheetId="1">#REF!</definedName>
    <definedName name="마찰계수">#REF!</definedName>
    <definedName name="마케담경">#REF!</definedName>
    <definedName name="마케담노무">#REF!</definedName>
    <definedName name="마케담재료">#REF!</definedName>
    <definedName name="말" localSheetId="3">BlankMacro1</definedName>
    <definedName name="말" localSheetId="1">BlankMacro1</definedName>
    <definedName name="말">BlankMacro1</definedName>
    <definedName name="말뚝길이" localSheetId="1">#REF!</definedName>
    <definedName name="말뚝길이">#REF!</definedName>
    <definedName name="말뚝박기노">[146]시설물!#REF!</definedName>
    <definedName name="말뚝박기재">[146]시설물!#REF!</definedName>
    <definedName name="말뚝속채움" localSheetId="1">#REF!</definedName>
    <definedName name="말뚝속채움">#REF!</definedName>
    <definedName name="말뚝시험비" localSheetId="1">#REF!</definedName>
    <definedName name="말뚝시험비">#REF!</definedName>
    <definedName name="말뚝이음" localSheetId="1">#REF!</definedName>
    <definedName name="말뚝이음">#REF!</definedName>
    <definedName name="말발도리1003">[64]데이타!$E$163</definedName>
    <definedName name="말발도리1204">[64]데이타!$E$164</definedName>
    <definedName name="말발도리1506">[64]데이타!$E$165</definedName>
    <definedName name="매끈한마감" localSheetId="1">#REF!</definedName>
    <definedName name="매끈한마감">#REF!</definedName>
    <definedName name="매염방" hidden="1">{#N/A,#N/A,FALSE,"부대1"}</definedName>
    <definedName name="매입개방">[79]DATA!$E$6:$F$15</definedName>
    <definedName name="매자0804">[64]데이타!$E$166</definedName>
    <definedName name="매자1005">[64]데이타!$E$167</definedName>
    <definedName name="매크로11" localSheetId="3">[12]!매크로11</definedName>
    <definedName name="매크로11">[12]!매크로11</definedName>
    <definedName name="매크로33">[200]Macro2!$B$1</definedName>
    <definedName name="매크로4" localSheetId="3">[12]!매크로4</definedName>
    <definedName name="매크로4">[12]!매크로4</definedName>
    <definedName name="매화4노무">#REF!</definedName>
    <definedName name="매화4재료">#REF!</definedName>
    <definedName name="매화6노무">#REF!</definedName>
    <definedName name="매화6재료">#REF!</definedName>
    <definedName name="매화8노무">#REF!</definedName>
    <definedName name="매화8재료">#REF!</definedName>
    <definedName name="매화R10">[64]데이타!$E$174</definedName>
    <definedName name="매화R4">[64]데이타!$E$171</definedName>
    <definedName name="매화R6">[64]데이타!$E$172</definedName>
    <definedName name="매화R8">[64]데이타!$E$173</definedName>
    <definedName name="맥문동">#REF!</definedName>
    <definedName name="맥문동1">[145]단가조사!#REF!</definedName>
    <definedName name="맨홀" hidden="1">{#N/A,#N/A,FALSE,"배수2"}</definedName>
    <definedName name="맹마">#REF!</definedName>
    <definedName name="머캐덤_로울러">[95]장비집계!#REF!</definedName>
    <definedName name="메1">#REF!</definedName>
    <definedName name="메쉬망재료비">[218]일위대가!#REF!</definedName>
    <definedName name="메타">[93]단가!$A$111</definedName>
    <definedName name="메타10노무">#REF!</definedName>
    <definedName name="메타10재료">#REF!</definedName>
    <definedName name="메타5노무">#REF!</definedName>
    <definedName name="메타5재료">#REF!</definedName>
    <definedName name="메타6노무">#REF!</definedName>
    <definedName name="메타6재료">#REF!</definedName>
    <definedName name="메타8노무">#REF!</definedName>
    <definedName name="메타8재료">#REF!</definedName>
    <definedName name="메타B10">[64]데이타!$E$179</definedName>
    <definedName name="메타B12">[64]데이타!$E$180</definedName>
    <definedName name="메타B15">[64]데이타!$E$181</definedName>
    <definedName name="메타B18">[64]데이타!$E$182</definedName>
    <definedName name="메타B4">[64]데이타!$E$175</definedName>
    <definedName name="메타B5">[64]데이타!$E$176</definedName>
    <definedName name="메타B6">[64]데이타!$E$177</definedName>
    <definedName name="메타B8">[64]데이타!$E$178</definedName>
    <definedName name="면고르기">[146]식재출력용!$H$249</definedName>
    <definedName name="명자0604">[64]데이타!$E$183</definedName>
    <definedName name="명자0805">[64]데이타!$E$184</definedName>
    <definedName name="명자1006">[64]데이타!$E$185</definedName>
    <definedName name="명자1208">[64]데이타!$E$186</definedName>
    <definedName name="모________터">[95]장비집계!#REF!</definedName>
    <definedName name="모21" localSheetId="1">#REF!</definedName>
    <definedName name="모21">#REF!</definedName>
    <definedName name="모감주">[93]단가!$A$124</definedName>
    <definedName name="모감주R10">[64]데이타!$E$190</definedName>
    <definedName name="모감주R4">[64]데이타!$E$187</definedName>
    <definedName name="모감주R6">[64]데이타!$E$188</definedName>
    <definedName name="모감주R8">[64]데이타!$E$189</definedName>
    <definedName name="모과10">[93]단가!$A$129</definedName>
    <definedName name="모과15">[93]단가!$A$128</definedName>
    <definedName name="모과2005">[64]데이타!$E$191</definedName>
    <definedName name="모과2507">[64]데이타!$E$192</definedName>
    <definedName name="모과R10">[64]데이타!$E$195</definedName>
    <definedName name="모과R12">[64]데이타!$E$196</definedName>
    <definedName name="모과R15">[64]데이타!$E$197</definedName>
    <definedName name="모과R20">[64]데이타!$E$198</definedName>
    <definedName name="모과R25">[64]데이타!$E$199</definedName>
    <definedName name="모과R5">[64]데이타!$E$193</definedName>
    <definedName name="모과R8">[64]데이타!$E$194</definedName>
    <definedName name="모과나무">#REF!</definedName>
    <definedName name="모란5가지">[64]데이타!$E$200</definedName>
    <definedName name="모란6가지">[64]데이타!$E$201</definedName>
    <definedName name="모래">[149]단가!$A$4</definedName>
    <definedName name="모래__분사공">[11]노임단가!#REF!</definedName>
    <definedName name="모래노">#REF!</definedName>
    <definedName name="모래막이노">#REF!</definedName>
    <definedName name="모래막이재">#REF!</definedName>
    <definedName name="모래사장노">#REF!</definedName>
    <definedName name="모래사장재">#REF!</definedName>
    <definedName name="모래재">#REF!</definedName>
    <definedName name="모래필터층경비">#REF!</definedName>
    <definedName name="모래필터층노무비">#REF!</definedName>
    <definedName name="모래필터층재료비">#REF!</definedName>
    <definedName name="모터경">#REF!</definedName>
    <definedName name="모터노무비">#REF!</definedName>
    <definedName name="모터재료">#REF!</definedName>
    <definedName name="목" localSheetId="1">#REF!</definedName>
    <definedName name="목">#REF!</definedName>
    <definedName name="목________도">[11]노임단가!$C$72:$F$72</definedName>
    <definedName name="목__조_각_공">[11]노임단가!$C$112:$F$112</definedName>
    <definedName name="목도">[219]단위단가!$B$11</definedName>
    <definedName name="목련R10">[64]데이타!$E$206</definedName>
    <definedName name="목련R12">[64]데이타!$E$207</definedName>
    <definedName name="목련R15">[64]데이타!$E$208</definedName>
    <definedName name="목련R20">[64]데이타!$E$209</definedName>
    <definedName name="목련R4">[64]데이타!$E$202</definedName>
    <definedName name="목련R5">[64]데이타!$E$203</definedName>
    <definedName name="목련R6">[64]데이타!$E$204</definedName>
    <definedName name="목련R8">[64]데이타!$E$205</definedName>
    <definedName name="목록" localSheetId="1">#REF!</definedName>
    <definedName name="목록">#REF!</definedName>
    <definedName name="목록3">[220]대가목록!$D$3:$O$236</definedName>
    <definedName name="목백합">#REF!</definedName>
    <definedName name="목서1506">[64]데이타!$E$213</definedName>
    <definedName name="목서2012">[64]데이타!$E$214</definedName>
    <definedName name="목서2515">[64]데이타!$E$215</definedName>
    <definedName name="목수국1006">[64]데이타!$E$210</definedName>
    <definedName name="목수국1208">[64]데이타!$E$211</definedName>
    <definedName name="목수국1510">[64]데이타!$E$212</definedName>
    <definedName name="목재가공">#REF!</definedName>
    <definedName name="목줄" hidden="1">{#N/A,#N/A,FALSE,"배수2"}</definedName>
    <definedName name="몰1" localSheetId="3">BlankMacro1</definedName>
    <definedName name="몰1" localSheetId="1">BlankMacro1</definedName>
    <definedName name="몰1">BlankMacro1</definedName>
    <definedName name="몰2" localSheetId="3">BlankMacro1</definedName>
    <definedName name="몰2" localSheetId="1">BlankMacro1</definedName>
    <definedName name="몰2">BlankMacro1</definedName>
    <definedName name="몰3" localSheetId="3">BlankMacro1</definedName>
    <definedName name="몰3" localSheetId="1">BlankMacro1</definedName>
    <definedName name="몰3">BlankMacro1</definedName>
    <definedName name="몰4" localSheetId="3">BlankMacro1</definedName>
    <definedName name="몰4" localSheetId="1">BlankMacro1</definedName>
    <definedName name="몰4">BlankMacro1</definedName>
    <definedName name="몰5" localSheetId="3">BlankMacro1</definedName>
    <definedName name="몰5" localSheetId="1">BlankMacro1</definedName>
    <definedName name="몰5">BlankMacro1</definedName>
    <definedName name="몰6" localSheetId="3">BlankMacro1</definedName>
    <definedName name="몰6" localSheetId="1">BlankMacro1</definedName>
    <definedName name="몰6">BlankMacro1</definedName>
    <definedName name="몰탈노">#REF!</definedName>
    <definedName name="몰탈재">#REF!</definedName>
    <definedName name="못">[93]단가!$A$12</definedName>
    <definedName name="무궁화">#REF!</definedName>
    <definedName name="무궁화1003">[64]데이타!$E$216</definedName>
    <definedName name="무궁화1203">[64]데이타!$E$217</definedName>
    <definedName name="무궁화1504">[64]데이타!$E$218</definedName>
    <definedName name="무궁화1805">[64]데이타!$E$219</definedName>
    <definedName name="무궁화2006">[64]데이타!$E$220</definedName>
    <definedName name="무기질노">#REF!</definedName>
    <definedName name="무기질재">#REF!</definedName>
    <definedName name="무늬거푸집" localSheetId="1">#REF!</definedName>
    <definedName name="무늬거푸집">#REF!</definedName>
    <definedName name="무선안테나공">[11]노임단가!$C$70:$F$70</definedName>
    <definedName name="무학고가수축줄눈" localSheetId="1">#REF!</definedName>
    <definedName name="무학고가수축줄눈">#REF!</definedName>
    <definedName name="무학고가스치로폴" localSheetId="1">#REF!</definedName>
    <definedName name="무학고가스치로폴">#REF!</definedName>
    <definedName name="무학고가실링재" localSheetId="1">#REF!</definedName>
    <definedName name="무학고가실링재">#REF!</definedName>
    <definedName name="물____탱____크">[95]장비집계!#REF!</definedName>
    <definedName name="물가자료" localSheetId="1">#REF!</definedName>
    <definedName name="물가자료">#REF!</definedName>
    <definedName name="물경">#REF!</definedName>
    <definedName name="물노무">#REF!</definedName>
    <definedName name="물량집계">#REF!</definedName>
    <definedName name="물량집계1">#REF!</definedName>
    <definedName name="물싸리노">[146]식재!$H$190</definedName>
    <definedName name="물싸리재">[146]식재!$F$190</definedName>
    <definedName name="물억새노">[146]식재!$H$151</definedName>
    <definedName name="물억새재">[146]식재!$F$151</definedName>
    <definedName name="물재료">#REF!</definedName>
    <definedName name="물푸레R5">[64]데이타!$E$221</definedName>
    <definedName name="물푸레R6">[64]데이타!$E$222</definedName>
    <definedName name="물푸레R8">[64]데이타!$E$223</definedName>
    <definedName name="뭔가?">#REF!</definedName>
    <definedName name="뮤" hidden="1">{#N/A,#N/A,FALSE,"부대1"}</definedName>
    <definedName name="미___장___공">[11]노임단가!$C$19:$F$19</definedName>
    <definedName name="미국" hidden="1">{#N/A,#N/A,FALSE,"부대1"}</definedName>
    <definedName name="미선0804">[64]데이타!$E$224</definedName>
    <definedName name="미선1206">[64]데이타!$E$225</definedName>
    <definedName name="미송">[93]단가!$A$10</definedName>
    <definedName name="미송원목">#REF!</definedName>
    <definedName name="미송판재">[93]단가!$A$16</definedName>
    <definedName name="미장공">[93]단가!$A$22</definedName>
    <definedName name="민수" localSheetId="1">#REF!</definedName>
    <definedName name="민수">#REF!</definedName>
    <definedName name="ㅂ" localSheetId="1">#REF!</definedName>
    <definedName name="ㅂ">#REF!</definedName>
    <definedName name="ㅂ216">[51]단면설계!#REF!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>#REF!</definedName>
    <definedName name="ㅂㅂㅂ">[224]단가목록!$A:$IV</definedName>
    <definedName name="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ㅈ" localSheetId="1">#REF!</definedName>
    <definedName name="ㅂㅈ">#REF!</definedName>
    <definedName name="ㅂㅈㄷ" hidden="1">{#N/A,#N/A,FALSE,"골재소요량";#N/A,#N/A,FALSE,"골재소요량"}</definedName>
    <definedName name="ㅂㅈㅂㅈㅂㅈ" localSheetId="1">#REF!</definedName>
    <definedName name="ㅂㅈㅂㅈㅂㅈ">#REF!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" localSheetId="3">BlankMacro1</definedName>
    <definedName name="바" localSheetId="1">BlankMacro1</definedName>
    <definedName name="바">BlankMacro1</definedName>
    <definedName name="바이_브레이트">[95]장비집계!#REF!</definedName>
    <definedName name="바이브레타공">[11]노임단가!#REF!</definedName>
    <definedName name="바이오">#REF!</definedName>
    <definedName name="박리제">[93]단가!$A$13</definedName>
    <definedName name="박태기">#REF!</definedName>
    <definedName name="박피">#REF!</definedName>
    <definedName name="반송1012">[64]데이타!$E$148</definedName>
    <definedName name="반송1215">[64]데이타!$E$149</definedName>
    <definedName name="반송1518">[64]데이타!$E$150</definedName>
    <definedName name="반송1520">[64]데이타!$E$151</definedName>
    <definedName name="반송2022">[64]데이타!$E$152</definedName>
    <definedName name="발____전____기">[95]장비집계!#REF!</definedName>
    <definedName name="발파암경">[225]시설물일위!#REF!</definedName>
    <definedName name="발파암노">[225]시설물일위!#REF!</definedName>
    <definedName name="발파암재">[225]시설물일위!#REF!</definedName>
    <definedName name="밤나무10노무">#REF!</definedName>
    <definedName name="밤나무10재료">#REF!</definedName>
    <definedName name="밤나무6노무">#REF!</definedName>
    <definedName name="밤나무6재료">#REF!</definedName>
    <definedName name="밤나무8노무">#REF!</definedName>
    <definedName name="밤나무8재료">#REF!</definedName>
    <definedName name="방___수___공">[11]노임단가!$C$20:$F$20</definedName>
    <definedName name="방부B형">[211]일위대가!#REF!</definedName>
    <definedName name="방부대형">[226]일위대가!#REF!</definedName>
    <definedName name="방부이각">[211]일위대가!#REF!</definedName>
    <definedName name="방송" localSheetId="3">BlankMacro1</definedName>
    <definedName name="방송" localSheetId="1">BlankMacro1</definedName>
    <definedName name="방송">BlankMacro1</definedName>
    <definedName name="방수공">#REF!</definedName>
    <definedName name="방열기">[174]노무비단가!$B$75</definedName>
    <definedName name="방음벽" hidden="1">{#N/A,#N/A,FALSE,"2~8번"}</definedName>
    <definedName name="방음벽1" hidden="1">{#N/A,#N/A,FALSE,"운반시간"}</definedName>
    <definedName name="방호벽" localSheetId="1">#REF!</definedName>
    <definedName name="방호벽">#REF!</definedName>
    <definedName name="배___관___공">[11]노임단가!$C$26:$F$26</definedName>
    <definedName name="배_전__전_공">[11]노임단가!$C$57:$F$57</definedName>
    <definedName name="배관공">'[189]96노임기준'!$A$28</definedName>
    <definedName name="배기">[174]노무비단가!$B$73</definedName>
    <definedName name="배롱">[93]단가!$A$132</definedName>
    <definedName name="배롱나무">#REF!</definedName>
    <definedName name="배수" localSheetId="3">BlankMacro1</definedName>
    <definedName name="배수" localSheetId="1">BlankMacro1</definedName>
    <definedName name="배수">BlankMacro1</definedName>
    <definedName name="배수깨기" localSheetId="1">조경원가계산서!배수깨기</definedName>
    <definedName name="배수깨기">[319]!배수깨기</definedName>
    <definedName name="배수깨기.." localSheetId="1">조경원가계산서!배수깨기..</definedName>
    <definedName name="배수깨기..">[319]!배수깨기..</definedName>
    <definedName name="배수토공계">#REF!</definedName>
    <definedName name="배전">#REF!</definedName>
    <definedName name="배전활선전공">[11]노임단가!$C$58:$F$58</definedName>
    <definedName name="백목련">[93]단가!$A$112</definedName>
    <definedName name="백업제">[93]단가!$A$60</definedName>
    <definedName name="백호2경">#REF!</definedName>
    <definedName name="백호2노무">#REF!</definedName>
    <definedName name="백호2재료">#REF!</definedName>
    <definedName name="백호7경">#REF!</definedName>
    <definedName name="백호7노무">#REF!</definedName>
    <definedName name="백호7재료">#REF!</definedName>
    <definedName name="백호우작업효율">[228]백호우계수!$K$2:$L$44</definedName>
    <definedName name="버즘">[93]단가!$A$113</definedName>
    <definedName name="번호">#REF!</definedName>
    <definedName name="벌___목___부">[11]노임단가!$C$45:$F$45</definedName>
    <definedName name="벌목단가산출">#REF!</definedName>
    <definedName name="벨트컨베이어작업공">[11]노임단가!#REF!</definedName>
    <definedName name="벽높이">#REF!</definedName>
    <definedName name="벽돌_블럭_제작공">[11]노임단가!$C$18:$F$18</definedName>
    <definedName name="벽두께" localSheetId="1">#REF!</definedName>
    <definedName name="벽두께">#REF!</definedName>
    <definedName name="벽체" localSheetId="1">#REF!</definedName>
    <definedName name="벽체">#REF!</definedName>
    <definedName name="변강쇠" hidden="1">{#N/A,#N/A,FALSE,"구조1"}</definedName>
    <definedName name="보">[146]단가!$A$26</definedName>
    <definedName name="보___안___공">[11]노임단가!$C$37:$F$37</definedName>
    <definedName name="보___온___공">[11]노임단가!$C$28:$F$28</definedName>
    <definedName name="보_일_러__공">[11]노임단가!$C$25:$F$25</definedName>
    <definedName name="보_통__선_원">[11]노임단가!$C$82:$F$82</definedName>
    <definedName name="보_통__인_부">[11]노임단가!$C$75:$F$75</definedName>
    <definedName name="보도" hidden="1">{#N/A,#N/A,TRUE,"총괄"}</definedName>
    <definedName name="보도경계블럭수량" localSheetId="1">#REF!</definedName>
    <definedName name="보도경계블럭수량">#REF!</definedName>
    <definedName name="보도노">#REF!</definedName>
    <definedName name="보도재">#REF!</definedName>
    <definedName name="보링공_지질조사">[11]노임단가!$C$43:$F$43</definedName>
    <definedName name="보성토공" localSheetId="1">조경원가계산서!보성토공</definedName>
    <definedName name="보성토공">[319]!보성토공</definedName>
    <definedName name="보습제">#REF!</definedName>
    <definedName name="보오링_기계_JSP용">[95]장비집계!#REF!</definedName>
    <definedName name="보인">#REF!</definedName>
    <definedName name="보조">[230]기초일위!#REF!</definedName>
    <definedName name="보조기층부설">[231]기초일위!#REF!</definedName>
    <definedName name="보차도경계블럭수량" localSheetId="1">#REF!</definedName>
    <definedName name="보차도경계블럭수량">#REF!</definedName>
    <definedName name="보차도경계석">[93]단가!$A$67</definedName>
    <definedName name="보통마감" localSheetId="1">#REF!</definedName>
    <definedName name="보통마감">#REF!</definedName>
    <definedName name="보통인부">[158]데이타!$E$659</definedName>
    <definedName name="보통인부1">[145]단가조사!#REF!</definedName>
    <definedName name="보통인부B10">[64]식재인부!$C$24</definedName>
    <definedName name="보통인부B4이하">[64]식재인부!$C$18</definedName>
    <definedName name="보통인부B5">[64]식재인부!$C$19</definedName>
    <definedName name="보통인부B6">[64]식재인부!$C$20</definedName>
    <definedName name="보통인부B8">[64]식재인부!$C$22</definedName>
    <definedName name="보통인부R10">[64]식재인부!$C$54</definedName>
    <definedName name="보통인부R12">[64]식재인부!$C$56</definedName>
    <definedName name="보통인부R15">[64]식재인부!$C$59</definedName>
    <definedName name="보통인부R4이하">[64]식재인부!$C$48</definedName>
    <definedName name="보통인부R5">[64]식재인부!$C$49</definedName>
    <definedName name="보통인부R6">[64]식재인부!$C$50</definedName>
    <definedName name="보통인부R7">[64]식재인부!$C$51</definedName>
    <definedName name="보통인부R8">[64]식재인부!$C$52</definedName>
    <definedName name="볼트">[93]단가!$A$15</definedName>
    <definedName name="부" localSheetId="1" hidden="1">{#N/A,#N/A,FALSE,"현장 NCR 분석";#N/A,#N/A,FALSE,"현장품질감사";#N/A,#N/A,FALSE,"현장품질감사"}</definedName>
    <definedName name="부">{#N/A,#N/A,FALSE,"현장 NCR 분석";#N/A,#N/A,FALSE,"현장품질감사";#N/A,#N/A,FALSE,"현장품질감사"}</definedName>
    <definedName name="부15">[133]계수시트!#REF!</definedName>
    <definedName name="부가가치세후">[144]총괄내역서!#REF!</definedName>
    <definedName name="부대공1">[232]!일위코드입력매크로</definedName>
    <definedName name="부대일위대가" localSheetId="1">#REF!</definedName>
    <definedName name="부대일위대가">#REF!</definedName>
    <definedName name="부들노">[146]식재!$H$180</definedName>
    <definedName name="부들재">[146]식재!$F$180</definedName>
    <definedName name="부손익" localSheetId="1" hidden="1">{#N/A,#N/A,FALSE,"현장 NCR 분석";#N/A,#N/A,FALSE,"현장품질감사";#N/A,#N/A,FALSE,"현장품질감사"}</definedName>
    <definedName name="부손익">{#N/A,#N/A,FALSE,"현장 NCR 분석";#N/A,#N/A,FALSE,"현장품질감사";#N/A,#N/A,FALSE,"현장품질감사"}</definedName>
    <definedName name="부직포">[149]단가!$A$73</definedName>
    <definedName name="부직포노">#REF!</definedName>
    <definedName name="부직포재">#REF!</definedName>
    <definedName name="북한" hidden="1">{#N/A,#N/A,FALSE,"구조2"}</definedName>
    <definedName name="분">#REF!</definedName>
    <definedName name="분리">'[233]빗물받이(910-510-410)'!$P$4</definedName>
    <definedName name="분배기">[174]노무비단가!$B$76</definedName>
    <definedName name="분수경">#REF!</definedName>
    <definedName name="분수노">#REF!</definedName>
    <definedName name="분수재">#REF!</definedName>
    <definedName name="분전반" localSheetId="3">BlankMacro1</definedName>
    <definedName name="분전반" localSheetId="1">BlankMacro1</definedName>
    <definedName name="분전반">BlankMacro1</definedName>
    <definedName name="분전반1" localSheetId="3">BlankMacro1</definedName>
    <definedName name="분전반1" localSheetId="1">BlankMacro1</definedName>
    <definedName name="분전반1">BlankMacro1</definedName>
    <definedName name="불도우저">[95]장비집계!#REF!</definedName>
    <definedName name="불도자15경">#REF!</definedName>
    <definedName name="불도자15노무">#REF!</definedName>
    <definedName name="불도자15재료">#REF!</definedName>
    <definedName name="붉은병꽃">[93]단가!$A$145</definedName>
    <definedName name="브라자" hidden="1">{#N/A,#N/A,FALSE,"포장1";#N/A,#N/A,FALSE,"포장1"}</definedName>
    <definedName name="브라지" hidden="1">{#N/A,#N/A,FALSE,"포장1";#N/A,#N/A,FALSE,"포장1"}</definedName>
    <definedName name="브라질" hidden="1">{#N/A,#N/A,FALSE,"토공2"}</definedName>
    <definedName name="블레이드">[93]단가!$A$64</definedName>
    <definedName name="비___계___공">[11]노임단가!$C$14:$F$14</definedName>
    <definedName name="비_고">#REF!</definedName>
    <definedName name="비계">#REF!</definedName>
    <definedName name="비계노">[146]시설물!#REF!</definedName>
    <definedName name="비계재">[146]시설물!#REF!</definedName>
    <definedName name="비료">[93]단가!$A$154</definedName>
    <definedName name="비목1" localSheetId="1">#REF!</definedName>
    <definedName name="비목1">#REF!</definedName>
    <definedName name="비목2" localSheetId="1">#REF!</definedName>
    <definedName name="비목2">#REF!</definedName>
    <definedName name="비목3" localSheetId="1">#REF!</definedName>
    <definedName name="비목3">#REF!</definedName>
    <definedName name="비목4" localSheetId="1">#REF!</definedName>
    <definedName name="비목4">#REF!</definedName>
    <definedName name="비비추">#REF!</definedName>
    <definedName name="비상부하계산" localSheetId="1">조경원가계산서!비상부하계산</definedName>
    <definedName name="비상부하계산">[319]!비상부하계산</definedName>
    <definedName name="빗물받이1" localSheetId="1">#REF!</definedName>
    <definedName name="빗물받이1">#REF!</definedName>
    <definedName name="빗물받이2" localSheetId="1">#REF!</definedName>
    <definedName name="빗물받이2">#REF!</definedName>
    <definedName name="빼기">[110]DATE!$J$24:$J$85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>[75]부하계산서!#REF!</definedName>
    <definedName name="ㅅㄱ" hidden="1">{#N/A,#N/A,FALSE,"배수2"}</definedName>
    <definedName name="사" localSheetId="3">BlankMacro1</definedName>
    <definedName name="사" localSheetId="1">BlankMacro1</definedName>
    <definedName name="사">BlankMacro1</definedName>
    <definedName name="사1">'[234]콘_재료분리(1)'!#REF!</definedName>
    <definedName name="사22">'[234]콘_재료분리(1)'!#REF!</definedName>
    <definedName name="사공_배포함">[11]노임단가!#REF!</definedName>
    <definedName name="사공구기계경비">[133]원가계산서!#REF!</definedName>
    <definedName name="사공구부가가치세">[235]산출내역서!#REF!</definedName>
    <definedName name="사공구직영비">[235]산출내역서!#REF!</definedName>
    <definedName name="사공구직접노무비">[133]원가계산서!#REF!</definedName>
    <definedName name="사공구직접재료비">[133]원가계산서!#REF!</definedName>
    <definedName name="사급상수">#REF!</definedName>
    <definedName name="사급자재비">[144]총괄내역서!#REF!</definedName>
    <definedName name="사랑">'[152]단가(자재)'!$D$4:$O$55</definedName>
    <definedName name="사리도경">#REF!</definedName>
    <definedName name="사리도노무">#REF!</definedName>
    <definedName name="사리도재료">#REF!</definedName>
    <definedName name="사이지">#REF!</definedName>
    <definedName name="사인일위" localSheetId="1">#REF!</definedName>
    <definedName name="사인일위">#REF!</definedName>
    <definedName name="사진대지1" hidden="1">#REF!</definedName>
    <definedName name="사차직접노무비">'[237]4차원가계산서'!$H$3</definedName>
    <definedName name="산근">#REF!</definedName>
    <definedName name="산마루측구" localSheetId="3">BlankMacro1</definedName>
    <definedName name="산마루측구" localSheetId="1">BlankMacro1</definedName>
    <definedName name="산마루측구">BlankMacro1</definedName>
    <definedName name="산벗">[93]단가!$A$114</definedName>
    <definedName name="산소">[93]단가!$A$58</definedName>
    <definedName name="산재보험료후">[144]총괄내역서!#REF!</definedName>
    <definedName name="산철쭉">#REF!</definedName>
    <definedName name="산출1" localSheetId="1">조경원가계산서!산출1</definedName>
    <definedName name="산출1">[319]!산출1</definedName>
    <definedName name="산출3" localSheetId="1">조경원가계산서!산출3</definedName>
    <definedName name="산출3">[319]!산출3</definedName>
    <definedName name="산출근거">#REF!</definedName>
    <definedName name="산출일위대가통신" localSheetId="3">BlankMacro1</definedName>
    <definedName name="산출일위대가통신" localSheetId="1">BlankMacro1</definedName>
    <definedName name="산출일위대가통신">BlankMacro1</definedName>
    <definedName name="산표" localSheetId="1">#REF!</definedName>
    <definedName name="산표">#REF!</definedName>
    <definedName name="삼.관리및편익시설물공">[139]공구원가계산!#REF!</definedName>
    <definedName name="삼각">[146]단가!$A$24</definedName>
    <definedName name="삼각노">[175]일위대가!#REF!</definedName>
    <definedName name="삼각재">[175]일위대가!#REF!</definedName>
    <definedName name="삼노">#REF!</definedName>
    <definedName name="삼발">[146]단가!$A$22</definedName>
    <definedName name="삼발이대노">[175]일위대가!#REF!</definedName>
    <definedName name="삼발이대재">[175]일위대가!#REF!</definedName>
    <definedName name="삼발이소노">[175]일위대가!#REF!</definedName>
    <definedName name="삼발이소재">[175]일위대가!#REF!</definedName>
    <definedName name="삼재">#REF!</definedName>
    <definedName name="삼차선슈활하중" localSheetId="1">#REF!</definedName>
    <definedName name="삼차선슈활하중">#REF!</definedName>
    <definedName name="상급원자력기술자">[11]노임단가!$C$131:$F$131</definedName>
    <definedName name="상수도">[110]DATE!$H$24:$H$85</definedName>
    <definedName name="상수도공" localSheetId="1">#REF!</definedName>
    <definedName name="상수도공">#REF!</definedName>
    <definedName name="상수도공집계표" localSheetId="1">#REF!</definedName>
    <definedName name="상수도공집계표">#REF!</definedName>
    <definedName name="상진이">#REF!</definedName>
    <definedName name="색인">#REF!</definedName>
    <definedName name="생B10">[142]단가결정!$B$472</definedName>
    <definedName name="생B12">[142]단가결정!$B$471</definedName>
    <definedName name="생B20">[142]단가결정!$B$469</definedName>
    <definedName name="생B6">[142]단가결정!$B$475</definedName>
    <definedName name="생B8">[142]단가결정!$B$473</definedName>
    <definedName name="생H1.5">[142]단가결정!$B$450</definedName>
    <definedName name="생H2.0">[142]단가결정!$B$448</definedName>
    <definedName name="생H2.5">[142]단가결정!$B$447</definedName>
    <definedName name="생H3.0">[142]단가결정!$B$446</definedName>
    <definedName name="생H3.5">[142]단가결정!$B$445</definedName>
    <definedName name="생R10">[142]단가결정!$B$459</definedName>
    <definedName name="생R12">[142]단가결정!$B$458</definedName>
    <definedName name="생R15">[142]단가결정!$B$457</definedName>
    <definedName name="생R4">[142]단가결정!$B$464</definedName>
    <definedName name="생R5">[142]단가결정!$B$463</definedName>
    <definedName name="생R6">[142]단가결정!$B$462</definedName>
    <definedName name="생R8">[142]단가결정!$B$460</definedName>
    <definedName name="생관0.4">[142]단가결정!$B$490</definedName>
    <definedName name="생관0.5">[142]단가결정!$B$489</definedName>
    <definedName name="생관0.6">[142]단가결정!$B$488</definedName>
    <definedName name="생관1.0">[142]단가결정!$B$486</definedName>
    <definedName name="생관1.2">[142]단가결정!$B$485</definedName>
    <definedName name="생관1.5">[142]단가결정!$B$483</definedName>
    <definedName name="생관2.0">[142]단가결정!$B$481</definedName>
    <definedName name="생지">[142]단가결정!$B$493</definedName>
    <definedName name="샷시공">[11]노임단가!$C$10:$F$10</definedName>
    <definedName name="서" hidden="1">{#N/A,#N/A,FALSE,"토공2"}</definedName>
    <definedName name="석__조_각_공">[11]노임단가!$C$118:$F$118</definedName>
    <definedName name="석공">[11]노임단가!$C$12:$F$12</definedName>
    <definedName name="석남교_주요자재_집계표__2" localSheetId="1">#REF!</definedName>
    <definedName name="석남교_주요자재_집계표__2">#REF!</definedName>
    <definedName name="석재타일">[93]단가!$A$62</definedName>
    <definedName name="석재타일경">#REF!</definedName>
    <definedName name="석재타일노">#REF!</definedName>
    <definedName name="석재타일재">#REF!</definedName>
    <definedName name="선________부">[11]노임단가!$C$83:$F$83</definedName>
    <definedName name="선___반___공">[11]노임단가!#REF!</definedName>
    <definedName name="설계" localSheetId="1" hidden="1">{#N/A,#N/A,FALSE,"전력간선"}</definedName>
    <definedName name="설계">{#N/A,#N/A,FALSE,"전력간선"}</definedName>
    <definedName name="설계단면력요약.SAP90Work">#N/A</definedName>
    <definedName name="설계설명서">#REF!</definedName>
    <definedName name="설계설명서2" localSheetId="1" hidden="1">{#N/A,#N/A,FALSE,"전력간선"}</definedName>
    <definedName name="설계설명서2">{#N/A,#N/A,FALSE,"전력간선"}</definedName>
    <definedName name="설계설명서3" localSheetId="1" hidden="1">{#N/A,#N/A,FALSE,"전력간선"}</definedName>
    <definedName name="설계설명서3">{#N/A,#N/A,FALSE,"전력간선"}</definedName>
    <definedName name="설계설명서4" localSheetId="1" hidden="1">{#N/A,#N/A,FALSE,"전력간선"}</definedName>
    <definedName name="설계설명서4">{#N/A,#N/A,FALSE,"전력간선"}</definedName>
    <definedName name="설계속도">#REF!</definedName>
    <definedName name="설비기초일위">#REF!</definedName>
    <definedName name="섬잣">[93]단가!$A$95</definedName>
    <definedName name="성산교" localSheetId="1">#REF!</definedName>
    <definedName name="성산교">#REF!</definedName>
    <definedName name="세륜" hidden="1">#REF!</definedName>
    <definedName name="세륜2" hidden="1">#REF!</definedName>
    <definedName name="세륜장" hidden="1">{#N/A,#N/A,FALSE,"배수2"}</definedName>
    <definedName name="세운">'[239]인건-측정'!#REF!</definedName>
    <definedName name="섹스">'[152]단가(노임)'!$B$3:$I$28</definedName>
    <definedName name="셧터공">[11]노임단가!#REF!</definedName>
    <definedName name="소">[240]단가목록!$A:$IV</definedName>
    <definedName name="소개소" localSheetId="1">#REF!</definedName>
    <definedName name="소개소">#REF!</definedName>
    <definedName name="소계">#REF!</definedName>
    <definedName name="소관경" localSheetId="1">#REF!</definedName>
    <definedName name="소관경">#REF!</definedName>
    <definedName name="소나무">#REF!</definedName>
    <definedName name="소나무10">[149]단가!$A$98</definedName>
    <definedName name="소나무15">[149]단가!$A$97</definedName>
    <definedName name="소나무20">[149]단가!$A$96</definedName>
    <definedName name="소방">[240]단가목록!$A:$IV</definedName>
    <definedName name="소방내역" localSheetId="3">BlankMacro1</definedName>
    <definedName name="소방내역" localSheetId="1">BlankMacro1</definedName>
    <definedName name="소방내역">BlankMacro1</definedName>
    <definedName name="소방내역서" localSheetId="3">BlankMacro1</definedName>
    <definedName name="소방내역서" localSheetId="1">BlankMacro1</definedName>
    <definedName name="소방내역서">BlankMacro1</definedName>
    <definedName name="소석회">[93]단가!$A$161</definedName>
    <definedName name="소일위대가1">#REF!</definedName>
    <definedName name="소켓무게">[242]DATE!$G$24:$G$79</definedName>
    <definedName name="소켓무게1">[243]DATE!$G$24:$G$79</definedName>
    <definedName name="소켓무게4">[243]DATE!$G$24:$G$79</definedName>
    <definedName name="소화기">[174]노무비단가!$B$74</definedName>
    <definedName name="손영주" hidden="1">{#N/A,#N/A,FALSE,"조골재"}</definedName>
    <definedName name="송_전__전__공">[11]노임단가!$C$55:$F$55</definedName>
    <definedName name="송곡교" localSheetId="1">#REF!</definedName>
    <definedName name="송곡교">#REF!</definedName>
    <definedName name="송아지" hidden="1">{#N/A,#N/A,FALSE,"배수2"}</definedName>
    <definedName name="송전활선전공">[11]노임단가!$C$56:$F$56</definedName>
    <definedName name="쇠흙손경비">#REF!</definedName>
    <definedName name="쇠흙손노무비">#REF!</definedName>
    <definedName name="쇠흙손재료비">#REF!</definedName>
    <definedName name="수">#REF!</definedName>
    <definedName name="수________조">[95]장비집계!#REF!</definedName>
    <definedName name="수____종">#REF!</definedName>
    <definedName name="수간6노">[146]유지관리!#REF!</definedName>
    <definedName name="수간6재">[146]유지관리!#REF!</definedName>
    <definedName name="수간8노">[146]유지관리!#REF!</definedName>
    <definedName name="수간8재">[146]유지관리!#REF!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1">#REF!</definedName>
    <definedName name="수량산출">#REF!</definedName>
    <definedName name="수량산출2" localSheetId="3">BlankMacro1</definedName>
    <definedName name="수량산출2" localSheetId="1">BlankMacro1</definedName>
    <definedName name="수량산출2">BlankMacro1</definedName>
    <definedName name="수량산출5" localSheetId="3">BlankMacro1</definedName>
    <definedName name="수량산출5" localSheetId="1">BlankMacro1</definedName>
    <definedName name="수량산출5">BlankMacro1</definedName>
    <definedName name="수량산출서2" localSheetId="1">#REF!</definedName>
    <definedName name="수량산출서2">#REF!</definedName>
    <definedName name="수량산출서표지" localSheetId="3">BlankMacro1</definedName>
    <definedName name="수량산출서표지" localSheetId="1">BlankMacro1</definedName>
    <definedName name="수량산출서표지">BlankMacro1</definedName>
    <definedName name="수량집계밀">#REF!</definedName>
    <definedName name="수량집계양">#REF!</definedName>
    <definedName name="수목" localSheetId="1">#REF!</definedName>
    <definedName name="수목">#REF!</definedName>
    <definedName name="수목공통대가">#REF!</definedName>
    <definedName name="수목단가">[11]수목단가!$A$1:$E$65536</definedName>
    <definedName name="수목목록">[153]일위대가표!#REF!</definedName>
    <definedName name="수목수량">#REF!</definedName>
    <definedName name="수목일위대가">#REF!</definedName>
    <definedName name="수수꽃다리">#REF!</definedName>
    <definedName name="수식입력매크로">[244]!수식입력매크로</definedName>
    <definedName name="수양3">[146]단가!$A$14</definedName>
    <definedName name="수양5노">[146]식재!$H$49</definedName>
    <definedName name="수양5재">[146]식재!$F$49</definedName>
    <definedName name="수양6">[146]단가!$A$12</definedName>
    <definedName name="수작업__반장">[11]노임단가!#REF!</definedName>
    <definedName name="수중_토사">[245]일반수량총괄집계!#REF!</definedName>
    <definedName name="수중면정리및청소" localSheetId="1">#REF!</definedName>
    <definedName name="수중면정리및청소">#REF!</definedName>
    <definedName name="수직규준틀노무비">#REF!</definedName>
    <definedName name="수직규준틀재료비">#REF!</definedName>
    <definedName name="수직기준틀노무비">#REF!</definedName>
    <definedName name="수직기준틀재료비">#REF!</definedName>
    <definedName name="수축줄눈경비">#REF!</definedName>
    <definedName name="수축줄눈노무비">#REF!</definedName>
    <definedName name="수축줄눈재료비">#REF!</definedName>
    <definedName name="수평규준틀노무비">#REF!</definedName>
    <definedName name="수평규준틀재료비">#REF!</definedName>
    <definedName name="순공">#REF!</definedName>
    <definedName name="순공사비계후">[144]총괄내역서!#REF!</definedName>
    <definedName name="순공사원가" localSheetId="1">#REF!</definedName>
    <definedName name="순공사원가">#REF!</definedName>
    <definedName name="숫자노무비">#REF!</definedName>
    <definedName name="슈사하중" localSheetId="1">#REF!</definedName>
    <definedName name="슈사하중">#REF!</definedName>
    <definedName name="슈활하중" localSheetId="1">#REF!</definedName>
    <definedName name="슈활하중">#REF!</definedName>
    <definedName name="스잔" hidden="1">{#N/A,#N/A,FALSE,"부대2"}</definedName>
    <definedName name="스트로브잣12노무">#REF!</definedName>
    <definedName name="스트로브잣12재료">#REF!</definedName>
    <definedName name="스트로브잣15노무">#REF!</definedName>
    <definedName name="스트로브잣15재료">#REF!</definedName>
    <definedName name="스트로브잣18노무">#REF!</definedName>
    <definedName name="스트로브잣18재료">#REF!</definedName>
    <definedName name="스트로브잣20노무">#REF!</definedName>
    <definedName name="스트로브잣20재료">#REF!</definedName>
    <definedName name="스트로브잣40노무">#REF!</definedName>
    <definedName name="스트로브잣40재료">#REF!</definedName>
    <definedName name="스페이셔_설치" localSheetId="1">#REF!</definedName>
    <definedName name="스페이셔_설치">#REF!</definedName>
    <definedName name="슬래브두께" localSheetId="1">#REF!</definedName>
    <definedName name="슬래브두께">#REF!</definedName>
    <definedName name="슬래브총괄수량집계표">'[246]Sheet1 (2)'!#REF!</definedName>
    <definedName name="슬레이트__공">[11]노임단가!#REF!</definedName>
    <definedName name="시__설__명">#REF!</definedName>
    <definedName name="시_험_사_1급">[11]노임단가!$C$92:$F$92</definedName>
    <definedName name="시_험_사_2급">[11]노임단가!$C$93:$F$93</definedName>
    <definedName name="시_험_사_3급">[11]노임단가!$C$94:$F$94</definedName>
    <definedName name="시_험_사_4급">[11]노임단가!#REF!</definedName>
    <definedName name="시10">[84]현황산출서!#REF!</definedName>
    <definedName name="시11">[84]현황산출서!#REF!</definedName>
    <definedName name="시12">[84]현황산출서!#REF!</definedName>
    <definedName name="시13">[84]현황산출서!#REF!</definedName>
    <definedName name="시14">[84]현황산출서!#REF!</definedName>
    <definedName name="시15">[84]현황산출서!#REF!</definedName>
    <definedName name="시16">[84]현황산출서!#REF!</definedName>
    <definedName name="시17">[84]현황산출서!#REF!</definedName>
    <definedName name="시18">[84]현황산출서!#REF!</definedName>
    <definedName name="시19">[84]현황산출서!#REF!</definedName>
    <definedName name="시20">[84]현황산출서!#REF!</definedName>
    <definedName name="시8">[84]현황산출서!#REF!</definedName>
    <definedName name="시9">[84]현황산출서!#REF!</definedName>
    <definedName name="시계" hidden="1">{#N/A,#N/A,FALSE,"부대1"}</definedName>
    <definedName name="시공__측량사">[11]노임단가!$C$52:$F$52</definedName>
    <definedName name="시공측량사조수">[11]노임단가!$C$53:$F$53</definedName>
    <definedName name="시동" localSheetId="1">#REF!</definedName>
    <definedName name="시동">#REF!</definedName>
    <definedName name="시멘트" localSheetId="3">BlankMacro1</definedName>
    <definedName name="시멘트" localSheetId="1">BlankMacro1</definedName>
    <definedName name="시멘트">BlankMacro1</definedName>
    <definedName name="시멘트1">[93]단가!$A$48</definedName>
    <definedName name="시멘트6" localSheetId="3">BlankMacro1</definedName>
    <definedName name="시멘트6" localSheetId="1">BlankMacro1</definedName>
    <definedName name="시멘트6">BlankMacro1</definedName>
    <definedName name="시비1노">[146]유지관리!$H$100</definedName>
    <definedName name="시비1재">[146]유지관리!$F$100</definedName>
    <definedName name="시비경">[166]계수시트!$B$92</definedName>
    <definedName name="시비관노">[146]유지관리!$H$105</definedName>
    <definedName name="시비관재">[146]유지관리!$F$105</definedName>
    <definedName name="시비노">[166]계수시트!$B$90</definedName>
    <definedName name="시비재">[166]계수시트!$B$91</definedName>
    <definedName name="시설물수량">[11]시설수량표!$C$1:$F$65536</definedName>
    <definedName name="시설물수량산출서">#REF!</definedName>
    <definedName name="시설수량">#REF!</definedName>
    <definedName name="시설일위">[181]시설일위!$B$1:$M$65536</definedName>
    <definedName name="시설일위1">#REF!</definedName>
    <definedName name="시설일위금액">[180]시설일위!$G$1:$M$65536</definedName>
    <definedName name="시설일위대가" localSheetId="1">#REF!</definedName>
    <definedName name="시설일위대가">#REF!</definedName>
    <definedName name="시성">#REF!</definedName>
    <definedName name="시중노임">[11]노임단가!$B$1:$F$65536</definedName>
    <definedName name="시중노임1">#N/A</definedName>
    <definedName name="시험__보조수">[11]노임단가!#REF!</definedName>
    <definedName name="식재">#REF!</definedName>
    <definedName name="식재공">[139]공구원가계산!#REF!</definedName>
    <definedName name="식재공사97">#REF!</definedName>
    <definedName name="식재단가">#REF!</definedName>
    <definedName name="식재단가1">#REF!</definedName>
    <definedName name="식재수량">#REF!</definedName>
    <definedName name="식재수량표">#REF!</definedName>
    <definedName name="식재일위">[181]식재일위!$B$1:$M$65536</definedName>
    <definedName name="식재일위단가">[181]식재일위!$G$1:$M$65536</definedName>
    <definedName name="신나">[93]단가!$A$56</definedName>
    <definedName name="신동렬" hidden="1">{#N/A,#N/A,FALSE,"구조2"}</definedName>
    <definedName name="신축장치" localSheetId="1">#REF!</definedName>
    <definedName name="신축장치">#REF!</definedName>
    <definedName name="실란">[93]단가!$A$152</definedName>
    <definedName name="실링제">[93]단가!$A$61</definedName>
    <definedName name="실편백10노무">#REF!</definedName>
    <definedName name="실편백10재료">#REF!</definedName>
    <definedName name="실편백15노무">#REF!</definedName>
    <definedName name="실편백15재료">#REF!</definedName>
    <definedName name="실행" localSheetId="1">#REF!</definedName>
    <definedName name="실행">#REF!</definedName>
    <definedName name="씹보지" hidden="1">{#N/A,#N/A,FALSE,"배수2"}</definedName>
    <definedName name="씹자지" hidden="1">{#N/A,#N/A,FALSE,"배수2"}</definedName>
    <definedName name="씹조지" hidden="1">{#N/A,#N/A,FALSE,"배수2"}</definedName>
    <definedName name="ㅇ" localSheetId="1">#REF!</definedName>
    <definedName name="ㅇ">#REF!</definedName>
    <definedName name="ㅇ560">#REF!</definedName>
    <definedName name="ㅇㄱ1">#REF!</definedName>
    <definedName name="ㅇㄷㄷ">#REF!</definedName>
    <definedName name="ㅇㄹ">#REF!</definedName>
    <definedName name="ㅇㄹㄹ">#REF!</definedName>
    <definedName name="ㅇㄹㅇㄹ" localSheetId="1" hidden="1">#REF!</definedName>
    <definedName name="ㅇㄹㅇㄹ">#REF!</definedName>
    <definedName name="ㅇㅀ">[250]단가목록!$A:$IV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ㅁㄻㄴㄻㄴㄹ">'[17]연장및면적(좌측)'!#REF!</definedName>
    <definedName name="ㅇㅇ">#REF!</definedName>
    <definedName name="ㅇㅇㄹ" localSheetId="1" hidden="1">#REF!</definedName>
    <definedName name="ㅇㅇㄹ">#REF!</definedName>
    <definedName name="ㅇㅇㅁ" localSheetId="3">BlankMacro1</definedName>
    <definedName name="ㅇㅇㅁ" localSheetId="1">BlankMacro1</definedName>
    <definedName name="ㅇㅇㅁ">BlankMacro1</definedName>
    <definedName name="ㅇㅇㅇ" localSheetId="1" hidden="1">#REF!</definedName>
    <definedName name="ㅇㅇㅇ">#REF!</definedName>
    <definedName name="ㅇㅇㅇㅇㅇ" localSheetId="1">#REF!</definedName>
    <definedName name="ㅇㅇㅇㅇㅇ">#REF!</definedName>
    <definedName name="ㅇㅇㅇㅇㅇㅇㅇ" localSheetId="1">#REF!</definedName>
    <definedName name="ㅇㅇㅇㅇㅇㅇㅇ">#REF!</definedName>
    <definedName name="아" localSheetId="3">BlankMacro1</definedName>
    <definedName name="아" localSheetId="1">BlankMacro1</definedName>
    <definedName name="아">BlankMacro1</definedName>
    <definedName name="아공">'[130](A)내역서'!$E$4:$L$197,'[130](A)내역서'!$K$198:$K$225,'[130](A)내역서'!$I$216:$J$219,'[130](A)내역서'!$E$242:$L$281</definedName>
    <definedName name="아늘믿" localSheetId="3">BlankMacro1</definedName>
    <definedName name="아늘믿" localSheetId="1">BlankMacro1</definedName>
    <definedName name="아늘믿">BlankMacro1</definedName>
    <definedName name="아니" localSheetId="3">BlankMacro1</definedName>
    <definedName name="아니" localSheetId="1">BlankMacro1</definedName>
    <definedName name="아니">BlankMacro1</definedName>
    <definedName name="아다" localSheetId="3">BlankMacro1</definedName>
    <definedName name="아다" localSheetId="1">BlankMacro1</definedName>
    <definedName name="아다">BlankMacro1</definedName>
    <definedName name="아디" localSheetId="3">BlankMacro1</definedName>
    <definedName name="아디" localSheetId="1">BlankMacro1</definedName>
    <definedName name="아디">BlankMacro1</definedName>
    <definedName name="아무ㅡ개">'[251]연장및면적(좌측)'!#REF!</definedName>
    <definedName name="아사">[142]내역아!#REF!</definedName>
    <definedName name="아서" localSheetId="3">BlankMacro1</definedName>
    <definedName name="아서" localSheetId="1">BlankMacro1</definedName>
    <definedName name="아서">BlankMacro1</definedName>
    <definedName name="아세틸렌">[93]단가!$A$59</definedName>
    <definedName name="아스콘2" hidden="1">[252]조명시설!#REF!</definedName>
    <definedName name="아스콘깨기" hidden="1">{#N/A,#N/A,FALSE,"골재소요량";#N/A,#N/A,FALSE,"골재소요량"}</definedName>
    <definedName name="아스콘수량" localSheetId="1">#REF!</definedName>
    <definedName name="아스콘수량">#REF!</definedName>
    <definedName name="아스타일__공" localSheetId="1">#REF!</definedName>
    <definedName name="아스타일__공">#REF!</definedName>
    <definedName name="아스팔트">#REF!</definedName>
    <definedName name="아스팔트_페이버">[95]장비집계!#REF!</definedName>
    <definedName name="아스팔트디스트리뷰터">[95]장비집계!#REF!</definedName>
    <definedName name="아왜나무12노무">#REF!</definedName>
    <definedName name="아왜나무12재료">#REF!</definedName>
    <definedName name="아운">[142]내역아!#REF!</definedName>
    <definedName name="아카노">[146]식재!$H$83</definedName>
    <definedName name="아카시아">[93]단가!$A$131</definedName>
    <definedName name="아카재">[146]식재!$F$83</definedName>
    <definedName name="안전관리">[253]원가서!$D$9</definedName>
    <definedName name="안전관리기사1급">[11]노임단가!#REF!</definedName>
    <definedName name="안전관리기사2급">[11]노임단가!#REF!</definedName>
    <definedName name="암거">#REF!</definedName>
    <definedName name="암거폭" localSheetId="1">#REF!</definedName>
    <definedName name="암거폭">#REF!</definedName>
    <definedName name="앞굽" localSheetId="1">#REF!</definedName>
    <definedName name="앞굽">#REF!</definedName>
    <definedName name="앞굽높이">#REF!</definedName>
    <definedName name="앞성토">#REF!</definedName>
    <definedName name="앨보1">[148]단가!$B$36</definedName>
    <definedName name="앰프" hidden="1">{#N/A,#N/A,FALSE,"포장2"}</definedName>
    <definedName name="앵커간격" localSheetId="1">#REF!</definedName>
    <definedName name="앵커간격">#REF!</definedName>
    <definedName name="앵커경비" localSheetId="1">#REF!</definedName>
    <definedName name="앵커경비">#REF!</definedName>
    <definedName name="앵커경사" localSheetId="1">#REF!</definedName>
    <definedName name="앵커경사">#REF!</definedName>
    <definedName name="앵커노무비" localSheetId="1">#REF!</definedName>
    <definedName name="앵커노무비">#REF!</definedName>
    <definedName name="앵커반력" localSheetId="1">#REF!</definedName>
    <definedName name="앵커반력">#REF!</definedName>
    <definedName name="앵커볼트">#REF!</definedName>
    <definedName name="앵커수평반력" localSheetId="1">#REF!</definedName>
    <definedName name="앵커수평반력">#REF!</definedName>
    <definedName name="앵커안전율" localSheetId="1">#REF!</definedName>
    <definedName name="앵커안전율">#REF!</definedName>
    <definedName name="앵커재료비" localSheetId="1">#REF!</definedName>
    <definedName name="앵커재료비">#REF!</definedName>
    <definedName name="앵커체직경" localSheetId="1">#REF!</definedName>
    <definedName name="앵커체직경">#REF!</definedName>
    <definedName name="야자노">[146]유지관리!$H$82</definedName>
    <definedName name="야자재">[146]유지관리!$F$82</definedName>
    <definedName name="양___생___공">[11]노임단가!#REF!</definedName>
    <definedName name="양매자0403">[64]데이타!$E$168</definedName>
    <definedName name="양매자0505">[64]데이타!$E$169</definedName>
    <definedName name="양매자0606">[64]데이타!$E$170</definedName>
    <definedName name="양생경비">#REF!</definedName>
    <definedName name="양생노무비">#REF!</definedName>
    <definedName name="양생재료비">#REF!</definedName>
    <definedName name="양수기_건설용펌프">[95]장비집계!#REF!</definedName>
    <definedName name="양식">#REF!</definedName>
    <definedName name="에_어_호_스">[95]장비집계!#REF!</definedName>
    <definedName name="에멀전페인트">[93]단가!$A$71</definedName>
    <definedName name="에어컨" hidden="1">{#N/A,#N/A,FALSE,"배수2"}</definedName>
    <definedName name="여기">#REF!</definedName>
    <definedName name="연___돌___공">[11]노임단가!#REF!</definedName>
    <definedName name="연___마___공">[11]노임단가!$C$23:$F$23</definedName>
    <definedName name="연립">[259]내역서!$A$1:$M$177</definedName>
    <definedName name="연마공">[93]단가!$A$47</definedName>
    <definedName name="연마지">[93]단가!$A$72</definedName>
    <definedName name="연습">[260]선급금신청서!$A$1:$B$5</definedName>
    <definedName name="연장" localSheetId="1">#REF!</definedName>
    <definedName name="연장">#REF!</definedName>
    <definedName name="영_림__기_사">[11]노임단가!#REF!</definedName>
    <definedName name="영국" hidden="1">{#N/A,#N/A,FALSE,"배수2"}</definedName>
    <definedName name="영사실" localSheetId="3">BlankMacro1</definedName>
    <definedName name="영사실" localSheetId="1">BlankMacro1</definedName>
    <definedName name="영사실">BlankMacro1</definedName>
    <definedName name="영산홍">#REF!</definedName>
    <definedName name="예" localSheetId="3">BlankMacro1</definedName>
    <definedName name="예" localSheetId="1">BlankMacro1</definedName>
    <definedName name="예">BlankMacro1</definedName>
    <definedName name="예정공정">#REF!</definedName>
    <definedName name="예정공정표">#REF!</definedName>
    <definedName name="오" localSheetId="1">#REF!</definedName>
    <definedName name="오">#REF!</definedName>
    <definedName name="오나멘트">[93]단가!$A$54</definedName>
    <definedName name="오녁" hidden="1">{#N/A,#N/A,FALSE,"배수2"}</definedName>
    <definedName name="오라1">#REF!</definedName>
    <definedName name="오벽높이" localSheetId="1">#REF!</definedName>
    <definedName name="오벽높이">#REF!</definedName>
    <definedName name="오수공" localSheetId="1">#REF!</definedName>
    <definedName name="오수공">#REF!</definedName>
    <definedName name="오수공수량" localSheetId="1">#REF!</definedName>
    <definedName name="오수공수량">#REF!</definedName>
    <definedName name="오수공수량집계표" localSheetId="1">#REF!</definedName>
    <definedName name="오수공수량집계표">#REF!</definedName>
    <definedName name="오케이">#REF!</definedName>
    <definedName name="옥주현" hidden="1">{#N/A,#N/A,FALSE,"배수2"}</definedName>
    <definedName name="옥향">[149]단가!$A$136</definedName>
    <definedName name="온___돌___공">[11]노임단가!#REF!</definedName>
    <definedName name="온수보일러">[174]노무비단가!$B$72</definedName>
    <definedName name="온풍기" hidden="1">{#N/A,#N/A,FALSE,"배수1"}</definedName>
    <definedName name="옹2되" localSheetId="1">#REF!</definedName>
    <definedName name="옹2되">#REF!</definedName>
    <definedName name="옹2부" localSheetId="1">#REF!</definedName>
    <definedName name="옹2부">#REF!</definedName>
    <definedName name="옹2블캡" localSheetId="1">#REF!</definedName>
    <definedName name="옹2블캡">#REF!</definedName>
    <definedName name="옹2블표" localSheetId="1">#REF!</definedName>
    <definedName name="옹2블표">#REF!</definedName>
    <definedName name="옹2상" localSheetId="1">#REF!</definedName>
    <definedName name="옹2상">#REF!</definedName>
    <definedName name="옹2속" localSheetId="1">#REF!</definedName>
    <definedName name="옹2속">#REF!</definedName>
    <definedName name="옹2잔" localSheetId="1">#REF!</definedName>
    <definedName name="옹2잔">#REF!</definedName>
    <definedName name="옹2잡" localSheetId="1">#REF!</definedName>
    <definedName name="옹2잡">#REF!</definedName>
    <definedName name="옹2지1" localSheetId="1">#REF!</definedName>
    <definedName name="옹2지1">#REF!</definedName>
    <definedName name="옹2지2" localSheetId="1">#REF!</definedName>
    <definedName name="옹2지2">#REF!</definedName>
    <definedName name="옹2지3" localSheetId="1">#REF!</definedName>
    <definedName name="옹2지3">#REF!</definedName>
    <definedName name="옹2터" localSheetId="1">#REF!</definedName>
    <definedName name="옹2터">#REF!</definedName>
    <definedName name="옹2합" localSheetId="1">#REF!</definedName>
    <definedName name="옹2합">#REF!</definedName>
    <definedName name="옹되" localSheetId="1">#REF!</definedName>
    <definedName name="옹되">#REF!</definedName>
    <definedName name="옹벽">[12]Sheet1!$G$48</definedName>
    <definedName name="옹벽공">[168]TOTAL_BOQ!#REF!</definedName>
    <definedName name="옹벽공집계표" localSheetId="1">#REF!</definedName>
    <definedName name="옹벽공집계표">#REF!</definedName>
    <definedName name="옹벽철근수량" hidden="1">{#N/A,#N/A,FALSE,"2~8번"}</definedName>
    <definedName name="옹벽철근집계" hidden="1">{#N/A,#N/A,FALSE,"조골재"}</definedName>
    <definedName name="옹부" localSheetId="1">#REF!</definedName>
    <definedName name="옹부">#REF!</definedName>
    <definedName name="옹블캡" localSheetId="1">#REF!</definedName>
    <definedName name="옹블캡">#REF!</definedName>
    <definedName name="옹블표" localSheetId="1">#REF!</definedName>
    <definedName name="옹블표">#REF!</definedName>
    <definedName name="옹상" localSheetId="1">#REF!</definedName>
    <definedName name="옹상">#REF!</definedName>
    <definedName name="옹속" localSheetId="1">#REF!</definedName>
    <definedName name="옹속">#REF!</definedName>
    <definedName name="옹잔" localSheetId="1">#REF!</definedName>
    <definedName name="옹잔">#REF!</definedName>
    <definedName name="옹잡" localSheetId="1">#REF!</definedName>
    <definedName name="옹잡">#REF!</definedName>
    <definedName name="옹지1" localSheetId="1">#REF!</definedName>
    <definedName name="옹지1">#REF!</definedName>
    <definedName name="옹지2" localSheetId="1">#REF!</definedName>
    <definedName name="옹지2">#REF!</definedName>
    <definedName name="옹지3" localSheetId="1">#REF!</definedName>
    <definedName name="옹지3">#REF!</definedName>
    <definedName name="옹터" localSheetId="1">#REF!</definedName>
    <definedName name="옹터">#REF!</definedName>
    <definedName name="옹합" localSheetId="1">#REF!</definedName>
    <definedName name="옹합">#REF!</definedName>
    <definedName name="와이어메쉬">[149]단가!$A$53</definedName>
    <definedName name="왕">[262]내역서!#REF!</definedName>
    <definedName name="왕벗">[93]단가!$A$115</definedName>
    <definedName name="왕벚나무">#REF!</definedName>
    <definedName name="왜성도라지">#REF!</definedName>
    <definedName name="외" localSheetId="1">#REF!</definedName>
    <definedName name="외">#REF!</definedName>
    <definedName name="외주가공비" localSheetId="1">#REF!</definedName>
    <definedName name="외주가공비">#REF!</definedName>
    <definedName name="외주변경" localSheetId="1">#REF!</definedName>
    <definedName name="외주변경">#REF!</definedName>
    <definedName name="욜홎ㅎ">#REF!</definedName>
    <definedName name="용량" localSheetId="1">#REF!</definedName>
    <definedName name="용량">#REF!</definedName>
    <definedName name="용마" localSheetId="3">BlankMacro1</definedName>
    <definedName name="용마" localSheetId="1">BlankMacro1</definedName>
    <definedName name="용마">BlankMacro1</definedName>
    <definedName name="용접">#REF!</definedName>
    <definedName name="용접200경비">#REF!</definedName>
    <definedName name="용접300경비">#REF!</definedName>
    <definedName name="용접공">[93]단가!$A$20</definedName>
    <definedName name="용접공_일반">[11]노임단가!$C$97:$F$97</definedName>
    <definedName name="용접공_철도">[11]노임단가!$C$41:$F$41</definedName>
    <definedName name="용접기__교류">[95]장비집계!#REF!</definedName>
    <definedName name="용접봉">[93]단가!$A$57</definedName>
    <definedName name="용접식_이음" localSheetId="1">#REF!</definedName>
    <definedName name="용접식_이음">#REF!</definedName>
    <definedName name="우" localSheetId="1" hidden="1">{#N/A,#N/A,FALSE,"현장 NCR 분석";#N/A,#N/A,FALSE,"현장품질감사";#N/A,#N/A,FALSE,"현장품질감사"}</definedName>
    <definedName name="우">{#N/A,#N/A,FALSE,"현장 NCR 분석";#N/A,#N/A,FALSE,"현장품질감사";#N/A,#N/A,FALSE,"현장품질감사"}</definedName>
    <definedName name="우___물___공">[11]노임단가!#REF!</definedName>
    <definedName name="우리">[186]보도공제면적!#REF!</definedName>
    <definedName name="우물통_굴착토사" localSheetId="1">#REF!</definedName>
    <definedName name="우물통_굴착토사">#REF!</definedName>
    <definedName name="우물통굴착_리핑암" localSheetId="1">#REF!</definedName>
    <definedName name="우물통굴착_리핑암">#REF!</definedName>
    <definedName name="우물통굴착_발파암" localSheetId="1">#REF!</definedName>
    <definedName name="우물통굴착_발파암">#REF!</definedName>
    <definedName name="우수공" localSheetId="1">#REF!</definedName>
    <definedName name="우수공">#REF!</definedName>
    <definedName name="우수공수량집계표" localSheetId="1">#REF!</definedName>
    <definedName name="우수공수량집계표">#REF!</definedName>
    <definedName name="우수받이1">[264]DATE!$C$24:$C$85</definedName>
    <definedName name="우수받이2">[264]DATE!$C$24:$C$85</definedName>
    <definedName name="우수받이3">[264]DATE!$G$24:$G$79</definedName>
    <definedName name="우수받이4">[264]DATE!$G$24:$G$79</definedName>
    <definedName name="우수받이설치조서">[264]DATE!$J$24:$J$85</definedName>
    <definedName name="우수받이설치조서1">[264]DATE!$J$24:$J$85</definedName>
    <definedName name="운반">[265]목록!$D$3:$O$380</definedName>
    <definedName name="운반량집계표" localSheetId="1" hidden="1">{#N/A,#N/A,FALSE,"전력간선"}</definedName>
    <definedName name="운반량집계표">{#N/A,#N/A,FALSE,"전력간선"}</definedName>
    <definedName name="운반산출">#REF!</definedName>
    <definedName name="운반집계" localSheetId="1" hidden="1">{#N/A,#N/A,FALSE,"전력간선"}</definedName>
    <definedName name="운반집계">{#N/A,#N/A,FALSE,"전력간선"}</definedName>
    <definedName name="운반집계표" localSheetId="1" hidden="1">{#N/A,#N/A,FALSE,"전력간선"}</definedName>
    <definedName name="운반집계표">{#N/A,#N/A,FALSE,"전력간선"}</definedName>
    <definedName name="운반차운전사">'[176]중기조종사 단위단가'!$B$5</definedName>
    <definedName name="운전">#REF!</definedName>
    <definedName name="운전기사">'[175]99노임기준'!#REF!</definedName>
    <definedName name="운전사">#REF!</definedName>
    <definedName name="운전사_기계">[11]노임단가!$C$79:$F$79</definedName>
    <definedName name="운전사_운반차">[11]노임단가!$C$78:$F$78</definedName>
    <definedName name="운전조">#REF!</definedName>
    <definedName name="울사">[142]울타리!#REF!</definedName>
    <definedName name="울운">[142]울타리!#REF!</definedName>
    <definedName name="원" localSheetId="1">#REF!</definedName>
    <definedName name="원">#REF!</definedName>
    <definedName name="원_가_계_산_서">#REF!</definedName>
    <definedName name="원가">#REF!</definedName>
    <definedName name="원가1" localSheetId="1" hidden="1">{#N/A,#N/A,FALSE,"현장 NCR 분석";#N/A,#N/A,FALSE,"현장품질감사";#N/A,#N/A,FALSE,"현장품질감사"}</definedName>
    <definedName name="원가1">{#N/A,#N/A,FALSE,"현장 NCR 분석";#N/A,#N/A,FALSE,"현장품질감사";#N/A,#N/A,FALSE,"현장품질감사"}</definedName>
    <definedName name="원가계산">#REF!</definedName>
    <definedName name="원자력계장공">[11]노임단가!$C$128:$F$128</definedName>
    <definedName name="원자력기계설치공">[11]노임단가!$C$124:$F$124</definedName>
    <definedName name="원자력기술자">[11]노임단가!$C$129:$F$129</definedName>
    <definedName name="원자력덕트공">[11]노임단가!$C$125:$F$125</definedName>
    <definedName name="원자력배관공">[11]노임단가!$C$122:$F$122</definedName>
    <definedName name="원자력보온공">[11]노임단가!$C$134:$F$134</definedName>
    <definedName name="원자력용접공" localSheetId="1">#REF!</definedName>
    <definedName name="원자력용접공">#REF!</definedName>
    <definedName name="원자력제관공">[11]노임단가!$C$126:$F$126</definedName>
    <definedName name="원자력케이블전공">[11]노임단가!$C$127:$F$127</definedName>
    <definedName name="원자력특별인부">[11]노임단가!$C$133:$F$133</definedName>
    <definedName name="원자력품질관리사" localSheetId="1">#REF!</definedName>
    <definedName name="원자력품질관리사">#REF!</definedName>
    <definedName name="원자력플랜트전공">[11]노임단가!$C$135:$F$135</definedName>
    <definedName name="원지반경">[146]시설물!#REF!</definedName>
    <definedName name="원지반노">[146]시설물!#REF!</definedName>
    <definedName name="원지반다짐">[231]기초일위!#REF!</definedName>
    <definedName name="원지반재">[146]시설물!#REF!</definedName>
    <definedName name="원파고라노">#REF!</definedName>
    <definedName name="원파고라재">#REF!</definedName>
    <definedName name="위___생___공">[11]노임단가!$C$27:$F$27</definedName>
    <definedName name="위생공">[174]노무비단가!$B$2</definedName>
    <definedName name="윈치경">[146]시설물!$J$305</definedName>
    <definedName name="윈치노">[146]시설물!$H$305</definedName>
    <definedName name="윈치재">[146]시설물!$F$305</definedName>
    <definedName name="유___리___공">[11]노임단가!$C$95:$F$95</definedName>
    <definedName name="유리공">[149]단가!$A$24</definedName>
    <definedName name="유리노">[142]시설물일위!#REF!</definedName>
    <definedName name="유리재">[142]시설물일위!#REF!</definedName>
    <definedName name="유상진">#REF!</definedName>
    <definedName name="유진" hidden="1">{#N/A,#N/A,FALSE,"배수1"}</definedName>
    <definedName name="유카">[93]단가!$A$153</definedName>
    <definedName name="육상면정리및청소" localSheetId="1">#REF!</definedName>
    <definedName name="육상면정리및청소">#REF!</definedName>
    <definedName name="윤진국" hidden="1">{#N/A,#N/A,FALSE,"배수2"}</definedName>
    <definedName name="은행12">[93]단가!$A$118</definedName>
    <definedName name="은행15">[93]단가!$A$117</definedName>
    <definedName name="은행6">[93]단가!$A$120</definedName>
    <definedName name="은행8">[93]단가!$A$119</definedName>
    <definedName name="은행나무">#REF!</definedName>
    <definedName name="응력증가계수" localSheetId="1">#REF!</definedName>
    <definedName name="응력증가계수">#REF!</definedName>
    <definedName name="이">#REF!</definedName>
    <definedName name="이각">[146]단가!$A$23</definedName>
    <definedName name="이각A형">[211]일위대가!#REF!</definedName>
    <definedName name="이각B형">[226]일위대가!#REF!</definedName>
    <definedName name="이각노">[175]일위대가!#REF!</definedName>
    <definedName name="이각재">[175]일위대가!#REF!</definedName>
    <definedName name="이각지주목">#REF!</definedName>
    <definedName name="이공구가설비">#REF!</definedName>
    <definedName name="이공구간접노무비">#REF!</definedName>
    <definedName name="이공구공사원가">#REF!</definedName>
    <definedName name="이공구기계경비">#REF!</definedName>
    <definedName name="이공구기타경비">#REF!</definedName>
    <definedName name="이공구부가가치세">'[206]2공구산출내역'!#REF!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공구직접노무비">#REF!</definedName>
    <definedName name="이공구직접재료비">#REF!</definedName>
    <definedName name="이기법" hidden="1">{#N/A,#N/A,FALSE,"배수2"}</definedName>
    <definedName name="이노">#REF!</definedName>
    <definedName name="이동" hidden="1">{#N/A,#N/A,FALSE,"조골재"}</definedName>
    <definedName name="이런">[69]내역서!#REF!</definedName>
    <definedName name="이름" hidden="1">{#N/A,#N/A,FALSE,"부대1"}</definedName>
    <definedName name="이름충돌">#REF!</definedName>
    <definedName name="이미연" hidden="1">{#N/A,#N/A,FALSE,"배수2"}</definedName>
    <definedName name="이상">#REF!</definedName>
    <definedName name="이설" localSheetId="1" hidden="1">{#N/A,#N/A,FALSE,"전력간선"}</definedName>
    <definedName name="이설">{#N/A,#N/A,FALSE,"전력간선"}</definedName>
    <definedName name="이식" localSheetId="1">#REF!</definedName>
    <definedName name="이식">#REF!</definedName>
    <definedName name="이식단가">#REF!</definedName>
    <definedName name="이식단가1">#REF!</definedName>
    <definedName name="이식일위">#REF!</definedName>
    <definedName name="이씨">#REF!</definedName>
    <definedName name="이윤">[253]원가서!$D$16</definedName>
    <definedName name="이윤후">[144]총괄내역서!#REF!</definedName>
    <definedName name="이이">#REF!</definedName>
    <definedName name="이재">#REF!</definedName>
    <definedName name="이전비">#REF!</definedName>
    <definedName name="이전비후">[144]총괄내역서!#REF!</definedName>
    <definedName name="이정" localSheetId="1" hidden="1">{#N/A,#N/A,FALSE,"2~8번"}</definedName>
    <definedName name="이정">{#N/A,#N/A,FALSE,"2~8번"}</definedName>
    <definedName name="이형관">[109]간지!$B$24:$B$85</definedName>
    <definedName name="이형관1">[110]DATE!$B$24:$B$85</definedName>
    <definedName name="이형관2">[110]DATE!$B$24:$B$85</definedName>
    <definedName name="이형관4">[110]DATE!$B$24:$B$85</definedName>
    <definedName name="인동덩쿨">#REF!</definedName>
    <definedName name="인상익" localSheetId="3">BlankMacro1</definedName>
    <definedName name="인상익" localSheetId="1">BlankMacro1</definedName>
    <definedName name="인상익">BlankMacro1</definedName>
    <definedName name="인쇄양식" localSheetId="1">조경원가계산서!인쇄양식</definedName>
    <definedName name="인쇄양식">[319]!인쇄양식</definedName>
    <definedName name="인장재직경" localSheetId="1">#REF!</definedName>
    <definedName name="인장재직경">#REF!</definedName>
    <definedName name="인터">#REF!</definedName>
    <definedName name="일.화장실및관리실">[139]공구원가계산!#REF!</definedName>
    <definedName name="일각">[146]단가!$A$27</definedName>
    <definedName name="일공구가설">#REF!</definedName>
    <definedName name="일공구가설비">[253]원가서!$D$11</definedName>
    <definedName name="일공구간노">[253]원가서!$D$4</definedName>
    <definedName name="일공구간접노무비">#REF!</definedName>
    <definedName name="일공구공사">[253]원가서!$D$17</definedName>
    <definedName name="일공구공사원가">#REF!</definedName>
    <definedName name="일공구기계경비">[139]공구원가계산!#REF!</definedName>
    <definedName name="일공구기타경">[253]원가서!$D$10</definedName>
    <definedName name="일공구기타경비">#REF!</definedName>
    <definedName name="일공구도급공사비">#REF!</definedName>
    <definedName name="일공구부가">[271]산출내역서!#REF!</definedName>
    <definedName name="일공구부가가치세">#REF!</definedName>
    <definedName name="일공구산재">[253]원가서!$D$8</definedName>
    <definedName name="일공구산재보험료">#REF!</definedName>
    <definedName name="일공구안전관리비">#REF!</definedName>
    <definedName name="일공구이윤">#REF!</definedName>
    <definedName name="일공구일반">[253]원가서!$D$15</definedName>
    <definedName name="일공구일반관리비">#REF!</definedName>
    <definedName name="일공구직영비">#REF!</definedName>
    <definedName name="일공구직접노무비">[139]공구원가계산!#REF!</definedName>
    <definedName name="일공구직접재료비">[139]공구원가계산!#REF!</definedName>
    <definedName name="일공구품질">[253]원가서!$D$12</definedName>
    <definedName name="일공구품질관리비">#REF!</definedName>
    <definedName name="일대">#REF!</definedName>
    <definedName name="일반관리비" localSheetId="1">#REF!</definedName>
    <definedName name="일반관리비">#REF!</definedName>
    <definedName name="일반관리비후">[144]총괄내역서!#REF!</definedName>
    <definedName name="일반부" hidden="1">{#N/A,#N/A,FALSE,"조골재"}</definedName>
    <definedName name="일위">#REF!</definedName>
    <definedName name="일위규격매크로">[244]!일위규격매크로</definedName>
    <definedName name="일위대가">[181]일위목록!$A$1:$H$65536</definedName>
    <definedName name="일위대가표">#REF!</definedName>
    <definedName name="일위코드입력매크로">[244]!일위코드입력매크로</definedName>
    <definedName name="일위화면복귀매크로">[244]!일위화면복귀매크로</definedName>
    <definedName name="일의01">[213]직노!#REF!</definedName>
    <definedName name="임실보조" localSheetId="1" hidden="1">{#N/A,#N/A,TRUE,"1";#N/A,#N/A,TRUE,"2";#N/A,#N/A,TRUE,"3";#N/A,#N/A,TRUE,"4";#N/A,#N/A,TRUE,"5";#N/A,#N/A,TRUE,"6";#N/A,#N/A,TRUE,"7"}</definedName>
    <definedName name="임실보조">{#N/A,#N/A,TRUE,"1";#N/A,#N/A,TRUE,"2";#N/A,#N/A,TRUE,"3";#N/A,#N/A,TRUE,"4";#N/A,#N/A,TRUE,"5";#N/A,#N/A,TRUE,"6";#N/A,#N/A,TRUE,"7"}</definedName>
    <definedName name="ㅈ" localSheetId="1">#REF!</definedName>
    <definedName name="ㅈ">#REF!</definedName>
    <definedName name="ㅈㄱ" hidden="1">{#N/A,#N/A,FALSE,"조골재"}</definedName>
    <definedName name="ㅈㄷ" localSheetId="3">BlankMacro1</definedName>
    <definedName name="ㅈㄷ" localSheetId="1">BlankMacro1</definedName>
    <definedName name="ㅈㄷ">BlankMacro1</definedName>
    <definedName name="ㅈㄷㅈㄷ" localSheetId="1">#REF!</definedName>
    <definedName name="ㅈㄷㅈㄷ">#REF!</definedName>
    <definedName name="ㅈㅈ" localSheetId="1">{"Book1","부대-(표지판,데리,가드).xls","부대-(낙,차,중분대).xls"}</definedName>
    <definedName name="ㅈㅈ">{"Book1","부대-(표지판,데리,가드).xls","부대-(낙,차,중분대).xls"}</definedName>
    <definedName name="ㅈㅊ" hidden="1">{#N/A,#N/A,FALSE,"포장1";#N/A,#N/A,FALSE,"포장1"}</definedName>
    <definedName name="자" localSheetId="3">BlankMacro1</definedName>
    <definedName name="자" localSheetId="1">BlankMacro1</definedName>
    <definedName name="자">BlankMacro1</definedName>
    <definedName name="자R10">[133]계수시트!$B$4</definedName>
    <definedName name="자R15">[133]계수시트!$B$2</definedName>
    <definedName name="자R20">[133]계수시트!$B$1</definedName>
    <definedName name="자R5">[133]계수시트!$B$8</definedName>
    <definedName name="자R6">[133]계수시트!$B$7</definedName>
    <definedName name="자R7">[133]계수시트!$B$6</definedName>
    <definedName name="자R8">[133]계수시트!$B$5</definedName>
    <definedName name="자W0.3">[133]계수시트!$B$9</definedName>
    <definedName name="자W0.4">[133]계수시트!$B$10</definedName>
    <definedName name="자W0.5">[133]계수시트!$B$11</definedName>
    <definedName name="자W0.6">[133]계수시트!$B$12</definedName>
    <definedName name="자W0.8">[133]계수시트!$B$13</definedName>
    <definedName name="자W1.0">[133]계수시트!$B$14</definedName>
    <definedName name="자W1.2">[133]계수시트!$B$15</definedName>
    <definedName name="자갈경">[146]단가!$A$5</definedName>
    <definedName name="자갈노">[146]단가!$A$3</definedName>
    <definedName name="자갈재">[146]단가!$A$4</definedName>
    <definedName name="자귀">[93]단가!$A$133</definedName>
    <definedName name="자귀나무">#REF!</definedName>
    <definedName name="자동제어1차공량산출" localSheetId="3">BlankMacro1</definedName>
    <definedName name="자동제어1차공량산출" localSheetId="1">BlankMacro1</definedName>
    <definedName name="자동제어1차공량산출">BlankMacro1</definedName>
    <definedName name="자료1" localSheetId="1">#REF!</definedName>
    <definedName name="자료1">#REF!</definedName>
    <definedName name="자료2" localSheetId="1">#REF!</definedName>
    <definedName name="자료2">#REF!</definedName>
    <definedName name="자연석1">[93]단가!$A$162</definedName>
    <definedName name="자연석2">[93]단가!$A$163</definedName>
    <definedName name="자연석3">[93]단가!$A$164</definedName>
    <definedName name="자연석경">[225]시설물일위!#REF!</definedName>
    <definedName name="자연석노">[225]시설물일위!#REF!</definedName>
    <definedName name="자연석쌓기경">[146]시설물!#REF!</definedName>
    <definedName name="자연석쌓기노">[146]시설물!#REF!</definedName>
    <definedName name="자연석쌓기재">[146]시설물!#REF!</definedName>
    <definedName name="자연석재">[225]시설물일위!#REF!</definedName>
    <definedName name="자재단가">[11]자재단가!$A$1:$E$65536</definedName>
    <definedName name="자재집계">#REF!</definedName>
    <definedName name="자재집계표" localSheetId="1">#REF!</definedName>
    <definedName name="자재집계표">#REF!</definedName>
    <definedName name="작_업__반_장">[11]노임단가!$C$71:$F$71</definedName>
    <definedName name="작업">#REF!</definedName>
    <definedName name="작업반장">'[175]99노임기준'!#REF!</definedName>
    <definedName name="잔디">[149]단가!$A$160</definedName>
    <definedName name="잔디_평떼">#REF!</definedName>
    <definedName name="잔디1">[145]단가조사!#REF!</definedName>
    <definedName name="잔디5경">#REF!</definedName>
    <definedName name="잔디5노무">#REF!</definedName>
    <definedName name="잔디5재료">#REF!</definedName>
    <definedName name="잔자갈노">#REF!</definedName>
    <definedName name="잔자갈재">#REF!</definedName>
    <definedName name="잔토">#REF!</definedName>
    <definedName name="잔토경">[175]일위대가!#REF!</definedName>
    <definedName name="잔토노">[175]일위대가!#REF!</definedName>
    <definedName name="잔토재">[175]일위대가!#REF!</definedName>
    <definedName name="잔토처리____________인력">[211]일위대가!#REF!</definedName>
    <definedName name="잠___수___부">[11]노임단가!$C$42:$F$42</definedName>
    <definedName name="잠___함___공">[11]노임단가!#REF!</definedName>
    <definedName name="잡석">[93]단가!$A$5</definedName>
    <definedName name="잡석노">#REF!</definedName>
    <definedName name="잡석재">#REF!</definedName>
    <definedName name="잡철">#REF!</definedName>
    <definedName name="잡철경">[93]단가!$A$42</definedName>
    <definedName name="잡철노">[93]단가!$A$40</definedName>
    <definedName name="잡철재">[93]단가!$A$41</definedName>
    <definedName name="잣나무">#REF!</definedName>
    <definedName name="잣나무10노무">#REF!</definedName>
    <definedName name="잣나무10재료">#REF!</definedName>
    <definedName name="잣나무15노무">#REF!</definedName>
    <definedName name="잣나무15재료">#REF!</definedName>
    <definedName name="잣나무18노무">#REF!</definedName>
    <definedName name="잣나무18재료">#REF!</definedName>
    <definedName name="잣나무20노무">#REF!</definedName>
    <definedName name="잣나무20재료">#REF!</definedName>
    <definedName name="잣나무22노무">#REF!</definedName>
    <definedName name="잣나무22재료">#REF!</definedName>
    <definedName name="장대" localSheetId="1">#REF!</definedName>
    <definedName name="장대">#REF!</definedName>
    <definedName name="장산교">#REF!</definedName>
    <definedName name="재료비" localSheetId="1">#REF!</definedName>
    <definedName name="재료비">#REF!</definedName>
    <definedName name="저라">#REF!</definedName>
    <definedName name="저압케이블전공" localSheetId="1">#REF!</definedName>
    <definedName name="저압케이블전공">#REF!</definedName>
    <definedName name="저케">#REF!</definedName>
    <definedName name="저판높이" localSheetId="1">#REF!</definedName>
    <definedName name="저판높이">#REF!</definedName>
    <definedName name="저판두께">'[274]#REF'!$AJ$30</definedName>
    <definedName name="저판폭" localSheetId="1">#REF!</definedName>
    <definedName name="저판폭">#REF!</definedName>
    <definedName name="전">'[72]인건-측정'!#REF!</definedName>
    <definedName name="전기" localSheetId="1" hidden="1">{#N/A,#N/A,FALSE,"전력간선"}</definedName>
    <definedName name="전기">{#N/A,#N/A,FALSE,"전력간선"}</definedName>
    <definedName name="전기공사기사1급" localSheetId="1">#REF!</definedName>
    <definedName name="전기공사기사1급">#REF!</definedName>
    <definedName name="전기공사기사2급" localSheetId="1">#REF!</definedName>
    <definedName name="전기공사기사2급">#REF!</definedName>
    <definedName name="전기변경1" localSheetId="3">BlankMacro1</definedName>
    <definedName name="전기변경1" localSheetId="1">BlankMacro1</definedName>
    <definedName name="전기변경1">BlankMacro1</definedName>
    <definedName name="전기변경3" localSheetId="3">BlankMacro1</definedName>
    <definedName name="전기변경3" localSheetId="1">BlankMacro1</definedName>
    <definedName name="전기변경3">BlankMacro1</definedName>
    <definedName name="전력">#REF!</definedName>
    <definedName name="전자조합">[275]내역서!#REF!</definedName>
    <definedName name="전재만">#REF!</definedName>
    <definedName name="전후일위대가">#REF!</definedName>
    <definedName name="절단경비">#REF!</definedName>
    <definedName name="절단공" localSheetId="1">#REF!</definedName>
    <definedName name="절단공">#REF!</definedName>
    <definedName name="절단노무비">#REF!</definedName>
    <definedName name="절단재료비">#REF!</definedName>
    <definedName name="절취">#REF!</definedName>
    <definedName name="점토노">#REF!</definedName>
    <definedName name="점토재">#REF!</definedName>
    <definedName name="접속" hidden="1">{#N/A,#N/A,FALSE,"구조1"}</definedName>
    <definedName name="정___비___공" localSheetId="1">#REF!</definedName>
    <definedName name="정___비___공">#REF!</definedName>
    <definedName name="제" hidden="1">[15]조명시설!#REF!</definedName>
    <definedName name="제___도___사" localSheetId="1">#REF!</definedName>
    <definedName name="제___도___사">#REF!</definedName>
    <definedName name="제___재___공" localSheetId="1">#REF!</definedName>
    <definedName name="제___재___공">#REF!</definedName>
    <definedName name="제경비율">#REF!</definedName>
    <definedName name="제동" localSheetId="1">#REF!</definedName>
    <definedName name="제동">#REF!</definedName>
    <definedName name="제잡">#REF!</definedName>
    <definedName name="제철__축로공" localSheetId="1">#REF!</definedName>
    <definedName name="제철__축로공">#REF!</definedName>
    <definedName name="제초">[166]계수시트!$B$89</definedName>
    <definedName name="조">#REF!</definedName>
    <definedName name="조___경___공">[11]노임단가!$C$44:$F$44</definedName>
    <definedName name="조___력___공" localSheetId="1">#REF!</definedName>
    <definedName name="조___력___공">#REF!</definedName>
    <definedName name="조___적___공" localSheetId="1">#REF!</definedName>
    <definedName name="조___적___공">#REF!</definedName>
    <definedName name="조_림__인_부" localSheetId="1">#REF!</definedName>
    <definedName name="조_림__인_부">#REF!</definedName>
    <definedName name="조경">[145]단가조사!#REF!</definedName>
    <definedName name="조경경계블럭">[93]단가!$A$70</definedName>
    <definedName name="조경공">[158]데이타!$E$658</definedName>
    <definedName name="조경공1">[145]단가조사!#REF!</definedName>
    <definedName name="조경공B10">[64]식재인부!$B$24</definedName>
    <definedName name="조경공B4이하">[64]식재인부!$B$18</definedName>
    <definedName name="조경공B5">[64]식재인부!$B$19</definedName>
    <definedName name="조경공B6">[64]식재인부!$B$20</definedName>
    <definedName name="조경공B8">[64]식재인부!$B$22</definedName>
    <definedName name="조경공R10">[64]식재인부!$B$54</definedName>
    <definedName name="조경공R12">[64]식재인부!$B$56</definedName>
    <definedName name="조경공R15">[64]식재인부!$B$59</definedName>
    <definedName name="조경공R4이하">[64]식재인부!$B$48</definedName>
    <definedName name="조경공R5">[64]식재인부!$B$49</definedName>
    <definedName name="조경공R6">[64]식재인부!$B$50</definedName>
    <definedName name="조경공R7">[64]식재인부!$B$51</definedName>
    <definedName name="조경공R8">[64]식재인부!$B$52</definedName>
    <definedName name="조릿대">[93]단가!$A$147</definedName>
    <definedName name="조명단가">[180]조명일위!$G$1:$M$65536</definedName>
    <definedName name="조명단가1">[180]조명일위!$B$1:$G$65536</definedName>
    <definedName name="조명율표">[277]조명율표!$B$4:$F$495</definedName>
    <definedName name="조수">#REF!</definedName>
    <definedName name="조영수" localSheetId="1">#REF!</definedName>
    <definedName name="조영수">#REF!</definedName>
    <definedName name="조원공_1.1_1.5">[64]식재인부!$B$5</definedName>
    <definedName name="조장">#REF!</definedName>
    <definedName name="조정" hidden="1">{#N/A,#N/A,FALSE,"배수2"}</definedName>
    <definedName name="조조조조" localSheetId="3">BlankMacro1</definedName>
    <definedName name="조조조조" localSheetId="1">BlankMacro1</definedName>
    <definedName name="조조조조">BlankMacro1</definedName>
    <definedName name="조조조조좆" localSheetId="3">BlankMacro1</definedName>
    <definedName name="조조조조좆" localSheetId="1">BlankMacro1</definedName>
    <definedName name="조조조조좆">BlankMacro1</definedName>
    <definedName name="조합노">#REF!</definedName>
    <definedName name="조합재">#REF!</definedName>
    <definedName name="조형가이즈까3010">[64]데이타!$E$11</definedName>
    <definedName name="조형가이즈까3012">[64]데이타!$E$12</definedName>
    <definedName name="조형가이즈까3014">[64]데이타!$E$13</definedName>
    <definedName name="조형가이즈까3516">[64]데이타!$E$14</definedName>
    <definedName name="좀작살">[93]단가!$A$158</definedName>
    <definedName name="종" localSheetId="3">BlankMacro1</definedName>
    <definedName name="종" localSheetId="1">BlankMacro1</definedName>
    <definedName name="종">BlankMacro1</definedName>
    <definedName name="종날개벽단위수량" localSheetId="3">BlankMacro1</definedName>
    <definedName name="종날개벽단위수량" localSheetId="1">BlankMacro1</definedName>
    <definedName name="종날개벽단위수량">BlankMacro1</definedName>
    <definedName name="종단위">#REF!</definedName>
    <definedName name="종배수날개벽단위수량" localSheetId="3">BlankMacro1</definedName>
    <definedName name="종배수날개벽단위수량" localSheetId="1">BlankMacro1</definedName>
    <definedName name="종배수날개벽단위수량">BlankMacro1</definedName>
    <definedName name="주경기장" localSheetId="1" hidden="1">{#N/A,#N/A,FALSE,"표지"}</definedName>
    <definedName name="주경기장">{#N/A,#N/A,FALSE,"표지"}</definedName>
    <definedName name="주목">#REF!</definedName>
    <definedName name="주목1.0노무">#REF!</definedName>
    <definedName name="주목1.0재료">#REF!</definedName>
    <definedName name="주목10노무">#REF!</definedName>
    <definedName name="주목10재료">#REF!</definedName>
    <definedName name="주목12노무">#REF!</definedName>
    <definedName name="주목12재료">#REF!</definedName>
    <definedName name="주변저항" localSheetId="1">#REF!</definedName>
    <definedName name="주변저항">#REF!</definedName>
    <definedName name="주영돈" localSheetId="3">BlankMacro1</definedName>
    <definedName name="주영돈" localSheetId="1">BlankMacro1</definedName>
    <definedName name="주영돈">BlankMacro1</definedName>
    <definedName name="주주노">#REF!</definedName>
    <definedName name="주주재">#REF!</definedName>
    <definedName name="주집">#REF!</definedName>
    <definedName name="준설선__선장" localSheetId="1">#REF!</definedName>
    <definedName name="준설선__선장">#REF!</definedName>
    <definedName name="준설선기관사" localSheetId="1">#REF!</definedName>
    <definedName name="준설선기관사">#REF!</definedName>
    <definedName name="준설선기관장" localSheetId="1">#REF!</definedName>
    <definedName name="준설선기관장">#REF!</definedName>
    <definedName name="준설선운전사" localSheetId="1">#REF!</definedName>
    <definedName name="준설선운전사">#REF!</definedName>
    <definedName name="준설선전기사" localSheetId="1">#REF!</definedName>
    <definedName name="준설선전기사">#REF!</definedName>
    <definedName name="줄___눈___공" localSheetId="1">#REF!</definedName>
    <definedName name="줄___눈___공">#REF!</definedName>
    <definedName name="줄눈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줄눈공">[93]단가!$A$26</definedName>
    <definedName name="줄사철">#REF!</definedName>
    <definedName name="중_기__조_장" localSheetId="1">#REF!</definedName>
    <definedName name="중_기__조_장">#REF!</definedName>
    <definedName name="중국">[93]단가!$A$121</definedName>
    <definedName name="중급원자력기술자" localSheetId="1">#REF!</definedName>
    <definedName name="중급원자력기술자">#REF!</definedName>
    <definedName name="중기">[279]중기!$D$4:$H$161</definedName>
    <definedName name="중기기사">#REF!</definedName>
    <definedName name="중기목">[279]중기!$D$4:$H$161</definedName>
    <definedName name="중기운전기사" localSheetId="1">#REF!</definedName>
    <definedName name="중기운전기사">#REF!</definedName>
    <definedName name="중기운전사">'[176]중기조종사 단위단가'!$B$1</definedName>
    <definedName name="중기운전조수" localSheetId="1">#REF!</definedName>
    <definedName name="중기운전조수">#REF!</definedName>
    <definedName name="중기조수">'[176]중기조종사 단위단가'!$B$2</definedName>
    <definedName name="중기조장">'[176]중기조종사 단위단가'!$B$3</definedName>
    <definedName name="중대가시설2">#N/A</definedName>
    <definedName name="중량">#REF!</definedName>
    <definedName name="중량표">#REF!</definedName>
    <definedName name="중유">[93]단가!$A$55</definedName>
    <definedName name="쥐똥">[93]단가!$A$138</definedName>
    <definedName name="즈잔" hidden="1">{#N/A,#N/A,FALSE,"부대1"}</definedName>
    <definedName name="지" hidden="1">{#N/A,#N/A,FALSE,"배수2"}</definedName>
    <definedName name="지붕__잇기공" localSheetId="1">#REF!</definedName>
    <definedName name="지붕__잇기공">#REF!</definedName>
    <definedName name="지적기능사1급" localSheetId="1">#REF!</definedName>
    <definedName name="지적기능사1급">#REF!</definedName>
    <definedName name="지적기능사2급" localSheetId="1">#REF!</definedName>
    <definedName name="지적기능사2급">#REF!</definedName>
    <definedName name="지적기사_1급" localSheetId="1">#REF!</definedName>
    <definedName name="지적기사_1급">#REF!</definedName>
    <definedName name="지적기사_2급" localSheetId="1">#REF!</definedName>
    <definedName name="지적기사_2급">#REF!</definedName>
    <definedName name="지주">#N/A</definedName>
    <definedName name="지주목">#REF!</definedName>
    <definedName name="지진D" localSheetId="1">#REF!</definedName>
    <definedName name="지진D">#REF!</definedName>
    <definedName name="지진L" localSheetId="1">#REF!</definedName>
    <definedName name="지진L">#REF!</definedName>
    <definedName name="직노">[281]원가!$H$3</definedName>
    <definedName name="직산내역" localSheetId="3">BlankMacro1</definedName>
    <definedName name="직산내역">BlankMacro1</definedName>
    <definedName name="직영비">'[206]2공구산출내역'!#REF!</definedName>
    <definedName name="직재">[281]원가!$J$3</definedName>
    <definedName name="직접노무비">[153]일위대가표!#REF!</definedName>
    <definedName name="직접노무비1">[282]일위대가표!#REF!</definedName>
    <definedName name="직접노무비2">[154]일위대가표!#REF!</definedName>
    <definedName name="직접노무비후">[144]총괄내역서!#REF!</definedName>
    <definedName name="직접재료비">[153]일위대가표!#REF!</definedName>
    <definedName name="직접재료비1">[282]일위대가표!#REF!</definedName>
    <definedName name="직접재료비2">[154]일위대가표!#REF!</definedName>
    <definedName name="직접재료비후">[144]총괄내역서!#REF!</definedName>
    <definedName name="직종">#REF!</definedName>
    <definedName name="진" hidden="1">{#N/A,#N/A,FALSE,"배수2"}</definedName>
    <definedName name="진달래">[149]단가!$A$141</definedName>
    <definedName name="진동_파일_햄머">[95]장비집계!#REF!</definedName>
    <definedName name="진동로라노무비">[93]시설물일위!#REF!</definedName>
    <definedName name="진동롤라경">#REF!</definedName>
    <definedName name="진동롤라경비">[93]시설물일위!#REF!</definedName>
    <definedName name="진동롤라노무">#REF!</definedName>
    <definedName name="진동롤라재료">#REF!</definedName>
    <definedName name="진동롤라재료비">[93]시설물일위!#REF!</definedName>
    <definedName name="진상">[283]본체!#REF!</definedName>
    <definedName name="질" hidden="1">{#N/A,#N/A,FALSE,"구조2"}</definedName>
    <definedName name="짐" hidden="1">{#N/A,#N/A,FALSE,"배수1"}</definedName>
    <definedName name="집계표" localSheetId="1" hidden="1">{#N/A,#N/A,FALSE,"전력간선"}</definedName>
    <definedName name="집계표">{#N/A,#N/A,FALSE,"전력간선"}</definedName>
    <definedName name="집계표1" localSheetId="1">#REF!</definedName>
    <definedName name="집계표1">#REF!</definedName>
    <definedName name="집계표2" localSheetId="1">#REF!</definedName>
    <definedName name="집계표2">#REF!</definedName>
    <definedName name="집계표3" localSheetId="1">#REF!</definedName>
    <definedName name="집계표3">#REF!</definedName>
    <definedName name="집계표4" localSheetId="1">#REF!</definedName>
    <definedName name="집계표4">#REF!</definedName>
    <definedName name="집계표5" localSheetId="1">#REF!</definedName>
    <definedName name="집계표5">#REF!</definedName>
    <definedName name="집수정" localSheetId="3">BlankMacro1</definedName>
    <definedName name="집수정" localSheetId="1">BlankMacro1</definedName>
    <definedName name="집수정">BlankMacro1</definedName>
    <definedName name="집수정공" localSheetId="3">BlankMacro1</definedName>
    <definedName name="집수정공" localSheetId="1">BlankMacro1</definedName>
    <definedName name="집수정공">BlankMacro1</definedName>
    <definedName name="집수정수량" localSheetId="1">#REF!</definedName>
    <definedName name="집수정수량">#REF!</definedName>
    <definedName name="짜증">[243]DATE!$G$24:$G$79</definedName>
    <definedName name="짱">[284]내역서!#REF!</definedName>
    <definedName name="쪽재비">[93]단가!$A$146</definedName>
    <definedName name="쪽재비노">[146]식재!$H$146</definedName>
    <definedName name="쪽재비재">[146]식재!$F$146</definedName>
    <definedName name="ㅊ" localSheetId="1">#REF!</definedName>
    <definedName name="ㅊ">#REF!</definedName>
    <definedName name="ㅊ1555" localSheetId="1">#REF!</definedName>
    <definedName name="ㅊ1555">#REF!</definedName>
    <definedName name="ㅊ24" localSheetId="1">#REF!</definedName>
    <definedName name="ㅊ24">#REF!</definedName>
    <definedName name="ㅊ2409">[285]내역!#REF!</definedName>
    <definedName name="ㅊ3030">#REF!</definedName>
    <definedName name="ㅊㄴ" hidden="1">{#N/A,#N/A,FALSE,"포장1";#N/A,#N/A,FALSE,"포장1"}</definedName>
    <definedName name="ㅊㄴㄹㄴㅇㄹ" hidden="1">{#N/A,#N/A,FALSE,"속도"}</definedName>
    <definedName name="차" localSheetId="3">BlankMacro1</definedName>
    <definedName name="차" localSheetId="1">BlankMacro1</definedName>
    <definedName name="차">BlankMacro1</definedName>
    <definedName name="차선도색수">[232]!일위코드입력매크로</definedName>
    <definedName name="차선도색중앙선수량" localSheetId="1">#REF!</definedName>
    <definedName name="차선도색중앙선수량">#REF!</definedName>
    <definedName name="차선도색직각주차수량" localSheetId="1">#REF!</definedName>
    <definedName name="차선도색직각주차수량">#REF!</definedName>
    <definedName name="차선도색집계">[232]!일위코드입력매크로</definedName>
    <definedName name="차선도색평행주차수량" localSheetId="1">#REF!</definedName>
    <definedName name="차선도색평행주차수량">#REF!</definedName>
    <definedName name="차차" hidden="1">[286]조명시설!#REF!</definedName>
    <definedName name="착___암___공" localSheetId="1">#REF!</definedName>
    <definedName name="착___암___공">#REF!</definedName>
    <definedName name="착_암_기__주간">[95]장비집계!#REF!</definedName>
    <definedName name="창포노">[146]식재!$H$185</definedName>
    <definedName name="창포재">[146]식재!$F$185</definedName>
    <definedName name="창호목공" localSheetId="1">#REF!</definedName>
    <definedName name="창호목공">#REF!</definedName>
    <definedName name="천안토공_토공_List" localSheetId="1">#REF!</definedName>
    <definedName name="천안토공_토공_List">#REF!</definedName>
    <definedName name="철" localSheetId="1">#REF!</definedName>
    <definedName name="철">#REF!</definedName>
    <definedName name="철거">#N/A</definedName>
    <definedName name="철거산출">#REF!</definedName>
    <definedName name="철거산출서">#REF!</definedName>
    <definedName name="철골공" localSheetId="1">#REF!</definedName>
    <definedName name="철골공">#REF!</definedName>
    <definedName name="철골협의" localSheetId="1" hidden="1">{#N/A,#N/A,FALSE,"현장 NCR 분석";#N/A,#N/A,FALSE,"현장품질감사";#N/A,#N/A,FALSE,"현장품질감사"}</definedName>
    <definedName name="철골협의">{#N/A,#N/A,FALSE,"현장 NCR 분석";#N/A,#N/A,FALSE,"현장품질감사";#N/A,#N/A,FALSE,"현장품질감사"}</definedName>
    <definedName name="철공" localSheetId="1">#REF!</definedName>
    <definedName name="철공">#REF!</definedName>
    <definedName name="철근공" localSheetId="1">#REF!</definedName>
    <definedName name="철근공">#REF!</definedName>
    <definedName name="철근깨기수량">[12]Sheet1!$G$48</definedName>
    <definedName name="철근노">#REF!</definedName>
    <definedName name="철근용접노무">#REF!</definedName>
    <definedName name="철근용접재료">#REF!</definedName>
    <definedName name="철근재">#REF!</definedName>
    <definedName name="철근직경D13" localSheetId="1">#REF!</definedName>
    <definedName name="철근직경D13">#REF!</definedName>
    <definedName name="철근직경D16_25" localSheetId="1">#REF!</definedName>
    <definedName name="철근직경D16_25">#REF!</definedName>
    <definedName name="철근직경D29_35" localSheetId="1">#REF!</definedName>
    <definedName name="철근직경D29_35">#REF!</definedName>
    <definedName name="철근집계표" hidden="1">{#N/A,#N/A,FALSE,"단가표지"}</definedName>
    <definedName name="철근항복응력">'[274]#REF'!$G$144</definedName>
    <definedName name="철도__궤도공" localSheetId="1">#REF!</definedName>
    <definedName name="철도__궤도공">#REF!</definedName>
    <definedName name="철도__신호공" localSheetId="1">#REF!</definedName>
    <definedName name="철도__신호공">#REF!</definedName>
    <definedName name="철선8">[149]단가!$A$11</definedName>
    <definedName name="철판공" localSheetId="1">#REF!</definedName>
    <definedName name="철판공">#REF!</definedName>
    <definedName name="청단">[93]단가!$A$122</definedName>
    <definedName name="청단풍">#REF!</definedName>
    <definedName name="청마총괄">[287]직노!#REF!</definedName>
    <definedName name="초_고_압_펌_프">[95]장비집계!#REF!</definedName>
    <definedName name="촛불" hidden="1">{#N/A,#N/A,FALSE,"배수2"}</definedName>
    <definedName name="총_원_가">[288]손익분석!#REF!</definedName>
    <definedName name="총계">#REF!</definedName>
    <definedName name="총공사비" localSheetId="1" hidden="1">{#N/A,#N/A,FALSE,"전력간선"}</definedName>
    <definedName name="총공사비">{#N/A,#N/A,FALSE,"전력간선"}</definedName>
    <definedName name="총공사비후">[144]총괄내역서!#REF!</definedName>
    <definedName name="총괄" hidden="1">{#N/A,#N/A,TRUE,"총괄"}</definedName>
    <definedName name="총괄횡배수현황" localSheetId="3">BlankMacro1</definedName>
    <definedName name="총괄횡배수현황" localSheetId="1">BlankMacro1</definedName>
    <definedName name="총괄횡배수현황">BlankMacro1</definedName>
    <definedName name="총괄횡배수현황1" localSheetId="3">BlankMacro1</definedName>
    <definedName name="총괄횡배수현황1" localSheetId="1">BlankMacro1</definedName>
    <definedName name="총괄횡배수현황1">BlankMacro1</definedName>
    <definedName name="총괄횡배수현황2" localSheetId="3">BlankMacro1</definedName>
    <definedName name="총괄횡배수현황2" localSheetId="1">BlankMacro1</definedName>
    <definedName name="총괄횡배수현황2">BlankMacro1</definedName>
    <definedName name="총원가">#REF!</definedName>
    <definedName name="총원가2">#REF!</definedName>
    <definedName name="최인서" hidden="1">{#N/A,#N/A,FALSE,"부대2"}</definedName>
    <definedName name="최정근" hidden="1">{#N/A,#N/A,FALSE,"속도"}</definedName>
    <definedName name="최진실" hidden="1">{#N/A,#N/A,FALSE,"구조1"}</definedName>
    <definedName name="충격" localSheetId="1">#REF!</definedName>
    <definedName name="충격">#REF!</definedName>
    <definedName name="취소" hidden="1">{#N/A,#N/A,FALSE,"구조1"}</definedName>
    <definedName name="측________부" localSheetId="1">#REF!</definedName>
    <definedName name="측________부">#REF!</definedName>
    <definedName name="측구공" localSheetId="3">BlankMacro1</definedName>
    <definedName name="측구공" localSheetId="1">BlankMacro1</definedName>
    <definedName name="측구공">BlankMacro1</definedName>
    <definedName name="층층">[93]단가!$A$123</definedName>
    <definedName name="치장__벽돌공" localSheetId="1">#REF!</definedName>
    <definedName name="치장__벽돌공">#REF!</definedName>
    <definedName name="치장벽돌공">'[175]99노임기준'!#REF!</definedName>
    <definedName name="치즐">[290]자재단가!$E$194</definedName>
    <definedName name="치환" hidden="1">{#N/A,#N/A,FALSE,"구조1"}</definedName>
    <definedName name="ㅋ">#REF!</definedName>
    <definedName name="ㅋ248" localSheetId="1">#REF!</definedName>
    <definedName name="ㅋ248">#REF!</definedName>
    <definedName name="ㅋㅋ" hidden="1">{#N/A,#N/A,FALSE,"조골재"}</definedName>
    <definedName name="ㅋㅋㅋ" localSheetId="3">BlankMacro1</definedName>
    <definedName name="ㅋㅋㅋ" localSheetId="1">BlankMacro1</definedName>
    <definedName name="ㅋㅋㅋ">BlankMacro1</definedName>
    <definedName name="카" localSheetId="1">#REF!</definedName>
    <definedName name="카">#REF!</definedName>
    <definedName name="칼라샌드블록수량" localSheetId="1">#REF!</definedName>
    <definedName name="칼라샌드블록수량">#REF!</definedName>
    <definedName name="캡스" hidden="1">{#N/A,#N/A,FALSE,"구조2"}</definedName>
    <definedName name="켤" hidden="1">{#N/A,#N/A,FALSE,"구조1"}</definedName>
    <definedName name="코___킹___공" localSheetId="1">#REF!</definedName>
    <definedName name="코___킹___공">#REF!</definedName>
    <definedName name="코드">#REF!</definedName>
    <definedName name="코드표">#REF!</definedName>
    <definedName name="코핑B" localSheetId="1">#REF!</definedName>
    <definedName name="코핑B">#REF!</definedName>
    <definedName name="코핑길이" localSheetId="1">#REF!</definedName>
    <definedName name="코핑길이">#REF!</definedName>
    <definedName name="코핑높이" localSheetId="1">#REF!</definedName>
    <definedName name="코핑높이">#REF!</definedName>
    <definedName name="콘공">'[292](C)원내역'!$E$4:$L$233,'[292](C)원내역'!$K$234:$K$261,'[292](C)원내역'!$I$252:$J$255,'[292](C)원내역'!$E$276:$K$338</definedName>
    <definedName name="콘노">#REF!</definedName>
    <definedName name="콘재">#REF!</definedName>
    <definedName name="콘크">#REF!</definedName>
    <definedName name="콘크리트" localSheetId="1">#REF!</definedName>
    <definedName name="콘크리트">#REF!</definedName>
    <definedName name="콘크리트__공" localSheetId="1">#REF!</definedName>
    <definedName name="콘크리트__공">#REF!</definedName>
    <definedName name="콘크리트_구입" localSheetId="1">#REF!</definedName>
    <definedName name="콘크리트_구입">#REF!</definedName>
    <definedName name="콘크리트_생산" localSheetId="1">#REF!</definedName>
    <definedName name="콘크리트_생산">#REF!</definedName>
    <definedName name="콘크리트_진동기">[95]장비집계!#REF!</definedName>
    <definedName name="콘크리트_커트">[95]장비집계!#REF!</definedName>
    <definedName name="콘크리트_타설" localSheetId="1">#REF!</definedName>
    <definedName name="콘크리트_타설">#REF!</definedName>
    <definedName name="콘크리트2">#REF!</definedName>
    <definedName name="콘크리트경계석">[93]단가!$A$69</definedName>
    <definedName name="콘크리트공">[294]단가!$A$7</definedName>
    <definedName name="콘크리트공_광의" localSheetId="1">#REF!</definedName>
    <definedName name="콘크리트공_광의">#REF!</definedName>
    <definedName name="콘크리트공칭강도">'[274]#REF'!$G$132</definedName>
    <definedName name="콘크리트타설" localSheetId="3">[157]!일위화면복귀매크로</definedName>
    <definedName name="콘크리트타설">[157]!일위화면복귀매크로</definedName>
    <definedName name="콘포" localSheetId="1">#REF!</definedName>
    <definedName name="콘포">#REF!</definedName>
    <definedName name="콤팩터경비">#REF!</definedName>
    <definedName name="콤팩터노무비">#REF!</definedName>
    <definedName name="콤팩터재료비">#REF!</definedName>
    <definedName name="크____람____셸">[95]장비집계!#REF!</definedName>
    <definedName name="크____레____인">[95]장비집계!#REF!</definedName>
    <definedName name="크_레_인__트럭">[95]장비집계!#REF!</definedName>
    <definedName name="크레인__트럭">[95]장비집계!#REF!</definedName>
    <definedName name="크레인_트럭탑재형">[95]장비집계!#REF!</definedName>
    <definedName name="ㅌ" localSheetId="3">BlankMacro1</definedName>
    <definedName name="ㅌ" localSheetId="1">BlankMacro1</definedName>
    <definedName name="ㅌ">BlankMacro1</definedName>
    <definedName name="ㅌ1">[295]종단계산!#REF!</definedName>
    <definedName name="ㅌ2">[295]종단계산!#REF!</definedName>
    <definedName name="ㅌㅌㅌ" localSheetId="3">BlankMacro1</definedName>
    <definedName name="ㅌㅌㅌ" localSheetId="1">BlankMacro1</definedName>
    <definedName name="ㅌㅌㅌ">BlankMacro1</definedName>
    <definedName name="타" localSheetId="1">#REF!</definedName>
    <definedName name="타">#REF!</definedName>
    <definedName name="타___일___공" localSheetId="1">#REF!</definedName>
    <definedName name="타___일___공">#REF!</definedName>
    <definedName name="타공종">[12]Sheet1!$G$48</definedName>
    <definedName name="타공종이기및이월수량">[12]Sheet1!$G$48</definedName>
    <definedName name="타이어_롤러">[95]장비집계!#REF!</definedName>
    <definedName name="타이어경">#REF!</definedName>
    <definedName name="타이어노무">#REF!</definedName>
    <definedName name="타이어재료">#REF!</definedName>
    <definedName name="타일공">[93]단가!$A$25</definedName>
    <definedName name="탄성고무받침" localSheetId="1">#REF!</definedName>
    <definedName name="탄성고무받침">#REF!</definedName>
    <definedName name="태산목10노무">#REF!</definedName>
    <definedName name="태산목10재료">#REF!</definedName>
    <definedName name="태산목12노무">#REF!</definedName>
    <definedName name="태산목12재료">#REF!</definedName>
    <definedName name="탠덤_로울러">[95]장비집계!#REF!</definedName>
    <definedName name="터파기">#REF!</definedName>
    <definedName name="터파기2">[146]시설물!#REF!</definedName>
    <definedName name="터파기경">[175]일위대가!#REF!</definedName>
    <definedName name="터파기고">#REF!</definedName>
    <definedName name="터파기노">[175]일위대가!#REF!</definedName>
    <definedName name="터파기리핑" localSheetId="1">#REF!</definedName>
    <definedName name="터파기리핑">#REF!</definedName>
    <definedName name="터파기발파암" localSheetId="1">#REF!</definedName>
    <definedName name="터파기발파암">#REF!</definedName>
    <definedName name="터파기재">[175]일위대가!#REF!</definedName>
    <definedName name="터파기토사" localSheetId="1">#REF!</definedName>
    <definedName name="터파기토사">#REF!</definedName>
    <definedName name="테B10">[142]단가결정!$B$420</definedName>
    <definedName name="테B12">[142]단가결정!$B$419</definedName>
    <definedName name="테B20">[142]단가결정!$B$417</definedName>
    <definedName name="테B6">[142]단가결정!$B$423</definedName>
    <definedName name="테B8">[142]단가결정!$B$421</definedName>
    <definedName name="테H1.5">[142]단가결정!$B$398</definedName>
    <definedName name="테H2.0">[142]단가결정!$B$396</definedName>
    <definedName name="테H2.5">[142]단가결정!$B$395</definedName>
    <definedName name="테H3.0">[142]단가결정!$B$394</definedName>
    <definedName name="테H3.5">[142]단가결정!$B$393</definedName>
    <definedName name="테R10">[142]단가결정!$B$407</definedName>
    <definedName name="테R12">[142]단가결정!$B$406</definedName>
    <definedName name="테R15">[142]단가결정!$B$405</definedName>
    <definedName name="테R4">[142]단가결정!$B$412</definedName>
    <definedName name="테R5">[142]단가결정!$B$411</definedName>
    <definedName name="테R6">[142]단가결정!$B$410</definedName>
    <definedName name="테R8">[142]단가결정!$B$408</definedName>
    <definedName name="테관0.4">[142]단가결정!$B$438</definedName>
    <definedName name="테관0.5">[142]단가결정!$B$437</definedName>
    <definedName name="테관0.6">[142]단가결정!$B$436</definedName>
    <definedName name="테관1.0">[142]단가결정!$B$434</definedName>
    <definedName name="테관1.2">[142]단가결정!$B$433</definedName>
    <definedName name="테관1.5">[142]단가결정!$B$431</definedName>
    <definedName name="테관2.0">[142]단가결정!$B$429</definedName>
    <definedName name="테스트">#REF!</definedName>
    <definedName name="테지">[142]단가결정!$B$441</definedName>
    <definedName name="템플리트모듈1" localSheetId="3">BlankMacro1</definedName>
    <definedName name="템플리트모듈1" localSheetId="1">BlankMacro1</definedName>
    <definedName name="템플리트모듈1">BlankMacro1</definedName>
    <definedName name="템플리트모듈2" localSheetId="3">BlankMacro1</definedName>
    <definedName name="템플리트모듈2" localSheetId="1">BlankMacro1</definedName>
    <definedName name="템플리트모듈2">BlankMacro1</definedName>
    <definedName name="템플리트모듈3" localSheetId="3">BlankMacro1</definedName>
    <definedName name="템플리트모듈3" localSheetId="1">BlankMacro1</definedName>
    <definedName name="템플리트모듈3">BlankMacro1</definedName>
    <definedName name="템플리트모듈4" localSheetId="3">BlankMacro1</definedName>
    <definedName name="템플리트모듈4" localSheetId="1">BlankMacro1</definedName>
    <definedName name="템플리트모듈4">BlankMacro1</definedName>
    <definedName name="템플리트모듈5" localSheetId="3">BlankMacro1</definedName>
    <definedName name="템플리트모듈5" localSheetId="1">BlankMacro1</definedName>
    <definedName name="템플리트모듈5">BlankMacro1</definedName>
    <definedName name="템플리트모듈6" localSheetId="3">BlankMacro1</definedName>
    <definedName name="템플리트모듈6" localSheetId="1">BlankMacro1</definedName>
    <definedName name="템플리트모듈6">BlankMacro1</definedName>
    <definedName name="토공">#REF!</definedName>
    <definedName name="토공계획" localSheetId="3">[157]!수식입력매크로</definedName>
    <definedName name="토공계획">[157]!수식입력매크로</definedName>
    <definedName name="토공집계" localSheetId="1">#REF!</definedName>
    <definedName name="토공집계">#REF!</definedName>
    <definedName name="토공추가" localSheetId="1">조경원가계산서!토공추가</definedName>
    <definedName name="토공추가">[319]!토공추가</definedName>
    <definedName name="토목기타공사">[298]포장공사!$A$1:$M$72</definedName>
    <definedName name="토적">#REF!</definedName>
    <definedName name="톱">[146]단가!$A$25</definedName>
    <definedName name="톱밥퇴비">#REF!</definedName>
    <definedName name="통신__기능사" localSheetId="1">#REF!</definedName>
    <definedName name="통신__기능사">#REF!</definedName>
    <definedName name="통신__내선공" localSheetId="1">#REF!</definedName>
    <definedName name="통신__내선공">#REF!</definedName>
    <definedName name="통신__설비공" localSheetId="1">#REF!</definedName>
    <definedName name="통신__설비공">#REF!</definedName>
    <definedName name="통신__외선공" localSheetId="1">#REF!</definedName>
    <definedName name="통신__외선공">#REF!</definedName>
    <definedName name="통신관련산업기사">[300]시중노임단가!$B$12</definedName>
    <definedName name="통신기사_1급" localSheetId="1">#REF!</definedName>
    <definedName name="통신기사_1급">#REF!</definedName>
    <definedName name="통신기사_2급" localSheetId="1">#REF!</definedName>
    <definedName name="통신기사_2급">#REF!</definedName>
    <definedName name="통신설비공">[300]시중노임단가!$B$14</definedName>
    <definedName name="통신케이블공" localSheetId="1">#REF!</definedName>
    <definedName name="통신케이블공">#REF!</definedName>
    <definedName name="통행로" hidden="1">{#N/A,#N/A,FALSE,"포장2"}</definedName>
    <definedName name="투수콘">[93]단가!$A$63</definedName>
    <definedName name="트랜치수량산출">[301]보차도경계석!$AZ$2</definedName>
    <definedName name="트럼" hidden="1">{#N/A,#N/A,FALSE,"구조1"}</definedName>
    <definedName name="트렉트_및_트레일러">[95]장비집계!#REF!</definedName>
    <definedName name="특_별__인_부" localSheetId="1">#REF!</definedName>
    <definedName name="특_별__인_부">#REF!</definedName>
    <definedName name="특_수_화__공" localSheetId="1">#REF!</definedName>
    <definedName name="특_수_화__공">#REF!</definedName>
    <definedName name="특고">#REF!</definedName>
    <definedName name="특고압케이블전공" localSheetId="1">#REF!</definedName>
    <definedName name="특고압케이블전공">#REF!</definedName>
    <definedName name="특급원자력비파괴시험" localSheetId="1">#REF!</definedName>
    <definedName name="특급원자력비파괴시험">#REF!</definedName>
    <definedName name="특별">#REF!</definedName>
    <definedName name="특별인부">[149]단가!$A$21</definedName>
    <definedName name="특수비계공" localSheetId="1">#REF!</definedName>
    <definedName name="특수비계공">#REF!</definedName>
    <definedName name="ㅍ">[75]부하계산서!#REF!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파">'[302]인건-측정'!#REF!</definedName>
    <definedName name="파고라노">#REF!</definedName>
    <definedName name="파고라재">#REF!</definedName>
    <definedName name="파이프펜던트">[79]DATA!$E$17:$F$26</definedName>
    <definedName name="파일" hidden="1">#REF!</definedName>
    <definedName name="판넬__조립공" localSheetId="1">#REF!</definedName>
    <definedName name="판넬__조립공">#REF!</definedName>
    <definedName name="판석노">#REF!</definedName>
    <definedName name="판석재">#REF!</definedName>
    <definedName name="팽">[93]단가!$A$125</definedName>
    <definedName name="페이브먼트_브레카">[95]장비집계!#REF!</definedName>
    <definedName name="평균" hidden="1">{#N/A,#N/A,FALSE,"속도"}</definedName>
    <definedName name="평균터파기고" localSheetId="3">BlankMacro1</definedName>
    <definedName name="평균터파기고" localSheetId="1">BlankMacro1</definedName>
    <definedName name="평균터파기고">BlankMacro1</definedName>
    <definedName name="평의자">#REF!</definedName>
    <definedName name="평의자노">#REF!</definedName>
    <definedName name="평의자재">#REF!</definedName>
    <definedName name="평화" hidden="1">{#N/A,#N/A,FALSE,"토공2"}</definedName>
    <definedName name="폐기물수량산출서">#REF!</definedName>
    <definedName name="폐기물처리비">[144]총괄내역서!#REF!</definedName>
    <definedName name="폐추니아">#REF!</definedName>
    <definedName name="포" localSheetId="3">BlankMacro1</definedName>
    <definedName name="포" localSheetId="1">BlankMacro1</definedName>
    <definedName name="포">BlankMacro1</definedName>
    <definedName name="포___설___공" localSheetId="1">#REF!</definedName>
    <definedName name="포___설___공">#REF!</definedName>
    <definedName name="포___장___공" localSheetId="1">#REF!</definedName>
    <definedName name="포___장___공">#REF!</definedName>
    <definedName name="포르노" hidden="1">{#N/A,#N/A,FALSE,"속도"}</definedName>
    <definedName name="포장">#REF!</definedName>
    <definedName name="포장공">[93]단가!$A$28</definedName>
    <definedName name="포장공수량집계표" localSheetId="1">#REF!</definedName>
    <definedName name="포장공수량집계표">#REF!</definedName>
    <definedName name="포장수량">#REF!</definedName>
    <definedName name="포장집계2">#REF!</definedName>
    <definedName name="포천석노">[146]시설물!#REF!</definedName>
    <definedName name="포천석재">[146]시설물!#REF!</definedName>
    <definedName name="폭" localSheetId="1">#REF!</definedName>
    <definedName name="폭">#REF!</definedName>
    <definedName name="표">#REF!</definedName>
    <definedName name="표면보호경비">#REF!</definedName>
    <definedName name="표면보호노무비">#REF!</definedName>
    <definedName name="표면보호재료비">#REF!</definedName>
    <definedName name="표지">#REF!</definedName>
    <definedName name="표지001">#N/A</definedName>
    <definedName name="표지01">#N/A</definedName>
    <definedName name="표지1">#REF!</definedName>
    <definedName name="표지2">#REF!</definedName>
    <definedName name="표지3">#REF!</definedName>
    <definedName name="표지병설치" localSheetId="3">BlankMacro1</definedName>
    <definedName name="표지병설치" localSheetId="1">BlankMacro1</definedName>
    <definedName name="표지병설치">BlankMacro1</definedName>
    <definedName name="품셈공종">[308]품셈TABLE!$C$2:$C$50</definedName>
    <definedName name="품셈단가">[308]품셈TABLE!$D$2:$D$50</definedName>
    <definedName name="품위내역서" localSheetId="3">BlankMacro1</definedName>
    <definedName name="품위내역서" localSheetId="1">BlankMacro1</definedName>
    <definedName name="품위내역서">BlankMacro1</definedName>
    <definedName name="풍하중모멘트" localSheetId="1">#REF!</definedName>
    <definedName name="풍하중모멘트">#REF!</definedName>
    <definedName name="프" hidden="1">{#N/A,#N/A,FALSE,"포장2"}</definedName>
    <definedName name="프랑스" hidden="1">{#N/A,#N/A,FALSE,"구조2"}</definedName>
    <definedName name="프러스펜" hidden="1">{#N/A,#N/A,FALSE,"포장2"}</definedName>
    <definedName name="플라타너스B8">[64]데이타!$E$552</definedName>
    <definedName name="플랜트__전공" localSheetId="1">#REF!</definedName>
    <definedName name="플랜트__전공">#REF!</definedName>
    <definedName name="플랜트기계설치공" localSheetId="1">#REF!</definedName>
    <definedName name="플랜트기계설치공">#REF!</definedName>
    <definedName name="플랜트배관공" localSheetId="1">#REF!</definedName>
    <definedName name="플랜트배관공">#REF!</definedName>
    <definedName name="플랜트용접공" localSheetId="1">#REF!</definedName>
    <definedName name="플랜트용접공">#REF!</definedName>
    <definedName name="플랜트제관공" localSheetId="1">#REF!</definedName>
    <definedName name="플랜트제관공">#REF!</definedName>
    <definedName name="플랜트특수용접공" localSheetId="1">#REF!</definedName>
    <definedName name="플랜트특수용접공">#REF!</definedName>
    <definedName name="핑" localSheetId="1">#REF!</definedName>
    <definedName name="핑">#REF!</definedName>
    <definedName name="ㅎ">'[90]부하(성남)'!#REF!</definedName>
    <definedName name="ㅎ1">#REF!</definedName>
    <definedName name="ㅎ314">#REF!</definedName>
    <definedName name="ㅎ384">#REF!</definedName>
    <definedName name="ㅎ48" localSheetId="1">#REF!</definedName>
    <definedName name="ㅎ48">#REF!</definedName>
    <definedName name="ㅎ5" hidden="1">{#N/A,#N/A,FALSE,"골재소요량";#N/A,#N/A,FALSE,"골재소요량"}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ㅎ">#REF!</definedName>
    <definedName name="ㅎㅎㅎㅎ">#REF!</definedName>
    <definedName name="ㅎㅎㅎㅎㅎㅎ">#REF!</definedName>
    <definedName name="ㅎㅎㅎㅎㅎㅎㅎㅎㅎㅎㅎㅎㅎ">#REF!</definedName>
    <definedName name="하" localSheetId="1">#REF!</definedName>
    <definedName name="하">#REF!</definedName>
    <definedName name="하1" localSheetId="1">#REF!</definedName>
    <definedName name="하1">#REF!</definedName>
    <definedName name="하늘" localSheetId="1" hidden="1">{#N/A,#N/A,FALSE,"전력간선"}</definedName>
    <definedName name="하늘">{#N/A,#N/A,FALSE,"전력간선"}</definedName>
    <definedName name="학산P2" localSheetId="3">BlankMacro1</definedName>
    <definedName name="학산P2" localSheetId="1">BlankMacro1</definedName>
    <definedName name="학산P2">BlankMacro1</definedName>
    <definedName name="한" localSheetId="3">BlankMacro1</definedName>
    <definedName name="한" localSheetId="1">BlankMacro1</definedName>
    <definedName name="한">BlankMacro1</definedName>
    <definedName name="한_식__목_공" localSheetId="1">#REF!</definedName>
    <definedName name="한_식__목_공">#REF!</definedName>
    <definedName name="한_식__와_공" localSheetId="1">#REF!</definedName>
    <definedName name="한_식__와_공">#REF!</definedName>
    <definedName name="한국" hidden="1">{#N/A,#N/A,FALSE,"배수2"}</definedName>
    <definedName name="한글노무비">#REF!</definedName>
    <definedName name="한라구절초">#REF!</definedName>
    <definedName name="한식__미장공" localSheetId="1">#REF!</definedName>
    <definedName name="한식__미장공">#REF!</definedName>
    <definedName name="한식목공조공" localSheetId="1">#REF!</definedName>
    <definedName name="한식목공조공">#REF!</definedName>
    <definedName name="한식와공조공" localSheetId="1">#REF!</definedName>
    <definedName name="한식와공조공">#REF!</definedName>
    <definedName name="한체대1" localSheetId="1" hidden="1">{#N/A,#N/A,TRUE,"1";#N/A,#N/A,TRUE,"2";#N/A,#N/A,TRUE,"3";#N/A,#N/A,TRUE,"4";#N/A,#N/A,TRUE,"5";#N/A,#N/A,TRUE,"6";#N/A,#N/A,TRUE,"7"}</definedName>
    <definedName name="한체대1">{#N/A,#N/A,TRUE,"1";#N/A,#N/A,TRUE,"2";#N/A,#N/A,TRUE,"3";#N/A,#N/A,TRUE,"4";#N/A,#N/A,TRUE,"5";#N/A,#N/A,TRUE,"6";#N/A,#N/A,TRUE,"7"}</definedName>
    <definedName name="할" localSheetId="1">#REF!</definedName>
    <definedName name="할">#REF!</definedName>
    <definedName name="할___석___공" localSheetId="1">#REF!</definedName>
    <definedName name="할___석___공">#REF!</definedName>
    <definedName name="할증수량" localSheetId="1">#REF!</definedName>
    <definedName name="할증수량">#REF!</definedName>
    <definedName name="함___석___공" localSheetId="1">#REF!</definedName>
    <definedName name="함___석___공">#REF!</definedName>
    <definedName name="합계">#REF!</definedName>
    <definedName name="합판">[93]단가!$A$9</definedName>
    <definedName name="합판3">[93]단가!$A$17</definedName>
    <definedName name="합판3노">[146]시설물!#REF!</definedName>
    <definedName name="합판3재">[146]시설물!#REF!</definedName>
    <definedName name="합판노">#REF!</definedName>
    <definedName name="합판재">#REF!</definedName>
    <definedName name="항타길이_경사" localSheetId="1">#REF!</definedName>
    <definedName name="항타길이_경사">#REF!</definedName>
    <definedName name="항타길이_수직" localSheetId="1">#REF!</definedName>
    <definedName name="항타길이_수직">#REF!</definedName>
    <definedName name="해" localSheetId="3">BlankMacro1</definedName>
    <definedName name="해" localSheetId="1">BlankMacro1</definedName>
    <definedName name="해">BlankMacro1</definedName>
    <definedName name="해당화">#REF!</definedName>
    <definedName name="해룡" localSheetId="3">BlankMacro1</definedName>
    <definedName name="해룡" localSheetId="1">BlankMacro1</definedName>
    <definedName name="해룡">BlankMacro1</definedName>
    <definedName name="해송">[93]단가!$A$99</definedName>
    <definedName name="해송1.2">[93]단가!$A$100</definedName>
    <definedName name="해창철콘" localSheetId="1">조경원가계산서!해창철콘</definedName>
    <definedName name="해창철콘">[319]!해창철콘</definedName>
    <definedName name="행창토건" localSheetId="1">조경원가계산서!행창토건</definedName>
    <definedName name="행창토건">[319]!행창토건</definedName>
    <definedName name="허용응력" localSheetId="1">#REF!</definedName>
    <definedName name="허용응력">#REF!</definedName>
    <definedName name="허용응력계수" localSheetId="1">#REF!</definedName>
    <definedName name="허용응력계수">#REF!</definedName>
    <definedName name="허용응력증가계수" localSheetId="1">#REF!</definedName>
    <definedName name="허용응력증가계수">#REF!</definedName>
    <definedName name="허용전류" localSheetId="1">#REF!</definedName>
    <definedName name="허용전류">#REF!</definedName>
    <definedName name="헌치1" localSheetId="1">#REF!</definedName>
    <definedName name="헌치1">#REF!</definedName>
    <definedName name="헌치2" localSheetId="1">#REF!</definedName>
    <definedName name="헌치2">#REF!</definedName>
    <definedName name="현___도___사" localSheetId="1">#REF!</definedName>
    <definedName name="현___도___사">#REF!</definedName>
    <definedName name="현장정리">[146]시설물!#REF!</definedName>
    <definedName name="현중" hidden="1">{#N/A,#N/A,FALSE,"부대2"}</definedName>
    <definedName name="현천기자재비">#REF!</definedName>
    <definedName name="형상">[109]간지!$D$24:$D$85</definedName>
    <definedName name="형상1">[110]DATE!$D$24:$D$85</definedName>
    <definedName name="형상11">[110]DATE!$D$24:$D$85</definedName>
    <definedName name="형상2">[110]DATE!$D$24:$D$85</definedName>
    <definedName name="형틀">#REF!</definedName>
    <definedName name="형틀목공" localSheetId="1">#REF!</definedName>
    <definedName name="형틀목공">#REF!</definedName>
    <definedName name="호박" hidden="1">{#N/A,#N/A,FALSE,"구조2"}</definedName>
    <definedName name="호박노">#REF!</definedName>
    <definedName name="호박재">#REF!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홈통" hidden="1">{#N/A,#N/A,FALSE,"배수2"}</definedName>
    <definedName name="홈통받이수량" localSheetId="1">#REF!</definedName>
    <definedName name="홈통받이수량">#REF!</definedName>
    <definedName name="홍단">[93]단가!$A$126</definedName>
    <definedName name="홍단풍">#REF!</definedName>
    <definedName name="화________공" localSheetId="1">#REF!</definedName>
    <definedName name="화________공">#REF!</definedName>
    <definedName name="화강석경계석">[149]단가!$A$68</definedName>
    <definedName name="화강석트랜치">[152]기초목록!$D$4:$O$56</definedName>
    <definedName name="화살">[93]단가!$A$157</definedName>
    <definedName name="화약__취급공" localSheetId="1">#REF!</definedName>
    <definedName name="화약__취급공">#REF!</definedName>
    <definedName name="확">#REF!</definedName>
    <definedName name="환">#REF!</definedName>
    <definedName name="환율">#REF!</definedName>
    <definedName name="활하중재하시풍하중" localSheetId="1">#REF!</definedName>
    <definedName name="활하중재하시풍하중">#REF!</definedName>
    <definedName name="황매화">[149]단가!$A$156</definedName>
    <definedName name="회양목">[149]단가!$A$137</definedName>
    <definedName name="회화">[93]단가!$A$127</definedName>
    <definedName name="횡면벽2" localSheetId="3">BlankMacro1</definedName>
    <definedName name="횡면벽2" localSheetId="1">BlankMacro1</definedName>
    <definedName name="횡면벽2">BlankMacro1</definedName>
    <definedName name="횡배수관집계본선" localSheetId="3">BlankMacro1</definedName>
    <definedName name="횡배수관집계본선" localSheetId="1">BlankMacro1</definedName>
    <definedName name="횡배수관집계본선">BlankMacro1</definedName>
    <definedName name="횡현황본선" localSheetId="3">BlankMacro1</definedName>
    <definedName name="횡현황본선" localSheetId="1">BlankMacro1</definedName>
    <definedName name="횡현황본선">BlankMacro1</definedName>
    <definedName name="횡현황부체" localSheetId="3">BlankMacro1</definedName>
    <definedName name="횡현황부체" localSheetId="1">BlankMacro1</definedName>
    <definedName name="횡현황부체">BlankMacro1</definedName>
    <definedName name="휘발유">[93]단가!$A$159</definedName>
    <definedName name="히말라야시다6노무">#REF!</definedName>
    <definedName name="히말라야시다6재료">#REF!</definedName>
    <definedName name="히말라야시다8노무">#REF!</definedName>
    <definedName name="히말라야시다8재료">#REF!</definedName>
    <definedName name="ㅏ">[313]인건비!#REF!</definedName>
    <definedName name="ㅏㅏ" localSheetId="1">#REF!</definedName>
    <definedName name="ㅏㅏ">#REF!</definedName>
    <definedName name="ㅏㅏㅏ" localSheetId="1">#REF!</definedName>
    <definedName name="ㅏㅏㅏ">#REF!</definedName>
    <definedName name="ㅏㅏㅏㅏ" localSheetId="1">#REF!</definedName>
    <definedName name="ㅏㅏㅏㅏ">#REF!</definedName>
    <definedName name="ㅏㅐ">#REF!</definedName>
    <definedName name="ㅏㅡ">[40]내역서!#REF!</definedName>
    <definedName name="ㅐ">[75]부하계산서!#REF!</definedName>
    <definedName name="ㅑ">[75]부하계산서!#REF!</definedName>
    <definedName name="ㅑ1262" localSheetId="1">#REF!</definedName>
    <definedName name="ㅑ1262">#REF!</definedName>
    <definedName name="ㅓ">'[90]부하(성남)'!#REF!</definedName>
    <definedName name="ㅓ102" localSheetId="1">#REF!</definedName>
    <definedName name="ㅓ102">#REF!</definedName>
    <definedName name="ㅓ7" hidden="1">{#N/A,#N/A,FALSE,"단가표지"}</definedName>
    <definedName name="ㅓ8" localSheetId="1">#REF!</definedName>
    <definedName name="ㅓ8">#REF!</definedName>
    <definedName name="ㅓㄱ" hidden="1">{#N/A,#N/A,FALSE,"포장2"}</definedName>
    <definedName name="ㅓㄱㅅ" hidden="1">{#N/A,#N/A,FALSE,"구조2"}</definedName>
    <definedName name="ㅓㄴㅇ러" hidden="1">{#N/A,#N/A,FALSE,"골재소요량";#N/A,#N/A,FALSE,"골재소요량"}</definedName>
    <definedName name="ㅓㅏ">[101]내역서!#REF!</definedName>
    <definedName name="ㅓㅓㅓ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ㅓㅕ">#REF!</definedName>
    <definedName name="ㅓㅗ">[40]내역서!#REF!</definedName>
    <definedName name="ㅓㅗㅓ">'[72]인건-측정'!#REF!</definedName>
    <definedName name="ㅓㅛ서" hidden="1">{#N/A,#N/A,FALSE,"배수2"}</definedName>
    <definedName name="ㅕ">[75]부하계산서!#REF!</definedName>
    <definedName name="ㅗ315">[315]신우!#REF!</definedName>
    <definedName name="ㅗ415" localSheetId="1">#REF!</definedName>
    <definedName name="ㅗ415">#REF!</definedName>
    <definedName name="ㅗ461" localSheetId="1">#REF!</definedName>
    <definedName name="ㅗ461">#REF!</definedName>
    <definedName name="ㅗㄱ솓" hidden="1">{#N/A,#N/A,FALSE,"구조1"}</definedName>
    <definedName name="ㅗㄳ" hidden="1">{#N/A,#N/A,FALSE,"포장1";#N/A,#N/A,FALSE,"포장1"}</definedName>
    <definedName name="ㅗ노" hidden="1">{#N/A,#N/A,FALSE,"구조2"}</definedName>
    <definedName name="ㅗㄹ노" hidden="1">{#N/A,#N/A,FALSE,"구조1"}</definedName>
    <definedName name="ㅗㄹㅇ" localSheetId="1">조경원가계산서!ㅗㄹㅇ</definedName>
    <definedName name="ㅗㄹㅇ">[319]!ㅗㄹㅇ</definedName>
    <definedName name="ㅗㅅㄱ" hidden="1">{#N/A,#N/A,FALSE,"속도"}</definedName>
    <definedName name="ㅗㅓ">#REF!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ㅛ" localSheetId="3">BlankMacro1</definedName>
    <definedName name="ㅛ" localSheetId="1">BlankMacro1</definedName>
    <definedName name="ㅛ">BlankMacro1</definedName>
    <definedName name="ㅛ서" hidden="1">{#N/A,#N/A,FALSE,"배수2"}</definedName>
    <definedName name="ㅜ">[75]부하계산서!#REF!</definedName>
    <definedName name="ㅜ1" localSheetId="1">#REF!</definedName>
    <definedName name="ㅜ1">#REF!</definedName>
    <definedName name="ㅜㅜ">#REF!</definedName>
    <definedName name="ㅜㅠ">[69]내역서!#REF!</definedName>
    <definedName name="ㅠ">[75]부하계산서!#REF!</definedName>
    <definedName name="ㅠ121" localSheetId="1">#REF!</definedName>
    <definedName name="ㅠ121">#REF!</definedName>
    <definedName name="ㅠ239" localSheetId="1">#REF!</definedName>
    <definedName name="ㅠ239">#REF!</definedName>
    <definedName name="ㅠ뮤ㅐ" localSheetId="1" hidden="1">#REF!</definedName>
    <definedName name="ㅠ뮤ㅐ">#REF!</definedName>
    <definedName name="ㅠㅇㄹ" hidden="1">{#N/A,#N/A,FALSE,"배수2"}</definedName>
    <definedName name="ㅠㅇ로" hidden="1">{#N/A,#N/A,FALSE,"부대1"}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ㅠ" localSheetId="1" hidden="1">{#N/A,#N/A,FALSE,"2~8번"}</definedName>
    <definedName name="ㅠㅠ">{#N/A,#N/A,FALSE,"2~8번"}</definedName>
    <definedName name="ㅡ">[75]부하계산서!#REF!</definedName>
    <definedName name="ㅣ">'[90]부하(성남)'!#REF!</definedName>
    <definedName name="ㅣ1" localSheetId="1">#REF!</definedName>
    <definedName name="ㅣ1">#REF!</definedName>
    <definedName name="ㅣ16">#REF!</definedName>
    <definedName name="ㅣ35" localSheetId="1">#REF!</definedName>
    <definedName name="ㅣ35">#REF!</definedName>
    <definedName name="ㅣ니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ㅣ마" localSheetId="1">#REF!</definedName>
    <definedName name="ㅣ마">#REF!</definedName>
    <definedName name="ㅣㅏㅓ" hidden="1">{#N/A,#N/A,FALSE,"운반시간"}</definedName>
    <definedName name="ㅣㅣ">[40]내역서!#REF!</definedName>
    <definedName name="ㅣㅣㅣㅣ" hidden="1">[252]조명시설!#REF!</definedName>
    <definedName name="ㅣㅣㅣㅣㅣ" hidden="1">[252]조명시설!#REF!</definedName>
    <definedName name="ㅣㅣㅣㅣㅣㅣ" hidden="1">[252]조명시설!#REF!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9" i="15" l="1"/>
  <c r="P92" i="16"/>
  <c r="P93" i="16"/>
  <c r="P94" i="16"/>
  <c r="P95" i="16"/>
  <c r="P96" i="16"/>
  <c r="P97" i="16"/>
  <c r="P98" i="16"/>
  <c r="P99" i="16"/>
  <c r="P91" i="16"/>
  <c r="G21" i="15"/>
  <c r="M23" i="15"/>
  <c r="O26" i="16"/>
  <c r="P26" i="16"/>
  <c r="S26" i="16"/>
  <c r="T26" i="16"/>
  <c r="U26" i="16"/>
  <c r="V26" i="16"/>
  <c r="AA26" i="16"/>
  <c r="BV26" i="16"/>
  <c r="O27" i="16"/>
  <c r="P27" i="16"/>
  <c r="S27" i="16"/>
  <c r="AA27" i="16"/>
  <c r="BV27" i="16"/>
  <c r="E29" i="16"/>
  <c r="AA29" i="16"/>
  <c r="F29" i="16"/>
  <c r="O29" i="16"/>
  <c r="P29" i="16"/>
  <c r="V29" i="16"/>
  <c r="U29" i="16"/>
  <c r="BV29" i="16"/>
  <c r="E31" i="16"/>
  <c r="AA31" i="16"/>
  <c r="L31" i="16"/>
  <c r="F31" i="16"/>
  <c r="O31" i="16"/>
  <c r="P31" i="16"/>
  <c r="BV31" i="16"/>
  <c r="P254" i="16"/>
  <c r="V254" i="16"/>
  <c r="P53" i="16"/>
  <c r="S53" i="16"/>
  <c r="P54" i="16"/>
  <c r="P55" i="16"/>
  <c r="U55" i="16"/>
  <c r="T55" i="16"/>
  <c r="P56" i="16"/>
  <c r="S56" i="16"/>
  <c r="V56" i="16"/>
  <c r="P57" i="16"/>
  <c r="T57" i="16"/>
  <c r="P58" i="16"/>
  <c r="T58" i="16"/>
  <c r="V58" i="16"/>
  <c r="P59" i="16"/>
  <c r="P60" i="16"/>
  <c r="U60" i="16"/>
  <c r="P61" i="16"/>
  <c r="V61" i="16"/>
  <c r="P62" i="16"/>
  <c r="P63" i="16"/>
  <c r="P64" i="16"/>
  <c r="T64" i="16"/>
  <c r="P65" i="16"/>
  <c r="V65" i="16"/>
  <c r="U65" i="16"/>
  <c r="P66" i="16"/>
  <c r="S66" i="16"/>
  <c r="V66" i="16"/>
  <c r="P67" i="16"/>
  <c r="P68" i="16"/>
  <c r="U68" i="16"/>
  <c r="V68" i="16"/>
  <c r="P69" i="16"/>
  <c r="U69" i="16"/>
  <c r="P70" i="16"/>
  <c r="S70" i="16"/>
  <c r="P71" i="16"/>
  <c r="P72" i="16"/>
  <c r="P73" i="16"/>
  <c r="T73" i="16"/>
  <c r="V73" i="16"/>
  <c r="P74" i="16"/>
  <c r="P75" i="16"/>
  <c r="V75" i="16"/>
  <c r="P76" i="16"/>
  <c r="P77" i="16"/>
  <c r="P78" i="16"/>
  <c r="V78" i="16"/>
  <c r="P79" i="16"/>
  <c r="P80" i="16"/>
  <c r="T80" i="16"/>
  <c r="P81" i="16"/>
  <c r="U81" i="16"/>
  <c r="P82" i="16"/>
  <c r="P83" i="16"/>
  <c r="S83" i="16"/>
  <c r="P84" i="16"/>
  <c r="V84" i="16"/>
  <c r="S84" i="16"/>
  <c r="P85" i="16"/>
  <c r="S85" i="16"/>
  <c r="P86" i="16"/>
  <c r="P87" i="16"/>
  <c r="P88" i="16"/>
  <c r="V88" i="16"/>
  <c r="P89" i="16"/>
  <c r="T89" i="16"/>
  <c r="P90" i="16"/>
  <c r="V90" i="16"/>
  <c r="P52" i="16"/>
  <c r="P48" i="16"/>
  <c r="S48" i="16"/>
  <c r="P47" i="16"/>
  <c r="P42" i="16"/>
  <c r="V42" i="16"/>
  <c r="P43" i="16"/>
  <c r="T43" i="16"/>
  <c r="V43" i="16"/>
  <c r="P44" i="16"/>
  <c r="T44" i="16"/>
  <c r="P45" i="16"/>
  <c r="P41" i="16"/>
  <c r="U41" i="16"/>
  <c r="P17" i="16"/>
  <c r="P18" i="16"/>
  <c r="V18" i="16"/>
  <c r="S18" i="16"/>
  <c r="U18" i="16"/>
  <c r="P19" i="16"/>
  <c r="P20" i="16"/>
  <c r="P21" i="16"/>
  <c r="P22" i="16"/>
  <c r="U22" i="16"/>
  <c r="P23" i="16"/>
  <c r="V23" i="16"/>
  <c r="S23" i="16"/>
  <c r="P24" i="16"/>
  <c r="U24" i="16"/>
  <c r="S24" i="16"/>
  <c r="P25" i="16"/>
  <c r="U25" i="16"/>
  <c r="V25" i="16"/>
  <c r="P28" i="16"/>
  <c r="P30" i="16"/>
  <c r="V30" i="16"/>
  <c r="P32" i="16"/>
  <c r="P33" i="16"/>
  <c r="U33" i="16"/>
  <c r="P34" i="16"/>
  <c r="P35" i="16"/>
  <c r="T35" i="16"/>
  <c r="P36" i="16"/>
  <c r="T36" i="16"/>
  <c r="P37" i="16"/>
  <c r="U37" i="16"/>
  <c r="P16" i="16"/>
  <c r="D32" i="15"/>
  <c r="D30" i="15"/>
  <c r="D28" i="15"/>
  <c r="D26" i="15"/>
  <c r="D25" i="15"/>
  <c r="D11" i="15"/>
  <c r="D8" i="15"/>
  <c r="H12" i="29"/>
  <c r="D12" i="29"/>
  <c r="H11" i="29"/>
  <c r="D11" i="29"/>
  <c r="I12" i="15"/>
  <c r="I7" i="15"/>
  <c r="J7" i="15"/>
  <c r="I6" i="15"/>
  <c r="J6" i="15"/>
  <c r="J12" i="15"/>
  <c r="H12" i="15"/>
  <c r="H7" i="15"/>
  <c r="H6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N9" i="16"/>
  <c r="V353" i="16"/>
  <c r="V352" i="16"/>
  <c r="V351" i="16"/>
  <c r="V350" i="16"/>
  <c r="V349" i="16"/>
  <c r="V348" i="16"/>
  <c r="V347" i="16"/>
  <c r="V346" i="16"/>
  <c r="V345" i="16"/>
  <c r="V344" i="16"/>
  <c r="V343" i="16"/>
  <c r="V342" i="16"/>
  <c r="V341" i="16"/>
  <c r="V340" i="16"/>
  <c r="V339" i="16"/>
  <c r="V338" i="16"/>
  <c r="V337" i="16"/>
  <c r="V336" i="16"/>
  <c r="V335" i="16"/>
  <c r="V334" i="16"/>
  <c r="V333" i="16"/>
  <c r="V332" i="16"/>
  <c r="V331" i="16"/>
  <c r="V330" i="16"/>
  <c r="V329" i="16"/>
  <c r="V328" i="16"/>
  <c r="V327" i="16"/>
  <c r="V326" i="16"/>
  <c r="V325" i="16"/>
  <c r="V324" i="16"/>
  <c r="V323" i="16"/>
  <c r="V322" i="16"/>
  <c r="V321" i="16"/>
  <c r="V320" i="16"/>
  <c r="V319" i="16"/>
  <c r="V318" i="16"/>
  <c r="V317" i="16"/>
  <c r="V316" i="16"/>
  <c r="V315" i="16"/>
  <c r="V314" i="16"/>
  <c r="V313" i="16"/>
  <c r="V312" i="16"/>
  <c r="V311" i="16"/>
  <c r="V310" i="16"/>
  <c r="V309" i="16"/>
  <c r="V308" i="16"/>
  <c r="V307" i="16"/>
  <c r="V306" i="16"/>
  <c r="V305" i="16"/>
  <c r="V304" i="16"/>
  <c r="V303" i="16"/>
  <c r="V302" i="16"/>
  <c r="V301" i="16"/>
  <c r="V300" i="16"/>
  <c r="V299" i="16"/>
  <c r="V298" i="16"/>
  <c r="V297" i="16"/>
  <c r="V296" i="16"/>
  <c r="V295" i="16"/>
  <c r="V294" i="16"/>
  <c r="V293" i="16"/>
  <c r="V292" i="16"/>
  <c r="V291" i="16"/>
  <c r="V290" i="16"/>
  <c r="V289" i="16"/>
  <c r="V288" i="16"/>
  <c r="V287" i="16"/>
  <c r="V286" i="16"/>
  <c r="V285" i="16"/>
  <c r="V284" i="16"/>
  <c r="V283" i="16"/>
  <c r="V282" i="16"/>
  <c r="V281" i="16"/>
  <c r="V280" i="16"/>
  <c r="V279" i="16"/>
  <c r="V278" i="16"/>
  <c r="V277" i="16"/>
  <c r="V276" i="16"/>
  <c r="V275" i="16"/>
  <c r="V274" i="16"/>
  <c r="V273" i="16"/>
  <c r="V272" i="16"/>
  <c r="V271" i="16"/>
  <c r="V270" i="16"/>
  <c r="V269" i="16"/>
  <c r="V268" i="16"/>
  <c r="V267" i="16"/>
  <c r="V266" i="16"/>
  <c r="V265" i="16"/>
  <c r="V264" i="16"/>
  <c r="V263" i="16"/>
  <c r="V262" i="16"/>
  <c r="V261" i="16"/>
  <c r="V260" i="16"/>
  <c r="V259" i="16"/>
  <c r="V258" i="16"/>
  <c r="V257" i="16"/>
  <c r="V256" i="16"/>
  <c r="V255" i="16"/>
  <c r="V253" i="16"/>
  <c r="V252" i="16"/>
  <c r="V251" i="16"/>
  <c r="V250" i="16"/>
  <c r="V249" i="16"/>
  <c r="V248" i="16"/>
  <c r="V247" i="16"/>
  <c r="V246" i="16"/>
  <c r="V245" i="16"/>
  <c r="V244" i="16"/>
  <c r="V243" i="16"/>
  <c r="V242" i="16"/>
  <c r="V241" i="16"/>
  <c r="V240" i="16"/>
  <c r="V239" i="16"/>
  <c r="V238" i="16"/>
  <c r="V237" i="16"/>
  <c r="V236" i="16"/>
  <c r="V235" i="16"/>
  <c r="V234" i="16"/>
  <c r="V233" i="16"/>
  <c r="V232" i="16"/>
  <c r="V231" i="16"/>
  <c r="V230" i="16"/>
  <c r="V229" i="16"/>
  <c r="V228" i="16"/>
  <c r="V227" i="16"/>
  <c r="V226" i="16"/>
  <c r="V225" i="16"/>
  <c r="V224" i="16"/>
  <c r="V223" i="16"/>
  <c r="V222" i="16"/>
  <c r="V221" i="16"/>
  <c r="V220" i="16"/>
  <c r="V219" i="16"/>
  <c r="V218" i="16"/>
  <c r="V217" i="16"/>
  <c r="V216" i="16"/>
  <c r="V215" i="16"/>
  <c r="V214" i="16"/>
  <c r="V213" i="16"/>
  <c r="V212" i="16"/>
  <c r="V211" i="16"/>
  <c r="V210" i="16"/>
  <c r="V209" i="16"/>
  <c r="V208" i="16"/>
  <c r="V207" i="16"/>
  <c r="V206" i="16"/>
  <c r="V205" i="16"/>
  <c r="V204" i="16"/>
  <c r="V203" i="16"/>
  <c r="V202" i="16"/>
  <c r="V201" i="16"/>
  <c r="V200" i="16"/>
  <c r="V199" i="16"/>
  <c r="V198" i="16"/>
  <c r="V197" i="16"/>
  <c r="V196" i="16"/>
  <c r="V195" i="16"/>
  <c r="V194" i="16"/>
  <c r="V193" i="16"/>
  <c r="V192" i="16"/>
  <c r="V191" i="16"/>
  <c r="V190" i="16"/>
  <c r="V189" i="16"/>
  <c r="V188" i="16"/>
  <c r="V187" i="16"/>
  <c r="V186" i="16"/>
  <c r="V185" i="16"/>
  <c r="V184" i="16"/>
  <c r="V183" i="16"/>
  <c r="V182" i="16"/>
  <c r="V181" i="16"/>
  <c r="V180" i="16"/>
  <c r="V179" i="16"/>
  <c r="V178" i="16"/>
  <c r="V177" i="16"/>
  <c r="V176" i="16"/>
  <c r="V175" i="16"/>
  <c r="V174" i="16"/>
  <c r="V173" i="16"/>
  <c r="V172" i="16"/>
  <c r="V171" i="16"/>
  <c r="V170" i="16"/>
  <c r="V169" i="16"/>
  <c r="V168" i="16"/>
  <c r="V167" i="16"/>
  <c r="V166" i="16"/>
  <c r="V165" i="16"/>
  <c r="V164" i="16"/>
  <c r="V163" i="16"/>
  <c r="V162" i="16"/>
  <c r="V161" i="16"/>
  <c r="V160" i="16"/>
  <c r="V159" i="16"/>
  <c r="V158" i="16"/>
  <c r="V157" i="16"/>
  <c r="V156" i="16"/>
  <c r="V155" i="16"/>
  <c r="V154" i="16"/>
  <c r="V153" i="16"/>
  <c r="V152" i="16"/>
  <c r="V151" i="16"/>
  <c r="V150" i="16"/>
  <c r="V149" i="16"/>
  <c r="V148" i="16"/>
  <c r="V147" i="16"/>
  <c r="V146" i="16"/>
  <c r="V145" i="16"/>
  <c r="V144" i="16"/>
  <c r="V143" i="16"/>
  <c r="V142" i="16"/>
  <c r="V141" i="16"/>
  <c r="V140" i="16"/>
  <c r="V139" i="16"/>
  <c r="V138" i="16"/>
  <c r="V137" i="16"/>
  <c r="V136" i="16"/>
  <c r="V135" i="16"/>
  <c r="V134" i="16"/>
  <c r="V133" i="16"/>
  <c r="V132" i="16"/>
  <c r="V131" i="16"/>
  <c r="V130" i="16"/>
  <c r="V129" i="16"/>
  <c r="V128" i="16"/>
  <c r="V127" i="16"/>
  <c r="V126" i="16"/>
  <c r="V125" i="16"/>
  <c r="V124" i="16"/>
  <c r="V123" i="16"/>
  <c r="V122" i="16"/>
  <c r="V121" i="16"/>
  <c r="V120" i="16"/>
  <c r="V119" i="16"/>
  <c r="V118" i="16"/>
  <c r="V117" i="16"/>
  <c r="V116" i="16"/>
  <c r="V115" i="16"/>
  <c r="V114" i="16"/>
  <c r="V113" i="16"/>
  <c r="V112" i="16"/>
  <c r="V111" i="16"/>
  <c r="V110" i="16"/>
  <c r="V109" i="16"/>
  <c r="V108" i="16"/>
  <c r="V107" i="16"/>
  <c r="V106" i="16"/>
  <c r="V105" i="16"/>
  <c r="V104" i="16"/>
  <c r="V103" i="16"/>
  <c r="V102" i="16"/>
  <c r="V101" i="16"/>
  <c r="V100" i="16"/>
  <c r="V99" i="16"/>
  <c r="V98" i="16"/>
  <c r="V97" i="16"/>
  <c r="V96" i="16"/>
  <c r="V95" i="16"/>
  <c r="V94" i="16"/>
  <c r="V93" i="16"/>
  <c r="V92" i="16"/>
  <c r="V91" i="16"/>
  <c r="V51" i="16"/>
  <c r="V50" i="16"/>
  <c r="V49" i="16"/>
  <c r="V46" i="16"/>
  <c r="V40" i="16"/>
  <c r="V39" i="16"/>
  <c r="V38" i="16"/>
  <c r="V15" i="16"/>
  <c r="V14" i="16"/>
  <c r="V13" i="16"/>
  <c r="V12" i="16"/>
  <c r="V11" i="16"/>
  <c r="V10" i="16"/>
  <c r="V9" i="16"/>
  <c r="V8" i="16"/>
  <c r="V7" i="16"/>
  <c r="V6" i="16"/>
  <c r="V5" i="16"/>
  <c r="V4" i="16"/>
  <c r="U352" i="16"/>
  <c r="T352" i="16"/>
  <c r="S352" i="16"/>
  <c r="U351" i="16"/>
  <c r="T351" i="16"/>
  <c r="S351" i="16"/>
  <c r="U350" i="16"/>
  <c r="T350" i="16"/>
  <c r="S350" i="16"/>
  <c r="U349" i="16"/>
  <c r="T349" i="16"/>
  <c r="S349" i="16"/>
  <c r="Q349" i="16"/>
  <c r="U348" i="16"/>
  <c r="T348" i="16"/>
  <c r="S348" i="16"/>
  <c r="Q348" i="16"/>
  <c r="U347" i="16"/>
  <c r="T347" i="16"/>
  <c r="S347" i="16"/>
  <c r="Q347" i="16"/>
  <c r="U346" i="16"/>
  <c r="T346" i="16"/>
  <c r="S346" i="16"/>
  <c r="Q346" i="16"/>
  <c r="U345" i="16"/>
  <c r="T345" i="16"/>
  <c r="S345" i="16"/>
  <c r="U344" i="16"/>
  <c r="T344" i="16"/>
  <c r="S344" i="16"/>
  <c r="Q344" i="16"/>
  <c r="U343" i="16"/>
  <c r="T343" i="16"/>
  <c r="S343" i="16"/>
  <c r="Q343" i="16"/>
  <c r="R343" i="16"/>
  <c r="U342" i="16"/>
  <c r="T342" i="16"/>
  <c r="S342" i="16"/>
  <c r="U341" i="16"/>
  <c r="T341" i="16"/>
  <c r="S341" i="16"/>
  <c r="U340" i="16"/>
  <c r="T340" i="16"/>
  <c r="S340" i="16"/>
  <c r="U339" i="16"/>
  <c r="T339" i="16"/>
  <c r="S339" i="16"/>
  <c r="Q339" i="16"/>
  <c r="W339" i="16"/>
  <c r="U338" i="16"/>
  <c r="T338" i="16"/>
  <c r="S338" i="16"/>
  <c r="Q338" i="16"/>
  <c r="U337" i="16"/>
  <c r="Q337" i="16"/>
  <c r="R337" i="16"/>
  <c r="T337" i="16"/>
  <c r="S337" i="16"/>
  <c r="U336" i="16"/>
  <c r="T336" i="16"/>
  <c r="S336" i="16"/>
  <c r="U335" i="16"/>
  <c r="T335" i="16"/>
  <c r="S335" i="16"/>
  <c r="U334" i="16"/>
  <c r="T334" i="16"/>
  <c r="S334" i="16"/>
  <c r="Q334" i="16"/>
  <c r="U333" i="16"/>
  <c r="T333" i="16"/>
  <c r="S333" i="16"/>
  <c r="Q333" i="16"/>
  <c r="U330" i="16"/>
  <c r="T330" i="16"/>
  <c r="S330" i="16"/>
  <c r="U329" i="16"/>
  <c r="T329" i="16"/>
  <c r="S329" i="16"/>
  <c r="U328" i="16"/>
  <c r="T328" i="16"/>
  <c r="S328" i="16"/>
  <c r="U327" i="16"/>
  <c r="T327" i="16"/>
  <c r="S327" i="16"/>
  <c r="Q327" i="16"/>
  <c r="U326" i="16"/>
  <c r="T326" i="16"/>
  <c r="S326" i="16"/>
  <c r="Q326" i="16"/>
  <c r="U325" i="16"/>
  <c r="T325" i="16"/>
  <c r="Q325" i="16"/>
  <c r="S325" i="16"/>
  <c r="U324" i="16"/>
  <c r="T324" i="16"/>
  <c r="S324" i="16"/>
  <c r="U323" i="16"/>
  <c r="T323" i="16"/>
  <c r="S323" i="16"/>
  <c r="U322" i="16"/>
  <c r="T322" i="16"/>
  <c r="S322" i="16"/>
  <c r="Q322" i="16"/>
  <c r="U321" i="16"/>
  <c r="T321" i="16"/>
  <c r="S321" i="16"/>
  <c r="U320" i="16"/>
  <c r="T320" i="16"/>
  <c r="Q320" i="16"/>
  <c r="S320" i="16"/>
  <c r="U319" i="16"/>
  <c r="T319" i="16"/>
  <c r="S319" i="16"/>
  <c r="U318" i="16"/>
  <c r="Q318" i="16"/>
  <c r="R318" i="16"/>
  <c r="T318" i="16"/>
  <c r="S318" i="16"/>
  <c r="U317" i="16"/>
  <c r="T317" i="16"/>
  <c r="S317" i="16"/>
  <c r="Q317" i="16"/>
  <c r="R317" i="16"/>
  <c r="U315" i="16"/>
  <c r="T315" i="16"/>
  <c r="S315" i="16"/>
  <c r="Q315" i="16"/>
  <c r="U314" i="16"/>
  <c r="U312" i="16"/>
  <c r="U8" i="16"/>
  <c r="T314" i="16"/>
  <c r="S314" i="16"/>
  <c r="U313" i="16"/>
  <c r="T313" i="16"/>
  <c r="S313" i="16"/>
  <c r="Q313" i="16"/>
  <c r="W313" i="16"/>
  <c r="U311" i="16"/>
  <c r="T311" i="16"/>
  <c r="S311" i="16"/>
  <c r="U310" i="16"/>
  <c r="T310" i="16"/>
  <c r="S310" i="16"/>
  <c r="Q310" i="16"/>
  <c r="U309" i="16"/>
  <c r="T309" i="16"/>
  <c r="S309" i="16"/>
  <c r="U308" i="16"/>
  <c r="T308" i="16"/>
  <c r="S308" i="16"/>
  <c r="U307" i="16"/>
  <c r="T307" i="16"/>
  <c r="S307" i="16"/>
  <c r="U306" i="16"/>
  <c r="Q306" i="16"/>
  <c r="T306" i="16"/>
  <c r="S306" i="16"/>
  <c r="U305" i="16"/>
  <c r="T305" i="16"/>
  <c r="S305" i="16"/>
  <c r="Q305" i="16"/>
  <c r="U304" i="16"/>
  <c r="T304" i="16"/>
  <c r="S304" i="16"/>
  <c r="U303" i="16"/>
  <c r="T303" i="16"/>
  <c r="S303" i="16"/>
  <c r="Q303" i="16"/>
  <c r="U302" i="16"/>
  <c r="T302" i="16"/>
  <c r="S302" i="16"/>
  <c r="Q302" i="16"/>
  <c r="U301" i="16"/>
  <c r="Q301" i="16"/>
  <c r="W301" i="16"/>
  <c r="T301" i="16"/>
  <c r="S301" i="16"/>
  <c r="U300" i="16"/>
  <c r="T300" i="16"/>
  <c r="S300" i="16"/>
  <c r="Q300" i="16"/>
  <c r="U299" i="16"/>
  <c r="T299" i="16"/>
  <c r="S299" i="16"/>
  <c r="U298" i="16"/>
  <c r="T298" i="16"/>
  <c r="S298" i="16"/>
  <c r="Q298" i="16"/>
  <c r="W298" i="16"/>
  <c r="U296" i="16"/>
  <c r="T296" i="16"/>
  <c r="S296" i="16"/>
  <c r="U295" i="16"/>
  <c r="T295" i="16"/>
  <c r="S295" i="16"/>
  <c r="Q295" i="16"/>
  <c r="W295" i="16"/>
  <c r="U294" i="16"/>
  <c r="T294" i="16"/>
  <c r="S294" i="16"/>
  <c r="Q294" i="16"/>
  <c r="U293" i="16"/>
  <c r="T293" i="16"/>
  <c r="S293" i="16"/>
  <c r="Q293" i="16"/>
  <c r="U292" i="16"/>
  <c r="T292" i="16"/>
  <c r="S292" i="16"/>
  <c r="Q292" i="16"/>
  <c r="U291" i="16"/>
  <c r="T291" i="16"/>
  <c r="S291" i="16"/>
  <c r="U290" i="16"/>
  <c r="T290" i="16"/>
  <c r="S290" i="16"/>
  <c r="U289" i="16"/>
  <c r="T289" i="16"/>
  <c r="S289" i="16"/>
  <c r="Q289" i="16"/>
  <c r="U288" i="16"/>
  <c r="T288" i="16"/>
  <c r="S288" i="16"/>
  <c r="U287" i="16"/>
  <c r="T287" i="16"/>
  <c r="S287" i="16"/>
  <c r="Q287" i="16"/>
  <c r="U286" i="16"/>
  <c r="Q286" i="16"/>
  <c r="T286" i="16"/>
  <c r="S286" i="16"/>
  <c r="U285" i="16"/>
  <c r="T285" i="16"/>
  <c r="S285" i="16"/>
  <c r="Q285" i="16"/>
  <c r="U284" i="16"/>
  <c r="T284" i="16"/>
  <c r="S284" i="16"/>
  <c r="Q284" i="16"/>
  <c r="R284" i="16"/>
  <c r="U283" i="16"/>
  <c r="T283" i="16"/>
  <c r="S283" i="16"/>
  <c r="U282" i="16"/>
  <c r="T282" i="16"/>
  <c r="S282" i="16"/>
  <c r="U281" i="16"/>
  <c r="T281" i="16"/>
  <c r="S281" i="16"/>
  <c r="U280" i="16"/>
  <c r="Q280" i="16"/>
  <c r="W280" i="16"/>
  <c r="T280" i="16"/>
  <c r="S280" i="16"/>
  <c r="U279" i="16"/>
  <c r="T279" i="16"/>
  <c r="S279" i="16"/>
  <c r="Q279" i="16"/>
  <c r="W279" i="16"/>
  <c r="U278" i="16"/>
  <c r="T278" i="16"/>
  <c r="S278" i="16"/>
  <c r="Q278" i="16"/>
  <c r="U277" i="16"/>
  <c r="T277" i="16"/>
  <c r="S277" i="16"/>
  <c r="U276" i="16"/>
  <c r="Q276" i="16"/>
  <c r="W276" i="16"/>
  <c r="T276" i="16"/>
  <c r="S276" i="16"/>
  <c r="U275" i="16"/>
  <c r="T275" i="16"/>
  <c r="S275" i="16"/>
  <c r="U274" i="16"/>
  <c r="T274" i="16"/>
  <c r="S274" i="16"/>
  <c r="Q274" i="16"/>
  <c r="U273" i="16"/>
  <c r="T273" i="16"/>
  <c r="S273" i="16"/>
  <c r="Q273" i="16"/>
  <c r="U272" i="16"/>
  <c r="T272" i="16"/>
  <c r="S272" i="16"/>
  <c r="U271" i="16"/>
  <c r="T271" i="16"/>
  <c r="S271" i="16"/>
  <c r="U270" i="16"/>
  <c r="T270" i="16"/>
  <c r="S270" i="16"/>
  <c r="U269" i="16"/>
  <c r="T269" i="16"/>
  <c r="S269" i="16"/>
  <c r="U268" i="16"/>
  <c r="T268" i="16"/>
  <c r="S268" i="16"/>
  <c r="U267" i="16"/>
  <c r="T267" i="16"/>
  <c r="S267" i="16"/>
  <c r="U266" i="16"/>
  <c r="T266" i="16"/>
  <c r="S266" i="16"/>
  <c r="U265" i="16"/>
  <c r="T265" i="16"/>
  <c r="S265" i="16"/>
  <c r="Q265" i="16"/>
  <c r="W265" i="16"/>
  <c r="U264" i="16"/>
  <c r="T264" i="16"/>
  <c r="S264" i="16"/>
  <c r="Q264" i="16"/>
  <c r="U263" i="16"/>
  <c r="T263" i="16"/>
  <c r="S263" i="16"/>
  <c r="U262" i="16"/>
  <c r="T262" i="16"/>
  <c r="S262" i="16"/>
  <c r="U261" i="16"/>
  <c r="T261" i="16"/>
  <c r="S261" i="16"/>
  <c r="U260" i="16"/>
  <c r="T260" i="16"/>
  <c r="Q260" i="16"/>
  <c r="W260" i="16"/>
  <c r="S260" i="16"/>
  <c r="U259" i="16"/>
  <c r="T259" i="16"/>
  <c r="S259" i="16"/>
  <c r="Q259" i="16"/>
  <c r="U258" i="16"/>
  <c r="T258" i="16"/>
  <c r="S258" i="16"/>
  <c r="U257" i="16"/>
  <c r="T257" i="16"/>
  <c r="S257" i="16"/>
  <c r="U255" i="16"/>
  <c r="T255" i="16"/>
  <c r="S255" i="16"/>
  <c r="U253" i="16"/>
  <c r="T253" i="16"/>
  <c r="Q253" i="16"/>
  <c r="W253" i="16"/>
  <c r="S253" i="16"/>
  <c r="U252" i="16"/>
  <c r="T252" i="16"/>
  <c r="S252" i="16"/>
  <c r="Q252" i="16"/>
  <c r="U251" i="16"/>
  <c r="T251" i="16"/>
  <c r="S251" i="16"/>
  <c r="Q251" i="16"/>
  <c r="W251" i="16"/>
  <c r="U249" i="16"/>
  <c r="T249" i="16"/>
  <c r="S249" i="16"/>
  <c r="U248" i="16"/>
  <c r="T248" i="16"/>
  <c r="S248" i="16"/>
  <c r="U247" i="16"/>
  <c r="T247" i="16"/>
  <c r="S247" i="16"/>
  <c r="Q247" i="16"/>
  <c r="W247" i="16"/>
  <c r="X247" i="16"/>
  <c r="U246" i="16"/>
  <c r="T246" i="16"/>
  <c r="S246" i="16"/>
  <c r="Q246" i="16"/>
  <c r="W246" i="16"/>
  <c r="U245" i="16"/>
  <c r="T245" i="16"/>
  <c r="S245" i="16"/>
  <c r="U244" i="16"/>
  <c r="T244" i="16"/>
  <c r="S244" i="16"/>
  <c r="U243" i="16"/>
  <c r="T243" i="16"/>
  <c r="S243" i="16"/>
  <c r="U242" i="16"/>
  <c r="T242" i="16"/>
  <c r="S242" i="16"/>
  <c r="U241" i="16"/>
  <c r="T241" i="16"/>
  <c r="S241" i="16"/>
  <c r="Q241" i="16"/>
  <c r="U240" i="16"/>
  <c r="T240" i="16"/>
  <c r="S240" i="16"/>
  <c r="U239" i="16"/>
  <c r="T239" i="16"/>
  <c r="S239" i="16"/>
  <c r="U238" i="16"/>
  <c r="T238" i="16"/>
  <c r="S238" i="16"/>
  <c r="U237" i="16"/>
  <c r="T237" i="16"/>
  <c r="S237" i="16"/>
  <c r="U236" i="16"/>
  <c r="T236" i="16"/>
  <c r="S236" i="16"/>
  <c r="U234" i="16"/>
  <c r="T234" i="16"/>
  <c r="S234" i="16"/>
  <c r="U233" i="16"/>
  <c r="T233" i="16"/>
  <c r="S233" i="16"/>
  <c r="U232" i="16"/>
  <c r="T232" i="16"/>
  <c r="S232" i="16"/>
  <c r="U231" i="16"/>
  <c r="T231" i="16"/>
  <c r="S231" i="16"/>
  <c r="U230" i="16"/>
  <c r="T230" i="16"/>
  <c r="S230" i="16"/>
  <c r="U229" i="16"/>
  <c r="T229" i="16"/>
  <c r="S229" i="16"/>
  <c r="Q229" i="16"/>
  <c r="U228" i="16"/>
  <c r="T228" i="16"/>
  <c r="S228" i="16"/>
  <c r="U227" i="16"/>
  <c r="Q227" i="16"/>
  <c r="T227" i="16"/>
  <c r="S227" i="16"/>
  <c r="U226" i="16"/>
  <c r="T226" i="16"/>
  <c r="S226" i="16"/>
  <c r="Q226" i="16"/>
  <c r="W226" i="16"/>
  <c r="U225" i="16"/>
  <c r="T225" i="16"/>
  <c r="S225" i="16"/>
  <c r="U224" i="16"/>
  <c r="T224" i="16"/>
  <c r="S224" i="16"/>
  <c r="Q224" i="16"/>
  <c r="U223" i="16"/>
  <c r="T223" i="16"/>
  <c r="S223" i="16"/>
  <c r="U222" i="16"/>
  <c r="T222" i="16"/>
  <c r="S222" i="16"/>
  <c r="U221" i="16"/>
  <c r="T221" i="16"/>
  <c r="S221" i="16"/>
  <c r="U219" i="16"/>
  <c r="T219" i="16"/>
  <c r="S219" i="16"/>
  <c r="U218" i="16"/>
  <c r="T218" i="16"/>
  <c r="S218" i="16"/>
  <c r="Q218" i="16"/>
  <c r="U217" i="16"/>
  <c r="T217" i="16"/>
  <c r="S217" i="16"/>
  <c r="U216" i="16"/>
  <c r="T216" i="16"/>
  <c r="S216" i="16"/>
  <c r="U215" i="16"/>
  <c r="T215" i="16"/>
  <c r="S215" i="16"/>
  <c r="Q215" i="16"/>
  <c r="W215" i="16"/>
  <c r="U214" i="16"/>
  <c r="T214" i="16"/>
  <c r="S214" i="16"/>
  <c r="U213" i="16"/>
  <c r="T213" i="16"/>
  <c r="S213" i="16"/>
  <c r="Q213" i="16"/>
  <c r="U212" i="16"/>
  <c r="T212" i="16"/>
  <c r="S212" i="16"/>
  <c r="U211" i="16"/>
  <c r="T211" i="16"/>
  <c r="Q211" i="16"/>
  <c r="S211" i="16"/>
  <c r="U210" i="16"/>
  <c r="T210" i="16"/>
  <c r="S210" i="16"/>
  <c r="U209" i="16"/>
  <c r="T209" i="16"/>
  <c r="S209" i="16"/>
  <c r="Q209" i="16"/>
  <c r="U208" i="16"/>
  <c r="T208" i="16"/>
  <c r="S208" i="16"/>
  <c r="Q208" i="16"/>
  <c r="W208" i="16"/>
  <c r="U207" i="16"/>
  <c r="T207" i="16"/>
  <c r="S207" i="16"/>
  <c r="U205" i="16"/>
  <c r="Q205" i="16"/>
  <c r="T205" i="16"/>
  <c r="S205" i="16"/>
  <c r="U204" i="16"/>
  <c r="T204" i="16"/>
  <c r="S204" i="16"/>
  <c r="Q204" i="16"/>
  <c r="W204" i="16"/>
  <c r="U203" i="16"/>
  <c r="T203" i="16"/>
  <c r="S203" i="16"/>
  <c r="U202" i="16"/>
  <c r="T202" i="16"/>
  <c r="S202" i="16"/>
  <c r="Q202" i="16"/>
  <c r="U201" i="16"/>
  <c r="T201" i="16"/>
  <c r="S201" i="16"/>
  <c r="U200" i="16"/>
  <c r="Q200" i="16"/>
  <c r="W200" i="16"/>
  <c r="T200" i="16"/>
  <c r="S200" i="16"/>
  <c r="U199" i="16"/>
  <c r="T199" i="16"/>
  <c r="S199" i="16"/>
  <c r="Q199" i="16"/>
  <c r="W199" i="16"/>
  <c r="U198" i="16"/>
  <c r="T198" i="16"/>
  <c r="S198" i="16"/>
  <c r="Q198" i="16"/>
  <c r="U197" i="16"/>
  <c r="T197" i="16"/>
  <c r="S197" i="16"/>
  <c r="U196" i="16"/>
  <c r="T196" i="16"/>
  <c r="S196" i="16"/>
  <c r="Q196" i="16"/>
  <c r="W196" i="16"/>
  <c r="X196" i="16"/>
  <c r="U195" i="16"/>
  <c r="T195" i="16"/>
  <c r="S195" i="16"/>
  <c r="Q195" i="16"/>
  <c r="W195" i="16"/>
  <c r="U194" i="16"/>
  <c r="T194" i="16"/>
  <c r="S194" i="16"/>
  <c r="U193" i="16"/>
  <c r="T193" i="16"/>
  <c r="S193" i="16"/>
  <c r="Q193" i="16"/>
  <c r="U192" i="16"/>
  <c r="T192" i="16"/>
  <c r="S192" i="16"/>
  <c r="U191" i="16"/>
  <c r="T191" i="16"/>
  <c r="S191" i="16"/>
  <c r="Q191" i="16"/>
  <c r="U190" i="16"/>
  <c r="T190" i="16"/>
  <c r="S190" i="16"/>
  <c r="U189" i="16"/>
  <c r="T189" i="16"/>
  <c r="S189" i="16"/>
  <c r="Q189" i="16"/>
  <c r="U188" i="16"/>
  <c r="T188" i="16"/>
  <c r="S188" i="16"/>
  <c r="U187" i="16"/>
  <c r="T187" i="16"/>
  <c r="S187" i="16"/>
  <c r="U186" i="16"/>
  <c r="T186" i="16"/>
  <c r="S186" i="16"/>
  <c r="U185" i="16"/>
  <c r="Q185" i="16"/>
  <c r="T185" i="16"/>
  <c r="S185" i="16"/>
  <c r="U184" i="16"/>
  <c r="T184" i="16"/>
  <c r="S184" i="16"/>
  <c r="Q184" i="16"/>
  <c r="U183" i="16"/>
  <c r="T183" i="16"/>
  <c r="S183" i="16"/>
  <c r="U182" i="16"/>
  <c r="T182" i="16"/>
  <c r="S182" i="16"/>
  <c r="Q182" i="16"/>
  <c r="U181" i="16"/>
  <c r="T181" i="16"/>
  <c r="S181" i="16"/>
  <c r="U180" i="16"/>
  <c r="T180" i="16"/>
  <c r="S180" i="16"/>
  <c r="U179" i="16"/>
  <c r="T179" i="16"/>
  <c r="S179" i="16"/>
  <c r="Q179" i="16"/>
  <c r="W179" i="16"/>
  <c r="U178" i="16"/>
  <c r="T178" i="16"/>
  <c r="S178" i="16"/>
  <c r="U177" i="16"/>
  <c r="T177" i="16"/>
  <c r="S177" i="16"/>
  <c r="Q177" i="16"/>
  <c r="U176" i="16"/>
  <c r="T176" i="16"/>
  <c r="S176" i="16"/>
  <c r="Q176" i="16"/>
  <c r="U175" i="16"/>
  <c r="T175" i="16"/>
  <c r="S175" i="16"/>
  <c r="U174" i="16"/>
  <c r="T174" i="16"/>
  <c r="S174" i="16"/>
  <c r="Q174" i="16"/>
  <c r="U173" i="16"/>
  <c r="T173" i="16"/>
  <c r="S173" i="16"/>
  <c r="U172" i="16"/>
  <c r="T172" i="16"/>
  <c r="S172" i="16"/>
  <c r="Q172" i="16"/>
  <c r="U171" i="16"/>
  <c r="T171" i="16"/>
  <c r="S171" i="16"/>
  <c r="U170" i="16"/>
  <c r="T170" i="16"/>
  <c r="S170" i="16"/>
  <c r="Q170" i="16"/>
  <c r="W170" i="16"/>
  <c r="U169" i="16"/>
  <c r="T169" i="16"/>
  <c r="S169" i="16"/>
  <c r="Q169" i="16"/>
  <c r="W169" i="16"/>
  <c r="U168" i="16"/>
  <c r="T168" i="16"/>
  <c r="S168" i="16"/>
  <c r="U167" i="16"/>
  <c r="T167" i="16"/>
  <c r="S167" i="16"/>
  <c r="Q167" i="16"/>
  <c r="U166" i="16"/>
  <c r="T166" i="16"/>
  <c r="S166" i="16"/>
  <c r="U165" i="16"/>
  <c r="T165" i="16"/>
  <c r="S165" i="16"/>
  <c r="U164" i="16"/>
  <c r="Q164" i="16"/>
  <c r="T164" i="16"/>
  <c r="S164" i="16"/>
  <c r="U163" i="16"/>
  <c r="T163" i="16"/>
  <c r="S163" i="16"/>
  <c r="Q163" i="16"/>
  <c r="W163" i="16"/>
  <c r="U162" i="16"/>
  <c r="T162" i="16"/>
  <c r="S162" i="16"/>
  <c r="Q162" i="16"/>
  <c r="U161" i="16"/>
  <c r="T161" i="16"/>
  <c r="S161" i="16"/>
  <c r="U160" i="16"/>
  <c r="T160" i="16"/>
  <c r="S160" i="16"/>
  <c r="Q160" i="16"/>
  <c r="W160" i="16"/>
  <c r="U159" i="16"/>
  <c r="T159" i="16"/>
  <c r="S159" i="16"/>
  <c r="U158" i="16"/>
  <c r="T158" i="16"/>
  <c r="S158" i="16"/>
  <c r="Q158" i="16"/>
  <c r="W158" i="16"/>
  <c r="U157" i="16"/>
  <c r="T157" i="16"/>
  <c r="S157" i="16"/>
  <c r="Q157" i="16"/>
  <c r="W157" i="16"/>
  <c r="U156" i="16"/>
  <c r="T156" i="16"/>
  <c r="S156" i="16"/>
  <c r="Q156" i="16"/>
  <c r="W156" i="16"/>
  <c r="U155" i="16"/>
  <c r="T155" i="16"/>
  <c r="S155" i="16"/>
  <c r="Q155" i="16"/>
  <c r="U154" i="16"/>
  <c r="T154" i="16"/>
  <c r="S154" i="16"/>
  <c r="U153" i="16"/>
  <c r="T153" i="16"/>
  <c r="S153" i="16"/>
  <c r="Q153" i="16"/>
  <c r="U152" i="16"/>
  <c r="T152" i="16"/>
  <c r="S152" i="16"/>
  <c r="U151" i="16"/>
  <c r="T151" i="16"/>
  <c r="S151" i="16"/>
  <c r="Q151" i="16"/>
  <c r="W151" i="16"/>
  <c r="U150" i="16"/>
  <c r="T150" i="16"/>
  <c r="S150" i="16"/>
  <c r="Q150" i="16"/>
  <c r="W150" i="16"/>
  <c r="U149" i="16"/>
  <c r="T149" i="16"/>
  <c r="S149" i="16"/>
  <c r="U148" i="16"/>
  <c r="T148" i="16"/>
  <c r="S148" i="16"/>
  <c r="Q148" i="16"/>
  <c r="U147" i="16"/>
  <c r="T147" i="16"/>
  <c r="S147" i="16"/>
  <c r="U146" i="16"/>
  <c r="T146" i="16"/>
  <c r="S146" i="16"/>
  <c r="Q146" i="16"/>
  <c r="W146" i="16"/>
  <c r="X146" i="16"/>
  <c r="U145" i="16"/>
  <c r="T145" i="16"/>
  <c r="S145" i="16"/>
  <c r="Q145" i="16"/>
  <c r="U144" i="16"/>
  <c r="T144" i="16"/>
  <c r="Q144" i="16"/>
  <c r="S144" i="16"/>
  <c r="U143" i="16"/>
  <c r="T143" i="16"/>
  <c r="S143" i="16"/>
  <c r="Q143" i="16"/>
  <c r="W143" i="16"/>
  <c r="U142" i="16"/>
  <c r="T142" i="16"/>
  <c r="S142" i="16"/>
  <c r="U141" i="16"/>
  <c r="T141" i="16"/>
  <c r="S141" i="16"/>
  <c r="Q141" i="16"/>
  <c r="W141" i="16"/>
  <c r="U140" i="16"/>
  <c r="T140" i="16"/>
  <c r="S140" i="16"/>
  <c r="U139" i="16"/>
  <c r="T139" i="16"/>
  <c r="S139" i="16"/>
  <c r="U138" i="16"/>
  <c r="T138" i="16"/>
  <c r="S138" i="16"/>
  <c r="U137" i="16"/>
  <c r="T137" i="16"/>
  <c r="S137" i="16"/>
  <c r="U136" i="16"/>
  <c r="T136" i="16"/>
  <c r="S136" i="16"/>
  <c r="U135" i="16"/>
  <c r="T135" i="16"/>
  <c r="S135" i="16"/>
  <c r="Q135" i="16"/>
  <c r="U134" i="16"/>
  <c r="T134" i="16"/>
  <c r="Q134" i="16"/>
  <c r="S134" i="16"/>
  <c r="U133" i="16"/>
  <c r="Q133" i="16"/>
  <c r="T133" i="16"/>
  <c r="S133" i="16"/>
  <c r="U132" i="16"/>
  <c r="T132" i="16"/>
  <c r="S132" i="16"/>
  <c r="U131" i="16"/>
  <c r="T131" i="16"/>
  <c r="S131" i="16"/>
  <c r="Q131" i="16"/>
  <c r="W131" i="16"/>
  <c r="U130" i="16"/>
  <c r="T130" i="16"/>
  <c r="S130" i="16"/>
  <c r="Q130" i="16"/>
  <c r="W130" i="16"/>
  <c r="U129" i="16"/>
  <c r="T129" i="16"/>
  <c r="S129" i="16"/>
  <c r="Q129" i="16"/>
  <c r="U128" i="16"/>
  <c r="Q128" i="16"/>
  <c r="T128" i="16"/>
  <c r="S128" i="16"/>
  <c r="U127" i="16"/>
  <c r="T127" i="16"/>
  <c r="S127" i="16"/>
  <c r="U126" i="16"/>
  <c r="T126" i="16"/>
  <c r="S126" i="16"/>
  <c r="Q126" i="16"/>
  <c r="W126" i="16"/>
  <c r="U125" i="16"/>
  <c r="T125" i="16"/>
  <c r="S125" i="16"/>
  <c r="Q125" i="16"/>
  <c r="W125" i="16"/>
  <c r="U124" i="16"/>
  <c r="T124" i="16"/>
  <c r="S124" i="16"/>
  <c r="U123" i="16"/>
  <c r="T123" i="16"/>
  <c r="S123" i="16"/>
  <c r="U122" i="16"/>
  <c r="T122" i="16"/>
  <c r="S122" i="16"/>
  <c r="Q122" i="16"/>
  <c r="U121" i="16"/>
  <c r="T121" i="16"/>
  <c r="S121" i="16"/>
  <c r="Q121" i="16"/>
  <c r="W121" i="16"/>
  <c r="U120" i="16"/>
  <c r="T120" i="16"/>
  <c r="S120" i="16"/>
  <c r="Q120" i="16"/>
  <c r="W120" i="16"/>
  <c r="U119" i="16"/>
  <c r="Q119" i="16"/>
  <c r="W119" i="16"/>
  <c r="T119" i="16"/>
  <c r="S119" i="16"/>
  <c r="U118" i="16"/>
  <c r="T118" i="16"/>
  <c r="S118" i="16"/>
  <c r="Q118" i="16"/>
  <c r="U117" i="16"/>
  <c r="T117" i="16"/>
  <c r="S117" i="16"/>
  <c r="U116" i="16"/>
  <c r="T116" i="16"/>
  <c r="S116" i="16"/>
  <c r="Q116" i="16"/>
  <c r="U115" i="16"/>
  <c r="T115" i="16"/>
  <c r="S115" i="16"/>
  <c r="Q115" i="16"/>
  <c r="U114" i="16"/>
  <c r="T114" i="16"/>
  <c r="S114" i="16"/>
  <c r="Q114" i="16"/>
  <c r="W114" i="16"/>
  <c r="U113" i="16"/>
  <c r="T113" i="16"/>
  <c r="S113" i="16"/>
  <c r="Q113" i="16"/>
  <c r="U112" i="16"/>
  <c r="T112" i="16"/>
  <c r="S112" i="16"/>
  <c r="U111" i="16"/>
  <c r="T111" i="16"/>
  <c r="S111" i="16"/>
  <c r="U110" i="16"/>
  <c r="T110" i="16"/>
  <c r="S110" i="16"/>
  <c r="U109" i="16"/>
  <c r="T109" i="16"/>
  <c r="S109" i="16"/>
  <c r="U108" i="16"/>
  <c r="T108" i="16"/>
  <c r="S108" i="16"/>
  <c r="U107" i="16"/>
  <c r="T107" i="16"/>
  <c r="S107" i="16"/>
  <c r="U106" i="16"/>
  <c r="T106" i="16"/>
  <c r="S106" i="16"/>
  <c r="Q106" i="16"/>
  <c r="U105" i="16"/>
  <c r="T105" i="16"/>
  <c r="S105" i="16"/>
  <c r="Q105" i="16"/>
  <c r="W105" i="16"/>
  <c r="U104" i="16"/>
  <c r="T104" i="16"/>
  <c r="S104" i="16"/>
  <c r="U103" i="16"/>
  <c r="T103" i="16"/>
  <c r="S103" i="16"/>
  <c r="Q103" i="16"/>
  <c r="W103" i="16"/>
  <c r="U102" i="16"/>
  <c r="T102" i="16"/>
  <c r="S102" i="16"/>
  <c r="U100" i="16"/>
  <c r="T100" i="16"/>
  <c r="S100" i="16"/>
  <c r="Q100" i="16"/>
  <c r="W100" i="16"/>
  <c r="U99" i="16"/>
  <c r="T99" i="16"/>
  <c r="S99" i="16"/>
  <c r="Q99" i="16"/>
  <c r="U98" i="16"/>
  <c r="T98" i="16"/>
  <c r="S98" i="16"/>
  <c r="Q98" i="16"/>
  <c r="W98" i="16"/>
  <c r="X98" i="16"/>
  <c r="U97" i="16"/>
  <c r="T97" i="16"/>
  <c r="S97" i="16"/>
  <c r="Q97" i="16"/>
  <c r="U96" i="16"/>
  <c r="T96" i="16"/>
  <c r="S96" i="16"/>
  <c r="Q96" i="16"/>
  <c r="W96" i="16"/>
  <c r="X96" i="16"/>
  <c r="U95" i="16"/>
  <c r="T95" i="16"/>
  <c r="S95" i="16"/>
  <c r="Q95" i="16"/>
  <c r="U94" i="16"/>
  <c r="T94" i="16"/>
  <c r="S94" i="16"/>
  <c r="U93" i="16"/>
  <c r="U15" i="16"/>
  <c r="U14" i="16"/>
  <c r="U5" i="16"/>
  <c r="U9" i="16"/>
  <c r="T93" i="16"/>
  <c r="S93" i="16"/>
  <c r="Q93" i="16"/>
  <c r="R93" i="16"/>
  <c r="U92" i="16"/>
  <c r="T92" i="16"/>
  <c r="S92" i="16"/>
  <c r="S15" i="16"/>
  <c r="Q92" i="16"/>
  <c r="W92" i="16"/>
  <c r="X92" i="16"/>
  <c r="U91" i="16"/>
  <c r="T91" i="16"/>
  <c r="S91" i="16"/>
  <c r="Q91" i="16"/>
  <c r="U51" i="16"/>
  <c r="T51" i="16"/>
  <c r="S51" i="16"/>
  <c r="Q51" i="16"/>
  <c r="U50" i="16"/>
  <c r="T50" i="16"/>
  <c r="S50" i="16"/>
  <c r="Q50" i="16"/>
  <c r="U49" i="16"/>
  <c r="T49" i="16"/>
  <c r="S49" i="16"/>
  <c r="Q49" i="16"/>
  <c r="U46" i="16"/>
  <c r="T46" i="16"/>
  <c r="S46" i="16"/>
  <c r="U40" i="16"/>
  <c r="T40" i="16"/>
  <c r="S40" i="16"/>
  <c r="U39" i="16"/>
  <c r="T39" i="16"/>
  <c r="S39" i="16"/>
  <c r="Q39" i="16"/>
  <c r="W39" i="16"/>
  <c r="U38" i="16"/>
  <c r="T38" i="16"/>
  <c r="S38" i="16"/>
  <c r="Q353" i="16"/>
  <c r="R353" i="16"/>
  <c r="Q331" i="16"/>
  <c r="Q13" i="16"/>
  <c r="W13" i="16"/>
  <c r="Q10" i="16"/>
  <c r="O353" i="16"/>
  <c r="O352" i="16"/>
  <c r="E74" i="16"/>
  <c r="AA74" i="16"/>
  <c r="J48" i="16"/>
  <c r="H48" i="16"/>
  <c r="F48" i="16"/>
  <c r="O48" i="16"/>
  <c r="AA256" i="16"/>
  <c r="AA297" i="16"/>
  <c r="AA312" i="16"/>
  <c r="AA316" i="16"/>
  <c r="AA332" i="16"/>
  <c r="AA347" i="16"/>
  <c r="AA348" i="16"/>
  <c r="AA352" i="16"/>
  <c r="AA353" i="16"/>
  <c r="BV94" i="16"/>
  <c r="BV93" i="16"/>
  <c r="BV92" i="16"/>
  <c r="BV91" i="16"/>
  <c r="BV96" i="16"/>
  <c r="BV95" i="16"/>
  <c r="BV97" i="16"/>
  <c r="BV100" i="16"/>
  <c r="E100" i="16"/>
  <c r="AA100" i="16"/>
  <c r="B100" i="16"/>
  <c r="H100" i="16"/>
  <c r="J100" i="16"/>
  <c r="L100" i="16"/>
  <c r="B26" i="30"/>
  <c r="B27" i="30"/>
  <c r="B28" i="30"/>
  <c r="B29" i="30"/>
  <c r="B30" i="30"/>
  <c r="B31" i="30"/>
  <c r="B32" i="30"/>
  <c r="B33" i="30"/>
  <c r="A33" i="30"/>
  <c r="A32" i="30"/>
  <c r="A31" i="30"/>
  <c r="A30" i="30"/>
  <c r="A29" i="30"/>
  <c r="A28" i="30"/>
  <c r="A27" i="30"/>
  <c r="A26" i="30"/>
  <c r="A25" i="30"/>
  <c r="E2213" i="18"/>
  <c r="E2206" i="18"/>
  <c r="E2199" i="18"/>
  <c r="E2179" i="18"/>
  <c r="B2159" i="18"/>
  <c r="B25" i="30"/>
  <c r="E2201" i="18"/>
  <c r="H2201" i="18"/>
  <c r="J2201" i="18"/>
  <c r="L2201" i="18"/>
  <c r="E2202" i="18"/>
  <c r="H2202" i="18"/>
  <c r="J2202" i="18"/>
  <c r="L2202" i="18"/>
  <c r="J2203" i="18"/>
  <c r="E2203" i="18"/>
  <c r="H2207" i="18"/>
  <c r="E2207" i="18"/>
  <c r="E2208" i="18"/>
  <c r="H2208" i="18"/>
  <c r="J2208" i="18"/>
  <c r="L2208" i="18"/>
  <c r="E2209" i="18"/>
  <c r="H2209" i="18"/>
  <c r="J2209" i="18"/>
  <c r="L2209" i="18"/>
  <c r="J2210" i="18"/>
  <c r="E2210" i="18"/>
  <c r="H2214" i="18"/>
  <c r="E2214" i="18"/>
  <c r="E2215" i="18"/>
  <c r="H2215" i="18"/>
  <c r="J2215" i="18"/>
  <c r="L2215" i="18"/>
  <c r="E2216" i="18"/>
  <c r="H2216" i="18"/>
  <c r="J2216" i="18"/>
  <c r="L2216" i="18"/>
  <c r="J2217" i="18"/>
  <c r="E2217" i="18"/>
  <c r="E2194" i="18"/>
  <c r="J2194" i="18"/>
  <c r="L2194" i="18"/>
  <c r="E2195" i="18"/>
  <c r="J2195" i="18"/>
  <c r="L2195" i="18"/>
  <c r="L2196" i="18"/>
  <c r="E2196" i="18"/>
  <c r="J2196" i="18"/>
  <c r="H2200" i="18"/>
  <c r="E2200" i="18"/>
  <c r="J2200" i="18"/>
  <c r="L2200" i="18"/>
  <c r="L2199" i="18"/>
  <c r="L2204" i="18"/>
  <c r="J31" i="30"/>
  <c r="E2188" i="18"/>
  <c r="J2188" i="18"/>
  <c r="J2186" i="18"/>
  <c r="J2191" i="18"/>
  <c r="H29" i="30"/>
  <c r="L2188" i="18"/>
  <c r="L2189" i="18"/>
  <c r="E2189" i="18"/>
  <c r="J2189" i="18"/>
  <c r="E2190" i="18"/>
  <c r="H2190" i="18"/>
  <c r="J2190" i="18"/>
  <c r="L2190" i="18"/>
  <c r="J2180" i="18"/>
  <c r="E2180" i="18"/>
  <c r="H2180" i="18"/>
  <c r="J2181" i="18"/>
  <c r="E2181" i="18"/>
  <c r="L2181" i="18"/>
  <c r="H2182" i="18"/>
  <c r="F2182" i="18"/>
  <c r="E2182" i="18"/>
  <c r="L2182" i="18"/>
  <c r="J2183" i="18"/>
  <c r="E2183" i="18"/>
  <c r="L2183" i="18"/>
  <c r="E2186" i="18"/>
  <c r="J2187" i="18"/>
  <c r="E2187" i="18"/>
  <c r="H2187" i="18"/>
  <c r="E2172" i="18"/>
  <c r="J2173" i="18"/>
  <c r="E2173" i="18"/>
  <c r="H2173" i="18"/>
  <c r="E2174" i="18"/>
  <c r="J2174" i="18"/>
  <c r="L2174" i="18"/>
  <c r="H2175" i="18"/>
  <c r="E2175" i="18"/>
  <c r="E2176" i="18"/>
  <c r="J2176" i="18"/>
  <c r="L2176" i="18"/>
  <c r="E2161" i="18"/>
  <c r="H2161" i="18"/>
  <c r="J2161" i="18"/>
  <c r="L2161" i="18"/>
  <c r="L2162" i="18"/>
  <c r="E2162" i="18"/>
  <c r="J2162" i="18"/>
  <c r="E2165" i="18"/>
  <c r="H2166" i="18"/>
  <c r="E2166" i="18"/>
  <c r="J2166" i="18"/>
  <c r="J2165" i="18"/>
  <c r="J2170" i="18"/>
  <c r="L2166" i="18"/>
  <c r="E2167" i="18"/>
  <c r="J2167" i="18"/>
  <c r="L2167" i="18"/>
  <c r="E2168" i="18"/>
  <c r="H2168" i="18"/>
  <c r="J2168" i="18"/>
  <c r="L2168" i="18"/>
  <c r="L2169" i="18"/>
  <c r="E2169" i="18"/>
  <c r="J2169" i="18"/>
  <c r="J2160" i="18"/>
  <c r="H2160" i="18"/>
  <c r="E2160" i="18"/>
  <c r="C3" i="30"/>
  <c r="D3" i="30"/>
  <c r="B3" i="30"/>
  <c r="A3" i="30"/>
  <c r="AC3" i="30"/>
  <c r="C4" i="30"/>
  <c r="D4" i="30"/>
  <c r="C5" i="30"/>
  <c r="D5" i="30"/>
  <c r="C6" i="30"/>
  <c r="D6" i="30"/>
  <c r="C7" i="30"/>
  <c r="D7" i="30"/>
  <c r="C8" i="30"/>
  <c r="D8" i="30"/>
  <c r="C9" i="30"/>
  <c r="D9" i="30"/>
  <c r="C10" i="30"/>
  <c r="D10" i="30"/>
  <c r="C11" i="30"/>
  <c r="D11" i="30"/>
  <c r="C12" i="30"/>
  <c r="D12" i="30"/>
  <c r="C13" i="30"/>
  <c r="D13" i="30"/>
  <c r="C14" i="30"/>
  <c r="D14" i="30"/>
  <c r="C15" i="30"/>
  <c r="D15" i="30"/>
  <c r="C16" i="30"/>
  <c r="D16" i="30"/>
  <c r="C17" i="30"/>
  <c r="D17" i="30"/>
  <c r="C18" i="30"/>
  <c r="D18" i="30"/>
  <c r="C19" i="30"/>
  <c r="D19" i="30"/>
  <c r="C20" i="30"/>
  <c r="D20" i="30"/>
  <c r="C21" i="30"/>
  <c r="D21" i="30"/>
  <c r="C22" i="30"/>
  <c r="D22" i="30"/>
  <c r="C23" i="30"/>
  <c r="D23" i="30"/>
  <c r="C24" i="30"/>
  <c r="D24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C33" i="30"/>
  <c r="AC32" i="30"/>
  <c r="AC25" i="30"/>
  <c r="AC24" i="30"/>
  <c r="AC23" i="30"/>
  <c r="AC22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AC6" i="30"/>
  <c r="AC5" i="30"/>
  <c r="AC4" i="30"/>
  <c r="BV1" i="16"/>
  <c r="L128" i="16"/>
  <c r="BV89" i="16"/>
  <c r="L89" i="16"/>
  <c r="F89" i="16"/>
  <c r="O89" i="16"/>
  <c r="E89" i="16"/>
  <c r="AA89" i="16"/>
  <c r="B130" i="17"/>
  <c r="A130" i="17"/>
  <c r="B129" i="17"/>
  <c r="A129" i="17"/>
  <c r="B128" i="17"/>
  <c r="A128" i="17"/>
  <c r="B127" i="17"/>
  <c r="A127" i="17"/>
  <c r="B126" i="17"/>
  <c r="A126" i="17"/>
  <c r="BI794" i="18"/>
  <c r="BI793" i="18"/>
  <c r="BI792" i="18"/>
  <c r="BI791" i="18"/>
  <c r="BI790" i="18"/>
  <c r="B790" i="18"/>
  <c r="BI789" i="18"/>
  <c r="G782" i="18"/>
  <c r="G791" i="18"/>
  <c r="H791" i="18"/>
  <c r="F791" i="18"/>
  <c r="BI776" i="18"/>
  <c r="BI775" i="18"/>
  <c r="BI774" i="18"/>
  <c r="BI773" i="18"/>
  <c r="G773" i="18"/>
  <c r="E773" i="18"/>
  <c r="BI772" i="18"/>
  <c r="BI771" i="18"/>
  <c r="B772" i="18"/>
  <c r="BI767" i="18"/>
  <c r="BI766" i="18"/>
  <c r="BI765" i="18"/>
  <c r="BI764" i="18"/>
  <c r="G764" i="18"/>
  <c r="H764" i="18"/>
  <c r="F764" i="18"/>
  <c r="BI763" i="18"/>
  <c r="BI762" i="18"/>
  <c r="B781" i="18"/>
  <c r="BI785" i="18"/>
  <c r="BI784" i="18"/>
  <c r="BI783" i="18"/>
  <c r="BI782" i="18"/>
  <c r="BI781" i="18"/>
  <c r="BI780" i="18"/>
  <c r="G758" i="18"/>
  <c r="G757" i="18"/>
  <c r="H757" i="18"/>
  <c r="F757" i="18"/>
  <c r="G756" i="18"/>
  <c r="G755" i="18"/>
  <c r="E755" i="18"/>
  <c r="BI754" i="18"/>
  <c r="BI758" i="18"/>
  <c r="BI757" i="18"/>
  <c r="BI756" i="18"/>
  <c r="BI755" i="18"/>
  <c r="BI753" i="18"/>
  <c r="BV204" i="16"/>
  <c r="BV198" i="16"/>
  <c r="BV197" i="16"/>
  <c r="BV190" i="16"/>
  <c r="BV184" i="16"/>
  <c r="BV169" i="16"/>
  <c r="BV168" i="16"/>
  <c r="BV167" i="16"/>
  <c r="BV157" i="16"/>
  <c r="BV156" i="16"/>
  <c r="BV141" i="16"/>
  <c r="BV140" i="16"/>
  <c r="BV139" i="16"/>
  <c r="BV138" i="16"/>
  <c r="BV133" i="16"/>
  <c r="BV132" i="16"/>
  <c r="BV205" i="16"/>
  <c r="BV203" i="16"/>
  <c r="BV196" i="16"/>
  <c r="BV195" i="16"/>
  <c r="BV194" i="16"/>
  <c r="BV193" i="16"/>
  <c r="BV189" i="16"/>
  <c r="E189" i="16"/>
  <c r="AA189" i="16"/>
  <c r="BV188" i="16"/>
  <c r="BV187" i="16"/>
  <c r="BV166" i="16"/>
  <c r="L159" i="16"/>
  <c r="H160" i="16"/>
  <c r="J162" i="16"/>
  <c r="BV162" i="16"/>
  <c r="BV161" i="16"/>
  <c r="BV160" i="16"/>
  <c r="BV159" i="16"/>
  <c r="L136" i="16"/>
  <c r="BV137" i="16"/>
  <c r="BV136" i="16"/>
  <c r="BV135" i="16"/>
  <c r="BV107" i="16"/>
  <c r="L44" i="16"/>
  <c r="BV33" i="16"/>
  <c r="B90" i="16"/>
  <c r="L85" i="16"/>
  <c r="L87" i="16"/>
  <c r="BV87" i="16"/>
  <c r="H84" i="16"/>
  <c r="H83" i="16"/>
  <c r="J78" i="16"/>
  <c r="H79" i="16"/>
  <c r="F79" i="16"/>
  <c r="O79" i="16"/>
  <c r="H77" i="16"/>
  <c r="J71" i="16"/>
  <c r="H72" i="16"/>
  <c r="L73" i="16"/>
  <c r="H75" i="16"/>
  <c r="J76" i="16"/>
  <c r="L70" i="16"/>
  <c r="BV71" i="16"/>
  <c r="BV68" i="16"/>
  <c r="L55" i="16"/>
  <c r="F55" i="16"/>
  <c r="O55" i="16"/>
  <c r="L57" i="16"/>
  <c r="F57" i="16"/>
  <c r="O57" i="16"/>
  <c r="L51" i="16"/>
  <c r="H50" i="16"/>
  <c r="H46" i="16"/>
  <c r="BV48" i="16"/>
  <c r="BV47" i="16"/>
  <c r="BV44" i="16"/>
  <c r="BV43" i="16"/>
  <c r="BV42" i="16"/>
  <c r="H41" i="16"/>
  <c r="BV41" i="16"/>
  <c r="H40" i="16"/>
  <c r="L38" i="16"/>
  <c r="J37" i="16"/>
  <c r="H36" i="16"/>
  <c r="F36" i="16"/>
  <c r="O36" i="16"/>
  <c r="J34" i="16"/>
  <c r="H34" i="16"/>
  <c r="J32" i="16"/>
  <c r="J30" i="16"/>
  <c r="J28" i="16"/>
  <c r="F28" i="16"/>
  <c r="O28" i="16"/>
  <c r="BV28" i="16"/>
  <c r="J25" i="16"/>
  <c r="L24" i="16"/>
  <c r="J23" i="16"/>
  <c r="H21" i="16"/>
  <c r="J21" i="16"/>
  <c r="L17" i="16"/>
  <c r="H18" i="16"/>
  <c r="J16" i="16"/>
  <c r="J332" i="16"/>
  <c r="I12" i="16"/>
  <c r="J12" i="16"/>
  <c r="E320" i="16"/>
  <c r="AA320" i="16"/>
  <c r="E319" i="16"/>
  <c r="AA319" i="16"/>
  <c r="G2155" i="18"/>
  <c r="E2155" i="18"/>
  <c r="G2154" i="18"/>
  <c r="G2152" i="18"/>
  <c r="E2152" i="18"/>
  <c r="G2144" i="18"/>
  <c r="H2144" i="18"/>
  <c r="F2144" i="18"/>
  <c r="G2143" i="18"/>
  <c r="G2141" i="18"/>
  <c r="H2141" i="18"/>
  <c r="G2115" i="18"/>
  <c r="E2115" i="18"/>
  <c r="G2113" i="18"/>
  <c r="G2112" i="18"/>
  <c r="E2112" i="18"/>
  <c r="G2111" i="18"/>
  <c r="G2109" i="18"/>
  <c r="H2109" i="18"/>
  <c r="F2109" i="18"/>
  <c r="G2052" i="18"/>
  <c r="E2052" i="18"/>
  <c r="G2050" i="18"/>
  <c r="G2048" i="18"/>
  <c r="H2048" i="18"/>
  <c r="F2048" i="18"/>
  <c r="G2046" i="18"/>
  <c r="H2046" i="18"/>
  <c r="E2046" i="18"/>
  <c r="G2031" i="18"/>
  <c r="H2031" i="18"/>
  <c r="G2029" i="18"/>
  <c r="G2027" i="18"/>
  <c r="H2027" i="18"/>
  <c r="F2027" i="18"/>
  <c r="G2025" i="18"/>
  <c r="H2025" i="18"/>
  <c r="G2010" i="18"/>
  <c r="G2008" i="18"/>
  <c r="H2008" i="18"/>
  <c r="F2008" i="18"/>
  <c r="G2006" i="18"/>
  <c r="G2004" i="18"/>
  <c r="G1989" i="18"/>
  <c r="H1989" i="18"/>
  <c r="G1987" i="18"/>
  <c r="G1985" i="18"/>
  <c r="G1983" i="18"/>
  <c r="G1966" i="18"/>
  <c r="E1966" i="18"/>
  <c r="G1968" i="18"/>
  <c r="H1968" i="18"/>
  <c r="F1968" i="18"/>
  <c r="G1964" i="18"/>
  <c r="H1964" i="18"/>
  <c r="F1964" i="18"/>
  <c r="G1962" i="18"/>
  <c r="H1962" i="18"/>
  <c r="F1962" i="18"/>
  <c r="G1947" i="18"/>
  <c r="H1947" i="18"/>
  <c r="F1947" i="18"/>
  <c r="H1948" i="18"/>
  <c r="F1948" i="18"/>
  <c r="G1945" i="18"/>
  <c r="G1943" i="18"/>
  <c r="E1943" i="18"/>
  <c r="G1941" i="18"/>
  <c r="H1941" i="18"/>
  <c r="F1941" i="18"/>
  <c r="G1926" i="18"/>
  <c r="E1926" i="18"/>
  <c r="G2132" i="18"/>
  <c r="E2132" i="18"/>
  <c r="H2132" i="18"/>
  <c r="G2126" i="18"/>
  <c r="H2126" i="18"/>
  <c r="F2126" i="18"/>
  <c r="G1924" i="18"/>
  <c r="E1924" i="18"/>
  <c r="G1922" i="18"/>
  <c r="G1920" i="18"/>
  <c r="E1920" i="18"/>
  <c r="G2121" i="18"/>
  <c r="H2121" i="18"/>
  <c r="F2121" i="18"/>
  <c r="G2119" i="18"/>
  <c r="E2119" i="18"/>
  <c r="AD2116" i="18"/>
  <c r="AB2116" i="18"/>
  <c r="E2116" i="18"/>
  <c r="G2107" i="18"/>
  <c r="G2056" i="18"/>
  <c r="H2056" i="18"/>
  <c r="F2056" i="18"/>
  <c r="E2056" i="18"/>
  <c r="AD2053" i="18"/>
  <c r="AB2053" i="18"/>
  <c r="E2053" i="18"/>
  <c r="K2047" i="18"/>
  <c r="L2047" i="18"/>
  <c r="G2035" i="18"/>
  <c r="E2035" i="18"/>
  <c r="AD2032" i="18"/>
  <c r="AB2032" i="18"/>
  <c r="E2032" i="18"/>
  <c r="G2014" i="18"/>
  <c r="H2014" i="18"/>
  <c r="F2014" i="18"/>
  <c r="AD2011" i="18"/>
  <c r="AB2011" i="18"/>
  <c r="E2011" i="18"/>
  <c r="G1993" i="18"/>
  <c r="E1993" i="18"/>
  <c r="AD1990" i="18"/>
  <c r="AB1990" i="18"/>
  <c r="E1990" i="18"/>
  <c r="G1972" i="18"/>
  <c r="E1972" i="18"/>
  <c r="AD1969" i="18"/>
  <c r="AB1969" i="18"/>
  <c r="E1969" i="18"/>
  <c r="G1951" i="18"/>
  <c r="E1951" i="18"/>
  <c r="AD1948" i="18"/>
  <c r="AB1948" i="18"/>
  <c r="E1948" i="18"/>
  <c r="H1930" i="18"/>
  <c r="F1930" i="18"/>
  <c r="AD1927" i="18"/>
  <c r="AB1927" i="18"/>
  <c r="E1927" i="18"/>
  <c r="K1921" i="18"/>
  <c r="L1921" i="18"/>
  <c r="G2082" i="18"/>
  <c r="E2082" i="18"/>
  <c r="H2082" i="18"/>
  <c r="F2082" i="18"/>
  <c r="G2079" i="18"/>
  <c r="H2079" i="18"/>
  <c r="F2079" i="18"/>
  <c r="G2078" i="18"/>
  <c r="E2078" i="18"/>
  <c r="I2099" i="18"/>
  <c r="I2098" i="18"/>
  <c r="I2094" i="18"/>
  <c r="J2094" i="18"/>
  <c r="F2094" i="18"/>
  <c r="I2093" i="18"/>
  <c r="J2093" i="18"/>
  <c r="AD2100" i="18"/>
  <c r="AB2100" i="18"/>
  <c r="E2100" i="18"/>
  <c r="H2097" i="18"/>
  <c r="F282" i="17"/>
  <c r="G2090" i="18"/>
  <c r="H2090" i="18"/>
  <c r="AD2095" i="18"/>
  <c r="AB2095" i="18"/>
  <c r="E2095" i="18"/>
  <c r="H2092" i="18"/>
  <c r="F281" i="17"/>
  <c r="G2089" i="18"/>
  <c r="H2089" i="18"/>
  <c r="G2088" i="18"/>
  <c r="H2088" i="18"/>
  <c r="F2088" i="18"/>
  <c r="G2087" i="18"/>
  <c r="E2087" i="18"/>
  <c r="H2087" i="18"/>
  <c r="F2087" i="18"/>
  <c r="G2086" i="18"/>
  <c r="H2086" i="18"/>
  <c r="E2086" i="18"/>
  <c r="G2076" i="18"/>
  <c r="G2072" i="18"/>
  <c r="H2072" i="18"/>
  <c r="F2072" i="18"/>
  <c r="H2074" i="18"/>
  <c r="F2074" i="18"/>
  <c r="E2074" i="18"/>
  <c r="G2049" i="18"/>
  <c r="H2049" i="18"/>
  <c r="F2049" i="18"/>
  <c r="G2028" i="18"/>
  <c r="G2007" i="18"/>
  <c r="G1986" i="18"/>
  <c r="H1986" i="18"/>
  <c r="E1986" i="18"/>
  <c r="G1965" i="18"/>
  <c r="G1944" i="18"/>
  <c r="I2063" i="18"/>
  <c r="J2063" i="18"/>
  <c r="I2062" i="18"/>
  <c r="J2062" i="18"/>
  <c r="F2062" i="18"/>
  <c r="I2061" i="18"/>
  <c r="J2061" i="18"/>
  <c r="F2061" i="18"/>
  <c r="AB2065" i="18"/>
  <c r="L2065" i="18"/>
  <c r="H2065" i="18"/>
  <c r="E2065" i="18"/>
  <c r="AD2064" i="18"/>
  <c r="AB2064" i="18"/>
  <c r="AD2065" i="18"/>
  <c r="E2064" i="18"/>
  <c r="G1923" i="18"/>
  <c r="H1923" i="18"/>
  <c r="F1923" i="18"/>
  <c r="E1910" i="18"/>
  <c r="G1908" i="18"/>
  <c r="E1908" i="18"/>
  <c r="G1906" i="18"/>
  <c r="H1906" i="18"/>
  <c r="F1906" i="18"/>
  <c r="G1896" i="18"/>
  <c r="H1896" i="18"/>
  <c r="F1896" i="18"/>
  <c r="G1887" i="18"/>
  <c r="H1887" i="18"/>
  <c r="F1887" i="18"/>
  <c r="G1877" i="18"/>
  <c r="E1877" i="18"/>
  <c r="G1868" i="18"/>
  <c r="H1868" i="18"/>
  <c r="F1868" i="18"/>
  <c r="G1866" i="18"/>
  <c r="E1866" i="18"/>
  <c r="G1856" i="18"/>
  <c r="E1856" i="18"/>
  <c r="E1849" i="18"/>
  <c r="G1847" i="18"/>
  <c r="E1847" i="18"/>
  <c r="G1845" i="18"/>
  <c r="E1845" i="18"/>
  <c r="G1835" i="18"/>
  <c r="H1835" i="18"/>
  <c r="H2044" i="18"/>
  <c r="F2044" i="18"/>
  <c r="G2023" i="18"/>
  <c r="H2023" i="18"/>
  <c r="F2023" i="18"/>
  <c r="G2002" i="18"/>
  <c r="H2002" i="18"/>
  <c r="F2002" i="18"/>
  <c r="E2002" i="18"/>
  <c r="G1981" i="18"/>
  <c r="E1981" i="18"/>
  <c r="H1981" i="18"/>
  <c r="F1981" i="18"/>
  <c r="G1960" i="18"/>
  <c r="G1939" i="18"/>
  <c r="H1939" i="18"/>
  <c r="F1939" i="18"/>
  <c r="G1918" i="18"/>
  <c r="E1918" i="18"/>
  <c r="H1918" i="18"/>
  <c r="F1918" i="18"/>
  <c r="G1903" i="18"/>
  <c r="E1903" i="18"/>
  <c r="F1903" i="18"/>
  <c r="G1901" i="18"/>
  <c r="E1901" i="18"/>
  <c r="F1901" i="18"/>
  <c r="H1899" i="18"/>
  <c r="F1899" i="18"/>
  <c r="E1899" i="18"/>
  <c r="G1884" i="18"/>
  <c r="E1884" i="18"/>
  <c r="H1884" i="18"/>
  <c r="F1884" i="18"/>
  <c r="G1882" i="18"/>
  <c r="H1882" i="18"/>
  <c r="F1882" i="18"/>
  <c r="G1880" i="18"/>
  <c r="E1880" i="18"/>
  <c r="G1863" i="18"/>
  <c r="G1861" i="18"/>
  <c r="G1859" i="18"/>
  <c r="K1844" i="18"/>
  <c r="L1844" i="18"/>
  <c r="G1842" i="18"/>
  <c r="G1840" i="18"/>
  <c r="G1838" i="18"/>
  <c r="H1838" i="18"/>
  <c r="F1838" i="18"/>
  <c r="BV86" i="16"/>
  <c r="BV85" i="16"/>
  <c r="BV84" i="16"/>
  <c r="BV83" i="16"/>
  <c r="BV80" i="16"/>
  <c r="BV76" i="16"/>
  <c r="BV75" i="16"/>
  <c r="BV74" i="16"/>
  <c r="BV73" i="16"/>
  <c r="BV72" i="16"/>
  <c r="BV69" i="16"/>
  <c r="BV67" i="16"/>
  <c r="BV63" i="16"/>
  <c r="BV61" i="16"/>
  <c r="BV45" i="16"/>
  <c r="BV19" i="16"/>
  <c r="BV17" i="16"/>
  <c r="BL1562" i="18"/>
  <c r="BL1563" i="18"/>
  <c r="C23" i="28"/>
  <c r="C22" i="28"/>
  <c r="C21" i="28"/>
  <c r="C20" i="28"/>
  <c r="C19" i="28"/>
  <c r="C18" i="28"/>
  <c r="G6" i="25"/>
  <c r="G5" i="25"/>
  <c r="G4" i="25"/>
  <c r="G3" i="25"/>
  <c r="D133" i="23"/>
  <c r="D132" i="23"/>
  <c r="D131" i="23"/>
  <c r="D130" i="23"/>
  <c r="D129" i="23"/>
  <c r="D128" i="23"/>
  <c r="D127" i="23"/>
  <c r="D126" i="23"/>
  <c r="D125" i="23"/>
  <c r="D124" i="23"/>
  <c r="D123" i="23"/>
  <c r="D122" i="23"/>
  <c r="D121" i="23"/>
  <c r="D120" i="23"/>
  <c r="D119" i="23"/>
  <c r="D118" i="23"/>
  <c r="D117" i="23"/>
  <c r="D116" i="23"/>
  <c r="D115" i="23"/>
  <c r="D114" i="23"/>
  <c r="D113" i="23"/>
  <c r="D112" i="23"/>
  <c r="D111" i="23"/>
  <c r="D110" i="23"/>
  <c r="D109" i="23"/>
  <c r="D108" i="23"/>
  <c r="D107" i="23"/>
  <c r="D106" i="23"/>
  <c r="D105" i="23"/>
  <c r="D104" i="23"/>
  <c r="D103" i="23"/>
  <c r="D102" i="23"/>
  <c r="D101" i="23"/>
  <c r="D100" i="23"/>
  <c r="D99" i="23"/>
  <c r="D98" i="23"/>
  <c r="D97" i="23"/>
  <c r="D96" i="23"/>
  <c r="D95" i="23"/>
  <c r="D94" i="23"/>
  <c r="D93" i="23"/>
  <c r="D92" i="23"/>
  <c r="D91" i="23"/>
  <c r="D90" i="23"/>
  <c r="D89" i="23"/>
  <c r="D88" i="23"/>
  <c r="D87" i="23"/>
  <c r="D86" i="23"/>
  <c r="D85" i="23"/>
  <c r="D84" i="23"/>
  <c r="D83" i="23"/>
  <c r="D82" i="23"/>
  <c r="D81" i="23"/>
  <c r="D80" i="23"/>
  <c r="D79" i="23"/>
  <c r="D78" i="23"/>
  <c r="D77" i="23"/>
  <c r="D76" i="23"/>
  <c r="D75" i="23"/>
  <c r="D74" i="23"/>
  <c r="D73" i="23"/>
  <c r="D72" i="23"/>
  <c r="D71" i="23"/>
  <c r="D70" i="23"/>
  <c r="D69" i="23"/>
  <c r="D68" i="23"/>
  <c r="D67" i="23"/>
  <c r="D66" i="23"/>
  <c r="D65" i="23"/>
  <c r="D64" i="23"/>
  <c r="D63" i="23"/>
  <c r="D62" i="23"/>
  <c r="D61" i="23"/>
  <c r="D60" i="23"/>
  <c r="D59" i="23"/>
  <c r="D58" i="23"/>
  <c r="D57" i="23"/>
  <c r="D56" i="23"/>
  <c r="D55" i="23"/>
  <c r="D54" i="23"/>
  <c r="D53" i="23"/>
  <c r="D52" i="23"/>
  <c r="D51" i="23"/>
  <c r="D50" i="23"/>
  <c r="D49" i="23"/>
  <c r="D48" i="23"/>
  <c r="D47" i="23"/>
  <c r="D46" i="23"/>
  <c r="D45" i="23"/>
  <c r="D44" i="23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AG119" i="21"/>
  <c r="AG116" i="21"/>
  <c r="F116" i="21"/>
  <c r="G116" i="21"/>
  <c r="AG114" i="21"/>
  <c r="F114" i="21"/>
  <c r="G114" i="21"/>
  <c r="G115" i="21"/>
  <c r="D114" i="21"/>
  <c r="AG107" i="21"/>
  <c r="AG104" i="21"/>
  <c r="F104" i="21"/>
  <c r="G104" i="21"/>
  <c r="AG102" i="21"/>
  <c r="F102" i="21"/>
  <c r="G102" i="21"/>
  <c r="G103" i="21"/>
  <c r="D102" i="21"/>
  <c r="AG95" i="21"/>
  <c r="AG92" i="21"/>
  <c r="F92" i="21"/>
  <c r="G92" i="21"/>
  <c r="AG90" i="21"/>
  <c r="F90" i="21"/>
  <c r="D90" i="21"/>
  <c r="G90" i="21"/>
  <c r="G91" i="21"/>
  <c r="AG83" i="21"/>
  <c r="AG80" i="21"/>
  <c r="F80" i="21"/>
  <c r="G80" i="21"/>
  <c r="AG78" i="21"/>
  <c r="F78" i="21"/>
  <c r="D78" i="21"/>
  <c r="AG71" i="21"/>
  <c r="AG68" i="21"/>
  <c r="F68" i="21"/>
  <c r="G68" i="21"/>
  <c r="AG66" i="21"/>
  <c r="F66" i="21"/>
  <c r="D66" i="21"/>
  <c r="G66" i="21"/>
  <c r="G67" i="21"/>
  <c r="AG59" i="21"/>
  <c r="AG56" i="21"/>
  <c r="F56" i="21"/>
  <c r="G56" i="21"/>
  <c r="AG54" i="21"/>
  <c r="F54" i="21"/>
  <c r="D54" i="21"/>
  <c r="G54" i="21"/>
  <c r="G55" i="21"/>
  <c r="G7" i="20"/>
  <c r="AG47" i="21"/>
  <c r="AG44" i="21"/>
  <c r="F44" i="21"/>
  <c r="G44" i="21"/>
  <c r="AG42" i="21"/>
  <c r="F42" i="21"/>
  <c r="D42" i="21"/>
  <c r="G42" i="21"/>
  <c r="G43" i="21"/>
  <c r="AG35" i="21"/>
  <c r="AG32" i="21"/>
  <c r="F32" i="21"/>
  <c r="G32" i="21"/>
  <c r="G33" i="21"/>
  <c r="AG30" i="21"/>
  <c r="F30" i="21"/>
  <c r="G30" i="21"/>
  <c r="G31" i="21"/>
  <c r="G5" i="20"/>
  <c r="D30" i="21"/>
  <c r="AG23" i="21"/>
  <c r="AG20" i="21"/>
  <c r="F20" i="21"/>
  <c r="G20" i="21"/>
  <c r="AG18" i="21"/>
  <c r="F18" i="21"/>
  <c r="D18" i="21"/>
  <c r="AG11" i="21"/>
  <c r="AG8" i="21"/>
  <c r="F8" i="21"/>
  <c r="G8" i="21"/>
  <c r="AG6" i="21"/>
  <c r="F6" i="21"/>
  <c r="G6" i="21"/>
  <c r="G7" i="21"/>
  <c r="G3" i="20"/>
  <c r="D6" i="21"/>
  <c r="O12" i="20"/>
  <c r="O11" i="20"/>
  <c r="O10" i="20"/>
  <c r="O9" i="20"/>
  <c r="O8" i="20"/>
  <c r="O7" i="20"/>
  <c r="O6" i="20"/>
  <c r="O5" i="20"/>
  <c r="O4" i="20"/>
  <c r="O3" i="20"/>
  <c r="B157" i="19"/>
  <c r="AP155" i="19"/>
  <c r="AJ155" i="19"/>
  <c r="A155" i="19"/>
  <c r="AL155" i="19"/>
  <c r="AF155" i="19"/>
  <c r="AH155" i="19"/>
  <c r="AD155" i="19"/>
  <c r="K155" i="19"/>
  <c r="B155" i="19"/>
  <c r="AL154" i="19"/>
  <c r="AH154" i="19"/>
  <c r="AD154" i="19"/>
  <c r="K154" i="19"/>
  <c r="A154" i="19"/>
  <c r="AB150" i="19"/>
  <c r="B142" i="19"/>
  <c r="AH140" i="19"/>
  <c r="AD140" i="19"/>
  <c r="K140" i="19"/>
  <c r="A140" i="19"/>
  <c r="AL139" i="19"/>
  <c r="AN139" i="19"/>
  <c r="AP139" i="19"/>
  <c r="AH139" i="19"/>
  <c r="AD139" i="19"/>
  <c r="K139" i="19"/>
  <c r="B139" i="19"/>
  <c r="B122" i="19"/>
  <c r="AP121" i="19"/>
  <c r="AL121" i="19"/>
  <c r="AH121" i="19"/>
  <c r="AD121" i="19"/>
  <c r="K121" i="19"/>
  <c r="A121" i="19"/>
  <c r="B106" i="19"/>
  <c r="AZ105" i="19"/>
  <c r="BB105" i="19"/>
  <c r="A105" i="19"/>
  <c r="AV105" i="19"/>
  <c r="AX105" i="19"/>
  <c r="AT105" i="19"/>
  <c r="AP105" i="19"/>
  <c r="AL105" i="19"/>
  <c r="AH105" i="19"/>
  <c r="AD105" i="19"/>
  <c r="K105" i="19"/>
  <c r="B105" i="19"/>
  <c r="AB98" i="19"/>
  <c r="B91" i="19"/>
  <c r="AH90" i="19"/>
  <c r="AD90" i="19"/>
  <c r="K90" i="19"/>
  <c r="A90" i="19"/>
  <c r="AN89" i="19"/>
  <c r="AP89" i="19"/>
  <c r="A89" i="19"/>
  <c r="AJ89" i="19"/>
  <c r="AL89" i="19"/>
  <c r="AH89" i="19"/>
  <c r="AD89" i="19"/>
  <c r="K89" i="19"/>
  <c r="B89" i="19"/>
  <c r="B69" i="19"/>
  <c r="AT67" i="19"/>
  <c r="AP67" i="19"/>
  <c r="K67" i="19"/>
  <c r="B67" i="19"/>
  <c r="AL65" i="19"/>
  <c r="AB67" i="19"/>
  <c r="AH65" i="19"/>
  <c r="AD65" i="19"/>
  <c r="K65" i="19"/>
  <c r="A65" i="19"/>
  <c r="AB50" i="19"/>
  <c r="D50" i="19"/>
  <c r="B50" i="19"/>
  <c r="A50" i="19"/>
  <c r="B37" i="19"/>
  <c r="AH35" i="19"/>
  <c r="AJ37" i="19"/>
  <c r="AL37" i="19"/>
  <c r="AD35" i="19"/>
  <c r="AR37" i="19"/>
  <c r="K35" i="19"/>
  <c r="A35" i="19"/>
  <c r="AL33" i="19"/>
  <c r="AN37" i="19"/>
  <c r="AP37" i="19"/>
  <c r="AH33" i="19"/>
  <c r="AF37" i="19"/>
  <c r="AD33" i="19"/>
  <c r="AB37" i="19"/>
  <c r="AD37" i="19"/>
  <c r="K33" i="19"/>
  <c r="A33" i="19"/>
  <c r="B14" i="19"/>
  <c r="AH12" i="19"/>
  <c r="AJ14" i="19"/>
  <c r="AL14" i="19"/>
  <c r="AD12" i="19"/>
  <c r="AR14" i="19"/>
  <c r="AT14" i="19"/>
  <c r="K12" i="19"/>
  <c r="A12" i="19"/>
  <c r="AL10" i="19"/>
  <c r="AN14" i="19"/>
  <c r="AP14" i="19"/>
  <c r="AH10" i="19"/>
  <c r="AF14" i="19"/>
  <c r="AH14" i="19"/>
  <c r="AD10" i="19"/>
  <c r="AB14" i="19"/>
  <c r="K10" i="19"/>
  <c r="A10" i="19"/>
  <c r="H1829" i="18"/>
  <c r="H1825" i="18"/>
  <c r="F279" i="17"/>
  <c r="G1720" i="18"/>
  <c r="H1720" i="18"/>
  <c r="E1829" i="18"/>
  <c r="AB1828" i="18"/>
  <c r="AD1828" i="18"/>
  <c r="E1828" i="18"/>
  <c r="BI1827" i="18"/>
  <c r="I1827" i="18"/>
  <c r="J1827" i="18"/>
  <c r="F1827" i="18"/>
  <c r="BI1826" i="18"/>
  <c r="I1826" i="18"/>
  <c r="E1823" i="18"/>
  <c r="E1822" i="18"/>
  <c r="BI1821" i="18"/>
  <c r="G1821" i="18"/>
  <c r="H1821" i="18"/>
  <c r="F1821" i="18"/>
  <c r="BI1820" i="18"/>
  <c r="G1820" i="18"/>
  <c r="H1820" i="18"/>
  <c r="L1819" i="18"/>
  <c r="J278" i="17"/>
  <c r="K1719" i="18"/>
  <c r="L1719" i="18"/>
  <c r="J1819" i="18"/>
  <c r="H278" i="17"/>
  <c r="I1719" i="18"/>
  <c r="J1719" i="18"/>
  <c r="BI1817" i="18"/>
  <c r="I1817" i="18"/>
  <c r="E1817" i="18"/>
  <c r="BI1816" i="18"/>
  <c r="I1816" i="18"/>
  <c r="E1816" i="18"/>
  <c r="BI1815" i="18"/>
  <c r="K1815" i="18"/>
  <c r="L1815" i="18"/>
  <c r="L1814" i="18"/>
  <c r="J277" i="17"/>
  <c r="K1638" i="18"/>
  <c r="L1638" i="18"/>
  <c r="L1636" i="18"/>
  <c r="J247" i="17"/>
  <c r="K1133" i="18"/>
  <c r="L1133" i="18"/>
  <c r="I1815" i="18"/>
  <c r="J1815" i="18"/>
  <c r="F1815" i="18"/>
  <c r="G1815" i="18"/>
  <c r="H1815" i="18"/>
  <c r="BI1812" i="18"/>
  <c r="G1812" i="18"/>
  <c r="H1811" i="18"/>
  <c r="E1811" i="18"/>
  <c r="AB1810" i="18"/>
  <c r="AD1810" i="18"/>
  <c r="E1810" i="18"/>
  <c r="BI1809" i="18"/>
  <c r="I1809" i="18"/>
  <c r="BI1808" i="18"/>
  <c r="I1808" i="18"/>
  <c r="E1808" i="18"/>
  <c r="H1805" i="18"/>
  <c r="H1801" i="18"/>
  <c r="F275" i="17"/>
  <c r="G1612" i="18"/>
  <c r="H1612" i="18"/>
  <c r="E1805" i="18"/>
  <c r="AB1804" i="18"/>
  <c r="AD1804" i="18"/>
  <c r="E1804" i="18"/>
  <c r="BI1803" i="18"/>
  <c r="I1803" i="18"/>
  <c r="J1803" i="18"/>
  <c r="F1803" i="18"/>
  <c r="E1803" i="18"/>
  <c r="BI1802" i="18"/>
  <c r="I1802" i="18"/>
  <c r="E1802" i="18"/>
  <c r="J1802" i="18"/>
  <c r="BI1799" i="18"/>
  <c r="G1799" i="18"/>
  <c r="H1799" i="18"/>
  <c r="BI1798" i="18"/>
  <c r="G1798" i="18"/>
  <c r="E1798" i="18"/>
  <c r="BI1797" i="18"/>
  <c r="K1797" i="18"/>
  <c r="L1797" i="18"/>
  <c r="L1796" i="18"/>
  <c r="J274" i="17"/>
  <c r="K1571" i="18"/>
  <c r="L1571" i="18"/>
  <c r="I1797" i="18"/>
  <c r="G1797" i="18"/>
  <c r="H1797" i="18"/>
  <c r="E1794" i="18"/>
  <c r="BI1793" i="18"/>
  <c r="BI1792" i="18"/>
  <c r="I1792" i="18"/>
  <c r="E1792" i="18"/>
  <c r="BI1791" i="18"/>
  <c r="I1791" i="18"/>
  <c r="E1788" i="18"/>
  <c r="BI1787" i="18"/>
  <c r="BI1786" i="18"/>
  <c r="BI1785" i="18"/>
  <c r="I1785" i="18"/>
  <c r="J1785" i="18"/>
  <c r="BI1784" i="18"/>
  <c r="I1784" i="18"/>
  <c r="J1784" i="18"/>
  <c r="F1784" i="18"/>
  <c r="E1781" i="18"/>
  <c r="BI1780" i="18"/>
  <c r="BI1779" i="18"/>
  <c r="BI1778" i="18"/>
  <c r="I1778" i="18"/>
  <c r="E1778" i="18"/>
  <c r="BI1777" i="18"/>
  <c r="I1777" i="18"/>
  <c r="E1774" i="18"/>
  <c r="BI1773" i="18"/>
  <c r="BI1772" i="18"/>
  <c r="I1772" i="18"/>
  <c r="J1772" i="18"/>
  <c r="F1772" i="18"/>
  <c r="BI1771" i="18"/>
  <c r="I1771" i="18"/>
  <c r="E1768" i="18"/>
  <c r="BI1767" i="18"/>
  <c r="BI1766" i="18"/>
  <c r="I1766" i="18"/>
  <c r="BI1765" i="18"/>
  <c r="I1765" i="18"/>
  <c r="E1765" i="18"/>
  <c r="E1762" i="18"/>
  <c r="BI1761" i="18"/>
  <c r="BI1760" i="18"/>
  <c r="BI1759" i="18"/>
  <c r="I1759" i="18"/>
  <c r="J1759" i="18"/>
  <c r="F1759" i="18"/>
  <c r="BI1758" i="18"/>
  <c r="I1758" i="18"/>
  <c r="J1758" i="18"/>
  <c r="F1758" i="18"/>
  <c r="E1755" i="18"/>
  <c r="BI1754" i="18"/>
  <c r="BI1753" i="18"/>
  <c r="BI1752" i="18"/>
  <c r="I1752" i="18"/>
  <c r="E1752" i="18"/>
  <c r="BI1751" i="18"/>
  <c r="I1751" i="18"/>
  <c r="E1751" i="18"/>
  <c r="E1748" i="18"/>
  <c r="BI1747" i="18"/>
  <c r="BI1746" i="18"/>
  <c r="BI1745" i="18"/>
  <c r="I1745" i="18"/>
  <c r="BI1744" i="18"/>
  <c r="I1744" i="18"/>
  <c r="E1741" i="18"/>
  <c r="BI1740" i="18"/>
  <c r="BI1739" i="18"/>
  <c r="BI1738" i="18"/>
  <c r="I1738" i="18"/>
  <c r="E1738" i="18"/>
  <c r="J1738" i="18"/>
  <c r="F1738" i="18"/>
  <c r="BI1737" i="18"/>
  <c r="I1737" i="18"/>
  <c r="E1737" i="18"/>
  <c r="E1734" i="18"/>
  <c r="E1733" i="18"/>
  <c r="BI1732" i="18"/>
  <c r="BI1731" i="18"/>
  <c r="I1731" i="18"/>
  <c r="BI1730" i="18"/>
  <c r="I1730" i="18"/>
  <c r="J1730" i="18"/>
  <c r="F1730" i="18"/>
  <c r="E1727" i="18"/>
  <c r="E1726" i="18"/>
  <c r="BI1725" i="18"/>
  <c r="BI1724" i="18"/>
  <c r="I1724" i="18"/>
  <c r="J1724" i="18"/>
  <c r="F1724" i="18"/>
  <c r="BI1723" i="18"/>
  <c r="I1723" i="18"/>
  <c r="J1723" i="18"/>
  <c r="F1723" i="18"/>
  <c r="BI1720" i="18"/>
  <c r="BI1719" i="18"/>
  <c r="E1716" i="18"/>
  <c r="E1715" i="18"/>
  <c r="BI1714" i="18"/>
  <c r="BI1713" i="18"/>
  <c r="BI1712" i="18"/>
  <c r="I1712" i="18"/>
  <c r="E1712" i="18"/>
  <c r="BI1711" i="18"/>
  <c r="I1711" i="18"/>
  <c r="J1711" i="18"/>
  <c r="F1711" i="18"/>
  <c r="BI1710" i="18"/>
  <c r="I1710" i="18"/>
  <c r="J1710" i="18"/>
  <c r="F1710" i="18"/>
  <c r="E1707" i="18"/>
  <c r="E1706" i="18"/>
  <c r="BI1705" i="18"/>
  <c r="BI1704" i="18"/>
  <c r="BI1703" i="18"/>
  <c r="I1703" i="18"/>
  <c r="E1703" i="18"/>
  <c r="BI1702" i="18"/>
  <c r="I1702" i="18"/>
  <c r="E1702" i="18"/>
  <c r="BI1701" i="18"/>
  <c r="I1701" i="18"/>
  <c r="J1701" i="18"/>
  <c r="E1701" i="18"/>
  <c r="BI1698" i="18"/>
  <c r="BI1697" i="18"/>
  <c r="G1697" i="18"/>
  <c r="H1697" i="18"/>
  <c r="F1697" i="18"/>
  <c r="BI1694" i="18"/>
  <c r="G1694" i="18"/>
  <c r="BI1693" i="18"/>
  <c r="BI1692" i="18"/>
  <c r="G1692" i="18"/>
  <c r="H1692" i="18"/>
  <c r="BI1689" i="18"/>
  <c r="G1689" i="18"/>
  <c r="BI1688" i="18"/>
  <c r="BI1687" i="18"/>
  <c r="G1687" i="18"/>
  <c r="E1687" i="18"/>
  <c r="L1684" i="18"/>
  <c r="L1682" i="18"/>
  <c r="J256" i="17"/>
  <c r="K1193" i="18"/>
  <c r="L1193" i="18"/>
  <c r="E1684" i="18"/>
  <c r="BI1683" i="18"/>
  <c r="AB1683" i="18"/>
  <c r="AD1683" i="18"/>
  <c r="I1683" i="18"/>
  <c r="E1683" i="18"/>
  <c r="H1682" i="18"/>
  <c r="F256" i="17"/>
  <c r="G1193" i="18"/>
  <c r="H1193" i="18"/>
  <c r="E1680" i="18"/>
  <c r="BI1679" i="18"/>
  <c r="I1679" i="18"/>
  <c r="J1679" i="18"/>
  <c r="BI1678" i="18"/>
  <c r="I1678" i="18"/>
  <c r="E1678" i="18"/>
  <c r="BI1677" i="18"/>
  <c r="G1677" i="18"/>
  <c r="E1677" i="18"/>
  <c r="BI1676" i="18"/>
  <c r="G1676" i="18"/>
  <c r="BI1675" i="18"/>
  <c r="G1675" i="18"/>
  <c r="H1675" i="18"/>
  <c r="E1675" i="18"/>
  <c r="AB1673" i="18"/>
  <c r="AD1673" i="18"/>
  <c r="L1672" i="18"/>
  <c r="L1668" i="18"/>
  <c r="J254" i="17"/>
  <c r="K2117" i="18"/>
  <c r="L2117" i="18"/>
  <c r="H1672" i="18"/>
  <c r="H1668" i="18"/>
  <c r="F254" i="17"/>
  <c r="E1672" i="18"/>
  <c r="AB1671" i="18"/>
  <c r="AD1671" i="18"/>
  <c r="E1671" i="18"/>
  <c r="BI1670" i="18"/>
  <c r="I1670" i="18"/>
  <c r="E1670" i="18"/>
  <c r="BI1669" i="18"/>
  <c r="I1669" i="18"/>
  <c r="AB1667" i="18"/>
  <c r="AD1667" i="18"/>
  <c r="L1666" i="18"/>
  <c r="H1666" i="18"/>
  <c r="H1661" i="18"/>
  <c r="F253" i="17"/>
  <c r="E1666" i="18"/>
  <c r="AB1665" i="18"/>
  <c r="AD1665" i="18"/>
  <c r="E1665" i="18"/>
  <c r="BI1664" i="18"/>
  <c r="I1664" i="18"/>
  <c r="J1664" i="18"/>
  <c r="J1666" i="18"/>
  <c r="F1666" i="18"/>
  <c r="BI1663" i="18"/>
  <c r="I1663" i="18"/>
  <c r="BI1662" i="18"/>
  <c r="I1662" i="18"/>
  <c r="E1659" i="18"/>
  <c r="BI1658" i="18"/>
  <c r="I1658" i="18"/>
  <c r="E1658" i="18"/>
  <c r="BI1657" i="18"/>
  <c r="I1657" i="18"/>
  <c r="E1657" i="18"/>
  <c r="BI1656" i="18"/>
  <c r="G1656" i="18"/>
  <c r="E1656" i="18"/>
  <c r="BI1655" i="18"/>
  <c r="G1655" i="18"/>
  <c r="L1654" i="18"/>
  <c r="J252" i="17"/>
  <c r="K2110" i="18"/>
  <c r="L2110" i="18"/>
  <c r="BI1652" i="18"/>
  <c r="I1652" i="18"/>
  <c r="L1651" i="18"/>
  <c r="J251" i="17"/>
  <c r="H1651" i="18"/>
  <c r="F251" i="17"/>
  <c r="G1979" i="18"/>
  <c r="BI1649" i="18"/>
  <c r="I1649" i="18"/>
  <c r="E1649" i="18"/>
  <c r="L1648" i="18"/>
  <c r="J250" i="17"/>
  <c r="K1978" i="18"/>
  <c r="L1978" i="18"/>
  <c r="H1648" i="18"/>
  <c r="F250" i="17"/>
  <c r="BI1646" i="18"/>
  <c r="I1646" i="18"/>
  <c r="L1645" i="18"/>
  <c r="J249" i="17"/>
  <c r="K2040" i="18"/>
  <c r="L2040" i="18"/>
  <c r="H1645" i="18"/>
  <c r="F249" i="17"/>
  <c r="G1179" i="18"/>
  <c r="H1179" i="18"/>
  <c r="BI1643" i="18"/>
  <c r="BI1642" i="18"/>
  <c r="I1642" i="18"/>
  <c r="J1642" i="18"/>
  <c r="F1642" i="18"/>
  <c r="BI1641" i="18"/>
  <c r="I1641" i="18"/>
  <c r="BI1638" i="18"/>
  <c r="BI1637" i="18"/>
  <c r="G1637" i="18"/>
  <c r="H1637" i="18"/>
  <c r="F1637" i="18"/>
  <c r="BI1634" i="18"/>
  <c r="I1634" i="18"/>
  <c r="BI1633" i="18"/>
  <c r="I1633" i="18"/>
  <c r="L1632" i="18"/>
  <c r="J246" i="17"/>
  <c r="K2134" i="18"/>
  <c r="L2134" i="18"/>
  <c r="H1632" i="18"/>
  <c r="F246" i="17"/>
  <c r="G1120" i="18"/>
  <c r="H1120" i="18"/>
  <c r="E1630" i="18"/>
  <c r="BI1629" i="18"/>
  <c r="I1629" i="18"/>
  <c r="BI1628" i="18"/>
  <c r="I1628" i="18"/>
  <c r="H1627" i="18"/>
  <c r="E1625" i="18"/>
  <c r="BI1624" i="18"/>
  <c r="I1624" i="18"/>
  <c r="BI1623" i="18"/>
  <c r="I1623" i="18"/>
  <c r="H1622" i="18"/>
  <c r="F244" i="17"/>
  <c r="G1076" i="18"/>
  <c r="G1093" i="18"/>
  <c r="H1093" i="18"/>
  <c r="E1620" i="18"/>
  <c r="BI1619" i="18"/>
  <c r="I1619" i="18"/>
  <c r="BI1618" i="18"/>
  <c r="I1618" i="18"/>
  <c r="J1618" i="18"/>
  <c r="L1620" i="18"/>
  <c r="BI1617" i="18"/>
  <c r="G1617" i="18"/>
  <c r="E1617" i="18"/>
  <c r="BI1616" i="18"/>
  <c r="G1616" i="18"/>
  <c r="H1616" i="18"/>
  <c r="F1616" i="18"/>
  <c r="BI1613" i="18"/>
  <c r="BI1612" i="18"/>
  <c r="E1609" i="18"/>
  <c r="BI1608" i="18"/>
  <c r="I1608" i="18"/>
  <c r="E1608" i="18"/>
  <c r="BI1607" i="18"/>
  <c r="I1607" i="18"/>
  <c r="E1606" i="18"/>
  <c r="BI1605" i="18"/>
  <c r="E1602" i="18"/>
  <c r="E1601" i="18"/>
  <c r="BI1600" i="18"/>
  <c r="BI1599" i="18"/>
  <c r="I1599" i="18"/>
  <c r="J1599" i="18"/>
  <c r="E1599" i="18"/>
  <c r="BI1598" i="18"/>
  <c r="I1598" i="18"/>
  <c r="J1598" i="18"/>
  <c r="F1598" i="18"/>
  <c r="E1595" i="18"/>
  <c r="BI1594" i="18"/>
  <c r="BI1593" i="18"/>
  <c r="BI1592" i="18"/>
  <c r="BI1591" i="18"/>
  <c r="I1591" i="18"/>
  <c r="BI1590" i="18"/>
  <c r="I1590" i="18"/>
  <c r="E1590" i="18"/>
  <c r="E1586" i="18"/>
  <c r="BI1585" i="18"/>
  <c r="BI1584" i="18"/>
  <c r="I1584" i="18"/>
  <c r="E1584" i="18"/>
  <c r="BI1583" i="18"/>
  <c r="I1583" i="18"/>
  <c r="J1583" i="18"/>
  <c r="E1583" i="18"/>
  <c r="BI1580" i="18"/>
  <c r="I1580" i="18"/>
  <c r="J1580" i="18"/>
  <c r="BI1579" i="18"/>
  <c r="G1579" i="18"/>
  <c r="E1579" i="18"/>
  <c r="BI1578" i="18"/>
  <c r="G1578" i="18"/>
  <c r="H1578" i="18"/>
  <c r="F1578" i="18"/>
  <c r="L1577" i="18"/>
  <c r="J237" i="17"/>
  <c r="K1058" i="18"/>
  <c r="L1058" i="18"/>
  <c r="E1575" i="18"/>
  <c r="BI1574" i="18"/>
  <c r="I1574" i="18"/>
  <c r="E1574" i="18"/>
  <c r="BI1573" i="18"/>
  <c r="I1573" i="18"/>
  <c r="E1572" i="18"/>
  <c r="BI1571" i="18"/>
  <c r="E1568" i="18"/>
  <c r="E1567" i="18"/>
  <c r="BI1566" i="18"/>
  <c r="BI1565" i="18"/>
  <c r="I1565" i="18"/>
  <c r="BI1564" i="18"/>
  <c r="I1564" i="18"/>
  <c r="J1564" i="18"/>
  <c r="AB1562" i="18"/>
  <c r="AD1562" i="18"/>
  <c r="L1561" i="18"/>
  <c r="H1561" i="18"/>
  <c r="E1561" i="18"/>
  <c r="BI1560" i="18"/>
  <c r="AB1560" i="18"/>
  <c r="AD1560" i="18"/>
  <c r="I1560" i="18"/>
  <c r="J1560" i="18"/>
  <c r="BI1559" i="18"/>
  <c r="I1559" i="18"/>
  <c r="BI1558" i="18"/>
  <c r="K1558" i="18"/>
  <c r="L1558" i="18"/>
  <c r="I1558" i="18"/>
  <c r="J1558" i="18"/>
  <c r="G1558" i="18"/>
  <c r="E1558" i="18"/>
  <c r="AB1556" i="18"/>
  <c r="AD1556" i="18"/>
  <c r="L1555" i="18"/>
  <c r="H1555" i="18"/>
  <c r="E1555" i="18"/>
  <c r="BI1554" i="18"/>
  <c r="AB1554" i="18"/>
  <c r="AD1554" i="18"/>
  <c r="I1554" i="18"/>
  <c r="BI1553" i="18"/>
  <c r="I1553" i="18"/>
  <c r="J1553" i="18"/>
  <c r="F1553" i="18"/>
  <c r="BI1552" i="18"/>
  <c r="K1552" i="18"/>
  <c r="L1552" i="18"/>
  <c r="L1551" i="18"/>
  <c r="I1552" i="18"/>
  <c r="J1552" i="18"/>
  <c r="G1552" i="18"/>
  <c r="AB1550" i="18"/>
  <c r="AD1550" i="18"/>
  <c r="L1549" i="18"/>
  <c r="H1549" i="18"/>
  <c r="E1549" i="18"/>
  <c r="BI1548" i="18"/>
  <c r="AB1548" i="18"/>
  <c r="AD1548" i="18"/>
  <c r="I1548" i="18"/>
  <c r="J1548" i="18"/>
  <c r="F1548" i="18"/>
  <c r="BI1547" i="18"/>
  <c r="I1547" i="18"/>
  <c r="BI1546" i="18"/>
  <c r="K1546" i="18"/>
  <c r="L1546" i="18"/>
  <c r="I1546" i="18"/>
  <c r="J1546" i="18"/>
  <c r="G1546" i="18"/>
  <c r="H1546" i="18"/>
  <c r="AB1544" i="18"/>
  <c r="AD1544" i="18"/>
  <c r="L1543" i="18"/>
  <c r="L1540" i="18"/>
  <c r="J231" i="17"/>
  <c r="K932" i="18"/>
  <c r="L932" i="18"/>
  <c r="L930" i="18"/>
  <c r="J155" i="17"/>
  <c r="H1543" i="18"/>
  <c r="E1543" i="18"/>
  <c r="BI1542" i="18"/>
  <c r="AB1542" i="18"/>
  <c r="AD1542" i="18"/>
  <c r="I1542" i="18"/>
  <c r="J1542" i="18"/>
  <c r="BI1541" i="18"/>
  <c r="I1541" i="18"/>
  <c r="J1541" i="18"/>
  <c r="E1541" i="18"/>
  <c r="AB1539" i="18"/>
  <c r="AD1539" i="18"/>
  <c r="L1538" i="18"/>
  <c r="L1535" i="18"/>
  <c r="J230" i="17"/>
  <c r="K942" i="18"/>
  <c r="L942" i="18"/>
  <c r="L940" i="18"/>
  <c r="J157" i="17"/>
  <c r="H1538" i="18"/>
  <c r="H1535" i="18"/>
  <c r="E1538" i="18"/>
  <c r="BI1537" i="18"/>
  <c r="AB1537" i="18"/>
  <c r="AD1537" i="18"/>
  <c r="I1537" i="18"/>
  <c r="E1537" i="18"/>
  <c r="BI1536" i="18"/>
  <c r="I1536" i="18"/>
  <c r="J1536" i="18"/>
  <c r="E1533" i="18"/>
  <c r="BI1532" i="18"/>
  <c r="BI1531" i="18"/>
  <c r="BI1530" i="18"/>
  <c r="I1530" i="18"/>
  <c r="E1530" i="18"/>
  <c r="BI1529" i="18"/>
  <c r="I1529" i="18"/>
  <c r="E1526" i="18"/>
  <c r="BI1525" i="18"/>
  <c r="BI1524" i="18"/>
  <c r="I1524" i="18"/>
  <c r="E1524" i="18"/>
  <c r="J1524" i="18"/>
  <c r="BI1523" i="18"/>
  <c r="I1523" i="18"/>
  <c r="E1523" i="18"/>
  <c r="BI1522" i="18"/>
  <c r="K1522" i="18"/>
  <c r="L1522" i="18"/>
  <c r="I1522" i="18"/>
  <c r="J1522" i="18"/>
  <c r="G1522" i="18"/>
  <c r="H1522" i="18"/>
  <c r="E1519" i="18"/>
  <c r="BI1518" i="18"/>
  <c r="BI1517" i="18"/>
  <c r="BI1516" i="18"/>
  <c r="I1516" i="18"/>
  <c r="E1516" i="18"/>
  <c r="BI1515" i="18"/>
  <c r="I1515" i="18"/>
  <c r="J1515" i="18"/>
  <c r="F1515" i="18"/>
  <c r="BI1514" i="18"/>
  <c r="K1514" i="18"/>
  <c r="I1514" i="18"/>
  <c r="J1514" i="18"/>
  <c r="G1514" i="18"/>
  <c r="AB1512" i="18"/>
  <c r="AD1512" i="18"/>
  <c r="L1511" i="18"/>
  <c r="H1511" i="18"/>
  <c r="E1511" i="18"/>
  <c r="BI1510" i="18"/>
  <c r="AB1510" i="18"/>
  <c r="AD1510" i="18"/>
  <c r="I1510" i="18"/>
  <c r="J1510" i="18"/>
  <c r="BI1509" i="18"/>
  <c r="I1509" i="18"/>
  <c r="J1509" i="18"/>
  <c r="BI1508" i="18"/>
  <c r="K1508" i="18"/>
  <c r="I1508" i="18"/>
  <c r="J1508" i="18"/>
  <c r="G1508" i="18"/>
  <c r="H1508" i="18"/>
  <c r="E1505" i="18"/>
  <c r="BI1504" i="18"/>
  <c r="BI1503" i="18"/>
  <c r="I1503" i="18"/>
  <c r="E1503" i="18"/>
  <c r="BI1502" i="18"/>
  <c r="I1502" i="18"/>
  <c r="BI1501" i="18"/>
  <c r="K1501" i="18"/>
  <c r="L1501" i="18"/>
  <c r="I1501" i="18"/>
  <c r="J1501" i="18"/>
  <c r="G1501" i="18"/>
  <c r="BI1498" i="18"/>
  <c r="BI1497" i="18"/>
  <c r="BI1494" i="18"/>
  <c r="BI1493" i="18"/>
  <c r="BI1490" i="18"/>
  <c r="BI1489" i="18"/>
  <c r="BI1486" i="18"/>
  <c r="BI1485" i="18"/>
  <c r="BI1482" i="18"/>
  <c r="BI1481" i="18"/>
  <c r="BI1478" i="18"/>
  <c r="BI1477" i="18"/>
  <c r="BI1474" i="18"/>
  <c r="BI1473" i="18"/>
  <c r="BI1470" i="18"/>
  <c r="BI1469" i="18"/>
  <c r="BI1466" i="18"/>
  <c r="G1466" i="18"/>
  <c r="E1466" i="18"/>
  <c r="BI1465" i="18"/>
  <c r="G1465" i="18"/>
  <c r="E1465" i="18"/>
  <c r="BI1464" i="18"/>
  <c r="K1464" i="18"/>
  <c r="L1464" i="18"/>
  <c r="I1464" i="18"/>
  <c r="J1464" i="18"/>
  <c r="G1464" i="18"/>
  <c r="H1464" i="18"/>
  <c r="BI1463" i="18"/>
  <c r="I1463" i="18"/>
  <c r="J1463" i="18"/>
  <c r="F1463" i="18"/>
  <c r="BI1462" i="18"/>
  <c r="I1462" i="18"/>
  <c r="J1462" i="18"/>
  <c r="F1462" i="18"/>
  <c r="BI1461" i="18"/>
  <c r="I1461" i="18"/>
  <c r="J1461" i="18"/>
  <c r="F1461" i="18"/>
  <c r="BI1460" i="18"/>
  <c r="K1460" i="18"/>
  <c r="L1460" i="18"/>
  <c r="I1460" i="18"/>
  <c r="J1460" i="18"/>
  <c r="G1460" i="18"/>
  <c r="E1460" i="18"/>
  <c r="H1460" i="18"/>
  <c r="BI1457" i="18"/>
  <c r="G1457" i="18"/>
  <c r="H1457" i="18"/>
  <c r="F1457" i="18"/>
  <c r="BI1456" i="18"/>
  <c r="G1456" i="18"/>
  <c r="BI1455" i="18"/>
  <c r="K1455" i="18"/>
  <c r="I1455" i="18"/>
  <c r="E1455" i="18"/>
  <c r="J1455" i="18"/>
  <c r="G1455" i="18"/>
  <c r="H1455" i="18"/>
  <c r="BI1454" i="18"/>
  <c r="I1454" i="18"/>
  <c r="E1454" i="18"/>
  <c r="BI1453" i="18"/>
  <c r="I1453" i="18"/>
  <c r="BI1452" i="18"/>
  <c r="I1452" i="18"/>
  <c r="E1452" i="18"/>
  <c r="BI1451" i="18"/>
  <c r="K1451" i="18"/>
  <c r="L1451" i="18"/>
  <c r="I1451" i="18"/>
  <c r="J1451" i="18"/>
  <c r="G1451" i="18"/>
  <c r="H1451" i="18"/>
  <c r="BI1448" i="18"/>
  <c r="G1448" i="18"/>
  <c r="H1448" i="18"/>
  <c r="F1448" i="18"/>
  <c r="BI1447" i="18"/>
  <c r="G1447" i="18"/>
  <c r="E1447" i="18"/>
  <c r="BI1446" i="18"/>
  <c r="K1446" i="18"/>
  <c r="L1446" i="18"/>
  <c r="I1446" i="18"/>
  <c r="J1446" i="18"/>
  <c r="G1446" i="18"/>
  <c r="E1446" i="18"/>
  <c r="BI1445" i="18"/>
  <c r="I1445" i="18"/>
  <c r="J1445" i="18"/>
  <c r="F1445" i="18"/>
  <c r="BI1444" i="18"/>
  <c r="I1444" i="18"/>
  <c r="E1444" i="18"/>
  <c r="BI1443" i="18"/>
  <c r="I1443" i="18"/>
  <c r="E1443" i="18"/>
  <c r="BI1442" i="18"/>
  <c r="K1442" i="18"/>
  <c r="L1442" i="18"/>
  <c r="I1442" i="18"/>
  <c r="J1442" i="18"/>
  <c r="G1442" i="18"/>
  <c r="BI1439" i="18"/>
  <c r="G1439" i="18"/>
  <c r="E1439" i="18"/>
  <c r="BI1438" i="18"/>
  <c r="G1438" i="18"/>
  <c r="H1438" i="18"/>
  <c r="F1438" i="18"/>
  <c r="BI1437" i="18"/>
  <c r="K1437" i="18"/>
  <c r="L1437" i="18"/>
  <c r="I1437" i="18"/>
  <c r="J1437" i="18"/>
  <c r="G1437" i="18"/>
  <c r="BI1436" i="18"/>
  <c r="I1436" i="18"/>
  <c r="J1436" i="18"/>
  <c r="F1436" i="18"/>
  <c r="BI1435" i="18"/>
  <c r="I1435" i="18"/>
  <c r="BI1434" i="18"/>
  <c r="I1434" i="18"/>
  <c r="BI1433" i="18"/>
  <c r="K1433" i="18"/>
  <c r="L1433" i="18"/>
  <c r="L1432" i="18"/>
  <c r="J213" i="17"/>
  <c r="K105" i="18"/>
  <c r="L105" i="18"/>
  <c r="I1433" i="18"/>
  <c r="G1433" i="18"/>
  <c r="H1433" i="18"/>
  <c r="BI1430" i="18"/>
  <c r="I1430" i="18"/>
  <c r="J1430" i="18"/>
  <c r="J1429" i="18"/>
  <c r="L1429" i="18"/>
  <c r="H1429" i="18"/>
  <c r="E1429" i="18"/>
  <c r="F1428" i="18"/>
  <c r="E1428" i="18"/>
  <c r="BI1427" i="18"/>
  <c r="G1427" i="18"/>
  <c r="BI1426" i="18"/>
  <c r="G1426" i="18"/>
  <c r="BI1425" i="18"/>
  <c r="K1425" i="18"/>
  <c r="L1425" i="18"/>
  <c r="L1422" i="18"/>
  <c r="I1425" i="18"/>
  <c r="J1425" i="18"/>
  <c r="G1425" i="18"/>
  <c r="BI1424" i="18"/>
  <c r="I1424" i="18"/>
  <c r="BI1423" i="18"/>
  <c r="I1423" i="18"/>
  <c r="E1422" i="18"/>
  <c r="BI1421" i="18"/>
  <c r="K1421" i="18"/>
  <c r="L1421" i="18"/>
  <c r="L1420" i="18"/>
  <c r="I1421" i="18"/>
  <c r="J1421" i="18"/>
  <c r="G1421" i="18"/>
  <c r="BI1418" i="18"/>
  <c r="I1418" i="18"/>
  <c r="E1418" i="18"/>
  <c r="BI1417" i="18"/>
  <c r="K1417" i="18"/>
  <c r="L1417" i="18"/>
  <c r="L1416" i="18"/>
  <c r="J211" i="17"/>
  <c r="K77" i="18"/>
  <c r="L77" i="18"/>
  <c r="I1417" i="18"/>
  <c r="J1417" i="18"/>
  <c r="J1416" i="18"/>
  <c r="G1417" i="18"/>
  <c r="BI1414" i="18"/>
  <c r="G1414" i="18"/>
  <c r="E1414" i="18"/>
  <c r="H1414" i="18"/>
  <c r="F1414" i="18"/>
  <c r="BI1413" i="18"/>
  <c r="G1413" i="18"/>
  <c r="BI1412" i="18"/>
  <c r="K1412" i="18"/>
  <c r="L1412" i="18"/>
  <c r="I1412" i="18"/>
  <c r="J1412" i="18"/>
  <c r="G1412" i="18"/>
  <c r="BI1411" i="18"/>
  <c r="I1411" i="18"/>
  <c r="E1411" i="18"/>
  <c r="J1411" i="18"/>
  <c r="J1407" i="18"/>
  <c r="H210" i="17"/>
  <c r="BI1410" i="18"/>
  <c r="I1410" i="18"/>
  <c r="J1410" i="18"/>
  <c r="F1410" i="18"/>
  <c r="BI1409" i="18"/>
  <c r="I1409" i="18"/>
  <c r="E1409" i="18"/>
  <c r="BI1408" i="18"/>
  <c r="K1408" i="18"/>
  <c r="L1408" i="18"/>
  <c r="I1408" i="18"/>
  <c r="J1408" i="18"/>
  <c r="G1408" i="18"/>
  <c r="BI1405" i="18"/>
  <c r="G1405" i="18"/>
  <c r="BI1404" i="18"/>
  <c r="G1404" i="18"/>
  <c r="BI1403" i="18"/>
  <c r="K1403" i="18"/>
  <c r="L1403" i="18"/>
  <c r="I1403" i="18"/>
  <c r="G1403" i="18"/>
  <c r="H1403" i="18"/>
  <c r="F1403" i="18"/>
  <c r="BI1402" i="18"/>
  <c r="I1402" i="18"/>
  <c r="E1402" i="18"/>
  <c r="BI1401" i="18"/>
  <c r="I1401" i="18"/>
  <c r="E1401" i="18"/>
  <c r="BI1400" i="18"/>
  <c r="I1400" i="18"/>
  <c r="E1400" i="18"/>
  <c r="J1400" i="18"/>
  <c r="F1400" i="18"/>
  <c r="BI1399" i="18"/>
  <c r="K1399" i="18"/>
  <c r="L1399" i="18"/>
  <c r="L1398" i="18"/>
  <c r="J209" i="17"/>
  <c r="I1399" i="18"/>
  <c r="J1399" i="18"/>
  <c r="G1399" i="18"/>
  <c r="BI1396" i="18"/>
  <c r="G1396" i="18"/>
  <c r="E1396" i="18"/>
  <c r="BI1395" i="18"/>
  <c r="G1395" i="18"/>
  <c r="E1395" i="18"/>
  <c r="BI1394" i="18"/>
  <c r="K1394" i="18"/>
  <c r="L1394" i="18"/>
  <c r="L1389" i="18"/>
  <c r="I1394" i="18"/>
  <c r="E1394" i="18"/>
  <c r="J1394" i="18"/>
  <c r="G1394" i="18"/>
  <c r="BI1393" i="18"/>
  <c r="I1393" i="18"/>
  <c r="E1393" i="18"/>
  <c r="BI1392" i="18"/>
  <c r="I1392" i="18"/>
  <c r="BI1391" i="18"/>
  <c r="I1391" i="18"/>
  <c r="J1391" i="18"/>
  <c r="F1391" i="18"/>
  <c r="BI1390" i="18"/>
  <c r="K1390" i="18"/>
  <c r="L1390" i="18"/>
  <c r="I1390" i="18"/>
  <c r="J1390" i="18"/>
  <c r="G1390" i="18"/>
  <c r="H1390" i="18"/>
  <c r="BI1387" i="18"/>
  <c r="G1387" i="18"/>
  <c r="BI1386" i="18"/>
  <c r="G1386" i="18"/>
  <c r="BI1385" i="18"/>
  <c r="K1385" i="18"/>
  <c r="L1385" i="18"/>
  <c r="F1385" i="18"/>
  <c r="I1385" i="18"/>
  <c r="J1385" i="18"/>
  <c r="G1385" i="18"/>
  <c r="H1385" i="18"/>
  <c r="BI1384" i="18"/>
  <c r="I1384" i="18"/>
  <c r="J1384" i="18"/>
  <c r="F1384" i="18"/>
  <c r="BI1383" i="18"/>
  <c r="I1383" i="18"/>
  <c r="J1383" i="18"/>
  <c r="BI1382" i="18"/>
  <c r="I1382" i="18"/>
  <c r="E1382" i="18"/>
  <c r="BI1381" i="18"/>
  <c r="K1381" i="18"/>
  <c r="I1381" i="18"/>
  <c r="J1381" i="18"/>
  <c r="G1381" i="18"/>
  <c r="H1381" i="18"/>
  <c r="BI1378" i="18"/>
  <c r="G1378" i="18"/>
  <c r="BI1377" i="18"/>
  <c r="G1377" i="18"/>
  <c r="E1377" i="18"/>
  <c r="BI1376" i="18"/>
  <c r="K1376" i="18"/>
  <c r="I1376" i="18"/>
  <c r="J1376" i="18"/>
  <c r="G1376" i="18"/>
  <c r="H1376" i="18"/>
  <c r="BI1375" i="18"/>
  <c r="I1375" i="18"/>
  <c r="J1375" i="18"/>
  <c r="F1375" i="18"/>
  <c r="BI1374" i="18"/>
  <c r="I1374" i="18"/>
  <c r="J1374" i="18"/>
  <c r="F1374" i="18"/>
  <c r="BI1373" i="18"/>
  <c r="I1373" i="18"/>
  <c r="J1373" i="18"/>
  <c r="BI1372" i="18"/>
  <c r="K1372" i="18"/>
  <c r="I1372" i="18"/>
  <c r="J1372" i="18"/>
  <c r="G1372" i="18"/>
  <c r="H1372" i="18"/>
  <c r="BI1369" i="18"/>
  <c r="G1369" i="18"/>
  <c r="E1369" i="18"/>
  <c r="BI1368" i="18"/>
  <c r="G1368" i="18"/>
  <c r="BI1367" i="18"/>
  <c r="K1367" i="18"/>
  <c r="L1367" i="18"/>
  <c r="I1367" i="18"/>
  <c r="J1367" i="18"/>
  <c r="G1367" i="18"/>
  <c r="BI1366" i="18"/>
  <c r="I1366" i="18"/>
  <c r="J1366" i="18"/>
  <c r="F1366" i="18"/>
  <c r="BI1365" i="18"/>
  <c r="I1365" i="18"/>
  <c r="J1365" i="18"/>
  <c r="F1365" i="18"/>
  <c r="BI1364" i="18"/>
  <c r="I1364" i="18"/>
  <c r="J1364" i="18"/>
  <c r="J1362" i="18"/>
  <c r="H205" i="17"/>
  <c r="I13" i="18"/>
  <c r="J13" i="18"/>
  <c r="BI1363" i="18"/>
  <c r="K1363" i="18"/>
  <c r="L1363" i="18"/>
  <c r="I1363" i="18"/>
  <c r="J1363" i="18"/>
  <c r="G1363" i="18"/>
  <c r="H1363" i="18"/>
  <c r="BI1360" i="18"/>
  <c r="G1360" i="18"/>
  <c r="E1360" i="18"/>
  <c r="BI1359" i="18"/>
  <c r="G1359" i="18"/>
  <c r="E1359" i="18"/>
  <c r="BI1358" i="18"/>
  <c r="K1358" i="18"/>
  <c r="L1358" i="18"/>
  <c r="I1358" i="18"/>
  <c r="J1358" i="18"/>
  <c r="G1358" i="18"/>
  <c r="H1358" i="18"/>
  <c r="BI1357" i="18"/>
  <c r="I1357" i="18"/>
  <c r="J1357" i="18"/>
  <c r="F1357" i="18"/>
  <c r="BI1356" i="18"/>
  <c r="I1356" i="18"/>
  <c r="E1356" i="18"/>
  <c r="BI1355" i="18"/>
  <c r="I1355" i="18"/>
  <c r="BI1354" i="18"/>
  <c r="K1354" i="18"/>
  <c r="L1354" i="18"/>
  <c r="L1353" i="18"/>
  <c r="I1354" i="18"/>
  <c r="J1354" i="18"/>
  <c r="G1354" i="18"/>
  <c r="BI1351" i="18"/>
  <c r="G1351" i="18"/>
  <c r="E1351" i="18"/>
  <c r="BI1350" i="18"/>
  <c r="G1350" i="18"/>
  <c r="BI1349" i="18"/>
  <c r="K1349" i="18"/>
  <c r="L1349" i="18"/>
  <c r="I1349" i="18"/>
  <c r="G1349" i="18"/>
  <c r="BI1348" i="18"/>
  <c r="I1348" i="18"/>
  <c r="J1348" i="18"/>
  <c r="F1348" i="18"/>
  <c r="BI1347" i="18"/>
  <c r="I1347" i="18"/>
  <c r="BI1346" i="18"/>
  <c r="I1346" i="18"/>
  <c r="E1346" i="18"/>
  <c r="BI1345" i="18"/>
  <c r="K1345" i="18"/>
  <c r="L1345" i="18"/>
  <c r="L1344" i="18"/>
  <c r="J203" i="17"/>
  <c r="I1345" i="18"/>
  <c r="J1345" i="18"/>
  <c r="G1345" i="18"/>
  <c r="BI1342" i="18"/>
  <c r="BI1339" i="18"/>
  <c r="I1339" i="18"/>
  <c r="F1338" i="18"/>
  <c r="E1338" i="18"/>
  <c r="BI1337" i="18"/>
  <c r="G1337" i="18"/>
  <c r="L1336" i="18"/>
  <c r="J201" i="17"/>
  <c r="BI1334" i="18"/>
  <c r="BI1333" i="18"/>
  <c r="G1333" i="18"/>
  <c r="H1333" i="18"/>
  <c r="F1333" i="18"/>
  <c r="BI1332" i="18"/>
  <c r="BI1331" i="18"/>
  <c r="G1331" i="18"/>
  <c r="H1331" i="18"/>
  <c r="F1331" i="18"/>
  <c r="BI1330" i="18"/>
  <c r="BI1329" i="18"/>
  <c r="BI1328" i="18"/>
  <c r="BI1327" i="18"/>
  <c r="BI1324" i="18"/>
  <c r="BI1323" i="18"/>
  <c r="G1323" i="18"/>
  <c r="BI1322" i="18"/>
  <c r="BI1321" i="18"/>
  <c r="G1321" i="18"/>
  <c r="BI1320" i="18"/>
  <c r="BI1319" i="18"/>
  <c r="BI1318" i="18"/>
  <c r="BI1317" i="18"/>
  <c r="BI1314" i="18"/>
  <c r="BI1313" i="18"/>
  <c r="G1313" i="18"/>
  <c r="H1313" i="18"/>
  <c r="F1313" i="18"/>
  <c r="BI1312" i="18"/>
  <c r="BI1311" i="18"/>
  <c r="G1311" i="18"/>
  <c r="BI1310" i="18"/>
  <c r="BI1309" i="18"/>
  <c r="BI1308" i="18"/>
  <c r="BI1307" i="18"/>
  <c r="BI1304" i="18"/>
  <c r="BI1303" i="18"/>
  <c r="G1303" i="18"/>
  <c r="BI1302" i="18"/>
  <c r="BI1301" i="18"/>
  <c r="G1301" i="18"/>
  <c r="H1301" i="18"/>
  <c r="F1301" i="18"/>
  <c r="BI1300" i="18"/>
  <c r="BI1299" i="18"/>
  <c r="BI1298" i="18"/>
  <c r="BI1297" i="18"/>
  <c r="BI1294" i="18"/>
  <c r="BI1293" i="18"/>
  <c r="G1293" i="18"/>
  <c r="E1293" i="18"/>
  <c r="H1293" i="18"/>
  <c r="F1293" i="18"/>
  <c r="BI1290" i="18"/>
  <c r="G1290" i="18"/>
  <c r="H1290" i="18"/>
  <c r="F1290" i="18"/>
  <c r="BI1289" i="18"/>
  <c r="G1289" i="18"/>
  <c r="H1289" i="18"/>
  <c r="F1289" i="18"/>
  <c r="BI1288" i="18"/>
  <c r="BI1287" i="18"/>
  <c r="G1287" i="18"/>
  <c r="BI1286" i="18"/>
  <c r="BI1285" i="18"/>
  <c r="G1285" i="18"/>
  <c r="BI1284" i="18"/>
  <c r="BI1283" i="18"/>
  <c r="BI1282" i="18"/>
  <c r="BI1279" i="18"/>
  <c r="G1279" i="18"/>
  <c r="H1279" i="18"/>
  <c r="F1279" i="18"/>
  <c r="BI1278" i="18"/>
  <c r="BI1277" i="18"/>
  <c r="G1277" i="18"/>
  <c r="E1277" i="18"/>
  <c r="BI1276" i="18"/>
  <c r="BI1275" i="18"/>
  <c r="BI1274" i="18"/>
  <c r="BI1271" i="18"/>
  <c r="BI1270" i="18"/>
  <c r="G1270" i="18"/>
  <c r="BI1269" i="18"/>
  <c r="G1269" i="18"/>
  <c r="E1269" i="18"/>
  <c r="BI1268" i="18"/>
  <c r="BI1267" i="18"/>
  <c r="G1267" i="18"/>
  <c r="H1267" i="18"/>
  <c r="F1267" i="18"/>
  <c r="E1267" i="18"/>
  <c r="BI1266" i="18"/>
  <c r="BI1265" i="18"/>
  <c r="BI1264" i="18"/>
  <c r="BI1261" i="18"/>
  <c r="G1261" i="18"/>
  <c r="H1261" i="18"/>
  <c r="BI1260" i="18"/>
  <c r="BI1259" i="18"/>
  <c r="G1259" i="18"/>
  <c r="E1259" i="18"/>
  <c r="BI1258" i="18"/>
  <c r="BI1257" i="18"/>
  <c r="BI1256" i="18"/>
  <c r="BI1253" i="18"/>
  <c r="BI1252" i="18"/>
  <c r="G1252" i="18"/>
  <c r="E1252" i="18"/>
  <c r="H1252" i="18"/>
  <c r="F1252" i="18"/>
  <c r="BI1249" i="18"/>
  <c r="BI1248" i="18"/>
  <c r="G1248" i="18"/>
  <c r="E1248" i="18"/>
  <c r="BI1245" i="18"/>
  <c r="G1245" i="18"/>
  <c r="BI1244" i="18"/>
  <c r="BI1243" i="18"/>
  <c r="BI1242" i="18"/>
  <c r="G1242" i="18"/>
  <c r="BI1241" i="18"/>
  <c r="G1241" i="18"/>
  <c r="E1241" i="18"/>
  <c r="BI1240" i="18"/>
  <c r="BI1239" i="18"/>
  <c r="G1239" i="18"/>
  <c r="H1239" i="18"/>
  <c r="F1239" i="18"/>
  <c r="E1239" i="18"/>
  <c r="BI1238" i="18"/>
  <c r="BI1237" i="18"/>
  <c r="G1237" i="18"/>
  <c r="E1237" i="18"/>
  <c r="BI1236" i="18"/>
  <c r="BI1235" i="18"/>
  <c r="BI1234" i="18"/>
  <c r="BI1233" i="18"/>
  <c r="BI1230" i="18"/>
  <c r="BI1229" i="18"/>
  <c r="G1229" i="18"/>
  <c r="BI1228" i="18"/>
  <c r="BI1227" i="18"/>
  <c r="BI1226" i="18"/>
  <c r="BI1225" i="18"/>
  <c r="G1225" i="18"/>
  <c r="E1225" i="18"/>
  <c r="BI1224" i="18"/>
  <c r="BI1223" i="18"/>
  <c r="BI1222" i="18"/>
  <c r="BI1219" i="18"/>
  <c r="BI1218" i="18"/>
  <c r="BI1217" i="18"/>
  <c r="BI1216" i="18"/>
  <c r="BI1215" i="18"/>
  <c r="G1215" i="18"/>
  <c r="BI1214" i="18"/>
  <c r="BI1213" i="18"/>
  <c r="BI1212" i="18"/>
  <c r="BI1209" i="18"/>
  <c r="BI1208" i="18"/>
  <c r="BI1207" i="18"/>
  <c r="BI1206" i="18"/>
  <c r="BI1203" i="18"/>
  <c r="G1203" i="18"/>
  <c r="H1203" i="18"/>
  <c r="F1203" i="18"/>
  <c r="BI1202" i="18"/>
  <c r="BI1201" i="18"/>
  <c r="E1200" i="18"/>
  <c r="BI1199" i="18"/>
  <c r="G1199" i="18"/>
  <c r="BI1198" i="18"/>
  <c r="BI1197" i="18"/>
  <c r="BI1196" i="18"/>
  <c r="G1196" i="18"/>
  <c r="BI1195" i="18"/>
  <c r="G1195" i="18"/>
  <c r="E1195" i="18"/>
  <c r="BI1194" i="18"/>
  <c r="G1194" i="18"/>
  <c r="H1194" i="18"/>
  <c r="F1194" i="18"/>
  <c r="BI1193" i="18"/>
  <c r="BI1192" i="18"/>
  <c r="G1192" i="18"/>
  <c r="H1192" i="18"/>
  <c r="F1192" i="18"/>
  <c r="BI1191" i="18"/>
  <c r="G1191" i="18"/>
  <c r="E1191" i="18"/>
  <c r="H1191" i="18"/>
  <c r="F1191" i="18"/>
  <c r="BI1190" i="18"/>
  <c r="G1190" i="18"/>
  <c r="E1190" i="18"/>
  <c r="BI1189" i="18"/>
  <c r="G1189" i="18"/>
  <c r="H1189" i="18"/>
  <c r="F1189" i="18"/>
  <c r="BI1188" i="18"/>
  <c r="G1188" i="18"/>
  <c r="BI1187" i="18"/>
  <c r="G1187" i="18"/>
  <c r="BI1186" i="18"/>
  <c r="BI1185" i="18"/>
  <c r="G1185" i="18"/>
  <c r="BI1184" i="18"/>
  <c r="BI1183" i="18"/>
  <c r="G1183" i="18"/>
  <c r="BI1182" i="18"/>
  <c r="BI1181" i="18"/>
  <c r="BI1180" i="18"/>
  <c r="BI1179" i="18"/>
  <c r="BI1176" i="18"/>
  <c r="BI1175" i="18"/>
  <c r="E1174" i="18"/>
  <c r="BI1173" i="18"/>
  <c r="G1173" i="18"/>
  <c r="E1173" i="18"/>
  <c r="BI1172" i="18"/>
  <c r="BI1171" i="18"/>
  <c r="G1171" i="18"/>
  <c r="BI1170" i="18"/>
  <c r="G1170" i="18"/>
  <c r="BI1169" i="18"/>
  <c r="G1169" i="18"/>
  <c r="E1169" i="18"/>
  <c r="H1169" i="18"/>
  <c r="F1169" i="18"/>
  <c r="BI1168" i="18"/>
  <c r="BI1167" i="18"/>
  <c r="G1167" i="18"/>
  <c r="H1167" i="18"/>
  <c r="F1167" i="18"/>
  <c r="BI1166" i="18"/>
  <c r="BI1165" i="18"/>
  <c r="G1165" i="18"/>
  <c r="E1165" i="18"/>
  <c r="BI1164" i="18"/>
  <c r="BI1163" i="18"/>
  <c r="BI1162" i="18"/>
  <c r="BI1161" i="18"/>
  <c r="BI1157" i="18"/>
  <c r="BI1156" i="18"/>
  <c r="E1155" i="18"/>
  <c r="BI1154" i="18"/>
  <c r="G1154" i="18"/>
  <c r="BI1153" i="18"/>
  <c r="BI1152" i="18"/>
  <c r="G1152" i="18"/>
  <c r="BI1151" i="18"/>
  <c r="G1151" i="18"/>
  <c r="H1151" i="18"/>
  <c r="F1151" i="18"/>
  <c r="BI1150" i="18"/>
  <c r="G1150" i="18"/>
  <c r="E1150" i="18"/>
  <c r="H1150" i="18"/>
  <c r="F1150" i="18"/>
  <c r="BI1149" i="18"/>
  <c r="BI1148" i="18"/>
  <c r="G1148" i="18"/>
  <c r="H1148" i="18"/>
  <c r="BI1147" i="18"/>
  <c r="BI1146" i="18"/>
  <c r="G1146" i="18"/>
  <c r="H1146" i="18"/>
  <c r="F1146" i="18"/>
  <c r="BI1145" i="18"/>
  <c r="BI1144" i="18"/>
  <c r="BI1143" i="18"/>
  <c r="BI1142" i="18"/>
  <c r="BI1139" i="18"/>
  <c r="BI1138" i="18"/>
  <c r="G1138" i="18"/>
  <c r="H1138" i="18"/>
  <c r="F1138" i="18"/>
  <c r="BI1137" i="18"/>
  <c r="G1137" i="18"/>
  <c r="BI1136" i="18"/>
  <c r="G1136" i="18"/>
  <c r="BI1135" i="18"/>
  <c r="G1135" i="18"/>
  <c r="H1135" i="18"/>
  <c r="F1135" i="18"/>
  <c r="BI1134" i="18"/>
  <c r="G1134" i="18"/>
  <c r="BI1133" i="18"/>
  <c r="BI1132" i="18"/>
  <c r="BI1131" i="18"/>
  <c r="G1131" i="18"/>
  <c r="BI1130" i="18"/>
  <c r="BI1129" i="18"/>
  <c r="G1129" i="18"/>
  <c r="E1129" i="18"/>
  <c r="BI1128" i="18"/>
  <c r="BI1127" i="18"/>
  <c r="BI1126" i="18"/>
  <c r="BI1125" i="18"/>
  <c r="BI1122" i="18"/>
  <c r="BI1121" i="18"/>
  <c r="G1121" i="18"/>
  <c r="E1121" i="18"/>
  <c r="BI1120" i="18"/>
  <c r="BI1119" i="18"/>
  <c r="G1119" i="18"/>
  <c r="H1119" i="18"/>
  <c r="BI1116" i="18"/>
  <c r="BI1115" i="18"/>
  <c r="G1115" i="18"/>
  <c r="BI1114" i="18"/>
  <c r="BI1113" i="18"/>
  <c r="G1113" i="18"/>
  <c r="BI1110" i="18"/>
  <c r="BI1109" i="18"/>
  <c r="BI1108" i="18"/>
  <c r="G1108" i="18"/>
  <c r="BI1107" i="18"/>
  <c r="BI1106" i="18"/>
  <c r="BI1105" i="18"/>
  <c r="G1105" i="18"/>
  <c r="BI1104" i="18"/>
  <c r="BI1103" i="18"/>
  <c r="BI1102" i="18"/>
  <c r="G1102" i="18"/>
  <c r="E1102" i="18"/>
  <c r="H1102" i="18"/>
  <c r="F1102" i="18"/>
  <c r="BI1101" i="18"/>
  <c r="BI1100" i="18"/>
  <c r="G1100" i="18"/>
  <c r="BI1099" i="18"/>
  <c r="BI1098" i="18"/>
  <c r="BI1097" i="18"/>
  <c r="BI1094" i="18"/>
  <c r="BI1093" i="18"/>
  <c r="BI1092" i="18"/>
  <c r="G1092" i="18"/>
  <c r="E1092" i="18"/>
  <c r="BI1091" i="18"/>
  <c r="BI1090" i="18"/>
  <c r="BI1089" i="18"/>
  <c r="G1089" i="18"/>
  <c r="E1089" i="18"/>
  <c r="BI1088" i="18"/>
  <c r="BI1087" i="18"/>
  <c r="BI1086" i="18"/>
  <c r="G1086" i="18"/>
  <c r="H1086" i="18"/>
  <c r="F1086" i="18"/>
  <c r="BI1085" i="18"/>
  <c r="BI1084" i="18"/>
  <c r="G1084" i="18"/>
  <c r="H1084" i="18"/>
  <c r="F1084" i="18"/>
  <c r="E1084" i="18"/>
  <c r="BI1083" i="18"/>
  <c r="BI1082" i="18"/>
  <c r="BI1081" i="18"/>
  <c r="BI1078" i="18"/>
  <c r="G1078" i="18"/>
  <c r="BI1077" i="18"/>
  <c r="BI1076" i="18"/>
  <c r="BI1075" i="18"/>
  <c r="G1075" i="18"/>
  <c r="H1075" i="18"/>
  <c r="BI1074" i="18"/>
  <c r="BI1073" i="18"/>
  <c r="BI1072" i="18"/>
  <c r="G1072" i="18"/>
  <c r="H1072" i="18"/>
  <c r="F1072" i="18"/>
  <c r="BI1071" i="18"/>
  <c r="BI1070" i="18"/>
  <c r="BI1069" i="18"/>
  <c r="G1069" i="18"/>
  <c r="H1069" i="18"/>
  <c r="F1069" i="18"/>
  <c r="BI1068" i="18"/>
  <c r="BI1067" i="18"/>
  <c r="G1067" i="18"/>
  <c r="BI1066" i="18"/>
  <c r="BI1065" i="18"/>
  <c r="BI1064" i="18"/>
  <c r="BI1061" i="18"/>
  <c r="BI1060" i="18"/>
  <c r="BI1059" i="18"/>
  <c r="G1059" i="18"/>
  <c r="H1059" i="18"/>
  <c r="F1059" i="18"/>
  <c r="BI1058" i="18"/>
  <c r="BI1057" i="18"/>
  <c r="BI1056" i="18"/>
  <c r="G1056" i="18"/>
  <c r="H1056" i="18"/>
  <c r="E1056" i="18"/>
  <c r="BI1055" i="18"/>
  <c r="BI1054" i="18"/>
  <c r="BI1053" i="18"/>
  <c r="G1053" i="18"/>
  <c r="BI1052" i="18"/>
  <c r="BI1051" i="18"/>
  <c r="G1051" i="18"/>
  <c r="BI1050" i="18"/>
  <c r="BI1049" i="18"/>
  <c r="BI1048" i="18"/>
  <c r="BI1045" i="18"/>
  <c r="BI1044" i="18"/>
  <c r="BI1043" i="18"/>
  <c r="G1043" i="18"/>
  <c r="BI1042" i="18"/>
  <c r="BI1041" i="18"/>
  <c r="BI1040" i="18"/>
  <c r="G1040" i="18"/>
  <c r="BI1039" i="18"/>
  <c r="BI1038" i="18"/>
  <c r="G1038" i="18"/>
  <c r="H1038" i="18"/>
  <c r="F1038" i="18"/>
  <c r="BI1037" i="18"/>
  <c r="BI1036" i="18"/>
  <c r="BI1035" i="18"/>
  <c r="BI1032" i="18"/>
  <c r="BI1031" i="18"/>
  <c r="G1031" i="18"/>
  <c r="H1031" i="18"/>
  <c r="F1031" i="18"/>
  <c r="E1031" i="18"/>
  <c r="BI1030" i="18"/>
  <c r="BI1029" i="18"/>
  <c r="BI1028" i="18"/>
  <c r="BI1027" i="18"/>
  <c r="G1027" i="18"/>
  <c r="H1027" i="18"/>
  <c r="F1027" i="18"/>
  <c r="BI1026" i="18"/>
  <c r="BI1025" i="18"/>
  <c r="BI1024" i="18"/>
  <c r="BI1021" i="18"/>
  <c r="I1021" i="18"/>
  <c r="BI1020" i="18"/>
  <c r="G1020" i="18"/>
  <c r="E1020" i="18"/>
  <c r="L1019" i="18"/>
  <c r="J173" i="17"/>
  <c r="BI1017" i="18"/>
  <c r="BI1016" i="18"/>
  <c r="G1016" i="18"/>
  <c r="H1016" i="18"/>
  <c r="F1016" i="18"/>
  <c r="BI1013" i="18"/>
  <c r="G1013" i="18"/>
  <c r="BI1012" i="18"/>
  <c r="BI1011" i="18"/>
  <c r="G1011" i="18"/>
  <c r="H1011" i="18"/>
  <c r="F1011" i="18"/>
  <c r="BI1008" i="18"/>
  <c r="G1008" i="18"/>
  <c r="BI1007" i="18"/>
  <c r="BI1006" i="18"/>
  <c r="G1006" i="18"/>
  <c r="E1006" i="18"/>
  <c r="BI1003" i="18"/>
  <c r="G1003" i="18"/>
  <c r="H1003" i="18"/>
  <c r="F1003" i="18"/>
  <c r="BI1002" i="18"/>
  <c r="BI1001" i="18"/>
  <c r="G1001" i="18"/>
  <c r="E1001" i="18"/>
  <c r="BI998" i="18"/>
  <c r="G998" i="18"/>
  <c r="H998" i="18"/>
  <c r="F998" i="18"/>
  <c r="E998" i="18"/>
  <c r="BI997" i="18"/>
  <c r="BI996" i="18"/>
  <c r="G996" i="18"/>
  <c r="H996" i="18"/>
  <c r="BI993" i="18"/>
  <c r="G993" i="18"/>
  <c r="E993" i="18"/>
  <c r="BI992" i="18"/>
  <c r="BI991" i="18"/>
  <c r="G991" i="18"/>
  <c r="BI988" i="18"/>
  <c r="G988" i="18"/>
  <c r="BI987" i="18"/>
  <c r="BI986" i="18"/>
  <c r="G986" i="18"/>
  <c r="BI983" i="18"/>
  <c r="G983" i="18"/>
  <c r="BI982" i="18"/>
  <c r="BI981" i="18"/>
  <c r="G981" i="18"/>
  <c r="H981" i="18"/>
  <c r="BI978" i="18"/>
  <c r="G978" i="18"/>
  <c r="H978" i="18"/>
  <c r="F978" i="18"/>
  <c r="BI977" i="18"/>
  <c r="BI976" i="18"/>
  <c r="G976" i="18"/>
  <c r="H976" i="18"/>
  <c r="F976" i="18"/>
  <c r="BI973" i="18"/>
  <c r="G973" i="18"/>
  <c r="H973" i="18"/>
  <c r="F973" i="18"/>
  <c r="BI972" i="18"/>
  <c r="BI971" i="18"/>
  <c r="G971" i="18"/>
  <c r="H971" i="18"/>
  <c r="F971" i="18"/>
  <c r="BI968" i="18"/>
  <c r="G968" i="18"/>
  <c r="E968" i="18"/>
  <c r="BI967" i="18"/>
  <c r="BI966" i="18"/>
  <c r="G966" i="18"/>
  <c r="E966" i="18"/>
  <c r="BI963" i="18"/>
  <c r="G963" i="18"/>
  <c r="BI962" i="18"/>
  <c r="BI961" i="18"/>
  <c r="G961" i="18"/>
  <c r="H961" i="18"/>
  <c r="F961" i="18"/>
  <c r="E961" i="18"/>
  <c r="BI958" i="18"/>
  <c r="G958" i="18"/>
  <c r="E958" i="18"/>
  <c r="BI957" i="18"/>
  <c r="BI956" i="18"/>
  <c r="G956" i="18"/>
  <c r="BI953" i="18"/>
  <c r="G953" i="18"/>
  <c r="E953" i="18"/>
  <c r="BI952" i="18"/>
  <c r="BI951" i="18"/>
  <c r="G951" i="18"/>
  <c r="H951" i="18"/>
  <c r="F951" i="18"/>
  <c r="BI948" i="18"/>
  <c r="G948" i="18"/>
  <c r="BI947" i="18"/>
  <c r="BI946" i="18"/>
  <c r="G946" i="18"/>
  <c r="H946" i="18"/>
  <c r="F946" i="18"/>
  <c r="BI943" i="18"/>
  <c r="G943" i="18"/>
  <c r="BI942" i="18"/>
  <c r="BI941" i="18"/>
  <c r="G941" i="18"/>
  <c r="BI938" i="18"/>
  <c r="G938" i="18"/>
  <c r="E938" i="18"/>
  <c r="BI937" i="18"/>
  <c r="BI936" i="18"/>
  <c r="G936" i="18"/>
  <c r="BI933" i="18"/>
  <c r="G933" i="18"/>
  <c r="E933" i="18"/>
  <c r="BI932" i="18"/>
  <c r="BI931" i="18"/>
  <c r="G931" i="18"/>
  <c r="H931" i="18"/>
  <c r="F931" i="18"/>
  <c r="E931" i="18"/>
  <c r="BI928" i="18"/>
  <c r="G928" i="18"/>
  <c r="E928" i="18"/>
  <c r="BI927" i="18"/>
  <c r="BI926" i="18"/>
  <c r="G926" i="18"/>
  <c r="E926" i="18"/>
  <c r="BI923" i="18"/>
  <c r="G923" i="18"/>
  <c r="E923" i="18"/>
  <c r="H923" i="18"/>
  <c r="F923" i="18"/>
  <c r="BI922" i="18"/>
  <c r="BI921" i="18"/>
  <c r="G921" i="18"/>
  <c r="E921" i="18"/>
  <c r="BI918" i="18"/>
  <c r="G918" i="18"/>
  <c r="E918" i="18"/>
  <c r="BI917" i="18"/>
  <c r="BI916" i="18"/>
  <c r="G916" i="18"/>
  <c r="BI913" i="18"/>
  <c r="G913" i="18"/>
  <c r="BI912" i="18"/>
  <c r="BI911" i="18"/>
  <c r="G911" i="18"/>
  <c r="BI908" i="18"/>
  <c r="G908" i="18"/>
  <c r="E908" i="18"/>
  <c r="BI907" i="18"/>
  <c r="BI906" i="18"/>
  <c r="G906" i="18"/>
  <c r="E906" i="18"/>
  <c r="BI903" i="18"/>
  <c r="G903" i="18"/>
  <c r="H903" i="18"/>
  <c r="F903" i="18"/>
  <c r="BI902" i="18"/>
  <c r="BI901" i="18"/>
  <c r="G901" i="18"/>
  <c r="BI898" i="18"/>
  <c r="G898" i="18"/>
  <c r="BI897" i="18"/>
  <c r="BI896" i="18"/>
  <c r="G896" i="18"/>
  <c r="H896" i="18"/>
  <c r="F896" i="18"/>
  <c r="BI893" i="18"/>
  <c r="G893" i="18"/>
  <c r="BI892" i="18"/>
  <c r="BI891" i="18"/>
  <c r="G891" i="18"/>
  <c r="E891" i="18"/>
  <c r="BI888" i="18"/>
  <c r="G888" i="18"/>
  <c r="E888" i="18"/>
  <c r="BI887" i="18"/>
  <c r="BI886" i="18"/>
  <c r="G886" i="18"/>
  <c r="BI883" i="18"/>
  <c r="G883" i="18"/>
  <c r="BI882" i="18"/>
  <c r="BI881" i="18"/>
  <c r="G881" i="18"/>
  <c r="H881" i="18"/>
  <c r="F881" i="18"/>
  <c r="BI878" i="18"/>
  <c r="G878" i="18"/>
  <c r="H878" i="18"/>
  <c r="F878" i="18"/>
  <c r="E878" i="18"/>
  <c r="BI877" i="18"/>
  <c r="BI876" i="18"/>
  <c r="G876" i="18"/>
  <c r="E876" i="18"/>
  <c r="BI873" i="18"/>
  <c r="G873" i="18"/>
  <c r="E873" i="18"/>
  <c r="BI872" i="18"/>
  <c r="G872" i="18"/>
  <c r="BI871" i="18"/>
  <c r="BI870" i="18"/>
  <c r="G870" i="18"/>
  <c r="H870" i="18"/>
  <c r="F870" i="18"/>
  <c r="BI867" i="18"/>
  <c r="G867" i="18"/>
  <c r="BI866" i="18"/>
  <c r="G866" i="18"/>
  <c r="E866" i="18"/>
  <c r="BI865" i="18"/>
  <c r="BI864" i="18"/>
  <c r="G864" i="18"/>
  <c r="E864" i="18"/>
  <c r="H864" i="18"/>
  <c r="F864" i="18"/>
  <c r="BI861" i="18"/>
  <c r="G861" i="18"/>
  <c r="H861" i="18"/>
  <c r="E861" i="18"/>
  <c r="BI860" i="18"/>
  <c r="G860" i="18"/>
  <c r="E860" i="18"/>
  <c r="H860" i="18"/>
  <c r="F860" i="18"/>
  <c r="BI859" i="18"/>
  <c r="BI858" i="18"/>
  <c r="G858" i="18"/>
  <c r="BI855" i="18"/>
  <c r="G855" i="18"/>
  <c r="BI854" i="18"/>
  <c r="G854" i="18"/>
  <c r="BI853" i="18"/>
  <c r="BI852" i="18"/>
  <c r="G852" i="18"/>
  <c r="E852" i="18"/>
  <c r="BI849" i="18"/>
  <c r="G849" i="18"/>
  <c r="BI848" i="18"/>
  <c r="G848" i="18"/>
  <c r="BI847" i="18"/>
  <c r="BI846" i="18"/>
  <c r="G846" i="18"/>
  <c r="E846" i="18"/>
  <c r="BI843" i="18"/>
  <c r="G843" i="18"/>
  <c r="BI842" i="18"/>
  <c r="G842" i="18"/>
  <c r="BI841" i="18"/>
  <c r="BI840" i="18"/>
  <c r="G840" i="18"/>
  <c r="BI837" i="18"/>
  <c r="G837" i="18"/>
  <c r="H837" i="18"/>
  <c r="F837" i="18"/>
  <c r="BI836" i="18"/>
  <c r="G836" i="18"/>
  <c r="BI835" i="18"/>
  <c r="BI834" i="18"/>
  <c r="G834" i="18"/>
  <c r="BI831" i="18"/>
  <c r="G831" i="18"/>
  <c r="E831" i="18"/>
  <c r="BI830" i="18"/>
  <c r="G830" i="18"/>
  <c r="BI829" i="18"/>
  <c r="BI828" i="18"/>
  <c r="G828" i="18"/>
  <c r="BI825" i="18"/>
  <c r="G825" i="18"/>
  <c r="H825" i="18"/>
  <c r="F825" i="18"/>
  <c r="BI824" i="18"/>
  <c r="G824" i="18"/>
  <c r="H824" i="18"/>
  <c r="F824" i="18"/>
  <c r="BI823" i="18"/>
  <c r="BI822" i="18"/>
  <c r="G822" i="18"/>
  <c r="BI819" i="18"/>
  <c r="G819" i="18"/>
  <c r="H819" i="18"/>
  <c r="F819" i="18"/>
  <c r="BI818" i="18"/>
  <c r="G818" i="18"/>
  <c r="E818" i="18"/>
  <c r="BI817" i="18"/>
  <c r="BI816" i="18"/>
  <c r="G816" i="18"/>
  <c r="BI813" i="18"/>
  <c r="G813" i="18"/>
  <c r="H813" i="18"/>
  <c r="BI812" i="18"/>
  <c r="G812" i="18"/>
  <c r="BI811" i="18"/>
  <c r="BI810" i="18"/>
  <c r="G810" i="18"/>
  <c r="H810" i="18"/>
  <c r="F810" i="18"/>
  <c r="BI807" i="18"/>
  <c r="G807" i="18"/>
  <c r="H807" i="18"/>
  <c r="F807" i="18"/>
  <c r="BI806" i="18"/>
  <c r="G806" i="18"/>
  <c r="H806" i="18"/>
  <c r="F806" i="18"/>
  <c r="E806" i="18"/>
  <c r="BI805" i="18"/>
  <c r="BI804" i="18"/>
  <c r="G804" i="18"/>
  <c r="H804" i="18"/>
  <c r="F804" i="18"/>
  <c r="BI801" i="18"/>
  <c r="G801" i="18"/>
  <c r="BI800" i="18"/>
  <c r="G800" i="18"/>
  <c r="BI799" i="18"/>
  <c r="BI798" i="18"/>
  <c r="G798" i="18"/>
  <c r="H798" i="18"/>
  <c r="F798" i="18"/>
  <c r="BI750" i="18"/>
  <c r="G750" i="18"/>
  <c r="G776" i="18"/>
  <c r="H750" i="18"/>
  <c r="F750" i="18"/>
  <c r="BI749" i="18"/>
  <c r="G749" i="18"/>
  <c r="E749" i="18"/>
  <c r="BI748" i="18"/>
  <c r="G748" i="18"/>
  <c r="BI747" i="18"/>
  <c r="G747" i="18"/>
  <c r="H747" i="18"/>
  <c r="F747" i="18"/>
  <c r="BI746" i="18"/>
  <c r="G746" i="18"/>
  <c r="E746" i="18"/>
  <c r="BI745" i="18"/>
  <c r="BI742" i="18"/>
  <c r="G742" i="18"/>
  <c r="BI741" i="18"/>
  <c r="G741" i="18"/>
  <c r="E741" i="18"/>
  <c r="BI740" i="18"/>
  <c r="G740" i="18"/>
  <c r="BI739" i="18"/>
  <c r="G739" i="18"/>
  <c r="E739" i="18"/>
  <c r="BI738" i="18"/>
  <c r="G738" i="18"/>
  <c r="BI737" i="18"/>
  <c r="BI734" i="18"/>
  <c r="G734" i="18"/>
  <c r="E734" i="18"/>
  <c r="BI733" i="18"/>
  <c r="G733" i="18"/>
  <c r="E733" i="18"/>
  <c r="H733" i="18"/>
  <c r="F733" i="18"/>
  <c r="BI732" i="18"/>
  <c r="G732" i="18"/>
  <c r="H732" i="18"/>
  <c r="F732" i="18"/>
  <c r="BI731" i="18"/>
  <c r="G731" i="18"/>
  <c r="E731" i="18"/>
  <c r="BI730" i="18"/>
  <c r="G730" i="18"/>
  <c r="BI729" i="18"/>
  <c r="BI726" i="18"/>
  <c r="G726" i="18"/>
  <c r="BI725" i="18"/>
  <c r="G725" i="18"/>
  <c r="H725" i="18"/>
  <c r="F725" i="18"/>
  <c r="BI724" i="18"/>
  <c r="G724" i="18"/>
  <c r="E724" i="18"/>
  <c r="BI723" i="18"/>
  <c r="G723" i="18"/>
  <c r="BI722" i="18"/>
  <c r="G722" i="18"/>
  <c r="E722" i="18"/>
  <c r="BI721" i="18"/>
  <c r="BI718" i="18"/>
  <c r="G718" i="18"/>
  <c r="E718" i="18"/>
  <c r="H718" i="18"/>
  <c r="F718" i="18"/>
  <c r="BI717" i="18"/>
  <c r="G717" i="18"/>
  <c r="E717" i="18"/>
  <c r="BI716" i="18"/>
  <c r="G716" i="18"/>
  <c r="BI715" i="18"/>
  <c r="G715" i="18"/>
  <c r="H715" i="18"/>
  <c r="F715" i="18"/>
  <c r="BI714" i="18"/>
  <c r="G714" i="18"/>
  <c r="H714" i="18"/>
  <c r="F714" i="18"/>
  <c r="BI713" i="18"/>
  <c r="BI710" i="18"/>
  <c r="G710" i="18"/>
  <c r="E710" i="18"/>
  <c r="BI709" i="18"/>
  <c r="G709" i="18"/>
  <c r="E709" i="18"/>
  <c r="BI708" i="18"/>
  <c r="G708" i="18"/>
  <c r="BI707" i="18"/>
  <c r="G707" i="18"/>
  <c r="BI706" i="18"/>
  <c r="G706" i="18"/>
  <c r="H706" i="18"/>
  <c r="F706" i="18"/>
  <c r="BI705" i="18"/>
  <c r="BI702" i="18"/>
  <c r="G702" i="18"/>
  <c r="BI701" i="18"/>
  <c r="G701" i="18"/>
  <c r="BI700" i="18"/>
  <c r="G700" i="18"/>
  <c r="BI699" i="18"/>
  <c r="G699" i="18"/>
  <c r="E699" i="18"/>
  <c r="BI698" i="18"/>
  <c r="G698" i="18"/>
  <c r="H698" i="18"/>
  <c r="F698" i="18"/>
  <c r="BI697" i="18"/>
  <c r="BI694" i="18"/>
  <c r="G694" i="18"/>
  <c r="BI693" i="18"/>
  <c r="G693" i="18"/>
  <c r="BI692" i="18"/>
  <c r="G692" i="18"/>
  <c r="H692" i="18"/>
  <c r="F692" i="18"/>
  <c r="BI691" i="18"/>
  <c r="G691" i="18"/>
  <c r="E691" i="18"/>
  <c r="BI690" i="18"/>
  <c r="G690" i="18"/>
  <c r="BI689" i="18"/>
  <c r="BI686" i="18"/>
  <c r="G686" i="18"/>
  <c r="H686" i="18"/>
  <c r="F686" i="18"/>
  <c r="BI685" i="18"/>
  <c r="G685" i="18"/>
  <c r="BI684" i="18"/>
  <c r="G684" i="18"/>
  <c r="BI683" i="18"/>
  <c r="G683" i="18"/>
  <c r="BI682" i="18"/>
  <c r="G682" i="18"/>
  <c r="BI681" i="18"/>
  <c r="BI678" i="18"/>
  <c r="G678" i="18"/>
  <c r="BI677" i="18"/>
  <c r="G677" i="18"/>
  <c r="H677" i="18"/>
  <c r="F677" i="18"/>
  <c r="BI676" i="18"/>
  <c r="G676" i="18"/>
  <c r="BI675" i="18"/>
  <c r="G675" i="18"/>
  <c r="H675" i="18"/>
  <c r="F675" i="18"/>
  <c r="BI674" i="18"/>
  <c r="G674" i="18"/>
  <c r="BI673" i="18"/>
  <c r="BI670" i="18"/>
  <c r="G670" i="18"/>
  <c r="E670" i="18"/>
  <c r="H670" i="18"/>
  <c r="F670" i="18"/>
  <c r="BI669" i="18"/>
  <c r="G669" i="18"/>
  <c r="H669" i="18"/>
  <c r="F669" i="18"/>
  <c r="BI668" i="18"/>
  <c r="G668" i="18"/>
  <c r="H668" i="18"/>
  <c r="BI667" i="18"/>
  <c r="G667" i="18"/>
  <c r="BI666" i="18"/>
  <c r="G666" i="18"/>
  <c r="BI665" i="18"/>
  <c r="BI662" i="18"/>
  <c r="G662" i="18"/>
  <c r="H662" i="18"/>
  <c r="F662" i="18"/>
  <c r="BI661" i="18"/>
  <c r="G661" i="18"/>
  <c r="BI660" i="18"/>
  <c r="G660" i="18"/>
  <c r="E660" i="18"/>
  <c r="BI659" i="18"/>
  <c r="G659" i="18"/>
  <c r="H659" i="18"/>
  <c r="F659" i="18"/>
  <c r="BI658" i="18"/>
  <c r="G658" i="18"/>
  <c r="H658" i="18"/>
  <c r="F658" i="18"/>
  <c r="BI657" i="18"/>
  <c r="BI654" i="18"/>
  <c r="G654" i="18"/>
  <c r="H654" i="18"/>
  <c r="F654" i="18"/>
  <c r="BI653" i="18"/>
  <c r="G653" i="18"/>
  <c r="BI652" i="18"/>
  <c r="G652" i="18"/>
  <c r="E652" i="18"/>
  <c r="H652" i="18"/>
  <c r="F652" i="18"/>
  <c r="BI651" i="18"/>
  <c r="G651" i="18"/>
  <c r="BI650" i="18"/>
  <c r="G650" i="18"/>
  <c r="BI649" i="18"/>
  <c r="BI646" i="18"/>
  <c r="G646" i="18"/>
  <c r="H646" i="18"/>
  <c r="F646" i="18"/>
  <c r="BI645" i="18"/>
  <c r="G645" i="18"/>
  <c r="BI644" i="18"/>
  <c r="G644" i="18"/>
  <c r="E644" i="18"/>
  <c r="H644" i="18"/>
  <c r="F644" i="18"/>
  <c r="BI643" i="18"/>
  <c r="G643" i="18"/>
  <c r="E643" i="18"/>
  <c r="BI642" i="18"/>
  <c r="G642" i="18"/>
  <c r="BI641" i="18"/>
  <c r="BI638" i="18"/>
  <c r="G638" i="18"/>
  <c r="BI637" i="18"/>
  <c r="G637" i="18"/>
  <c r="BI636" i="18"/>
  <c r="G636" i="18"/>
  <c r="H636" i="18"/>
  <c r="F636" i="18"/>
  <c r="BI635" i="18"/>
  <c r="G635" i="18"/>
  <c r="BI634" i="18"/>
  <c r="G634" i="18"/>
  <c r="BI633" i="18"/>
  <c r="BI630" i="18"/>
  <c r="G630" i="18"/>
  <c r="BI629" i="18"/>
  <c r="G629" i="18"/>
  <c r="BI628" i="18"/>
  <c r="G628" i="18"/>
  <c r="BI627" i="18"/>
  <c r="G627" i="18"/>
  <c r="H627" i="18"/>
  <c r="F627" i="18"/>
  <c r="BI626" i="18"/>
  <c r="G626" i="18"/>
  <c r="BI625" i="18"/>
  <c r="BI622" i="18"/>
  <c r="G622" i="18"/>
  <c r="BI621" i="18"/>
  <c r="G621" i="18"/>
  <c r="BI620" i="18"/>
  <c r="G620" i="18"/>
  <c r="E620" i="18"/>
  <c r="BI619" i="18"/>
  <c r="G619" i="18"/>
  <c r="E619" i="18"/>
  <c r="BI618" i="18"/>
  <c r="G618" i="18"/>
  <c r="E618" i="18"/>
  <c r="BI617" i="18"/>
  <c r="BI614" i="18"/>
  <c r="G614" i="18"/>
  <c r="E614" i="18"/>
  <c r="BI613" i="18"/>
  <c r="G613" i="18"/>
  <c r="E613" i="18"/>
  <c r="H613" i="18"/>
  <c r="F613" i="18"/>
  <c r="BI612" i="18"/>
  <c r="G612" i="18"/>
  <c r="E612" i="18"/>
  <c r="BI611" i="18"/>
  <c r="G611" i="18"/>
  <c r="BI610" i="18"/>
  <c r="G610" i="18"/>
  <c r="BI609" i="18"/>
  <c r="BI606" i="18"/>
  <c r="G606" i="18"/>
  <c r="H606" i="18"/>
  <c r="F606" i="18"/>
  <c r="E606" i="18"/>
  <c r="BI605" i="18"/>
  <c r="G605" i="18"/>
  <c r="E605" i="18"/>
  <c r="BI604" i="18"/>
  <c r="G604" i="18"/>
  <c r="BI603" i="18"/>
  <c r="G603" i="18"/>
  <c r="BI602" i="18"/>
  <c r="G602" i="18"/>
  <c r="E602" i="18"/>
  <c r="BI601" i="18"/>
  <c r="BI598" i="18"/>
  <c r="G598" i="18"/>
  <c r="E598" i="18"/>
  <c r="BI597" i="18"/>
  <c r="G597" i="18"/>
  <c r="BI596" i="18"/>
  <c r="G596" i="18"/>
  <c r="BI595" i="18"/>
  <c r="G595" i="18"/>
  <c r="BI594" i="18"/>
  <c r="G594" i="18"/>
  <c r="H594" i="18"/>
  <c r="F594" i="18"/>
  <c r="BI593" i="18"/>
  <c r="BI590" i="18"/>
  <c r="G590" i="18"/>
  <c r="E590" i="18"/>
  <c r="H590" i="18"/>
  <c r="F590" i="18"/>
  <c r="BI589" i="18"/>
  <c r="G589" i="18"/>
  <c r="BI588" i="18"/>
  <c r="G588" i="18"/>
  <c r="BI587" i="18"/>
  <c r="G587" i="18"/>
  <c r="E587" i="18"/>
  <c r="BI586" i="18"/>
  <c r="G586" i="18"/>
  <c r="E586" i="18"/>
  <c r="BI585" i="18"/>
  <c r="BI582" i="18"/>
  <c r="G582" i="18"/>
  <c r="E582" i="18"/>
  <c r="BI581" i="18"/>
  <c r="G581" i="18"/>
  <c r="BI580" i="18"/>
  <c r="G580" i="18"/>
  <c r="H580" i="18"/>
  <c r="F580" i="18"/>
  <c r="E580" i="18"/>
  <c r="BI579" i="18"/>
  <c r="G579" i="18"/>
  <c r="BI578" i="18"/>
  <c r="G578" i="18"/>
  <c r="BI577" i="18"/>
  <c r="BI574" i="18"/>
  <c r="G574" i="18"/>
  <c r="BI573" i="18"/>
  <c r="G573" i="18"/>
  <c r="BI572" i="18"/>
  <c r="G572" i="18"/>
  <c r="H572" i="18"/>
  <c r="F572" i="18"/>
  <c r="E572" i="18"/>
  <c r="BI571" i="18"/>
  <c r="G571" i="18"/>
  <c r="E571" i="18"/>
  <c r="BI570" i="18"/>
  <c r="G570" i="18"/>
  <c r="H570" i="18"/>
  <c r="F570" i="18"/>
  <c r="BI569" i="18"/>
  <c r="BI566" i="18"/>
  <c r="G566" i="18"/>
  <c r="E566" i="18"/>
  <c r="BI565" i="18"/>
  <c r="G565" i="18"/>
  <c r="E565" i="18"/>
  <c r="BI564" i="18"/>
  <c r="G564" i="18"/>
  <c r="BI563" i="18"/>
  <c r="G563" i="18"/>
  <c r="BI562" i="18"/>
  <c r="G562" i="18"/>
  <c r="BI561" i="18"/>
  <c r="BI558" i="18"/>
  <c r="G558" i="18"/>
  <c r="E558" i="18"/>
  <c r="BI557" i="18"/>
  <c r="G557" i="18"/>
  <c r="E557" i="18"/>
  <c r="H557" i="18"/>
  <c r="F557" i="18"/>
  <c r="BI556" i="18"/>
  <c r="G556" i="18"/>
  <c r="H556" i="18"/>
  <c r="F556" i="18"/>
  <c r="BI555" i="18"/>
  <c r="G555" i="18"/>
  <c r="BI554" i="18"/>
  <c r="G554" i="18"/>
  <c r="BI553" i="18"/>
  <c r="BI550" i="18"/>
  <c r="G550" i="18"/>
  <c r="BI549" i="18"/>
  <c r="G549" i="18"/>
  <c r="BI548" i="18"/>
  <c r="G548" i="18"/>
  <c r="BI547" i="18"/>
  <c r="G547" i="18"/>
  <c r="BI546" i="18"/>
  <c r="G546" i="18"/>
  <c r="H546" i="18"/>
  <c r="F546" i="18"/>
  <c r="E546" i="18"/>
  <c r="BI545" i="18"/>
  <c r="BI542" i="18"/>
  <c r="G542" i="18"/>
  <c r="E542" i="18"/>
  <c r="BI541" i="18"/>
  <c r="G541" i="18"/>
  <c r="H541" i="18"/>
  <c r="F541" i="18"/>
  <c r="E541" i="18"/>
  <c r="BI540" i="18"/>
  <c r="G540" i="18"/>
  <c r="BI539" i="18"/>
  <c r="G539" i="18"/>
  <c r="H539" i="18"/>
  <c r="BI538" i="18"/>
  <c r="G538" i="18"/>
  <c r="BI537" i="18"/>
  <c r="BI534" i="18"/>
  <c r="G534" i="18"/>
  <c r="E534" i="18"/>
  <c r="H534" i="18"/>
  <c r="F534" i="18"/>
  <c r="BI533" i="18"/>
  <c r="G533" i="18"/>
  <c r="E533" i="18"/>
  <c r="BI532" i="18"/>
  <c r="G532" i="18"/>
  <c r="BI531" i="18"/>
  <c r="G531" i="18"/>
  <c r="BI530" i="18"/>
  <c r="G530" i="18"/>
  <c r="BI529" i="18"/>
  <c r="BI526" i="18"/>
  <c r="G526" i="18"/>
  <c r="BI525" i="18"/>
  <c r="G525" i="18"/>
  <c r="BI524" i="18"/>
  <c r="G524" i="18"/>
  <c r="H524" i="18"/>
  <c r="F524" i="18"/>
  <c r="BI523" i="18"/>
  <c r="G523" i="18"/>
  <c r="H523" i="18"/>
  <c r="F523" i="18"/>
  <c r="BI522" i="18"/>
  <c r="G522" i="18"/>
  <c r="E522" i="18"/>
  <c r="BI521" i="18"/>
  <c r="BI518" i="18"/>
  <c r="G518" i="18"/>
  <c r="H518" i="18"/>
  <c r="F518" i="18"/>
  <c r="BI517" i="18"/>
  <c r="G517" i="18"/>
  <c r="E517" i="18"/>
  <c r="BI516" i="18"/>
  <c r="G516" i="18"/>
  <c r="E516" i="18"/>
  <c r="H516" i="18"/>
  <c r="F516" i="18"/>
  <c r="BI515" i="18"/>
  <c r="G515" i="18"/>
  <c r="BI514" i="18"/>
  <c r="G514" i="18"/>
  <c r="H514" i="18"/>
  <c r="F514" i="18"/>
  <c r="BI513" i="18"/>
  <c r="BI510" i="18"/>
  <c r="G510" i="18"/>
  <c r="E510" i="18"/>
  <c r="BI509" i="18"/>
  <c r="G509" i="18"/>
  <c r="E509" i="18"/>
  <c r="BI508" i="18"/>
  <c r="G508" i="18"/>
  <c r="BI507" i="18"/>
  <c r="G507" i="18"/>
  <c r="E507" i="18"/>
  <c r="BI506" i="18"/>
  <c r="G506" i="18"/>
  <c r="BI505" i="18"/>
  <c r="BI502" i="18"/>
  <c r="G502" i="18"/>
  <c r="H502" i="18"/>
  <c r="F502" i="18"/>
  <c r="BI501" i="18"/>
  <c r="G501" i="18"/>
  <c r="H501" i="18"/>
  <c r="F501" i="18"/>
  <c r="BI500" i="18"/>
  <c r="G500" i="18"/>
  <c r="H500" i="18"/>
  <c r="F500" i="18"/>
  <c r="E500" i="18"/>
  <c r="BI499" i="18"/>
  <c r="G499" i="18"/>
  <c r="H499" i="18"/>
  <c r="F499" i="18"/>
  <c r="BI498" i="18"/>
  <c r="G498" i="18"/>
  <c r="H498" i="18"/>
  <c r="F498" i="18"/>
  <c r="BI497" i="18"/>
  <c r="BI494" i="18"/>
  <c r="G494" i="18"/>
  <c r="BI493" i="18"/>
  <c r="G493" i="18"/>
  <c r="H493" i="18"/>
  <c r="F493" i="18"/>
  <c r="BI492" i="18"/>
  <c r="G492" i="18"/>
  <c r="BI491" i="18"/>
  <c r="G491" i="18"/>
  <c r="BI490" i="18"/>
  <c r="G490" i="18"/>
  <c r="H490" i="18"/>
  <c r="F490" i="18"/>
  <c r="BI489" i="18"/>
  <c r="BI486" i="18"/>
  <c r="G486" i="18"/>
  <c r="E486" i="18"/>
  <c r="BI485" i="18"/>
  <c r="G485" i="18"/>
  <c r="H485" i="18"/>
  <c r="F485" i="18"/>
  <c r="BI484" i="18"/>
  <c r="G484" i="18"/>
  <c r="E484" i="18"/>
  <c r="H484" i="18"/>
  <c r="F484" i="18"/>
  <c r="BI483" i="18"/>
  <c r="G483" i="18"/>
  <c r="H483" i="18"/>
  <c r="F483" i="18"/>
  <c r="BI482" i="18"/>
  <c r="G482" i="18"/>
  <c r="BI481" i="18"/>
  <c r="BI478" i="18"/>
  <c r="G478" i="18"/>
  <c r="BI477" i="18"/>
  <c r="G477" i="18"/>
  <c r="BI476" i="18"/>
  <c r="G476" i="18"/>
  <c r="H476" i="18"/>
  <c r="F476" i="18"/>
  <c r="BI475" i="18"/>
  <c r="G475" i="18"/>
  <c r="E475" i="18"/>
  <c r="H475" i="18"/>
  <c r="F475" i="18"/>
  <c r="BI474" i="18"/>
  <c r="G474" i="18"/>
  <c r="H474" i="18"/>
  <c r="F474" i="18"/>
  <c r="BI473" i="18"/>
  <c r="BI470" i="18"/>
  <c r="G470" i="18"/>
  <c r="E470" i="18"/>
  <c r="BI469" i="18"/>
  <c r="G469" i="18"/>
  <c r="E469" i="18"/>
  <c r="BI468" i="18"/>
  <c r="G468" i="18"/>
  <c r="E468" i="18"/>
  <c r="H468" i="18"/>
  <c r="F468" i="18"/>
  <c r="BI467" i="18"/>
  <c r="G467" i="18"/>
  <c r="BI466" i="18"/>
  <c r="G466" i="18"/>
  <c r="H466" i="18"/>
  <c r="F466" i="18"/>
  <c r="BI465" i="18"/>
  <c r="BI462" i="18"/>
  <c r="G462" i="18"/>
  <c r="E462" i="18"/>
  <c r="BI461" i="18"/>
  <c r="G461" i="18"/>
  <c r="BI460" i="18"/>
  <c r="G460" i="18"/>
  <c r="H460" i="18"/>
  <c r="E460" i="18"/>
  <c r="BI459" i="18"/>
  <c r="G459" i="18"/>
  <c r="H459" i="18"/>
  <c r="F459" i="18"/>
  <c r="BI458" i="18"/>
  <c r="G458" i="18"/>
  <c r="BI457" i="18"/>
  <c r="BI454" i="18"/>
  <c r="G454" i="18"/>
  <c r="BI453" i="18"/>
  <c r="G453" i="18"/>
  <c r="H453" i="18"/>
  <c r="F453" i="18"/>
  <c r="BI452" i="18"/>
  <c r="G452" i="18"/>
  <c r="BI451" i="18"/>
  <c r="G451" i="18"/>
  <c r="BI450" i="18"/>
  <c r="G450" i="18"/>
  <c r="BI449" i="18"/>
  <c r="BI446" i="18"/>
  <c r="G446" i="18"/>
  <c r="E446" i="18"/>
  <c r="BI445" i="18"/>
  <c r="G445" i="18"/>
  <c r="E445" i="18"/>
  <c r="BI444" i="18"/>
  <c r="G444" i="18"/>
  <c r="E444" i="18"/>
  <c r="BI443" i="18"/>
  <c r="G443" i="18"/>
  <c r="H443" i="18"/>
  <c r="F443" i="18"/>
  <c r="BI442" i="18"/>
  <c r="G442" i="18"/>
  <c r="BI441" i="18"/>
  <c r="BI438" i="18"/>
  <c r="G438" i="18"/>
  <c r="BI437" i="18"/>
  <c r="G437" i="18"/>
  <c r="E437" i="18"/>
  <c r="BI436" i="18"/>
  <c r="G436" i="18"/>
  <c r="BI435" i="18"/>
  <c r="G435" i="18"/>
  <c r="E435" i="18"/>
  <c r="BI434" i="18"/>
  <c r="G434" i="18"/>
  <c r="H434" i="18"/>
  <c r="F434" i="18"/>
  <c r="BI433" i="18"/>
  <c r="BI430" i="18"/>
  <c r="G430" i="18"/>
  <c r="BI429" i="18"/>
  <c r="G429" i="18"/>
  <c r="E429" i="18"/>
  <c r="BI428" i="18"/>
  <c r="G428" i="18"/>
  <c r="E428" i="18"/>
  <c r="BI427" i="18"/>
  <c r="G427" i="18"/>
  <c r="H427" i="18"/>
  <c r="E427" i="18"/>
  <c r="BI426" i="18"/>
  <c r="G426" i="18"/>
  <c r="BI425" i="18"/>
  <c r="BI422" i="18"/>
  <c r="G422" i="18"/>
  <c r="E422" i="18"/>
  <c r="BI421" i="18"/>
  <c r="G421" i="18"/>
  <c r="BI420" i="18"/>
  <c r="G420" i="18"/>
  <c r="H420" i="18"/>
  <c r="F420" i="18"/>
  <c r="BI419" i="18"/>
  <c r="G419" i="18"/>
  <c r="E419" i="18"/>
  <c r="BI418" i="18"/>
  <c r="G418" i="18"/>
  <c r="E418" i="18"/>
  <c r="H418" i="18"/>
  <c r="F418" i="18"/>
  <c r="BI417" i="18"/>
  <c r="BI414" i="18"/>
  <c r="G414" i="18"/>
  <c r="E414" i="18"/>
  <c r="H414" i="18"/>
  <c r="F414" i="18"/>
  <c r="BI413" i="18"/>
  <c r="G413" i="18"/>
  <c r="BI412" i="18"/>
  <c r="G412" i="18"/>
  <c r="BI411" i="18"/>
  <c r="G411" i="18"/>
  <c r="BI410" i="18"/>
  <c r="G410" i="18"/>
  <c r="E410" i="18"/>
  <c r="BI409" i="18"/>
  <c r="BI406" i="18"/>
  <c r="G406" i="18"/>
  <c r="E406" i="18"/>
  <c r="H406" i="18"/>
  <c r="F406" i="18"/>
  <c r="BI405" i="18"/>
  <c r="G405" i="18"/>
  <c r="E405" i="18"/>
  <c r="BI404" i="18"/>
  <c r="G404" i="18"/>
  <c r="BI403" i="18"/>
  <c r="G403" i="18"/>
  <c r="BI402" i="18"/>
  <c r="G402" i="18"/>
  <c r="H402" i="18"/>
  <c r="F402" i="18"/>
  <c r="BI401" i="18"/>
  <c r="BI398" i="18"/>
  <c r="G398" i="18"/>
  <c r="E398" i="18"/>
  <c r="BI397" i="18"/>
  <c r="G397" i="18"/>
  <c r="E397" i="18"/>
  <c r="H397" i="18"/>
  <c r="F397" i="18"/>
  <c r="BI396" i="18"/>
  <c r="G396" i="18"/>
  <c r="E396" i="18"/>
  <c r="BI395" i="18"/>
  <c r="G395" i="18"/>
  <c r="H395" i="18"/>
  <c r="F395" i="18"/>
  <c r="BI394" i="18"/>
  <c r="G394" i="18"/>
  <c r="H394" i="18"/>
  <c r="F394" i="18"/>
  <c r="E394" i="18"/>
  <c r="BI393" i="18"/>
  <c r="BI390" i="18"/>
  <c r="G390" i="18"/>
  <c r="BI389" i="18"/>
  <c r="G389" i="18"/>
  <c r="E389" i="18"/>
  <c r="H389" i="18"/>
  <c r="F389" i="18"/>
  <c r="BI388" i="18"/>
  <c r="G388" i="18"/>
  <c r="BI387" i="18"/>
  <c r="G387" i="18"/>
  <c r="E387" i="18"/>
  <c r="BI386" i="18"/>
  <c r="G386" i="18"/>
  <c r="BI385" i="18"/>
  <c r="BI382" i="18"/>
  <c r="G382" i="18"/>
  <c r="H382" i="18"/>
  <c r="F382" i="18"/>
  <c r="E382" i="18"/>
  <c r="BI381" i="18"/>
  <c r="G381" i="18"/>
  <c r="E381" i="18"/>
  <c r="BI380" i="18"/>
  <c r="G380" i="18"/>
  <c r="E380" i="18"/>
  <c r="BI379" i="18"/>
  <c r="G379" i="18"/>
  <c r="BI378" i="18"/>
  <c r="G378" i="18"/>
  <c r="BI377" i="18"/>
  <c r="BI374" i="18"/>
  <c r="G374" i="18"/>
  <c r="BI373" i="18"/>
  <c r="G373" i="18"/>
  <c r="H373" i="18"/>
  <c r="F373" i="18"/>
  <c r="BI372" i="18"/>
  <c r="G372" i="18"/>
  <c r="H372" i="18"/>
  <c r="F372" i="18"/>
  <c r="BI371" i="18"/>
  <c r="G371" i="18"/>
  <c r="H371" i="18"/>
  <c r="F371" i="18"/>
  <c r="BI370" i="18"/>
  <c r="G370" i="18"/>
  <c r="BI369" i="18"/>
  <c r="BI366" i="18"/>
  <c r="G366" i="18"/>
  <c r="H366" i="18"/>
  <c r="F366" i="18"/>
  <c r="BI365" i="18"/>
  <c r="G365" i="18"/>
  <c r="BI364" i="18"/>
  <c r="G364" i="18"/>
  <c r="BI363" i="18"/>
  <c r="G363" i="18"/>
  <c r="BI362" i="18"/>
  <c r="G362" i="18"/>
  <c r="BI361" i="18"/>
  <c r="BI358" i="18"/>
  <c r="G358" i="18"/>
  <c r="BI357" i="18"/>
  <c r="G357" i="18"/>
  <c r="H357" i="18"/>
  <c r="F357" i="18"/>
  <c r="BI356" i="18"/>
  <c r="G356" i="18"/>
  <c r="BI355" i="18"/>
  <c r="G355" i="18"/>
  <c r="BI354" i="18"/>
  <c r="G354" i="18"/>
  <c r="E354" i="18"/>
  <c r="BI353" i="18"/>
  <c r="BI350" i="18"/>
  <c r="G350" i="18"/>
  <c r="E350" i="18"/>
  <c r="BI349" i="18"/>
  <c r="G349" i="18"/>
  <c r="BI348" i="18"/>
  <c r="G348" i="18"/>
  <c r="BI347" i="18"/>
  <c r="G347" i="18"/>
  <c r="H347" i="18"/>
  <c r="BI346" i="18"/>
  <c r="G346" i="18"/>
  <c r="H346" i="18"/>
  <c r="BI345" i="18"/>
  <c r="BI342" i="18"/>
  <c r="G342" i="18"/>
  <c r="H342" i="18"/>
  <c r="F342" i="18"/>
  <c r="BI341" i="18"/>
  <c r="G341" i="18"/>
  <c r="H341" i="18"/>
  <c r="F341" i="18"/>
  <c r="BI340" i="18"/>
  <c r="G340" i="18"/>
  <c r="BI339" i="18"/>
  <c r="G339" i="18"/>
  <c r="BI338" i="18"/>
  <c r="G338" i="18"/>
  <c r="H338" i="18"/>
  <c r="F338" i="18"/>
  <c r="E338" i="18"/>
  <c r="BI337" i="18"/>
  <c r="BI334" i="18"/>
  <c r="G334" i="18"/>
  <c r="H334" i="18"/>
  <c r="F334" i="18"/>
  <c r="BI333" i="18"/>
  <c r="G333" i="18"/>
  <c r="H333" i="18"/>
  <c r="F333" i="18"/>
  <c r="BI332" i="18"/>
  <c r="G332" i="18"/>
  <c r="BI331" i="18"/>
  <c r="G331" i="18"/>
  <c r="BI330" i="18"/>
  <c r="G330" i="18"/>
  <c r="E330" i="18"/>
  <c r="BI329" i="18"/>
  <c r="BI326" i="18"/>
  <c r="G326" i="18"/>
  <c r="E326" i="18"/>
  <c r="BI325" i="18"/>
  <c r="G325" i="18"/>
  <c r="H325" i="18"/>
  <c r="F325" i="18"/>
  <c r="BI324" i="18"/>
  <c r="G324" i="18"/>
  <c r="E324" i="18"/>
  <c r="BI323" i="18"/>
  <c r="G323" i="18"/>
  <c r="H323" i="18"/>
  <c r="F323" i="18"/>
  <c r="E323" i="18"/>
  <c r="BI322" i="18"/>
  <c r="G322" i="18"/>
  <c r="H322" i="18"/>
  <c r="E322" i="18"/>
  <c r="BI321" i="18"/>
  <c r="BI318" i="18"/>
  <c r="G318" i="18"/>
  <c r="E318" i="18"/>
  <c r="H318" i="18"/>
  <c r="F318" i="18"/>
  <c r="BI317" i="18"/>
  <c r="G317" i="18"/>
  <c r="BI316" i="18"/>
  <c r="G316" i="18"/>
  <c r="BI315" i="18"/>
  <c r="G315" i="18"/>
  <c r="H315" i="18"/>
  <c r="BI314" i="18"/>
  <c r="G314" i="18"/>
  <c r="H314" i="18"/>
  <c r="F314" i="18"/>
  <c r="BI313" i="18"/>
  <c r="BI310" i="18"/>
  <c r="G310" i="18"/>
  <c r="BI309" i="18"/>
  <c r="G309" i="18"/>
  <c r="E309" i="18"/>
  <c r="BI308" i="18"/>
  <c r="G308" i="18"/>
  <c r="H308" i="18"/>
  <c r="F308" i="18"/>
  <c r="BI307" i="18"/>
  <c r="G307" i="18"/>
  <c r="BI306" i="18"/>
  <c r="G306" i="18"/>
  <c r="BI305" i="18"/>
  <c r="BI302" i="18"/>
  <c r="G302" i="18"/>
  <c r="BI301" i="18"/>
  <c r="G301" i="18"/>
  <c r="BI300" i="18"/>
  <c r="G300" i="18"/>
  <c r="BI299" i="18"/>
  <c r="G299" i="18"/>
  <c r="BI298" i="18"/>
  <c r="G298" i="18"/>
  <c r="E298" i="18"/>
  <c r="BI297" i="18"/>
  <c r="BI294" i="18"/>
  <c r="G294" i="18"/>
  <c r="E294" i="18"/>
  <c r="BI293" i="18"/>
  <c r="G293" i="18"/>
  <c r="H293" i="18"/>
  <c r="F293" i="18"/>
  <c r="BI292" i="18"/>
  <c r="G292" i="18"/>
  <c r="H292" i="18"/>
  <c r="BI291" i="18"/>
  <c r="G291" i="18"/>
  <c r="BI290" i="18"/>
  <c r="G290" i="18"/>
  <c r="H290" i="18"/>
  <c r="F290" i="18"/>
  <c r="BI289" i="18"/>
  <c r="BI286" i="18"/>
  <c r="G286" i="18"/>
  <c r="BI285" i="18"/>
  <c r="G285" i="18"/>
  <c r="BI284" i="18"/>
  <c r="G284" i="18"/>
  <c r="BI283" i="18"/>
  <c r="G283" i="18"/>
  <c r="H283" i="18"/>
  <c r="E283" i="18"/>
  <c r="BI282" i="18"/>
  <c r="G282" i="18"/>
  <c r="H282" i="18"/>
  <c r="F282" i="18"/>
  <c r="E282" i="18"/>
  <c r="BI281" i="18"/>
  <c r="BI278" i="18"/>
  <c r="G278" i="18"/>
  <c r="H278" i="18"/>
  <c r="F278" i="18"/>
  <c r="BI277" i="18"/>
  <c r="G277" i="18"/>
  <c r="E277" i="18"/>
  <c r="BI276" i="18"/>
  <c r="G276" i="18"/>
  <c r="H276" i="18"/>
  <c r="F276" i="18"/>
  <c r="E276" i="18"/>
  <c r="BI275" i="18"/>
  <c r="G275" i="18"/>
  <c r="H275" i="18"/>
  <c r="F275" i="18"/>
  <c r="BI274" i="18"/>
  <c r="G274" i="18"/>
  <c r="BI273" i="18"/>
  <c r="BI270" i="18"/>
  <c r="G270" i="18"/>
  <c r="BI269" i="18"/>
  <c r="G269" i="18"/>
  <c r="BI268" i="18"/>
  <c r="G268" i="18"/>
  <c r="H268" i="18"/>
  <c r="F268" i="18"/>
  <c r="BI267" i="18"/>
  <c r="G267" i="18"/>
  <c r="E267" i="18"/>
  <c r="BI266" i="18"/>
  <c r="G266" i="18"/>
  <c r="E266" i="18"/>
  <c r="H266" i="18"/>
  <c r="F266" i="18"/>
  <c r="BI265" i="18"/>
  <c r="BI262" i="18"/>
  <c r="G262" i="18"/>
  <c r="H262" i="18"/>
  <c r="F262" i="18"/>
  <c r="BI261" i="18"/>
  <c r="G261" i="18"/>
  <c r="BI260" i="18"/>
  <c r="G260" i="18"/>
  <c r="H260" i="18"/>
  <c r="E260" i="18"/>
  <c r="BI259" i="18"/>
  <c r="G259" i="18"/>
  <c r="BI258" i="18"/>
  <c r="G258" i="18"/>
  <c r="BI257" i="18"/>
  <c r="BI254" i="18"/>
  <c r="G254" i="18"/>
  <c r="E254" i="18"/>
  <c r="BI253" i="18"/>
  <c r="G253" i="18"/>
  <c r="BI252" i="18"/>
  <c r="G252" i="18"/>
  <c r="H252" i="18"/>
  <c r="F252" i="18"/>
  <c r="BI251" i="18"/>
  <c r="G251" i="18"/>
  <c r="E251" i="18"/>
  <c r="BI250" i="18"/>
  <c r="G250" i="18"/>
  <c r="BI249" i="18"/>
  <c r="BI246" i="18"/>
  <c r="G246" i="18"/>
  <c r="H246" i="18"/>
  <c r="E246" i="18"/>
  <c r="BI245" i="18"/>
  <c r="G245" i="18"/>
  <c r="H245" i="18"/>
  <c r="F245" i="18"/>
  <c r="BI244" i="18"/>
  <c r="G244" i="18"/>
  <c r="H244" i="18"/>
  <c r="F244" i="18"/>
  <c r="BI243" i="18"/>
  <c r="G243" i="18"/>
  <c r="E243" i="18"/>
  <c r="BI242" i="18"/>
  <c r="G242" i="18"/>
  <c r="H242" i="18"/>
  <c r="F242" i="18"/>
  <c r="E242" i="18"/>
  <c r="BI241" i="18"/>
  <c r="BI238" i="18"/>
  <c r="G238" i="18"/>
  <c r="E238" i="18"/>
  <c r="BI237" i="18"/>
  <c r="G237" i="18"/>
  <c r="E237" i="18"/>
  <c r="BI236" i="18"/>
  <c r="G236" i="18"/>
  <c r="BI235" i="18"/>
  <c r="G235" i="18"/>
  <c r="BI234" i="18"/>
  <c r="G234" i="18"/>
  <c r="BI233" i="18"/>
  <c r="BI230" i="18"/>
  <c r="G230" i="18"/>
  <c r="E230" i="18"/>
  <c r="H230" i="18"/>
  <c r="F230" i="18"/>
  <c r="BI229" i="18"/>
  <c r="G229" i="18"/>
  <c r="E229" i="18"/>
  <c r="BI228" i="18"/>
  <c r="G228" i="18"/>
  <c r="BI227" i="18"/>
  <c r="G227" i="18"/>
  <c r="H227" i="18"/>
  <c r="F227" i="18"/>
  <c r="BI226" i="18"/>
  <c r="G226" i="18"/>
  <c r="H226" i="18"/>
  <c r="F226" i="18"/>
  <c r="BI225" i="18"/>
  <c r="BI222" i="18"/>
  <c r="G222" i="18"/>
  <c r="H222" i="18"/>
  <c r="F222" i="18"/>
  <c r="E222" i="18"/>
  <c r="BI221" i="18"/>
  <c r="G221" i="18"/>
  <c r="BI220" i="18"/>
  <c r="G220" i="18"/>
  <c r="BI219" i="18"/>
  <c r="G219" i="18"/>
  <c r="BI218" i="18"/>
  <c r="G218" i="18"/>
  <c r="BI217" i="18"/>
  <c r="BI214" i="18"/>
  <c r="G214" i="18"/>
  <c r="E214" i="18"/>
  <c r="BI213" i="18"/>
  <c r="G213" i="18"/>
  <c r="BI212" i="18"/>
  <c r="G212" i="18"/>
  <c r="H212" i="18"/>
  <c r="F212" i="18"/>
  <c r="BI211" i="18"/>
  <c r="G211" i="18"/>
  <c r="E211" i="18"/>
  <c r="BI210" i="18"/>
  <c r="G210" i="18"/>
  <c r="BI209" i="18"/>
  <c r="BI206" i="18"/>
  <c r="G206" i="18"/>
  <c r="BI205" i="18"/>
  <c r="G205" i="18"/>
  <c r="H205" i="18"/>
  <c r="F205" i="18"/>
  <c r="E205" i="18"/>
  <c r="BI204" i="18"/>
  <c r="G204" i="18"/>
  <c r="E204" i="18"/>
  <c r="BI203" i="18"/>
  <c r="G203" i="18"/>
  <c r="BI202" i="18"/>
  <c r="G202" i="18"/>
  <c r="BI201" i="18"/>
  <c r="BI198" i="18"/>
  <c r="G198" i="18"/>
  <c r="E198" i="18"/>
  <c r="BI197" i="18"/>
  <c r="G197" i="18"/>
  <c r="BI196" i="18"/>
  <c r="G196" i="18"/>
  <c r="H196" i="18"/>
  <c r="F196" i="18"/>
  <c r="BI195" i="18"/>
  <c r="G195" i="18"/>
  <c r="E195" i="18"/>
  <c r="BI194" i="18"/>
  <c r="G194" i="18"/>
  <c r="BI193" i="18"/>
  <c r="BI190" i="18"/>
  <c r="BI189" i="18"/>
  <c r="BI186" i="18"/>
  <c r="BI185" i="18"/>
  <c r="BI182" i="18"/>
  <c r="BI181" i="18"/>
  <c r="BI178" i="18"/>
  <c r="BI177" i="18"/>
  <c r="BI174" i="18"/>
  <c r="BI173" i="18"/>
  <c r="BI170" i="18"/>
  <c r="BI169" i="18"/>
  <c r="BI166" i="18"/>
  <c r="BI165" i="18"/>
  <c r="BI162" i="18"/>
  <c r="BI161" i="18"/>
  <c r="BI158" i="18"/>
  <c r="BI157" i="18"/>
  <c r="BI154" i="18"/>
  <c r="BI153" i="18"/>
  <c r="BI150" i="18"/>
  <c r="BI149" i="18"/>
  <c r="BI146" i="18"/>
  <c r="BI145" i="18"/>
  <c r="BI142" i="18"/>
  <c r="BI141" i="18"/>
  <c r="BI138" i="18"/>
  <c r="BI137" i="18"/>
  <c r="BI134" i="18"/>
  <c r="BI133" i="18"/>
  <c r="BI130" i="18"/>
  <c r="BI129" i="18"/>
  <c r="BI126" i="18"/>
  <c r="BI125" i="18"/>
  <c r="BI122" i="18"/>
  <c r="BI121" i="18"/>
  <c r="BI118" i="18"/>
  <c r="BI117" i="18"/>
  <c r="BI114" i="18"/>
  <c r="BI113" i="18"/>
  <c r="BI110" i="18"/>
  <c r="BI109" i="18"/>
  <c r="BI106" i="18"/>
  <c r="BI105" i="18"/>
  <c r="BI102" i="18"/>
  <c r="BI101" i="18"/>
  <c r="BI98" i="18"/>
  <c r="BI97" i="18"/>
  <c r="BI94" i="18"/>
  <c r="BI93" i="18"/>
  <c r="BI90" i="18"/>
  <c r="BI89" i="18"/>
  <c r="BI86" i="18"/>
  <c r="BI85" i="18"/>
  <c r="BI82" i="18"/>
  <c r="BI81" i="18"/>
  <c r="BI78" i="18"/>
  <c r="BI77" i="18"/>
  <c r="BI74" i="18"/>
  <c r="BI73" i="18"/>
  <c r="BI70" i="18"/>
  <c r="BI69" i="18"/>
  <c r="BI66" i="18"/>
  <c r="BI65" i="18"/>
  <c r="BI62" i="18"/>
  <c r="BI61" i="18"/>
  <c r="BI58" i="18"/>
  <c r="BI57" i="18"/>
  <c r="BI54" i="18"/>
  <c r="BI53" i="18"/>
  <c r="BI50" i="18"/>
  <c r="BI49" i="18"/>
  <c r="BI46" i="18"/>
  <c r="BI45" i="18"/>
  <c r="BI42" i="18"/>
  <c r="BI41" i="18"/>
  <c r="BI38" i="18"/>
  <c r="BI37" i="18"/>
  <c r="BI34" i="18"/>
  <c r="BI33" i="18"/>
  <c r="BI30" i="18"/>
  <c r="BI29" i="18"/>
  <c r="BI26" i="18"/>
  <c r="BI25" i="18"/>
  <c r="BI22" i="18"/>
  <c r="BI21" i="18"/>
  <c r="BI18" i="18"/>
  <c r="BI17" i="18"/>
  <c r="BI14" i="18"/>
  <c r="BI13" i="18"/>
  <c r="BI10" i="18"/>
  <c r="BI9" i="18"/>
  <c r="BI6" i="18"/>
  <c r="BI5" i="18"/>
  <c r="AC279" i="17"/>
  <c r="AC278" i="17"/>
  <c r="AC277" i="17"/>
  <c r="AC276" i="17"/>
  <c r="AC275" i="17"/>
  <c r="AC274" i="17"/>
  <c r="AC273" i="17"/>
  <c r="AC272" i="17"/>
  <c r="AC271" i="17"/>
  <c r="AC270" i="17"/>
  <c r="AC269" i="17"/>
  <c r="AC268" i="17"/>
  <c r="AC267" i="17"/>
  <c r="AC266" i="17"/>
  <c r="AC265" i="17"/>
  <c r="AC264" i="17"/>
  <c r="AC263" i="17"/>
  <c r="AC262" i="17"/>
  <c r="AC261" i="17"/>
  <c r="AC260" i="17"/>
  <c r="AC259" i="17"/>
  <c r="AC258" i="17"/>
  <c r="AC257" i="17"/>
  <c r="AC256" i="17"/>
  <c r="AC255" i="17"/>
  <c r="AC254" i="17"/>
  <c r="AC253" i="17"/>
  <c r="AC252" i="17"/>
  <c r="AC251" i="17"/>
  <c r="AC250" i="17"/>
  <c r="AC249" i="17"/>
  <c r="AC248" i="17"/>
  <c r="AC247" i="17"/>
  <c r="AC246" i="17"/>
  <c r="AC245" i="17"/>
  <c r="AC244" i="17"/>
  <c r="AC243" i="17"/>
  <c r="AC242" i="17"/>
  <c r="AC241" i="17"/>
  <c r="AC240" i="17"/>
  <c r="AC239" i="17"/>
  <c r="AC238" i="17"/>
  <c r="AC237" i="17"/>
  <c r="AC236" i="17"/>
  <c r="AC235" i="17"/>
  <c r="AC234" i="17"/>
  <c r="AC233" i="17"/>
  <c r="AC232" i="17"/>
  <c r="AC231" i="17"/>
  <c r="AC230" i="17"/>
  <c r="AC229" i="17"/>
  <c r="AC228" i="17"/>
  <c r="AC227" i="17"/>
  <c r="AC226" i="17"/>
  <c r="AC225" i="17"/>
  <c r="AC224" i="17"/>
  <c r="AC223" i="17"/>
  <c r="AC222" i="17"/>
  <c r="AC221" i="17"/>
  <c r="AC220" i="17"/>
  <c r="AC219" i="17"/>
  <c r="AC218" i="17"/>
  <c r="AC217" i="17"/>
  <c r="AC216" i="17"/>
  <c r="AC215" i="17"/>
  <c r="AC214" i="17"/>
  <c r="AC213" i="17"/>
  <c r="AC212" i="17"/>
  <c r="AC211" i="17"/>
  <c r="AC210" i="17"/>
  <c r="AC209" i="17"/>
  <c r="AC208" i="17"/>
  <c r="AC207" i="17"/>
  <c r="AC206" i="17"/>
  <c r="AC205" i="17"/>
  <c r="AC204" i="17"/>
  <c r="AC203" i="17"/>
  <c r="AC202" i="17"/>
  <c r="AC201" i="17"/>
  <c r="AC200" i="17"/>
  <c r="AC199" i="17"/>
  <c r="AC198" i="17"/>
  <c r="AC197" i="17"/>
  <c r="AC196" i="17"/>
  <c r="AC195" i="17"/>
  <c r="AC194" i="17"/>
  <c r="AC193" i="17"/>
  <c r="AC192" i="17"/>
  <c r="AC191" i="17"/>
  <c r="AC190" i="17"/>
  <c r="AC189" i="17"/>
  <c r="AC188" i="17"/>
  <c r="AC187" i="17"/>
  <c r="AC186" i="17"/>
  <c r="AC185" i="17"/>
  <c r="AC184" i="17"/>
  <c r="AC183" i="17"/>
  <c r="AC182" i="17"/>
  <c r="AC181" i="17"/>
  <c r="AC180" i="17"/>
  <c r="AC179" i="17"/>
  <c r="AC178" i="17"/>
  <c r="AC177" i="17"/>
  <c r="AC176" i="17"/>
  <c r="AC175" i="17"/>
  <c r="AC174" i="17"/>
  <c r="AC173" i="17"/>
  <c r="AC172" i="17"/>
  <c r="AC171" i="17"/>
  <c r="AC170" i="17"/>
  <c r="AC169" i="17"/>
  <c r="AC168" i="17"/>
  <c r="AC167" i="17"/>
  <c r="AC166" i="17"/>
  <c r="AC165" i="17"/>
  <c r="AC164" i="17"/>
  <c r="AC163" i="17"/>
  <c r="AC162" i="17"/>
  <c r="AC161" i="17"/>
  <c r="AC160" i="17"/>
  <c r="AC159" i="17"/>
  <c r="AC158" i="17"/>
  <c r="AC157" i="17"/>
  <c r="AC156" i="17"/>
  <c r="AC155" i="17"/>
  <c r="AC154" i="17"/>
  <c r="AC153" i="17"/>
  <c r="AC152" i="17"/>
  <c r="AC151" i="17"/>
  <c r="AC150" i="17"/>
  <c r="AC149" i="17"/>
  <c r="AC148" i="17"/>
  <c r="AC147" i="17"/>
  <c r="AC146" i="17"/>
  <c r="AC145" i="17"/>
  <c r="AC144" i="17"/>
  <c r="AC143" i="17"/>
  <c r="AC142" i="17"/>
  <c r="AC141" i="17"/>
  <c r="AC140" i="17"/>
  <c r="AC139" i="17"/>
  <c r="AC138" i="17"/>
  <c r="AC137" i="17"/>
  <c r="AC136" i="17"/>
  <c r="AC135" i="17"/>
  <c r="AC134" i="17"/>
  <c r="AC133" i="17"/>
  <c r="AC132" i="17"/>
  <c r="AC131" i="17"/>
  <c r="AC125" i="17"/>
  <c r="AC124" i="17"/>
  <c r="AC123" i="17"/>
  <c r="AC122" i="17"/>
  <c r="AC121" i="17"/>
  <c r="AC120" i="17"/>
  <c r="AC119" i="17"/>
  <c r="AC118" i="17"/>
  <c r="AC117" i="17"/>
  <c r="AC116" i="17"/>
  <c r="AC115" i="17"/>
  <c r="AC114" i="17"/>
  <c r="AC113" i="17"/>
  <c r="AC112" i="17"/>
  <c r="AC111" i="17"/>
  <c r="AC110" i="17"/>
  <c r="AC109" i="17"/>
  <c r="AC108" i="17"/>
  <c r="AC107" i="17"/>
  <c r="AC106" i="17"/>
  <c r="AC105" i="17"/>
  <c r="AC104" i="17"/>
  <c r="AC103" i="17"/>
  <c r="AC102" i="17"/>
  <c r="AC101" i="17"/>
  <c r="AC100" i="17"/>
  <c r="AC99" i="17"/>
  <c r="AC98" i="17"/>
  <c r="AC97" i="17"/>
  <c r="AC96" i="17"/>
  <c r="AC95" i="17"/>
  <c r="AC94" i="17"/>
  <c r="AC93" i="17"/>
  <c r="AC92" i="17"/>
  <c r="AC91" i="17"/>
  <c r="AC90" i="17"/>
  <c r="AC89" i="17"/>
  <c r="AC88" i="17"/>
  <c r="AC87" i="17"/>
  <c r="AC86" i="17"/>
  <c r="AC85" i="17"/>
  <c r="AC84" i="17"/>
  <c r="AC83" i="17"/>
  <c r="AC82" i="17"/>
  <c r="AC81" i="17"/>
  <c r="AC80" i="17"/>
  <c r="AC79" i="17"/>
  <c r="AC78" i="17"/>
  <c r="AC77" i="17"/>
  <c r="AC76" i="17"/>
  <c r="AC75" i="17"/>
  <c r="AC74" i="17"/>
  <c r="AC73" i="17"/>
  <c r="AC72" i="17"/>
  <c r="AC71" i="17"/>
  <c r="AC70" i="17"/>
  <c r="AC69" i="17"/>
  <c r="AC68" i="17"/>
  <c r="AC67" i="17"/>
  <c r="AC66" i="17"/>
  <c r="AC65" i="17"/>
  <c r="AC64" i="17"/>
  <c r="AC63" i="17"/>
  <c r="AC62" i="17"/>
  <c r="AC61" i="17"/>
  <c r="AC60" i="17"/>
  <c r="AC59" i="17"/>
  <c r="AC58" i="17"/>
  <c r="AC57" i="17"/>
  <c r="AC56" i="17"/>
  <c r="AC55" i="17"/>
  <c r="AC54" i="17"/>
  <c r="AC53" i="17"/>
  <c r="AC52" i="17"/>
  <c r="AC51" i="17"/>
  <c r="AC50" i="17"/>
  <c r="AC49" i="17"/>
  <c r="AC48" i="17"/>
  <c r="AC47" i="17"/>
  <c r="AC46" i="17"/>
  <c r="AC45" i="17"/>
  <c r="AC44" i="17"/>
  <c r="AC43" i="17"/>
  <c r="AC42" i="17"/>
  <c r="AC41" i="17"/>
  <c r="AC40" i="17"/>
  <c r="AC39" i="17"/>
  <c r="AC38" i="17"/>
  <c r="AC37" i="17"/>
  <c r="AC36" i="17"/>
  <c r="AC35" i="17"/>
  <c r="AC34" i="17"/>
  <c r="AC33" i="17"/>
  <c r="AC32" i="17"/>
  <c r="AC31" i="17"/>
  <c r="AC30" i="17"/>
  <c r="AC29" i="17"/>
  <c r="AC28" i="17"/>
  <c r="AC27" i="17"/>
  <c r="AC26" i="17"/>
  <c r="AC25" i="17"/>
  <c r="AC24" i="17"/>
  <c r="AC23" i="17"/>
  <c r="AC22" i="17"/>
  <c r="AC21" i="17"/>
  <c r="AC20" i="17"/>
  <c r="AC19" i="17"/>
  <c r="AC18" i="17"/>
  <c r="AC17" i="17"/>
  <c r="AC16" i="17"/>
  <c r="AC15" i="17"/>
  <c r="AC14" i="17"/>
  <c r="AC13" i="17"/>
  <c r="AC12" i="17"/>
  <c r="AC11" i="17"/>
  <c r="AC10" i="17"/>
  <c r="AC9" i="17"/>
  <c r="AC8" i="17"/>
  <c r="AC7" i="17"/>
  <c r="AC6" i="17"/>
  <c r="AC5" i="17"/>
  <c r="AC4" i="17"/>
  <c r="AC3" i="17"/>
  <c r="E351" i="16"/>
  <c r="AA351" i="16"/>
  <c r="BV350" i="16"/>
  <c r="E350" i="16"/>
  <c r="AA350" i="16"/>
  <c r="BV349" i="16"/>
  <c r="E349" i="16"/>
  <c r="AA349" i="16"/>
  <c r="BV346" i="16"/>
  <c r="E346" i="16"/>
  <c r="AA346" i="16"/>
  <c r="BV345" i="16"/>
  <c r="E345" i="16"/>
  <c r="AA345" i="16"/>
  <c r="BV344" i="16"/>
  <c r="E344" i="16"/>
  <c r="AA344" i="16"/>
  <c r="BV343" i="16"/>
  <c r="E343" i="16"/>
  <c r="AA343" i="16"/>
  <c r="BV342" i="16"/>
  <c r="BV341" i="16"/>
  <c r="BV340" i="16"/>
  <c r="E340" i="16"/>
  <c r="AA340" i="16"/>
  <c r="BV339" i="16"/>
  <c r="BV338" i="16"/>
  <c r="BV337" i="16"/>
  <c r="H337" i="16"/>
  <c r="F337" i="16"/>
  <c r="O337" i="16"/>
  <c r="BV336" i="16"/>
  <c r="H336" i="16"/>
  <c r="F336" i="16"/>
  <c r="O336" i="16"/>
  <c r="E336" i="16"/>
  <c r="AA336" i="16"/>
  <c r="BV335" i="16"/>
  <c r="E335" i="16"/>
  <c r="AA335" i="16"/>
  <c r="BV334" i="16"/>
  <c r="H334" i="16"/>
  <c r="F334" i="16"/>
  <c r="O334" i="16"/>
  <c r="BV333" i="16"/>
  <c r="F331" i="16"/>
  <c r="O331" i="16"/>
  <c r="E331" i="16"/>
  <c r="AA331" i="16"/>
  <c r="E330" i="16"/>
  <c r="AA330" i="16"/>
  <c r="BV329" i="16"/>
  <c r="BV328" i="16"/>
  <c r="E328" i="16"/>
  <c r="AA328" i="16"/>
  <c r="BV327" i="16"/>
  <c r="E327" i="16"/>
  <c r="AA327" i="16"/>
  <c r="BV326" i="16"/>
  <c r="E326" i="16"/>
  <c r="AA326" i="16"/>
  <c r="BV325" i="16"/>
  <c r="E325" i="16"/>
  <c r="AA325" i="16"/>
  <c r="BV324" i="16"/>
  <c r="E324" i="16"/>
  <c r="AA324" i="16"/>
  <c r="BV323" i="16"/>
  <c r="BV322" i="16"/>
  <c r="BV321" i="16"/>
  <c r="E321" i="16"/>
  <c r="AA321" i="16"/>
  <c r="BV318" i="16"/>
  <c r="BV317" i="16"/>
  <c r="H317" i="16"/>
  <c r="E317" i="16"/>
  <c r="AA317" i="16"/>
  <c r="J316" i="16"/>
  <c r="I11" i="16"/>
  <c r="J11" i="16"/>
  <c r="F315" i="16"/>
  <c r="O315" i="16"/>
  <c r="E315" i="16"/>
  <c r="AA315" i="16"/>
  <c r="BV314" i="16"/>
  <c r="BV313" i="16"/>
  <c r="F311" i="16"/>
  <c r="R311" i="16"/>
  <c r="O311" i="16"/>
  <c r="E311" i="16"/>
  <c r="AA311" i="16"/>
  <c r="BV310" i="16"/>
  <c r="BV309" i="16"/>
  <c r="BV306" i="16"/>
  <c r="BV305" i="16"/>
  <c r="BV304" i="16"/>
  <c r="BV303" i="16"/>
  <c r="BV302" i="16"/>
  <c r="BV301" i="16"/>
  <c r="BV300" i="16"/>
  <c r="BV299" i="16"/>
  <c r="BV298" i="16"/>
  <c r="F296" i="16"/>
  <c r="E296" i="16"/>
  <c r="AA296" i="16"/>
  <c r="BV294" i="16"/>
  <c r="BV293" i="16"/>
  <c r="BV292" i="16"/>
  <c r="BV291" i="16"/>
  <c r="BV290" i="16"/>
  <c r="BV289" i="16"/>
  <c r="BV288" i="16"/>
  <c r="BV287" i="16"/>
  <c r="BV286" i="16"/>
  <c r="BV285" i="16"/>
  <c r="BV284" i="16"/>
  <c r="BV283" i="16"/>
  <c r="BV281" i="16"/>
  <c r="BV279" i="16"/>
  <c r="BV278" i="16"/>
  <c r="BV270" i="16"/>
  <c r="BV269" i="16"/>
  <c r="BV264" i="16"/>
  <c r="BV263" i="16"/>
  <c r="BV262" i="16"/>
  <c r="BV261" i="16"/>
  <c r="BV260" i="16"/>
  <c r="BV259" i="16"/>
  <c r="BV258" i="16"/>
  <c r="BV257" i="16"/>
  <c r="F255" i="16"/>
  <c r="O255" i="16"/>
  <c r="E255" i="16"/>
  <c r="AA255" i="16"/>
  <c r="BV254" i="16"/>
  <c r="BV253" i="16"/>
  <c r="BV252" i="16"/>
  <c r="BV251" i="16"/>
  <c r="E250" i="16"/>
  <c r="AA250" i="16"/>
  <c r="BV249" i="16"/>
  <c r="BV248" i="16"/>
  <c r="BV247" i="16"/>
  <c r="BV246" i="16"/>
  <c r="BV245" i="16"/>
  <c r="BV244" i="16"/>
  <c r="BV243" i="16"/>
  <c r="BV242" i="16"/>
  <c r="BV241" i="16"/>
  <c r="BV240" i="16"/>
  <c r="BV239" i="16"/>
  <c r="BV238" i="16"/>
  <c r="BV237" i="16"/>
  <c r="BV236" i="16"/>
  <c r="E235" i="16"/>
  <c r="AA235" i="16"/>
  <c r="BV234" i="16"/>
  <c r="BV233" i="16"/>
  <c r="BV232" i="16"/>
  <c r="BV231" i="16"/>
  <c r="BV230" i="16"/>
  <c r="BV229" i="16"/>
  <c r="BV228" i="16"/>
  <c r="BV227" i="16"/>
  <c r="BV226" i="16"/>
  <c r="BV225" i="16"/>
  <c r="BV224" i="16"/>
  <c r="BV223" i="16"/>
  <c r="BV222" i="16"/>
  <c r="BV221" i="16"/>
  <c r="E220" i="16"/>
  <c r="AA220" i="16"/>
  <c r="BV219" i="16"/>
  <c r="BV218" i="16"/>
  <c r="BV217" i="16"/>
  <c r="BV216" i="16"/>
  <c r="BV215" i="16"/>
  <c r="BV214" i="16"/>
  <c r="BV213" i="16"/>
  <c r="BV212" i="16"/>
  <c r="BV211" i="16"/>
  <c r="BV210" i="16"/>
  <c r="BV209" i="16"/>
  <c r="BV208" i="16"/>
  <c r="BV207" i="16"/>
  <c r="E206" i="16"/>
  <c r="AA206" i="16"/>
  <c r="BV202" i="16"/>
  <c r="BV201" i="16"/>
  <c r="BV200" i="16"/>
  <c r="BV199" i="16"/>
  <c r="BV192" i="16"/>
  <c r="BV191" i="16"/>
  <c r="BV186" i="16"/>
  <c r="BV185" i="16"/>
  <c r="BV183" i="16"/>
  <c r="BV182" i="16"/>
  <c r="BV181" i="16"/>
  <c r="BV180" i="16"/>
  <c r="BV179" i="16"/>
  <c r="BV178" i="16"/>
  <c r="BV177" i="16"/>
  <c r="BV176" i="16"/>
  <c r="BV175" i="16"/>
  <c r="BV174" i="16"/>
  <c r="BV173" i="16"/>
  <c r="BV172" i="16"/>
  <c r="BV171" i="16"/>
  <c r="BV170" i="16"/>
  <c r="BV165" i="16"/>
  <c r="BV164" i="16"/>
  <c r="BV163" i="16"/>
  <c r="BV158" i="16"/>
  <c r="BV155" i="16"/>
  <c r="BV154" i="16"/>
  <c r="BV153" i="16"/>
  <c r="BV152" i="16"/>
  <c r="BV151" i="16"/>
  <c r="BV150" i="16"/>
  <c r="BV149" i="16"/>
  <c r="BV148" i="16"/>
  <c r="BV147" i="16"/>
  <c r="BV146" i="16"/>
  <c r="BV145" i="16"/>
  <c r="BV144" i="16"/>
  <c r="BV143" i="16"/>
  <c r="BV142" i="16"/>
  <c r="BV134" i="16"/>
  <c r="BV131" i="16"/>
  <c r="BV130" i="16"/>
  <c r="BV129" i="16"/>
  <c r="BV128" i="16"/>
  <c r="BV127" i="16"/>
  <c r="BV126" i="16"/>
  <c r="BV125" i="16"/>
  <c r="BV124" i="16"/>
  <c r="BV123" i="16"/>
  <c r="BV122" i="16"/>
  <c r="BV121" i="16"/>
  <c r="BV120" i="16"/>
  <c r="BV119" i="16"/>
  <c r="BV118" i="16"/>
  <c r="BV117" i="16"/>
  <c r="BV116" i="16"/>
  <c r="BV115" i="16"/>
  <c r="BV114" i="16"/>
  <c r="BV113" i="16"/>
  <c r="BV112" i="16"/>
  <c r="BV111" i="16"/>
  <c r="BV110" i="16"/>
  <c r="BV109" i="16"/>
  <c r="BV108" i="16"/>
  <c r="BV106" i="16"/>
  <c r="BV105" i="16"/>
  <c r="BV104" i="16"/>
  <c r="BV103" i="16"/>
  <c r="BV102" i="16"/>
  <c r="E101" i="16"/>
  <c r="AA101" i="16"/>
  <c r="BV90" i="16"/>
  <c r="BV88" i="16"/>
  <c r="BV82" i="16"/>
  <c r="BV81" i="16"/>
  <c r="BV79" i="16"/>
  <c r="BV78" i="16"/>
  <c r="BV77" i="16"/>
  <c r="BV70" i="16"/>
  <c r="BV66" i="16"/>
  <c r="BV65" i="16"/>
  <c r="BV64" i="16"/>
  <c r="BV62" i="16"/>
  <c r="BV60" i="16"/>
  <c r="BV59" i="16"/>
  <c r="BV58" i="16"/>
  <c r="BV57" i="16"/>
  <c r="BV56" i="16"/>
  <c r="BV55" i="16"/>
  <c r="BV54" i="16"/>
  <c r="BV53" i="16"/>
  <c r="BV52" i="16"/>
  <c r="BV51" i="16"/>
  <c r="BV50" i="16"/>
  <c r="BV49" i="16"/>
  <c r="BV46" i="16"/>
  <c r="BV40" i="16"/>
  <c r="BV39" i="16"/>
  <c r="BV38" i="16"/>
  <c r="BV37" i="16"/>
  <c r="BV36" i="16"/>
  <c r="BV35" i="16"/>
  <c r="BV34" i="16"/>
  <c r="BV32" i="16"/>
  <c r="BV30" i="16"/>
  <c r="BV25" i="16"/>
  <c r="BV24" i="16"/>
  <c r="BV23" i="16"/>
  <c r="BV22" i="16"/>
  <c r="BV21" i="16"/>
  <c r="BV20" i="16"/>
  <c r="BV18" i="16"/>
  <c r="BV16" i="16"/>
  <c r="E15" i="16"/>
  <c r="F13" i="16"/>
  <c r="E13" i="16"/>
  <c r="BV12" i="16"/>
  <c r="BV11" i="16"/>
  <c r="F10" i="16"/>
  <c r="O10" i="16"/>
  <c r="E10" i="16"/>
  <c r="E9" i="16"/>
  <c r="BV8" i="16"/>
  <c r="BV7" i="16"/>
  <c r="BV6" i="16"/>
  <c r="BV5" i="16"/>
  <c r="AD14" i="19"/>
  <c r="G69" i="21"/>
  <c r="G117" i="21"/>
  <c r="G118" i="21"/>
  <c r="E12" i="20"/>
  <c r="F23" i="21"/>
  <c r="G23" i="21"/>
  <c r="G24" i="21"/>
  <c r="F4" i="20"/>
  <c r="D150" i="19"/>
  <c r="B150" i="19"/>
  <c r="A150" i="19"/>
  <c r="G57" i="21"/>
  <c r="K1732" i="18"/>
  <c r="L1732" i="18"/>
  <c r="AR139" i="19"/>
  <c r="G9" i="21"/>
  <c r="G10" i="21"/>
  <c r="E3" i="20"/>
  <c r="A98" i="19"/>
  <c r="D98" i="19"/>
  <c r="B98" i="19"/>
  <c r="H1849" i="18"/>
  <c r="F1849" i="18"/>
  <c r="H1910" i="18"/>
  <c r="F1910" i="18"/>
  <c r="H1870" i="18"/>
  <c r="F1870" i="18"/>
  <c r="E1870" i="18"/>
  <c r="H1889" i="18"/>
  <c r="F1889" i="18"/>
  <c r="E1889" i="18"/>
  <c r="E2044" i="18"/>
  <c r="E1930" i="18"/>
  <c r="L81" i="16"/>
  <c r="F81" i="16"/>
  <c r="O81" i="16"/>
  <c r="L88" i="16"/>
  <c r="F88" i="16"/>
  <c r="O88" i="16"/>
  <c r="E162" i="16"/>
  <c r="AA162" i="16"/>
  <c r="E161" i="16"/>
  <c r="AA161" i="16"/>
  <c r="E160" i="16"/>
  <c r="AA160" i="16"/>
  <c r="E159" i="16"/>
  <c r="AA159" i="16"/>
  <c r="E137" i="16"/>
  <c r="AA137" i="16"/>
  <c r="E136" i="16"/>
  <c r="AA136" i="16"/>
  <c r="E107" i="16"/>
  <c r="AA107" i="16"/>
  <c r="E87" i="16"/>
  <c r="AA87" i="16"/>
  <c r="E55" i="16"/>
  <c r="AA55" i="16"/>
  <c r="E54" i="16"/>
  <c r="AA54" i="16"/>
  <c r="E21" i="16"/>
  <c r="AA21" i="16"/>
  <c r="E18" i="16"/>
  <c r="AA18" i="16"/>
  <c r="E57" i="16"/>
  <c r="AA57" i="16"/>
  <c r="E56" i="16"/>
  <c r="AA56" i="16"/>
  <c r="E22" i="16"/>
  <c r="AA22" i="16"/>
  <c r="E52" i="16"/>
  <c r="AA52" i="16"/>
  <c r="E80" i="16"/>
  <c r="AA80" i="16"/>
  <c r="E85" i="16"/>
  <c r="AA85" i="16"/>
  <c r="E59" i="16"/>
  <c r="AA59" i="16"/>
  <c r="E49" i="16"/>
  <c r="AA49" i="16"/>
  <c r="E30" i="16"/>
  <c r="AA30" i="16"/>
  <c r="E81" i="16"/>
  <c r="AA81" i="16"/>
  <c r="E16" i="16"/>
  <c r="AA16" i="16"/>
  <c r="E72" i="16"/>
  <c r="AA72" i="16"/>
  <c r="E65" i="16"/>
  <c r="AA65" i="16"/>
  <c r="E88" i="16"/>
  <c r="AA88" i="16"/>
  <c r="E66" i="16"/>
  <c r="AA66" i="16"/>
  <c r="E58" i="16"/>
  <c r="AA58" i="16"/>
  <c r="E79" i="16"/>
  <c r="E19" i="16"/>
  <c r="AA19" i="16"/>
  <c r="E20" i="16"/>
  <c r="AA20" i="16"/>
  <c r="E70" i="16"/>
  <c r="AA70" i="16"/>
  <c r="E84" i="16"/>
  <c r="AA84" i="16"/>
  <c r="E62" i="16"/>
  <c r="AA62" i="16"/>
  <c r="E35" i="16"/>
  <c r="AA35" i="16"/>
  <c r="E25" i="16"/>
  <c r="AA25" i="16"/>
  <c r="E24" i="16"/>
  <c r="AA24" i="16"/>
  <c r="E40" i="16"/>
  <c r="AA40" i="16"/>
  <c r="E82" i="16"/>
  <c r="AA82" i="16"/>
  <c r="E64" i="16"/>
  <c r="AA64" i="16"/>
  <c r="E63" i="16"/>
  <c r="AA63" i="16"/>
  <c r="E39" i="16"/>
  <c r="AA39" i="16"/>
  <c r="E32" i="16"/>
  <c r="AA32" i="16"/>
  <c r="E53" i="16"/>
  <c r="AA53" i="16"/>
  <c r="E45" i="16"/>
  <c r="AA45" i="16"/>
  <c r="E77" i="16"/>
  <c r="AA77" i="16"/>
  <c r="E34" i="16"/>
  <c r="AA34" i="16"/>
  <c r="E51" i="16"/>
  <c r="AA51" i="16"/>
  <c r="E46" i="16"/>
  <c r="AA46" i="16"/>
  <c r="E17" i="16"/>
  <c r="AA17" i="16"/>
  <c r="E37" i="16"/>
  <c r="AA37" i="16"/>
  <c r="E86" i="16"/>
  <c r="AA86" i="16"/>
  <c r="E78" i="16"/>
  <c r="AA78" i="16"/>
  <c r="E90" i="16"/>
  <c r="AA90" i="16"/>
  <c r="E50" i="16"/>
  <c r="AA50" i="16"/>
  <c r="E38" i="16"/>
  <c r="AA38" i="16"/>
  <c r="E83" i="16"/>
  <c r="AA83" i="16"/>
  <c r="E23" i="16"/>
  <c r="AA23" i="16"/>
  <c r="E60" i="16"/>
  <c r="AA60" i="16"/>
  <c r="E36" i="16"/>
  <c r="AA36" i="16"/>
  <c r="E75" i="16"/>
  <c r="AA75" i="16"/>
  <c r="E73" i="16"/>
  <c r="AA73" i="16"/>
  <c r="E76" i="16"/>
  <c r="AA76" i="16"/>
  <c r="E71" i="16"/>
  <c r="AA71" i="16"/>
  <c r="E47" i="16"/>
  <c r="AA47" i="16"/>
  <c r="E68" i="16"/>
  <c r="AA68" i="16"/>
  <c r="E61" i="16"/>
  <c r="E67" i="16"/>
  <c r="AA67" i="16"/>
  <c r="E28" i="16"/>
  <c r="AA28" i="16"/>
  <c r="E44" i="16"/>
  <c r="AA44" i="16"/>
  <c r="E41" i="16"/>
  <c r="AA41" i="16"/>
  <c r="E42" i="16"/>
  <c r="AA42" i="16"/>
  <c r="J221" i="16"/>
  <c r="H243" i="16"/>
  <c r="H215" i="16"/>
  <c r="L183" i="16"/>
  <c r="J243" i="16"/>
  <c r="H51" i="16"/>
  <c r="G12" i="20"/>
  <c r="K1594" i="18"/>
  <c r="L1594" i="18"/>
  <c r="G70" i="21"/>
  <c r="E8" i="20"/>
  <c r="G1643" i="18"/>
  <c r="AF122" i="19"/>
  <c r="G1732" i="18"/>
  <c r="H1732" i="18"/>
  <c r="G1525" i="18"/>
  <c r="G1532" i="18"/>
  <c r="L90" i="16"/>
  <c r="J79" i="16"/>
  <c r="J90" i="16"/>
  <c r="H324" i="16"/>
  <c r="F324" i="16"/>
  <c r="O324" i="16"/>
  <c r="J24" i="16"/>
  <c r="H90" i="16"/>
  <c r="F90" i="16"/>
  <c r="O90" i="16"/>
  <c r="L2193" i="18"/>
  <c r="L2197" i="18"/>
  <c r="J30" i="30"/>
  <c r="J2193" i="18"/>
  <c r="J2197" i="18"/>
  <c r="H30" i="30"/>
  <c r="G2103" i="18"/>
  <c r="H2103" i="18"/>
  <c r="J95" i="16"/>
  <c r="E2049" i="18"/>
  <c r="E1710" i="18"/>
  <c r="E1827" i="18"/>
  <c r="G1977" i="18"/>
  <c r="H1977" i="18"/>
  <c r="E1939" i="18"/>
  <c r="E1135" i="18"/>
  <c r="J1808" i="18"/>
  <c r="H1920" i="18"/>
  <c r="F1920" i="18"/>
  <c r="E1989" i="18"/>
  <c r="E1086" i="18"/>
  <c r="H1121" i="18"/>
  <c r="F1121" i="18"/>
  <c r="H26" i="30"/>
  <c r="J92" i="16"/>
  <c r="G1998" i="18"/>
  <c r="H1998" i="18"/>
  <c r="L2165" i="18"/>
  <c r="L2170" i="18"/>
  <c r="J26" i="30"/>
  <c r="E1724" i="18"/>
  <c r="E978" i="18"/>
  <c r="K897" i="18"/>
  <c r="L897" i="18"/>
  <c r="L895" i="18"/>
  <c r="J148" i="17"/>
  <c r="H710" i="18"/>
  <c r="F710" i="18"/>
  <c r="H2115" i="18"/>
  <c r="F2115" i="18"/>
  <c r="H1798" i="18"/>
  <c r="F1798" i="18"/>
  <c r="E1923" i="18"/>
  <c r="J2159" i="18"/>
  <c r="J2163" i="18"/>
  <c r="H25" i="30"/>
  <c r="E715" i="18"/>
  <c r="F283" i="18"/>
  <c r="E2079" i="18"/>
  <c r="H1908" i="18"/>
  <c r="F1908" i="18"/>
  <c r="E1445" i="18"/>
  <c r="H1993" i="18"/>
  <c r="F1993" i="18"/>
  <c r="H1924" i="18"/>
  <c r="F1924" i="18"/>
  <c r="E1548" i="18"/>
  <c r="E1906" i="18"/>
  <c r="J1418" i="18"/>
  <c r="F1418" i="18"/>
  <c r="E1759" i="18"/>
  <c r="F2168" i="18"/>
  <c r="F2161" i="18"/>
  <c r="F2190" i="18"/>
  <c r="F2201" i="18"/>
  <c r="F2202" i="18"/>
  <c r="F2209" i="18"/>
  <c r="L2214" i="18"/>
  <c r="L2207" i="18"/>
  <c r="J2214" i="18"/>
  <c r="J99" i="16"/>
  <c r="J2207" i="18"/>
  <c r="L2217" i="18"/>
  <c r="L2210" i="18"/>
  <c r="L2203" i="18"/>
  <c r="H2217" i="18"/>
  <c r="H2210" i="18"/>
  <c r="F2210" i="18"/>
  <c r="H2203" i="18"/>
  <c r="H2196" i="18"/>
  <c r="F2196" i="18"/>
  <c r="H2194" i="18"/>
  <c r="H2195" i="18"/>
  <c r="H2193" i="18"/>
  <c r="F2195" i="18"/>
  <c r="H2189" i="18"/>
  <c r="H2186" i="18"/>
  <c r="H2188" i="18"/>
  <c r="F2188" i="18"/>
  <c r="H2183" i="18"/>
  <c r="F2183" i="18"/>
  <c r="H2181" i="18"/>
  <c r="J2182" i="18"/>
  <c r="L2187" i="18"/>
  <c r="L2186" i="18"/>
  <c r="L2191" i="18"/>
  <c r="J29" i="30"/>
  <c r="L2180" i="18"/>
  <c r="H2176" i="18"/>
  <c r="F2176" i="18"/>
  <c r="H2174" i="18"/>
  <c r="F2174" i="18"/>
  <c r="L2175" i="18"/>
  <c r="J2175" i="18"/>
  <c r="L2173" i="18"/>
  <c r="F2173" i="18"/>
  <c r="H2162" i="18"/>
  <c r="H2169" i="18"/>
  <c r="F2169" i="18"/>
  <c r="H2167" i="18"/>
  <c r="H2165" i="18"/>
  <c r="F2167" i="18"/>
  <c r="L2160" i="18"/>
  <c r="L2159" i="18"/>
  <c r="L2163" i="18"/>
  <c r="J25" i="30"/>
  <c r="E524" i="18"/>
  <c r="H1847" i="18"/>
  <c r="F1847" i="18"/>
  <c r="E837" i="18"/>
  <c r="H354" i="18"/>
  <c r="F354" i="18"/>
  <c r="E1642" i="18"/>
  <c r="E1463" i="18"/>
  <c r="H773" i="18"/>
  <c r="F773" i="18"/>
  <c r="H251" i="18"/>
  <c r="F251" i="18"/>
  <c r="H619" i="18"/>
  <c r="F619" i="18"/>
  <c r="E290" i="18"/>
  <c r="E824" i="18"/>
  <c r="H691" i="18"/>
  <c r="F691" i="18"/>
  <c r="E659" i="18"/>
  <c r="H1277" i="18"/>
  <c r="F1277" i="18"/>
  <c r="H953" i="18"/>
  <c r="F953" i="18"/>
  <c r="K1865" i="18"/>
  <c r="L1865" i="18"/>
  <c r="E675" i="18"/>
  <c r="J1516" i="18"/>
  <c r="F1516" i="18"/>
  <c r="H558" i="18"/>
  <c r="F558" i="18"/>
  <c r="H1966" i="18"/>
  <c r="F1966" i="18"/>
  <c r="H509" i="18"/>
  <c r="F509" i="18"/>
  <c r="E252" i="18"/>
  <c r="H410" i="18"/>
  <c r="F410" i="18"/>
  <c r="H1001" i="18"/>
  <c r="F1056" i="18"/>
  <c r="J1658" i="18"/>
  <c r="F1658" i="18"/>
  <c r="J1393" i="18"/>
  <c r="F1393" i="18"/>
  <c r="J1703" i="18"/>
  <c r="H731" i="18"/>
  <c r="F731" i="18"/>
  <c r="E341" i="18"/>
  <c r="E514" i="18"/>
  <c r="E627" i="18"/>
  <c r="H1447" i="18"/>
  <c r="F1447" i="18"/>
  <c r="H993" i="18"/>
  <c r="F993" i="18"/>
  <c r="E1027" i="18"/>
  <c r="E1457" i="18"/>
  <c r="E825" i="18"/>
  <c r="E2109" i="18"/>
  <c r="E1167" i="18"/>
  <c r="E325" i="18"/>
  <c r="E1887" i="18"/>
  <c r="E1391" i="18"/>
  <c r="H1237" i="18"/>
  <c r="F1237" i="18"/>
  <c r="J1737" i="18"/>
  <c r="E2072" i="18"/>
  <c r="H437" i="18"/>
  <c r="F437" i="18"/>
  <c r="H1241" i="18"/>
  <c r="F1241" i="18"/>
  <c r="H445" i="18"/>
  <c r="F445" i="18"/>
  <c r="H294" i="18"/>
  <c r="F294" i="18"/>
  <c r="H243" i="18"/>
  <c r="F243" i="18"/>
  <c r="H566" i="18"/>
  <c r="F566" i="18"/>
  <c r="K917" i="18"/>
  <c r="L917" i="18"/>
  <c r="L915" i="18"/>
  <c r="J152" i="17"/>
  <c r="H298" i="18"/>
  <c r="F298" i="18"/>
  <c r="E2144" i="18"/>
  <c r="E278" i="18"/>
  <c r="E677" i="18"/>
  <c r="H918" i="18"/>
  <c r="F918" i="18"/>
  <c r="J1503" i="18"/>
  <c r="H507" i="18"/>
  <c r="F507" i="18"/>
  <c r="E1072" i="18"/>
  <c r="G2105" i="18"/>
  <c r="H2105" i="18"/>
  <c r="H419" i="18"/>
  <c r="F419" i="18"/>
  <c r="J1678" i="18"/>
  <c r="E1838" i="18"/>
  <c r="J1608" i="18"/>
  <c r="F1608" i="18"/>
  <c r="H462" i="18"/>
  <c r="F462" i="18"/>
  <c r="E1289" i="18"/>
  <c r="J1444" i="18"/>
  <c r="F1444" i="18"/>
  <c r="H1269" i="18"/>
  <c r="F1269" i="18"/>
  <c r="H739" i="18"/>
  <c r="F739" i="18"/>
  <c r="E212" i="18"/>
  <c r="E262" i="18"/>
  <c r="H428" i="18"/>
  <c r="F428" i="18"/>
  <c r="E896" i="18"/>
  <c r="E810" i="18"/>
  <c r="E1146" i="18"/>
  <c r="E1003" i="18"/>
  <c r="H1396" i="18"/>
  <c r="F1396" i="18"/>
  <c r="E1618" i="18"/>
  <c r="H1248" i="18"/>
  <c r="F1248" i="18"/>
  <c r="H724" i="18"/>
  <c r="F724" i="18"/>
  <c r="H1190" i="18"/>
  <c r="F1190" i="18"/>
  <c r="J1382" i="18"/>
  <c r="F1382" i="18"/>
  <c r="E976" i="18"/>
  <c r="H1656" i="18"/>
  <c r="H755" i="18"/>
  <c r="F755" i="18"/>
  <c r="H565" i="18"/>
  <c r="F565" i="18"/>
  <c r="H1943" i="18"/>
  <c r="F1943" i="18"/>
  <c r="E1564" i="18"/>
  <c r="E714" i="18"/>
  <c r="E2048" i="18"/>
  <c r="E2088" i="18"/>
  <c r="H1369" i="18"/>
  <c r="H1362" i="18"/>
  <c r="E1509" i="18"/>
  <c r="K1175" i="18"/>
  <c r="L1175" i="18"/>
  <c r="E798" i="18"/>
  <c r="J1817" i="18"/>
  <c r="F1817" i="18"/>
  <c r="J1409" i="18"/>
  <c r="F1409" i="18"/>
  <c r="E226" i="18"/>
  <c r="H1687" i="18"/>
  <c r="F1687" i="18"/>
  <c r="E1896" i="18"/>
  <c r="E2141" i="18"/>
  <c r="J1712" i="18"/>
  <c r="E518" i="18"/>
  <c r="H908" i="18"/>
  <c r="F908" i="18"/>
  <c r="J1778" i="18"/>
  <c r="F1778" i="18"/>
  <c r="J1751" i="18"/>
  <c r="E698" i="18"/>
  <c r="H746" i="18"/>
  <c r="F746" i="18"/>
  <c r="H1617" i="18"/>
  <c r="H211" i="18"/>
  <c r="F211" i="18"/>
  <c r="E372" i="18"/>
  <c r="J1454" i="18"/>
  <c r="F1454" i="18"/>
  <c r="J1584" i="18"/>
  <c r="F1584" i="18"/>
  <c r="E1438" i="18"/>
  <c r="E747" i="18"/>
  <c r="H1395" i="18"/>
  <c r="F1395" i="18"/>
  <c r="E485" i="18"/>
  <c r="J1537" i="18"/>
  <c r="E434" i="18"/>
  <c r="F861" i="18"/>
  <c r="E1711" i="18"/>
  <c r="E662" i="18"/>
  <c r="L1441" i="18"/>
  <c r="J214" i="17"/>
  <c r="K117" i="18"/>
  <c r="L117" i="18"/>
  <c r="E357" i="18"/>
  <c r="E1697" i="18"/>
  <c r="E881" i="18"/>
  <c r="E420" i="18"/>
  <c r="E1882" i="18"/>
  <c r="E1772" i="18"/>
  <c r="H1089" i="18"/>
  <c r="F1089" i="18"/>
  <c r="E2061" i="18"/>
  <c r="H846" i="18"/>
  <c r="F846" i="18"/>
  <c r="J1752" i="18"/>
  <c r="F1752" i="18"/>
  <c r="E1385" i="18"/>
  <c r="F460" i="18"/>
  <c r="J1590" i="18"/>
  <c r="F1590" i="18"/>
  <c r="H1092" i="18"/>
  <c r="F1092" i="18"/>
  <c r="E1375" i="18"/>
  <c r="L1407" i="18"/>
  <c r="J210" i="17"/>
  <c r="J1443" i="18"/>
  <c r="E2027" i="18"/>
  <c r="K927" i="18"/>
  <c r="L927" i="18"/>
  <c r="L925" i="18"/>
  <c r="J154" i="17"/>
  <c r="K907" i="18"/>
  <c r="L907" i="18"/>
  <c r="L905" i="18"/>
  <c r="J150" i="17"/>
  <c r="F1820" i="18"/>
  <c r="H1823" i="18"/>
  <c r="F1823" i="18"/>
  <c r="J1346" i="18"/>
  <c r="G1162" i="18"/>
  <c r="H486" i="18"/>
  <c r="F486" i="18"/>
  <c r="E1968" i="18"/>
  <c r="H444" i="18"/>
  <c r="F444" i="18"/>
  <c r="E1348" i="18"/>
  <c r="H470" i="18"/>
  <c r="F470" i="18"/>
  <c r="G1957" i="18"/>
  <c r="H1957" i="18"/>
  <c r="E1279" i="18"/>
  <c r="H2052" i="18"/>
  <c r="F2052" i="18"/>
  <c r="H2053" i="18"/>
  <c r="E1723" i="18"/>
  <c r="E646" i="18"/>
  <c r="E1598" i="18"/>
  <c r="K1998" i="18"/>
  <c r="L1998" i="18"/>
  <c r="E453" i="18"/>
  <c r="F1684" i="18"/>
  <c r="E1331" i="18"/>
  <c r="H906" i="18"/>
  <c r="H1856" i="18"/>
  <c r="F1856" i="18"/>
  <c r="E333" i="18"/>
  <c r="E725" i="18"/>
  <c r="H605" i="18"/>
  <c r="F605" i="18"/>
  <c r="E782" i="18"/>
  <c r="E1333" i="18"/>
  <c r="G2104" i="18"/>
  <c r="H2104" i="18"/>
  <c r="E1189" i="18"/>
  <c r="E1510" i="18"/>
  <c r="E1138" i="18"/>
  <c r="AB1725" i="18"/>
  <c r="AD1725" i="18"/>
  <c r="E1365" i="18"/>
  <c r="E658" i="18"/>
  <c r="J1649" i="18"/>
  <c r="H782" i="18"/>
  <c r="F782" i="18"/>
  <c r="E570" i="18"/>
  <c r="L1726" i="18"/>
  <c r="F1726" i="18"/>
  <c r="H1677" i="18"/>
  <c r="F1677" i="18"/>
  <c r="H2152" i="18"/>
  <c r="F2152" i="18"/>
  <c r="E1016" i="18"/>
  <c r="H542" i="18"/>
  <c r="F542" i="18"/>
  <c r="H933" i="18"/>
  <c r="F933" i="18"/>
  <c r="J208" i="17"/>
  <c r="K173" i="18"/>
  <c r="L173" i="18"/>
  <c r="E1679" i="18"/>
  <c r="J1402" i="18"/>
  <c r="F1402" i="18"/>
  <c r="K1114" i="18"/>
  <c r="L1114" i="18"/>
  <c r="E1962" i="18"/>
  <c r="E523" i="18"/>
  <c r="J1530" i="18"/>
  <c r="F1530" i="18"/>
  <c r="E1384" i="18"/>
  <c r="H1006" i="18"/>
  <c r="F1006" i="18"/>
  <c r="E342" i="18"/>
  <c r="F1460" i="18"/>
  <c r="G1999" i="18"/>
  <c r="H1999" i="18"/>
  <c r="E244" i="18"/>
  <c r="H831" i="18"/>
  <c r="F831" i="18"/>
  <c r="G2020" i="18"/>
  <c r="H2020" i="18"/>
  <c r="H330" i="18"/>
  <c r="F330" i="18"/>
  <c r="H921" i="18"/>
  <c r="E1758" i="18"/>
  <c r="K1605" i="18"/>
  <c r="L1605" i="18"/>
  <c r="K2128" i="18"/>
  <c r="L2128" i="18"/>
  <c r="E1374" i="18"/>
  <c r="E474" i="18"/>
  <c r="J1452" i="18"/>
  <c r="F1452" i="18"/>
  <c r="H2155" i="18"/>
  <c r="F2155" i="18"/>
  <c r="H614" i="18"/>
  <c r="F614" i="18"/>
  <c r="J1670" i="18"/>
  <c r="F1670" i="18"/>
  <c r="H938" i="18"/>
  <c r="F938" i="18"/>
  <c r="E1290" i="18"/>
  <c r="K1142" i="18"/>
  <c r="L1142" i="18"/>
  <c r="F260" i="18"/>
  <c r="E1151" i="18"/>
  <c r="E1038" i="18"/>
  <c r="E2031" i="18"/>
  <c r="E1820" i="18"/>
  <c r="E1730" i="18"/>
  <c r="E2063" i="18"/>
  <c r="E245" i="18"/>
  <c r="H1877" i="18"/>
  <c r="F1877" i="18"/>
  <c r="H1926" i="18"/>
  <c r="H699" i="18"/>
  <c r="F699" i="18"/>
  <c r="H522" i="18"/>
  <c r="F522" i="18"/>
  <c r="G2041" i="18"/>
  <c r="E1515" i="18"/>
  <c r="H2035" i="18"/>
  <c r="F2035" i="18"/>
  <c r="E1313" i="18"/>
  <c r="H620" i="18"/>
  <c r="F620" i="18"/>
  <c r="J1702" i="18"/>
  <c r="F1702" i="18"/>
  <c r="E807" i="18"/>
  <c r="F2046" i="18"/>
  <c r="E1637" i="18"/>
  <c r="H204" i="18"/>
  <c r="F204" i="18"/>
  <c r="E1664" i="18"/>
  <c r="J204" i="17"/>
  <c r="E2008" i="18"/>
  <c r="H229" i="18"/>
  <c r="F229" i="18"/>
  <c r="E981" i="18"/>
  <c r="E1461" i="18"/>
  <c r="E493" i="18"/>
  <c r="K1120" i="18"/>
  <c r="L1120" i="18"/>
  <c r="H533" i="18"/>
  <c r="F533" i="18"/>
  <c r="K1886" i="18"/>
  <c r="L1886" i="18"/>
  <c r="H888" i="18"/>
  <c r="F888" i="18"/>
  <c r="E669" i="18"/>
  <c r="F2141" i="18"/>
  <c r="E707" i="18"/>
  <c r="H707" i="18"/>
  <c r="F707" i="18"/>
  <c r="J1574" i="18"/>
  <c r="F1574" i="18"/>
  <c r="E1542" i="18"/>
  <c r="H422" i="18"/>
  <c r="F422" i="18"/>
  <c r="E1194" i="18"/>
  <c r="H452" i="18"/>
  <c r="F452" i="18"/>
  <c r="E452" i="18"/>
  <c r="K1091" i="18"/>
  <c r="L1091" i="18"/>
  <c r="K1030" i="18"/>
  <c r="L1030" i="18"/>
  <c r="K1107" i="18"/>
  <c r="L1107" i="18"/>
  <c r="J1662" i="18"/>
  <c r="E1662" i="18"/>
  <c r="J1339" i="18"/>
  <c r="F1339" i="18"/>
  <c r="E1339" i="18"/>
  <c r="E1861" i="18"/>
  <c r="H1861" i="18"/>
  <c r="F1861" i="18"/>
  <c r="E1835" i="18"/>
  <c r="F1835" i="18"/>
  <c r="H198" i="18"/>
  <c r="F198" i="18"/>
  <c r="F322" i="18"/>
  <c r="F246" i="18"/>
  <c r="E692" i="18"/>
  <c r="E1192" i="18"/>
  <c r="E1436" i="18"/>
  <c r="H562" i="18"/>
  <c r="F562" i="18"/>
  <c r="E562" i="18"/>
  <c r="E1051" i="18"/>
  <c r="H1051" i="18"/>
  <c r="F1051" i="18"/>
  <c r="E1536" i="18"/>
  <c r="H2004" i="18"/>
  <c r="F2004" i="18"/>
  <c r="E2004" i="18"/>
  <c r="H667" i="18"/>
  <c r="F667" i="18"/>
  <c r="E667" i="18"/>
  <c r="F427" i="18"/>
  <c r="E1203" i="18"/>
  <c r="E1011" i="18"/>
  <c r="H1465" i="18"/>
  <c r="E219" i="18"/>
  <c r="H219" i="18"/>
  <c r="F219" i="18"/>
  <c r="E901" i="18"/>
  <c r="H901" i="18"/>
  <c r="F901" i="18"/>
  <c r="E1554" i="18"/>
  <c r="J1554" i="18"/>
  <c r="G1144" i="18"/>
  <c r="G2000" i="18"/>
  <c r="H2000" i="18"/>
  <c r="G2042" i="18"/>
  <c r="H2042" i="18"/>
  <c r="H1113" i="18"/>
  <c r="F1113" i="18"/>
  <c r="E1113" i="18"/>
  <c r="H1165" i="18"/>
  <c r="F1165" i="18"/>
  <c r="E476" i="18"/>
  <c r="H1579" i="18"/>
  <c r="H1577" i="18"/>
  <c r="E370" i="18"/>
  <c r="H370" i="18"/>
  <c r="F370" i="18"/>
  <c r="J1765" i="18"/>
  <c r="E1784" i="18"/>
  <c r="H1812" i="18"/>
  <c r="E1812" i="18"/>
  <c r="H818" i="18"/>
  <c r="F818" i="18"/>
  <c r="E2014" i="18"/>
  <c r="H469" i="18"/>
  <c r="F469" i="18"/>
  <c r="E700" i="18"/>
  <c r="H700" i="18"/>
  <c r="F700" i="18"/>
  <c r="E903" i="18"/>
  <c r="E1448" i="18"/>
  <c r="G1109" i="18"/>
  <c r="H1109" i="18"/>
  <c r="E1785" i="18"/>
  <c r="F1785" i="18"/>
  <c r="H1944" i="18"/>
  <c r="F1944" i="18"/>
  <c r="E1944" i="18"/>
  <c r="E2126" i="18"/>
  <c r="H221" i="18"/>
  <c r="F221" i="18"/>
  <c r="E221" i="18"/>
  <c r="H941" i="18"/>
  <c r="E941" i="18"/>
  <c r="F346" i="18"/>
  <c r="E346" i="18"/>
  <c r="E443" i="18"/>
  <c r="E730" i="18"/>
  <c r="H730" i="18"/>
  <c r="F730" i="18"/>
  <c r="E804" i="18"/>
  <c r="H380" i="18"/>
  <c r="F380" i="18"/>
  <c r="E1616" i="18"/>
  <c r="E358" i="18"/>
  <c r="H358" i="18"/>
  <c r="F358" i="18"/>
  <c r="E621" i="18"/>
  <c r="H621" i="18"/>
  <c r="F621" i="18"/>
  <c r="H661" i="18"/>
  <c r="F661" i="18"/>
  <c r="E661" i="18"/>
  <c r="E943" i="18"/>
  <c r="H943" i="18"/>
  <c r="F943" i="18"/>
  <c r="J1403" i="18"/>
  <c r="E1669" i="18"/>
  <c r="J1669" i="18"/>
  <c r="H822" i="18"/>
  <c r="E822" i="18"/>
  <c r="E1771" i="18"/>
  <c r="J1771" i="18"/>
  <c r="E1791" i="18"/>
  <c r="J1791" i="18"/>
  <c r="F1791" i="18"/>
  <c r="H1367" i="18"/>
  <c r="F1367" i="18"/>
  <c r="E1367" i="18"/>
  <c r="E1425" i="18"/>
  <c r="H1425" i="18"/>
  <c r="F1425" i="18"/>
  <c r="H1983" i="18"/>
  <c r="F1983" i="18"/>
  <c r="E1983" i="18"/>
  <c r="H693" i="18"/>
  <c r="F693" i="18"/>
  <c r="E693" i="18"/>
  <c r="E764" i="18"/>
  <c r="E791" i="18"/>
  <c r="H1359" i="18"/>
  <c r="F1359" i="18"/>
  <c r="H958" i="18"/>
  <c r="F958" i="18"/>
  <c r="H866" i="18"/>
  <c r="F866" i="18"/>
  <c r="K1074" i="18"/>
  <c r="L1074" i="18"/>
  <c r="E1413" i="18"/>
  <c r="H1413" i="18"/>
  <c r="F1413" i="18"/>
  <c r="G1142" i="18"/>
  <c r="H1142" i="18"/>
  <c r="G1935" i="18"/>
  <c r="H1935" i="18"/>
  <c r="G2040" i="18"/>
  <c r="H2040" i="18"/>
  <c r="E1985" i="18"/>
  <c r="H1985" i="18"/>
  <c r="F1985" i="18"/>
  <c r="H1350" i="18"/>
  <c r="F1350" i="18"/>
  <c r="E1350" i="18"/>
  <c r="H1377" i="18"/>
  <c r="F1377" i="18"/>
  <c r="K1905" i="18"/>
  <c r="L1905" i="18"/>
  <c r="E307" i="18"/>
  <c r="H307" i="18"/>
  <c r="F307" i="18"/>
  <c r="H891" i="18"/>
  <c r="F891" i="18"/>
  <c r="J1523" i="18"/>
  <c r="F1523" i="18"/>
  <c r="H195" i="18"/>
  <c r="F195" i="18"/>
  <c r="H237" i="18"/>
  <c r="F237" i="18"/>
  <c r="H396" i="18"/>
  <c r="F396" i="18"/>
  <c r="H586" i="18"/>
  <c r="F586" i="18"/>
  <c r="E637" i="18"/>
  <c r="H637" i="18"/>
  <c r="F637" i="18"/>
  <c r="H1349" i="18"/>
  <c r="E1559" i="18"/>
  <c r="J1559" i="18"/>
  <c r="K2054" i="18"/>
  <c r="L2054" i="18"/>
  <c r="H324" i="18"/>
  <c r="F324" i="18"/>
  <c r="H709" i="18"/>
  <c r="F709" i="18"/>
  <c r="E1947" i="18"/>
  <c r="H876" i="18"/>
  <c r="F876" i="18"/>
  <c r="H618" i="18"/>
  <c r="F618" i="18"/>
  <c r="E1941" i="18"/>
  <c r="H966" i="18"/>
  <c r="F966" i="18"/>
  <c r="E1410" i="18"/>
  <c r="E1119" i="18"/>
  <c r="E732" i="18"/>
  <c r="E2062" i="18"/>
  <c r="H1351" i="18"/>
  <c r="F1351" i="18"/>
  <c r="E1578" i="18"/>
  <c r="E750" i="18"/>
  <c r="E308" i="18"/>
  <c r="H214" i="18"/>
  <c r="F214" i="18"/>
  <c r="H968" i="18"/>
  <c r="F968" i="18"/>
  <c r="H1173" i="18"/>
  <c r="H1174" i="18"/>
  <c r="F1173" i="18"/>
  <c r="E1462" i="18"/>
  <c r="H1969" i="18"/>
  <c r="F1969" i="18"/>
  <c r="H1507" i="18"/>
  <c r="F226" i="17"/>
  <c r="H254" i="18"/>
  <c r="F254" i="18"/>
  <c r="E951" i="18"/>
  <c r="E870" i="18"/>
  <c r="E1357" i="18"/>
  <c r="E1366" i="18"/>
  <c r="H722" i="18"/>
  <c r="F722" i="18"/>
  <c r="K1179" i="18"/>
  <c r="L1179" i="18"/>
  <c r="F1986" i="18"/>
  <c r="H517" i="18"/>
  <c r="F517" i="18"/>
  <c r="E459" i="18"/>
  <c r="E594" i="18"/>
  <c r="J1792" i="18"/>
  <c r="F1792" i="18"/>
  <c r="F668" i="18"/>
  <c r="J1401" i="18"/>
  <c r="F1401" i="18"/>
  <c r="H1866" i="18"/>
  <c r="F1866" i="18"/>
  <c r="E1075" i="18"/>
  <c r="F1075" i="18"/>
  <c r="E898" i="18"/>
  <c r="H898" i="18"/>
  <c r="F898" i="18"/>
  <c r="E916" i="18"/>
  <c r="H916" i="18"/>
  <c r="F916" i="18"/>
  <c r="E1383" i="18"/>
  <c r="G785" i="18"/>
  <c r="E758" i="18"/>
  <c r="G767" i="18"/>
  <c r="E767" i="18"/>
  <c r="H758" i="18"/>
  <c r="F758" i="18"/>
  <c r="H988" i="18"/>
  <c r="F988" i="18"/>
  <c r="E988" i="18"/>
  <c r="H741" i="18"/>
  <c r="F741" i="18"/>
  <c r="H800" i="18"/>
  <c r="F800" i="18"/>
  <c r="E800" i="18"/>
  <c r="H816" i="18"/>
  <c r="E816" i="18"/>
  <c r="E971" i="18"/>
  <c r="H848" i="18"/>
  <c r="F848" i="18"/>
  <c r="E848" i="18"/>
  <c r="F813" i="18"/>
  <c r="E813" i="18"/>
  <c r="E1108" i="18"/>
  <c r="H1108" i="18"/>
  <c r="F1108" i="18"/>
  <c r="H1558" i="18"/>
  <c r="F1558" i="18"/>
  <c r="E1623" i="18"/>
  <c r="J1623" i="18"/>
  <c r="F1623" i="18"/>
  <c r="J1652" i="18"/>
  <c r="E1652" i="18"/>
  <c r="E275" i="18"/>
  <c r="H326" i="18"/>
  <c r="F326" i="18"/>
  <c r="H801" i="18"/>
  <c r="F801" i="18"/>
  <c r="E801" i="18"/>
  <c r="H261" i="18"/>
  <c r="F261" i="18"/>
  <c r="E261" i="18"/>
  <c r="F315" i="18"/>
  <c r="E315" i="18"/>
  <c r="E436" i="18"/>
  <c r="H436" i="18"/>
  <c r="F436" i="18"/>
  <c r="H250" i="18"/>
  <c r="F250" i="18"/>
  <c r="E250" i="18"/>
  <c r="E651" i="18"/>
  <c r="H651" i="18"/>
  <c r="F651" i="18"/>
  <c r="F1510" i="18"/>
  <c r="J1511" i="18"/>
  <c r="H355" i="18"/>
  <c r="F355" i="18"/>
  <c r="E355" i="18"/>
  <c r="H317" i="18"/>
  <c r="F317" i="18"/>
  <c r="E317" i="18"/>
  <c r="E1964" i="18"/>
  <c r="E1059" i="18"/>
  <c r="E828" i="18"/>
  <c r="H828" i="18"/>
  <c r="F828" i="18"/>
  <c r="E843" i="18"/>
  <c r="H843" i="18"/>
  <c r="F843" i="18"/>
  <c r="H986" i="18"/>
  <c r="F986" i="18"/>
  <c r="E986" i="18"/>
  <c r="E1580" i="18"/>
  <c r="H1845" i="18"/>
  <c r="F1845" i="18"/>
  <c r="E234" i="18"/>
  <c r="H234" i="18"/>
  <c r="F234" i="18"/>
  <c r="E314" i="18"/>
  <c r="F1373" i="18"/>
  <c r="E1373" i="18"/>
  <c r="K937" i="18"/>
  <c r="L937" i="18"/>
  <c r="L935" i="18"/>
  <c r="J156" i="17"/>
  <c r="K892" i="18"/>
  <c r="L892" i="18"/>
  <c r="L890" i="18"/>
  <c r="J147" i="17"/>
  <c r="E1547" i="18"/>
  <c r="J1547" i="18"/>
  <c r="G1928" i="18"/>
  <c r="H2029" i="18"/>
  <c r="F2029" i="18"/>
  <c r="E2029" i="18"/>
  <c r="H477" i="18"/>
  <c r="F477" i="18"/>
  <c r="E477" i="18"/>
  <c r="E611" i="18"/>
  <c r="H611" i="18"/>
  <c r="F611" i="18"/>
  <c r="E849" i="18"/>
  <c r="H849" i="18"/>
  <c r="F849" i="18"/>
  <c r="G1198" i="18"/>
  <c r="H1198" i="18"/>
  <c r="G1153" i="18"/>
  <c r="H1153" i="18"/>
  <c r="E1464" i="18"/>
  <c r="F1148" i="18"/>
  <c r="E1148" i="18"/>
  <c r="L1455" i="18"/>
  <c r="L1450" i="18"/>
  <c r="J215" i="17"/>
  <c r="J1573" i="18"/>
  <c r="AB1574" i="18"/>
  <c r="AD1574" i="18"/>
  <c r="E1573" i="18"/>
  <c r="H2112" i="18"/>
  <c r="F2112" i="18"/>
  <c r="E1745" i="18"/>
  <c r="J1745" i="18"/>
  <c r="F1745" i="18"/>
  <c r="H873" i="18"/>
  <c r="F873" i="18"/>
  <c r="H350" i="18"/>
  <c r="F350" i="18"/>
  <c r="H454" i="18"/>
  <c r="F454" i="18"/>
  <c r="E454" i="18"/>
  <c r="H678" i="18"/>
  <c r="F678" i="18"/>
  <c r="E678" i="18"/>
  <c r="E1368" i="18"/>
  <c r="H1368" i="18"/>
  <c r="F1464" i="18"/>
  <c r="F1679" i="18"/>
  <c r="H238" i="18"/>
  <c r="F238" i="18"/>
  <c r="L1376" i="18"/>
  <c r="E1376" i="18"/>
  <c r="F1692" i="18"/>
  <c r="E1692" i="18"/>
  <c r="K877" i="18"/>
  <c r="L877" i="18"/>
  <c r="L875" i="18"/>
  <c r="J144" i="17"/>
  <c r="E819" i="18"/>
  <c r="H1466" i="18"/>
  <c r="F1466" i="18"/>
  <c r="E373" i="18"/>
  <c r="H1323" i="18"/>
  <c r="F1323" i="18"/>
  <c r="E1323" i="18"/>
  <c r="H388" i="18"/>
  <c r="F388" i="18"/>
  <c r="E388" i="18"/>
  <c r="H1053" i="18"/>
  <c r="F1053" i="18"/>
  <c r="E1053" i="18"/>
  <c r="K912" i="18"/>
  <c r="L912" i="18"/>
  <c r="L910" i="18"/>
  <c r="J151" i="17"/>
  <c r="K902" i="18"/>
  <c r="L902" i="18"/>
  <c r="L900" i="18"/>
  <c r="J149" i="17"/>
  <c r="J1591" i="18"/>
  <c r="F1591" i="18"/>
  <c r="E1591" i="18"/>
  <c r="E946" i="18"/>
  <c r="K887" i="18"/>
  <c r="L887" i="18"/>
  <c r="L885" i="18"/>
  <c r="J146" i="17"/>
  <c r="H1020" i="18"/>
  <c r="H1019" i="18"/>
  <c r="H1136" i="18"/>
  <c r="F1136" i="18"/>
  <c r="E1136" i="18"/>
  <c r="H1195" i="18"/>
  <c r="F1195" i="18"/>
  <c r="H1360" i="18"/>
  <c r="F1360" i="18"/>
  <c r="E1731" i="18"/>
  <c r="J1731" i="18"/>
  <c r="E706" i="18"/>
  <c r="K882" i="18"/>
  <c r="L882" i="18"/>
  <c r="L880" i="18"/>
  <c r="J145" i="17"/>
  <c r="E362" i="18"/>
  <c r="H362" i="18"/>
  <c r="F362" i="18"/>
  <c r="H374" i="18"/>
  <c r="F374" i="18"/>
  <c r="E374" i="18"/>
  <c r="H963" i="18"/>
  <c r="F963" i="18"/>
  <c r="E963" i="18"/>
  <c r="H1354" i="18"/>
  <c r="E1354" i="18"/>
  <c r="F1390" i="18"/>
  <c r="H603" i="18"/>
  <c r="F603" i="18"/>
  <c r="E603" i="18"/>
  <c r="H694" i="18"/>
  <c r="F694" i="18"/>
  <c r="E694" i="18"/>
  <c r="H738" i="18"/>
  <c r="F738" i="18"/>
  <c r="E738" i="18"/>
  <c r="E1171" i="18"/>
  <c r="H1171" i="18"/>
  <c r="F1171" i="18"/>
  <c r="H1187" i="18"/>
  <c r="F1187" i="18"/>
  <c r="E1187" i="18"/>
  <c r="G2114" i="18"/>
  <c r="H363" i="18"/>
  <c r="F363" i="18"/>
  <c r="E363" i="18"/>
  <c r="H390" i="18"/>
  <c r="F390" i="18"/>
  <c r="E390" i="18"/>
  <c r="E983" i="18"/>
  <c r="H983" i="18"/>
  <c r="F983" i="18"/>
  <c r="H1525" i="18"/>
  <c r="E1390" i="18"/>
  <c r="E911" i="18"/>
  <c r="H911" i="18"/>
  <c r="E1021" i="18"/>
  <c r="J1021" i="18"/>
  <c r="E1105" i="18"/>
  <c r="H1105" i="18"/>
  <c r="F1105" i="18"/>
  <c r="H1154" i="18"/>
  <c r="E1154" i="18"/>
  <c r="E467" i="18"/>
  <c r="H467" i="18"/>
  <c r="F467" i="18"/>
  <c r="J1777" i="18"/>
  <c r="E1777" i="18"/>
  <c r="E285" i="18"/>
  <c r="H285" i="18"/>
  <c r="F285" i="18"/>
  <c r="H716" i="18"/>
  <c r="F716" i="18"/>
  <c r="E716" i="18"/>
  <c r="H913" i="18"/>
  <c r="F913" i="18"/>
  <c r="E913" i="18"/>
  <c r="E1040" i="18"/>
  <c r="H1040" i="18"/>
  <c r="F1040" i="18"/>
  <c r="H197" i="18"/>
  <c r="F197" i="18"/>
  <c r="E197" i="18"/>
  <c r="H2060" i="18"/>
  <c r="F280" i="17"/>
  <c r="H582" i="18"/>
  <c r="F582" i="18"/>
  <c r="E366" i="18"/>
  <c r="E682" i="18"/>
  <c r="H682" i="18"/>
  <c r="F682" i="18"/>
  <c r="E973" i="18"/>
  <c r="G1915" i="18"/>
  <c r="H1915" i="18"/>
  <c r="G1936" i="18"/>
  <c r="H1936" i="18"/>
  <c r="E1799" i="18"/>
  <c r="H628" i="18"/>
  <c r="F628" i="18"/>
  <c r="E628" i="18"/>
  <c r="H867" i="18"/>
  <c r="F867" i="18"/>
  <c r="E867" i="18"/>
  <c r="E886" i="18"/>
  <c r="H886" i="18"/>
  <c r="E1392" i="18"/>
  <c r="J1392" i="18"/>
  <c r="F1392" i="18"/>
  <c r="H411" i="18"/>
  <c r="F411" i="18"/>
  <c r="E411" i="18"/>
  <c r="H645" i="18"/>
  <c r="F645" i="18"/>
  <c r="E645" i="18"/>
  <c r="G1958" i="18"/>
  <c r="H1958" i="18"/>
  <c r="G1916" i="18"/>
  <c r="G1937" i="18"/>
  <c r="H1937" i="18"/>
  <c r="H926" i="18"/>
  <c r="E395" i="18"/>
  <c r="F292" i="18"/>
  <c r="E292" i="18"/>
  <c r="E490" i="18"/>
  <c r="E1134" i="18"/>
  <c r="H1134" i="18"/>
  <c r="F1134" i="18"/>
  <c r="H1394" i="18"/>
  <c r="E228" i="18"/>
  <c r="H228" i="18"/>
  <c r="F228" i="18"/>
  <c r="E268" i="18"/>
  <c r="E1100" i="18"/>
  <c r="H1100" i="18"/>
  <c r="F1100" i="18"/>
  <c r="H1183" i="18"/>
  <c r="F1183" i="18"/>
  <c r="E1183" i="18"/>
  <c r="H1412" i="18"/>
  <c r="F1412" i="18"/>
  <c r="E1412" i="18"/>
  <c r="G1060" i="18"/>
  <c r="H1060" i="18"/>
  <c r="H1076" i="18"/>
  <c r="E371" i="18"/>
  <c r="H510" i="18"/>
  <c r="F510" i="18"/>
  <c r="H602" i="18"/>
  <c r="F602" i="18"/>
  <c r="E1529" i="18"/>
  <c r="J1529" i="18"/>
  <c r="F1529" i="18"/>
  <c r="E1424" i="18"/>
  <c r="J1424" i="18"/>
  <c r="F1424" i="18"/>
  <c r="J1565" i="18"/>
  <c r="F1565" i="18"/>
  <c r="E1565" i="18"/>
  <c r="E1815" i="18"/>
  <c r="H1399" i="18"/>
  <c r="E1451" i="18"/>
  <c r="L1557" i="18"/>
  <c r="J234" i="17"/>
  <c r="K1017" i="18"/>
  <c r="L1017" i="18"/>
  <c r="L1015" i="18"/>
  <c r="J172" i="17"/>
  <c r="K1209" i="18"/>
  <c r="L1209" i="18"/>
  <c r="J1624" i="18"/>
  <c r="E1624" i="18"/>
  <c r="E1358" i="18"/>
  <c r="J233" i="17"/>
  <c r="G1161" i="18"/>
  <c r="H1161" i="18"/>
  <c r="G2019" i="18"/>
  <c r="H2019" i="18"/>
  <c r="G1956" i="18"/>
  <c r="H1956" i="18"/>
  <c r="H1540" i="18"/>
  <c r="F231" i="17"/>
  <c r="J2099" i="18"/>
  <c r="F2099" i="18"/>
  <c r="E2099" i="18"/>
  <c r="G766" i="18"/>
  <c r="G793" i="18"/>
  <c r="E793" i="18"/>
  <c r="G784" i="18"/>
  <c r="E784" i="18"/>
  <c r="E757" i="18"/>
  <c r="G1914" i="18"/>
  <c r="H1914" i="18"/>
  <c r="E1821" i="18"/>
  <c r="E948" i="18"/>
  <c r="H948" i="18"/>
  <c r="F948" i="18"/>
  <c r="H1437" i="18"/>
  <c r="F1437" i="18"/>
  <c r="E1437" i="18"/>
  <c r="E2050" i="18"/>
  <c r="H2050" i="18"/>
  <c r="F2050" i="18"/>
  <c r="E2094" i="18"/>
  <c r="H381" i="18"/>
  <c r="F381" i="18"/>
  <c r="E634" i="18"/>
  <c r="H634" i="18"/>
  <c r="F634" i="18"/>
  <c r="E685" i="18"/>
  <c r="H685" i="18"/>
  <c r="F685" i="18"/>
  <c r="H936" i="18"/>
  <c r="E936" i="18"/>
  <c r="J212" i="17"/>
  <c r="K85" i="18"/>
  <c r="K97" i="18"/>
  <c r="E2006" i="18"/>
  <c r="H2006" i="18"/>
  <c r="F2006" i="18"/>
  <c r="H547" i="18"/>
  <c r="F547" i="18"/>
  <c r="E547" i="18"/>
  <c r="H855" i="18"/>
  <c r="F855" i="18"/>
  <c r="E855" i="18"/>
  <c r="H1199" i="18"/>
  <c r="E1199" i="18"/>
  <c r="E1311" i="18"/>
  <c r="H1311" i="18"/>
  <c r="F1311" i="18"/>
  <c r="H1378" i="18"/>
  <c r="F1378" i="18"/>
  <c r="E1378" i="18"/>
  <c r="E293" i="18"/>
  <c r="H587" i="18"/>
  <c r="F587" i="18"/>
  <c r="H612" i="18"/>
  <c r="F612" i="18"/>
  <c r="E636" i="18"/>
  <c r="H2028" i="18"/>
  <c r="F2028" i="18"/>
  <c r="E2028" i="18"/>
  <c r="H461" i="18"/>
  <c r="F461" i="18"/>
  <c r="E461" i="18"/>
  <c r="E858" i="18"/>
  <c r="H858" i="18"/>
  <c r="F858" i="18"/>
  <c r="H2143" i="18"/>
  <c r="F2143" i="18"/>
  <c r="E2143" i="18"/>
  <c r="J2098" i="18"/>
  <c r="E2098" i="18"/>
  <c r="E556" i="18"/>
  <c r="E642" i="18"/>
  <c r="H642" i="18"/>
  <c r="F642" i="18"/>
  <c r="E194" i="18"/>
  <c r="H194" i="18"/>
  <c r="F194" i="18"/>
  <c r="H309" i="18"/>
  <c r="F309" i="18"/>
  <c r="F347" i="18"/>
  <c r="E347" i="18"/>
  <c r="E654" i="18"/>
  <c r="E1430" i="18"/>
  <c r="E1553" i="18"/>
  <c r="K2103" i="18"/>
  <c r="L2103" i="18"/>
  <c r="E1364" i="18"/>
  <c r="L1459" i="18"/>
  <c r="J216" i="17"/>
  <c r="E1152" i="18"/>
  <c r="H1152" i="18"/>
  <c r="F1152" i="18"/>
  <c r="H1814" i="18"/>
  <c r="E538" i="18"/>
  <c r="H538" i="18"/>
  <c r="F538" i="18"/>
  <c r="E526" i="18"/>
  <c r="H526" i="18"/>
  <c r="F526" i="18"/>
  <c r="F1536" i="18"/>
  <c r="H316" i="18"/>
  <c r="F316" i="18"/>
  <c r="E316" i="18"/>
  <c r="H306" i="18"/>
  <c r="F306" i="18"/>
  <c r="E306" i="18"/>
  <c r="G1114" i="18"/>
  <c r="H1114" i="18"/>
  <c r="G2134" i="18"/>
  <c r="H2134" i="18"/>
  <c r="E269" i="18"/>
  <c r="H269" i="18"/>
  <c r="F269" i="18"/>
  <c r="E220" i="18"/>
  <c r="H220" i="18"/>
  <c r="F220" i="18"/>
  <c r="G2128" i="18"/>
  <c r="H1979" i="18"/>
  <c r="G1175" i="18"/>
  <c r="H1175" i="18"/>
  <c r="H1405" i="18"/>
  <c r="F1405" i="18"/>
  <c r="E1405" i="18"/>
  <c r="F1799" i="18"/>
  <c r="H834" i="18"/>
  <c r="F834" i="18"/>
  <c r="E834" i="18"/>
  <c r="G1949" i="18"/>
  <c r="E450" i="18"/>
  <c r="H450" i="18"/>
  <c r="F450" i="18"/>
  <c r="G1156" i="18"/>
  <c r="E686" i="18"/>
  <c r="G1201" i="18"/>
  <c r="H405" i="18"/>
  <c r="F405" i="18"/>
  <c r="G775" i="18"/>
  <c r="H749" i="18"/>
  <c r="F749" i="18"/>
  <c r="AB1619" i="18"/>
  <c r="AD1619" i="18"/>
  <c r="F1618" i="18"/>
  <c r="H277" i="18"/>
  <c r="F277" i="18"/>
  <c r="H643" i="18"/>
  <c r="F643" i="18"/>
  <c r="G2021" i="18"/>
  <c r="H2021" i="18"/>
  <c r="G1163" i="18"/>
  <c r="G1181" i="18"/>
  <c r="H1181" i="18"/>
  <c r="H595" i="18"/>
  <c r="F595" i="18"/>
  <c r="E595" i="18"/>
  <c r="H267" i="18"/>
  <c r="F267" i="18"/>
  <c r="F1664" i="18"/>
  <c r="AB1666" i="18"/>
  <c r="AD1666" i="18"/>
  <c r="E334" i="18"/>
  <c r="K1201" i="18"/>
  <c r="L1201" i="18"/>
  <c r="K1970" i="18"/>
  <c r="L1970" i="18"/>
  <c r="K2033" i="18"/>
  <c r="L2033" i="18"/>
  <c r="E206" i="18"/>
  <c r="H206" i="18"/>
  <c r="F206" i="18"/>
  <c r="H302" i="18"/>
  <c r="F302" i="18"/>
  <c r="E302" i="18"/>
  <c r="E573" i="18"/>
  <c r="H573" i="18"/>
  <c r="F573" i="18"/>
  <c r="H702" i="18"/>
  <c r="F702" i="18"/>
  <c r="E702" i="18"/>
  <c r="H259" i="18"/>
  <c r="F259" i="18"/>
  <c r="E259" i="18"/>
  <c r="F539" i="18"/>
  <c r="E539" i="18"/>
  <c r="E466" i="18"/>
  <c r="E1560" i="18"/>
  <c r="H387" i="18"/>
  <c r="F387" i="18"/>
  <c r="H1131" i="18"/>
  <c r="F1131" i="18"/>
  <c r="E1131" i="18"/>
  <c r="H1514" i="18"/>
  <c r="E284" i="18"/>
  <c r="H284" i="18"/>
  <c r="F284" i="18"/>
  <c r="H364" i="18"/>
  <c r="F364" i="18"/>
  <c r="E364" i="18"/>
  <c r="H756" i="18"/>
  <c r="F756" i="18"/>
  <c r="G783" i="18"/>
  <c r="E756" i="18"/>
  <c r="G765" i="18"/>
  <c r="E236" i="18"/>
  <c r="H236" i="18"/>
  <c r="F236" i="18"/>
  <c r="F1261" i="18"/>
  <c r="E1261" i="18"/>
  <c r="F1430" i="18"/>
  <c r="H435" i="18"/>
  <c r="F435" i="18"/>
  <c r="H683" i="18"/>
  <c r="F683" i="18"/>
  <c r="E683" i="18"/>
  <c r="H717" i="18"/>
  <c r="F717" i="18"/>
  <c r="E332" i="18"/>
  <c r="H332" i="18"/>
  <c r="F332" i="18"/>
  <c r="H1945" i="18"/>
  <c r="F1945" i="18"/>
  <c r="E1945" i="18"/>
  <c r="H286" i="18"/>
  <c r="F286" i="18"/>
  <c r="E286" i="18"/>
  <c r="E299" i="18"/>
  <c r="H299" i="18"/>
  <c r="F299" i="18"/>
  <c r="E502" i="18"/>
  <c r="H660" i="18"/>
  <c r="F660" i="18"/>
  <c r="E413" i="18"/>
  <c r="H413" i="18"/>
  <c r="F413" i="18"/>
  <c r="E492" i="18"/>
  <c r="H492" i="18"/>
  <c r="F492" i="18"/>
  <c r="E674" i="18"/>
  <c r="H674" i="18"/>
  <c r="F674" i="18"/>
  <c r="H398" i="18"/>
  <c r="F398" i="18"/>
  <c r="E2025" i="18"/>
  <c r="F2025" i="18"/>
  <c r="E218" i="18"/>
  <c r="H218" i="18"/>
  <c r="F218" i="18"/>
  <c r="E356" i="18"/>
  <c r="H356" i="18"/>
  <c r="F356" i="18"/>
  <c r="H482" i="18"/>
  <c r="F482" i="18"/>
  <c r="E482" i="18"/>
  <c r="H734" i="18"/>
  <c r="F734" i="18"/>
  <c r="H956" i="18"/>
  <c r="E956" i="18"/>
  <c r="E1301" i="18"/>
  <c r="J1816" i="18"/>
  <c r="J1814" i="18"/>
  <c r="H277" i="17"/>
  <c r="J1683" i="18"/>
  <c r="J1682" i="18"/>
  <c r="F1682" i="18"/>
  <c r="H1259" i="18"/>
  <c r="F1259" i="18"/>
  <c r="H365" i="18"/>
  <c r="F365" i="18"/>
  <c r="E365" i="18"/>
  <c r="J1356" i="18"/>
  <c r="L1601" i="18"/>
  <c r="E1868" i="18"/>
  <c r="E501" i="18"/>
  <c r="H1225" i="18"/>
  <c r="F1225" i="18"/>
  <c r="H2078" i="18"/>
  <c r="F2078" i="18"/>
  <c r="F1358" i="18"/>
  <c r="H598" i="18"/>
  <c r="F598" i="18"/>
  <c r="J77" i="16"/>
  <c r="E2023" i="18"/>
  <c r="H30" i="16"/>
  <c r="J50" i="16"/>
  <c r="F50" i="16"/>
  <c r="O50" i="16"/>
  <c r="L2206" i="18"/>
  <c r="L2211" i="18"/>
  <c r="J32" i="30"/>
  <c r="H1796" i="18"/>
  <c r="F274" i="17"/>
  <c r="G1571" i="18"/>
  <c r="H1571" i="18"/>
  <c r="F2194" i="18"/>
  <c r="F2187" i="18"/>
  <c r="L95" i="16"/>
  <c r="L94" i="16"/>
  <c r="J2179" i="18"/>
  <c r="J2184" i="18"/>
  <c r="H28" i="30"/>
  <c r="H2179" i="18"/>
  <c r="L2172" i="18"/>
  <c r="L2177" i="18"/>
  <c r="J27" i="30"/>
  <c r="H2172" i="18"/>
  <c r="H211" i="17"/>
  <c r="I77" i="18"/>
  <c r="J77" i="18"/>
  <c r="H2116" i="18"/>
  <c r="F2116" i="18"/>
  <c r="F2160" i="18"/>
  <c r="F2214" i="18"/>
  <c r="K5" i="18"/>
  <c r="L5" i="18"/>
  <c r="K81" i="18"/>
  <c r="L81" i="18"/>
  <c r="F1656" i="18"/>
  <c r="F2053" i="18"/>
  <c r="F1020" i="18"/>
  <c r="H1200" i="18"/>
  <c r="F1200" i="18"/>
  <c r="F1346" i="18"/>
  <c r="K1012" i="18"/>
  <c r="L1012" i="18"/>
  <c r="L1010" i="18"/>
  <c r="J171" i="17"/>
  <c r="L1671" i="18"/>
  <c r="F1671" i="18"/>
  <c r="F1701" i="18"/>
  <c r="F1579" i="18"/>
  <c r="AB1173" i="18"/>
  <c r="AD1173" i="18"/>
  <c r="F1174" i="18"/>
  <c r="G794" i="18"/>
  <c r="E794" i="18"/>
  <c r="L2100" i="18"/>
  <c r="L2097" i="18"/>
  <c r="J282" i="17"/>
  <c r="K2090" i="18"/>
  <c r="L2090" i="18"/>
  <c r="F1812" i="18"/>
  <c r="H1807" i="18"/>
  <c r="F276" i="17"/>
  <c r="G1613" i="18"/>
  <c r="F1573" i="18"/>
  <c r="J1019" i="18"/>
  <c r="H173" i="17"/>
  <c r="F1021" i="18"/>
  <c r="F2086" i="18"/>
  <c r="H2085" i="18"/>
  <c r="F283" i="17"/>
  <c r="G2077" i="18"/>
  <c r="F173" i="17"/>
  <c r="E173" i="17"/>
  <c r="AA173" i="17"/>
  <c r="J1389" i="18"/>
  <c r="H208" i="17"/>
  <c r="F1511" i="18"/>
  <c r="H1155" i="18"/>
  <c r="F1155" i="18"/>
  <c r="F1154" i="18"/>
  <c r="AB1154" i="18"/>
  <c r="AD1154" i="18"/>
  <c r="K947" i="18"/>
  <c r="L947" i="18"/>
  <c r="L945" i="18"/>
  <c r="J158" i="17"/>
  <c r="F1368" i="18"/>
  <c r="L1575" i="18"/>
  <c r="L1570" i="18"/>
  <c r="J236" i="17"/>
  <c r="K1164" i="18"/>
  <c r="L1164" i="18"/>
  <c r="F1575" i="18"/>
  <c r="L97" i="18"/>
  <c r="H767" i="18"/>
  <c r="F767" i="18"/>
  <c r="H784" i="18"/>
  <c r="F784" i="18"/>
  <c r="F1364" i="18"/>
  <c r="K967" i="18"/>
  <c r="L967" i="18"/>
  <c r="L965" i="18"/>
  <c r="J162" i="17"/>
  <c r="H766" i="18"/>
  <c r="F766" i="18"/>
  <c r="E766" i="18"/>
  <c r="H785" i="18"/>
  <c r="F785" i="18"/>
  <c r="E785" i="18"/>
  <c r="F1560" i="18"/>
  <c r="J1561" i="18"/>
  <c r="F1561" i="18"/>
  <c r="F277" i="17"/>
  <c r="H2128" i="18"/>
  <c r="AB1733" i="18"/>
  <c r="AD1733" i="18"/>
  <c r="H1734" i="18"/>
  <c r="H1729" i="18"/>
  <c r="F264" i="17"/>
  <c r="G1314" i="18"/>
  <c r="H1314" i="18"/>
  <c r="F956" i="18"/>
  <c r="F1599" i="18"/>
  <c r="AB1600" i="18"/>
  <c r="AD1600" i="18"/>
  <c r="H1163" i="18"/>
  <c r="F1816" i="18"/>
  <c r="H1371" i="18"/>
  <c r="H794" i="18"/>
  <c r="F794" i="18"/>
  <c r="F1019" i="18"/>
  <c r="F2100" i="18"/>
  <c r="G2009" i="18"/>
  <c r="G2030" i="18"/>
  <c r="H793" i="18"/>
  <c r="F793" i="18"/>
  <c r="J1557" i="18"/>
  <c r="H1572" i="18"/>
  <c r="F1572" i="18"/>
  <c r="G1605" i="18"/>
  <c r="I137" i="18"/>
  <c r="J137" i="18"/>
  <c r="I69" i="18"/>
  <c r="G1638" i="18"/>
  <c r="F1814" i="18"/>
  <c r="H2009" i="18"/>
  <c r="H1638" i="18"/>
  <c r="J69" i="18"/>
  <c r="AB1571" i="18"/>
  <c r="AD1571" i="18"/>
  <c r="G1334" i="18"/>
  <c r="H1334" i="18"/>
  <c r="H24" i="16"/>
  <c r="J33" i="16"/>
  <c r="J42" i="16"/>
  <c r="L61" i="16"/>
  <c r="L21" i="16"/>
  <c r="L42" i="16"/>
  <c r="J35" i="16"/>
  <c r="L46" i="16"/>
  <c r="J73" i="16"/>
  <c r="H320" i="16"/>
  <c r="F320" i="16"/>
  <c r="O320" i="16"/>
  <c r="H325" i="16"/>
  <c r="F325" i="16"/>
  <c r="O325" i="16"/>
  <c r="H283" i="16"/>
  <c r="J53" i="16"/>
  <c r="H52" i="16"/>
  <c r="J52" i="16"/>
  <c r="H346" i="16"/>
  <c r="F346" i="16"/>
  <c r="O346" i="16"/>
  <c r="E338" i="16"/>
  <c r="AA338" i="16"/>
  <c r="H338" i="16"/>
  <c r="F338" i="16"/>
  <c r="O338" i="16"/>
  <c r="J75" i="16"/>
  <c r="H22" i="16"/>
  <c r="J22" i="16"/>
  <c r="J36" i="16"/>
  <c r="H23" i="16"/>
  <c r="L23" i="16"/>
  <c r="L22" i="16"/>
  <c r="H80" i="16"/>
  <c r="F80" i="16"/>
  <c r="O80" i="16"/>
  <c r="H66" i="16"/>
  <c r="J136" i="16"/>
  <c r="F136" i="16"/>
  <c r="O136" i="16"/>
  <c r="H87" i="16"/>
  <c r="H74" i="16"/>
  <c r="H38" i="16"/>
  <c r="H63" i="16"/>
  <c r="F63" i="16"/>
  <c r="L63" i="16"/>
  <c r="L60" i="16"/>
  <c r="F60" i="16"/>
  <c r="O60" i="16"/>
  <c r="E322" i="16"/>
  <c r="AA322" i="16"/>
  <c r="H322" i="16"/>
  <c r="L230" i="16"/>
  <c r="J248" i="16"/>
  <c r="J103" i="16"/>
  <c r="H129" i="16"/>
  <c r="H62" i="16"/>
  <c r="F62" i="16"/>
  <c r="O62" i="16"/>
  <c r="J84" i="16"/>
  <c r="L49" i="16"/>
  <c r="H49" i="16"/>
  <c r="F49" i="16"/>
  <c r="O49" i="16"/>
  <c r="L39" i="16"/>
  <c r="F39" i="16"/>
  <c r="O39" i="16"/>
  <c r="H319" i="16"/>
  <c r="F319" i="16"/>
  <c r="O319" i="16"/>
  <c r="J69" i="16"/>
  <c r="E339" i="16"/>
  <c r="AA339" i="16"/>
  <c r="H339" i="16"/>
  <c r="L34" i="16"/>
  <c r="J39" i="16"/>
  <c r="H25" i="16"/>
  <c r="H47" i="16"/>
  <c r="F47" i="16"/>
  <c r="O47" i="16"/>
  <c r="L16" i="16"/>
  <c r="J17" i="16"/>
  <c r="L25" i="16"/>
  <c r="H39" i="16"/>
  <c r="H59" i="16"/>
  <c r="H73" i="16"/>
  <c r="H78" i="16"/>
  <c r="H342" i="16"/>
  <c r="F342" i="16"/>
  <c r="O342" i="16"/>
  <c r="E342" i="16"/>
  <c r="AA342" i="16"/>
  <c r="J65" i="16"/>
  <c r="L65" i="16"/>
  <c r="H65" i="16"/>
  <c r="F65" i="16"/>
  <c r="J176" i="16"/>
  <c r="L216" i="16"/>
  <c r="H269" i="16"/>
  <c r="L241" i="16"/>
  <c r="L212" i="16"/>
  <c r="H212" i="16"/>
  <c r="F212" i="16"/>
  <c r="O212" i="16"/>
  <c r="H115" i="16"/>
  <c r="L270" i="16"/>
  <c r="L245" i="16"/>
  <c r="F245" i="16"/>
  <c r="O245" i="16"/>
  <c r="L229" i="16"/>
  <c r="H314" i="16"/>
  <c r="H305" i="16"/>
  <c r="E215" i="16"/>
  <c r="AA215" i="16"/>
  <c r="L116" i="16"/>
  <c r="L207" i="16"/>
  <c r="L301" i="16"/>
  <c r="J129" i="16"/>
  <c r="L121" i="16"/>
  <c r="H281" i="16"/>
  <c r="J245" i="16"/>
  <c r="H126" i="16"/>
  <c r="F126" i="16"/>
  <c r="J145" i="16"/>
  <c r="J187" i="16"/>
  <c r="F187" i="16"/>
  <c r="O187" i="16"/>
  <c r="H104" i="16"/>
  <c r="H234" i="16"/>
  <c r="F234" i="16"/>
  <c r="O234" i="16"/>
  <c r="L175" i="16"/>
  <c r="H301" i="16"/>
  <c r="L293" i="16"/>
  <c r="L201" i="16"/>
  <c r="L147" i="16"/>
  <c r="H232" i="16"/>
  <c r="H233" i="16"/>
  <c r="L117" i="16"/>
  <c r="J217" i="16"/>
  <c r="L185" i="16"/>
  <c r="J301" i="16"/>
  <c r="E293" i="16"/>
  <c r="AA293" i="16"/>
  <c r="H124" i="16"/>
  <c r="F124" i="16"/>
  <c r="O124" i="16"/>
  <c r="H164" i="16"/>
  <c r="F164" i="16"/>
  <c r="O164" i="16"/>
  <c r="H303" i="16"/>
  <c r="F303" i="16"/>
  <c r="O303" i="16"/>
  <c r="H223" i="16"/>
  <c r="J306" i="16"/>
  <c r="H313" i="16"/>
  <c r="J314" i="16"/>
  <c r="L306" i="16"/>
  <c r="H165" i="16"/>
  <c r="L188" i="16"/>
  <c r="J242" i="16"/>
  <c r="J262" i="16"/>
  <c r="J143" i="16"/>
  <c r="L69" i="16"/>
  <c r="J231" i="16"/>
  <c r="F231" i="16"/>
  <c r="O231" i="16"/>
  <c r="L102" i="16"/>
  <c r="F102" i="16"/>
  <c r="O102" i="16"/>
  <c r="H150" i="16"/>
  <c r="H105" i="16"/>
  <c r="L59" i="16"/>
  <c r="F59" i="16"/>
  <c r="O59" i="16"/>
  <c r="J59" i="16"/>
  <c r="L71" i="16"/>
  <c r="H71" i="16"/>
  <c r="L278" i="16"/>
  <c r="E158" i="16"/>
  <c r="AA158" i="16"/>
  <c r="L68" i="16"/>
  <c r="H68" i="16"/>
  <c r="H114" i="16"/>
  <c r="L77" i="16"/>
  <c r="J58" i="16"/>
  <c r="L58" i="16"/>
  <c r="H58" i="16"/>
  <c r="F58" i="16"/>
  <c r="O58" i="16"/>
  <c r="L67" i="16"/>
  <c r="J67" i="16"/>
  <c r="H67" i="16"/>
  <c r="F67" i="16"/>
  <c r="O67" i="16"/>
  <c r="L80" i="16"/>
  <c r="J80" i="16"/>
  <c r="H33" i="16"/>
  <c r="H107" i="16"/>
  <c r="J107" i="16"/>
  <c r="L107" i="16"/>
  <c r="H42" i="16"/>
  <c r="F42" i="16"/>
  <c r="O42" i="16"/>
  <c r="L112" i="16"/>
  <c r="J118" i="16"/>
  <c r="J66" i="16"/>
  <c r="L66" i="16"/>
  <c r="J43" i="16"/>
  <c r="J104" i="16"/>
  <c r="L281" i="16"/>
  <c r="J68" i="16"/>
  <c r="F68" i="16"/>
  <c r="O68" i="16"/>
  <c r="H294" i="16"/>
  <c r="F294" i="16"/>
  <c r="O294" i="16"/>
  <c r="H154" i="16"/>
  <c r="E341" i="16"/>
  <c r="AA341" i="16"/>
  <c r="H341" i="16"/>
  <c r="F341" i="16"/>
  <c r="O341" i="16"/>
  <c r="L36" i="16"/>
  <c r="L232" i="16"/>
  <c r="H340" i="16"/>
  <c r="F340" i="16"/>
  <c r="O340" i="16"/>
  <c r="H343" i="16"/>
  <c r="F343" i="16"/>
  <c r="O343" i="16"/>
  <c r="H348" i="16"/>
  <c r="F348" i="16"/>
  <c r="O348" i="16"/>
  <c r="J46" i="16"/>
  <c r="J159" i="16"/>
  <c r="H159" i="16"/>
  <c r="F159" i="16"/>
  <c r="O159" i="16"/>
  <c r="H28" i="16"/>
  <c r="J96" i="16"/>
  <c r="L96" i="16"/>
  <c r="H43" i="16"/>
  <c r="H326" i="16"/>
  <c r="F326" i="16"/>
  <c r="O326" i="16"/>
  <c r="H347" i="16"/>
  <c r="F347" i="16"/>
  <c r="O347" i="16"/>
  <c r="H37" i="16"/>
  <c r="L37" i="16"/>
  <c r="F37" i="16"/>
  <c r="O37" i="16"/>
  <c r="J295" i="16"/>
  <c r="H345" i="16"/>
  <c r="F345" i="16"/>
  <c r="O345" i="16"/>
  <c r="L78" i="16"/>
  <c r="J38" i="16"/>
  <c r="H44" i="16"/>
  <c r="H350" i="16"/>
  <c r="F350" i="16"/>
  <c r="O350" i="16"/>
  <c r="H17" i="16"/>
  <c r="H61" i="16"/>
  <c r="F61" i="16"/>
  <c r="O61" i="16"/>
  <c r="H321" i="16"/>
  <c r="F321" i="16"/>
  <c r="O321" i="16"/>
  <c r="H328" i="16"/>
  <c r="F328" i="16"/>
  <c r="O328" i="16"/>
  <c r="L162" i="16"/>
  <c r="H162" i="16"/>
  <c r="E313" i="16"/>
  <c r="AA313" i="16"/>
  <c r="J56" i="16"/>
  <c r="H56" i="16"/>
  <c r="L56" i="16"/>
  <c r="H218" i="16"/>
  <c r="H344" i="16"/>
  <c r="F344" i="16"/>
  <c r="O344" i="16"/>
  <c r="J19" i="16"/>
  <c r="L19" i="16"/>
  <c r="H136" i="16"/>
  <c r="L160" i="16"/>
  <c r="J160" i="16"/>
  <c r="L170" i="16"/>
  <c r="L144" i="16"/>
  <c r="J192" i="16"/>
  <c r="L264" i="16"/>
  <c r="F264" i="16"/>
  <c r="O264" i="16"/>
  <c r="J112" i="16"/>
  <c r="F112" i="16"/>
  <c r="O112" i="16"/>
  <c r="J40" i="16"/>
  <c r="L40" i="16"/>
  <c r="L226" i="16"/>
  <c r="J195" i="16"/>
  <c r="L242" i="16"/>
  <c r="H216" i="16"/>
  <c r="L30" i="16"/>
  <c r="L84" i="16"/>
  <c r="J313" i="16"/>
  <c r="J312" i="16"/>
  <c r="I8" i="16"/>
  <c r="J8" i="16"/>
  <c r="E334" i="16"/>
  <c r="AA334" i="16"/>
  <c r="L248" i="16"/>
  <c r="J214" i="16"/>
  <c r="J180" i="16"/>
  <c r="E119" i="16"/>
  <c r="AA119" i="16"/>
  <c r="H131" i="16"/>
  <c r="L113" i="16"/>
  <c r="L237" i="16"/>
  <c r="J183" i="16"/>
  <c r="J116" i="16"/>
  <c r="E223" i="16"/>
  <c r="AA223" i="16"/>
  <c r="J47" i="16"/>
  <c r="L47" i="16"/>
  <c r="L161" i="16"/>
  <c r="J161" i="16"/>
  <c r="E43" i="16"/>
  <c r="AA43" i="16"/>
  <c r="E318" i="16"/>
  <c r="AA318" i="16"/>
  <c r="H318" i="16"/>
  <c r="F318" i="16"/>
  <c r="O318" i="16"/>
  <c r="L199" i="16"/>
  <c r="L118" i="16"/>
  <c r="F118" i="16"/>
  <c r="L204" i="16"/>
  <c r="F204" i="16"/>
  <c r="O204" i="16"/>
  <c r="J191" i="16"/>
  <c r="L172" i="16"/>
  <c r="J237" i="16"/>
  <c r="E180" i="16"/>
  <c r="AA180" i="16"/>
  <c r="H285" i="16"/>
  <c r="F285" i="16"/>
  <c r="O285" i="16"/>
  <c r="J144" i="16"/>
  <c r="L299" i="16"/>
  <c r="L244" i="16"/>
  <c r="L221" i="16"/>
  <c r="J201" i="16"/>
  <c r="J270" i="16"/>
  <c r="J199" i="16"/>
  <c r="F199" i="16"/>
  <c r="O199" i="16"/>
  <c r="H163" i="16"/>
  <c r="J163" i="16"/>
  <c r="J261" i="16"/>
  <c r="J182" i="16"/>
  <c r="L182" i="16"/>
  <c r="L171" i="16"/>
  <c r="H263" i="16"/>
  <c r="L164" i="16"/>
  <c r="J188" i="16"/>
  <c r="J290" i="16"/>
  <c r="L314" i="16"/>
  <c r="L115" i="16"/>
  <c r="J122" i="16"/>
  <c r="J283" i="16"/>
  <c r="L187" i="16"/>
  <c r="J212" i="16"/>
  <c r="J218" i="16"/>
  <c r="F218" i="16"/>
  <c r="O218" i="16"/>
  <c r="J152" i="16"/>
  <c r="J131" i="16"/>
  <c r="H181" i="16"/>
  <c r="H134" i="16"/>
  <c r="J230" i="16"/>
  <c r="J300" i="16"/>
  <c r="J196" i="16"/>
  <c r="H304" i="16"/>
  <c r="J269" i="16"/>
  <c r="L181" i="16"/>
  <c r="J210" i="16"/>
  <c r="H262" i="16"/>
  <c r="L153" i="16"/>
  <c r="H194" i="16"/>
  <c r="J222" i="16"/>
  <c r="J155" i="16"/>
  <c r="H177" i="16"/>
  <c r="J165" i="16"/>
  <c r="J106" i="16"/>
  <c r="J239" i="16"/>
  <c r="J179" i="16"/>
  <c r="L211" i="16"/>
  <c r="H298" i="16"/>
  <c r="L146" i="16"/>
  <c r="L176" i="16"/>
  <c r="L215" i="16"/>
  <c r="L222" i="16"/>
  <c r="J310" i="16"/>
  <c r="H238" i="16"/>
  <c r="L259" i="16"/>
  <c r="J105" i="16"/>
  <c r="H109" i="16"/>
  <c r="F109" i="16"/>
  <c r="O109" i="16"/>
  <c r="L123" i="16"/>
  <c r="L239" i="16"/>
  <c r="J202" i="16"/>
  <c r="F202" i="16"/>
  <c r="O202" i="16"/>
  <c r="J130" i="16"/>
  <c r="L179" i="16"/>
  <c r="J203" i="16"/>
  <c r="J119" i="16"/>
  <c r="L158" i="16"/>
  <c r="L283" i="16"/>
  <c r="L111" i="16"/>
  <c r="L247" i="16"/>
  <c r="J148" i="16"/>
  <c r="J172" i="16"/>
  <c r="J293" i="16"/>
  <c r="H117" i="16"/>
  <c r="H113" i="16"/>
  <c r="J233" i="16"/>
  <c r="L151" i="16"/>
  <c r="J171" i="16"/>
  <c r="J154" i="16"/>
  <c r="H230" i="16"/>
  <c r="H253" i="16"/>
  <c r="F253" i="16"/>
  <c r="O253" i="16"/>
  <c r="H254" i="16"/>
  <c r="L234" i="16"/>
  <c r="J158" i="16"/>
  <c r="J115" i="16"/>
  <c r="L219" i="16"/>
  <c r="L108" i="16"/>
  <c r="J232" i="16"/>
  <c r="J186" i="16"/>
  <c r="H236" i="16"/>
  <c r="J114" i="16"/>
  <c r="H224" i="16"/>
  <c r="L131" i="16"/>
  <c r="J135" i="16"/>
  <c r="F135" i="16"/>
  <c r="O135" i="16"/>
  <c r="H289" i="16"/>
  <c r="J121" i="16"/>
  <c r="J278" i="16"/>
  <c r="L279" i="16"/>
  <c r="J249" i="16"/>
  <c r="H287" i="16"/>
  <c r="F287" i="16"/>
  <c r="O287" i="16"/>
  <c r="L231" i="16"/>
  <c r="L186" i="16"/>
  <c r="J150" i="16"/>
  <c r="L309" i="16"/>
  <c r="L119" i="16"/>
  <c r="J173" i="16"/>
  <c r="L178" i="16"/>
  <c r="F178" i="16"/>
  <c r="H166" i="16"/>
  <c r="F166" i="16"/>
  <c r="O166" i="16"/>
  <c r="J305" i="16"/>
  <c r="F305" i="16"/>
  <c r="O305" i="16"/>
  <c r="L114" i="16"/>
  <c r="H213" i="16"/>
  <c r="L166" i="16"/>
  <c r="H209" i="16"/>
  <c r="J111" i="16"/>
  <c r="L120" i="16"/>
  <c r="J225" i="16"/>
  <c r="L294" i="16"/>
  <c r="J289" i="16"/>
  <c r="L134" i="16"/>
  <c r="L180" i="16"/>
  <c r="J110" i="16"/>
  <c r="F110" i="16"/>
  <c r="O110" i="16"/>
  <c r="H229" i="16"/>
  <c r="L261" i="16"/>
  <c r="F261" i="16"/>
  <c r="L129" i="16"/>
  <c r="J147" i="16"/>
  <c r="J227" i="16"/>
  <c r="H245" i="16"/>
  <c r="L173" i="16"/>
  <c r="L227" i="16"/>
  <c r="L200" i="16"/>
  <c r="AR103" i="16"/>
  <c r="J279" i="16"/>
  <c r="L203" i="16"/>
  <c r="F203" i="16"/>
  <c r="O203" i="16"/>
  <c r="J146" i="16"/>
  <c r="F146" i="16"/>
  <c r="L109" i="16"/>
  <c r="L249" i="16"/>
  <c r="J263" i="16"/>
  <c r="L304" i="16"/>
  <c r="J224" i="16"/>
  <c r="H200" i="16"/>
  <c r="L125" i="16"/>
  <c r="L300" i="16"/>
  <c r="F300" i="16"/>
  <c r="O300" i="16"/>
  <c r="H108" i="16"/>
  <c r="L289" i="16"/>
  <c r="L224" i="16"/>
  <c r="J238" i="16"/>
  <c r="H208" i="16"/>
  <c r="J246" i="16"/>
  <c r="L135" i="16"/>
  <c r="H291" i="16"/>
  <c r="J240" i="16"/>
  <c r="J174" i="16"/>
  <c r="J299" i="16"/>
  <c r="H264" i="16"/>
  <c r="L228" i="16"/>
  <c r="L214" i="16"/>
  <c r="H302" i="16"/>
  <c r="F302" i="16"/>
  <c r="O302" i="16"/>
  <c r="L246" i="16"/>
  <c r="J102" i="16"/>
  <c r="J259" i="16"/>
  <c r="L217" i="16"/>
  <c r="J304" i="16"/>
  <c r="L110" i="16"/>
  <c r="J207" i="16"/>
  <c r="H244" i="16"/>
  <c r="L310" i="16"/>
  <c r="L192" i="16"/>
  <c r="L122" i="16"/>
  <c r="J216" i="16"/>
  <c r="L177" i="16"/>
  <c r="L142" i="16"/>
  <c r="J177" i="16"/>
  <c r="F177" i="16"/>
  <c r="O177" i="16"/>
  <c r="J228" i="16"/>
  <c r="H186" i="16"/>
  <c r="F186" i="16"/>
  <c r="L194" i="16"/>
  <c r="L202" i="16"/>
  <c r="L196" i="16"/>
  <c r="L251" i="16"/>
  <c r="L298" i="16"/>
  <c r="L148" i="16"/>
  <c r="L130" i="16"/>
  <c r="L302" i="16"/>
  <c r="L191" i="16"/>
  <c r="J151" i="16"/>
  <c r="H112" i="16"/>
  <c r="J294" i="16"/>
  <c r="J244" i="16"/>
  <c r="L106" i="16"/>
  <c r="H246" i="16"/>
  <c r="H288" i="16"/>
  <c r="F288" i="16"/>
  <c r="O288" i="16"/>
  <c r="H222" i="16"/>
  <c r="L195" i="16"/>
  <c r="L127" i="16"/>
  <c r="J309" i="16"/>
  <c r="L149" i="16"/>
  <c r="L260" i="16"/>
  <c r="L305" i="16"/>
  <c r="J226" i="16"/>
  <c r="H102" i="16"/>
  <c r="H125" i="16"/>
  <c r="L103" i="16"/>
  <c r="J193" i="16"/>
  <c r="L240" i="16"/>
  <c r="H130" i="16"/>
  <c r="L290" i="16"/>
  <c r="J251" i="16"/>
  <c r="J250" i="16"/>
  <c r="E225" i="16"/>
  <c r="AA225" i="16"/>
  <c r="J302" i="16"/>
  <c r="L292" i="16"/>
  <c r="H153" i="16"/>
  <c r="J149" i="16"/>
  <c r="F149" i="16"/>
  <c r="O149" i="16"/>
  <c r="L154" i="16"/>
  <c r="H128" i="16"/>
  <c r="L193" i="16"/>
  <c r="J49" i="16"/>
  <c r="H137" i="16"/>
  <c r="J137" i="16"/>
  <c r="J18" i="16"/>
  <c r="L18" i="16"/>
  <c r="J241" i="16"/>
  <c r="H53" i="16"/>
  <c r="F53" i="16"/>
  <c r="O53" i="16"/>
  <c r="L53" i="16"/>
  <c r="J211" i="16"/>
  <c r="J126" i="16"/>
  <c r="J264" i="16"/>
  <c r="H199" i="16"/>
  <c r="J178" i="16"/>
  <c r="H19" i="16"/>
  <c r="J44" i="16"/>
  <c r="H279" i="16"/>
  <c r="J97" i="16"/>
  <c r="L218" i="16"/>
  <c r="L254" i="16"/>
  <c r="L250" i="16"/>
  <c r="L150" i="16"/>
  <c r="L50" i="16"/>
  <c r="L233" i="16"/>
  <c r="L152" i="16"/>
  <c r="L79" i="16"/>
  <c r="L236" i="16"/>
  <c r="J125" i="16"/>
  <c r="J223" i="16"/>
  <c r="J234" i="16"/>
  <c r="J117" i="16"/>
  <c r="L155" i="16"/>
  <c r="J124" i="16"/>
  <c r="L225" i="16"/>
  <c r="F225" i="16"/>
  <c r="O225" i="16"/>
  <c r="H120" i="16"/>
  <c r="E33" i="16"/>
  <c r="AA33" i="16"/>
  <c r="L33" i="16"/>
  <c r="H45" i="16"/>
  <c r="J45" i="16"/>
  <c r="L45" i="16"/>
  <c r="L97" i="16"/>
  <c r="H16" i="16"/>
  <c r="J82" i="16"/>
  <c r="H82" i="16"/>
  <c r="L82" i="16"/>
  <c r="J142" i="16"/>
  <c r="H145" i="16"/>
  <c r="H300" i="16"/>
  <c r="J260" i="16"/>
  <c r="L28" i="16"/>
  <c r="H70" i="16"/>
  <c r="J70" i="16"/>
  <c r="L124" i="16"/>
  <c r="J164" i="16"/>
  <c r="L104" i="16"/>
  <c r="J170" i="16"/>
  <c r="L238" i="16"/>
  <c r="J175" i="16"/>
  <c r="J247" i="16"/>
  <c r="J208" i="16"/>
  <c r="J128" i="16"/>
  <c r="L54" i="16"/>
  <c r="H54" i="16"/>
  <c r="J54" i="16"/>
  <c r="J189" i="16"/>
  <c r="H189" i="16"/>
  <c r="F189" i="16"/>
  <c r="O189" i="16"/>
  <c r="L189" i="16"/>
  <c r="J219" i="16"/>
  <c r="H106" i="16"/>
  <c r="J298" i="16"/>
  <c r="L145" i="16"/>
  <c r="L105" i="16"/>
  <c r="H299" i="16"/>
  <c r="J281" i="16"/>
  <c r="E337" i="16"/>
  <c r="AA337" i="16"/>
  <c r="H161" i="16"/>
  <c r="L165" i="16"/>
  <c r="L223" i="16"/>
  <c r="J109" i="16"/>
  <c r="J236" i="16"/>
  <c r="J303" i="16"/>
  <c r="H210" i="16"/>
  <c r="L76" i="16"/>
  <c r="L313" i="16"/>
  <c r="L312" i="16"/>
  <c r="K8" i="16"/>
  <c r="L8" i="16"/>
  <c r="L174" i="16"/>
  <c r="L291" i="16"/>
  <c r="F291" i="16"/>
  <c r="O291" i="16"/>
  <c r="J185" i="16"/>
  <c r="H76" i="16"/>
  <c r="L143" i="16"/>
  <c r="J127" i="16"/>
  <c r="J209" i="16"/>
  <c r="H204" i="16"/>
  <c r="L137" i="16"/>
  <c r="J123" i="16"/>
  <c r="L269" i="16"/>
  <c r="H248" i="16"/>
  <c r="L303" i="16"/>
  <c r="L213" i="16"/>
  <c r="F213" i="16"/>
  <c r="O213" i="16"/>
  <c r="H327" i="16"/>
  <c r="F327" i="16"/>
  <c r="O327" i="16"/>
  <c r="J292" i="16"/>
  <c r="L52" i="16"/>
  <c r="L91" i="16"/>
  <c r="J87" i="16"/>
  <c r="J51" i="16"/>
  <c r="L32" i="16"/>
  <c r="L93" i="16"/>
  <c r="E323" i="16"/>
  <c r="AA323" i="16"/>
  <c r="H323" i="16"/>
  <c r="F323" i="16"/>
  <c r="O323" i="16"/>
  <c r="J74" i="16"/>
  <c r="J61" i="16"/>
  <c r="L64" i="16"/>
  <c r="F64" i="16"/>
  <c r="O64" i="16"/>
  <c r="H32" i="16"/>
  <c r="E333" i="16"/>
  <c r="AA333" i="16"/>
  <c r="H333" i="16"/>
  <c r="F333" i="16"/>
  <c r="O333" i="16"/>
  <c r="E329" i="16"/>
  <c r="AA329" i="16"/>
  <c r="H329" i="16"/>
  <c r="F329" i="16"/>
  <c r="O329" i="16"/>
  <c r="L41" i="16"/>
  <c r="J62" i="16"/>
  <c r="L62" i="16"/>
  <c r="L75" i="16"/>
  <c r="L20" i="16"/>
  <c r="J20" i="16"/>
  <c r="H20" i="16"/>
  <c r="J63" i="16"/>
  <c r="J85" i="16"/>
  <c r="H85" i="16"/>
  <c r="L74" i="16"/>
  <c r="J41" i="16"/>
  <c r="F41" i="16"/>
  <c r="O41" i="16"/>
  <c r="L98" i="16"/>
  <c r="H349" i="16"/>
  <c r="F349" i="16"/>
  <c r="O349" i="16"/>
  <c r="L35" i="16"/>
  <c r="H35" i="16"/>
  <c r="J72" i="16"/>
  <c r="H86" i="16"/>
  <c r="J86" i="16"/>
  <c r="L86" i="16"/>
  <c r="F86" i="16"/>
  <c r="O86" i="16"/>
  <c r="J91" i="16"/>
  <c r="L72" i="16"/>
  <c r="H335" i="16"/>
  <c r="F335" i="16"/>
  <c r="O335" i="16"/>
  <c r="J94" i="16"/>
  <c r="H228" i="16"/>
  <c r="L210" i="16"/>
  <c r="H310" i="16"/>
  <c r="F310" i="16"/>
  <c r="O310" i="16"/>
  <c r="H158" i="16"/>
  <c r="H121" i="16"/>
  <c r="F121" i="16"/>
  <c r="H176" i="16"/>
  <c r="E176" i="16"/>
  <c r="AA176" i="16"/>
  <c r="E212" i="16"/>
  <c r="AA212" i="16"/>
  <c r="H146" i="16"/>
  <c r="H180" i="16"/>
  <c r="H69" i="16"/>
  <c r="E69" i="16"/>
  <c r="AA69" i="16"/>
  <c r="H610" i="18"/>
  <c r="F610" i="18"/>
  <c r="E610" i="18"/>
  <c r="E666" i="18"/>
  <c r="H666" i="18"/>
  <c r="F666" i="18"/>
  <c r="J153" i="16"/>
  <c r="H135" i="16"/>
  <c r="H127" i="16"/>
  <c r="F127" i="16"/>
  <c r="O127" i="16"/>
  <c r="L48" i="16"/>
  <c r="E48" i="16"/>
  <c r="AA48" i="16"/>
  <c r="J113" i="16"/>
  <c r="H237" i="16"/>
  <c r="F237" i="16"/>
  <c r="O237" i="16"/>
  <c r="E237" i="16"/>
  <c r="AA237" i="16"/>
  <c r="J200" i="16"/>
  <c r="H178" i="16"/>
  <c r="H170" i="16"/>
  <c r="H260" i="16"/>
  <c r="E260" i="16"/>
  <c r="AA260" i="16"/>
  <c r="E154" i="16"/>
  <c r="AA154" i="16"/>
  <c r="H151" i="16"/>
  <c r="J291" i="16"/>
  <c r="J215" i="16"/>
  <c r="E245" i="16"/>
  <c r="AA245" i="16"/>
  <c r="H195" i="16"/>
  <c r="H239" i="16"/>
  <c r="J229" i="16"/>
  <c r="E244" i="16"/>
  <c r="AA244" i="16"/>
  <c r="K1879" i="18"/>
  <c r="L1879" i="18"/>
  <c r="K1029" i="18"/>
  <c r="L1029" i="18"/>
  <c r="K1898" i="18"/>
  <c r="L1898" i="18"/>
  <c r="K1980" i="18"/>
  <c r="L1980" i="18"/>
  <c r="K1055" i="18"/>
  <c r="L1055" i="18"/>
  <c r="K1917" i="18"/>
  <c r="L1917" i="18"/>
  <c r="K1128" i="18"/>
  <c r="L1128" i="18"/>
  <c r="K2106" i="18"/>
  <c r="L2106" i="18"/>
  <c r="E1245" i="18"/>
  <c r="H1245" i="18"/>
  <c r="F1245" i="18"/>
  <c r="K145" i="18"/>
  <c r="L145" i="18"/>
  <c r="K109" i="18"/>
  <c r="L109" i="18"/>
  <c r="J1336" i="18"/>
  <c r="H201" i="17"/>
  <c r="H1557" i="18"/>
  <c r="F206" i="17"/>
  <c r="F2162" i="18"/>
  <c r="H2159" i="18"/>
  <c r="H2163" i="18"/>
  <c r="J98" i="16"/>
  <c r="L92" i="16"/>
  <c r="F1765" i="18"/>
  <c r="F1356" i="18"/>
  <c r="F926" i="18"/>
  <c r="F996" i="18"/>
  <c r="K185" i="18"/>
  <c r="F1001" i="18"/>
  <c r="L2213" i="18"/>
  <c r="L2218" i="18"/>
  <c r="F1683" i="18"/>
  <c r="J2172" i="18"/>
  <c r="J2177" i="18"/>
  <c r="H27" i="30"/>
  <c r="J93" i="16"/>
  <c r="F2175" i="18"/>
  <c r="G792" i="18"/>
  <c r="H792" i="18"/>
  <c r="F792" i="18"/>
  <c r="F1369" i="18"/>
  <c r="H1927" i="18"/>
  <c r="F1927" i="18"/>
  <c r="F1926" i="18"/>
  <c r="H1389" i="18"/>
  <c r="K177" i="18"/>
  <c r="L177" i="18"/>
  <c r="K141" i="18"/>
  <c r="L141" i="18"/>
  <c r="K65" i="18"/>
  <c r="L65" i="18"/>
  <c r="K129" i="18"/>
  <c r="K137" i="18"/>
  <c r="L137" i="18"/>
  <c r="J2097" i="18"/>
  <c r="F2098" i="18"/>
  <c r="F1503" i="18"/>
  <c r="L85" i="18"/>
  <c r="AB1543" i="18"/>
  <c r="AD1543" i="18"/>
  <c r="F1541" i="18"/>
  <c r="F1737" i="18"/>
  <c r="F1808" i="18"/>
  <c r="AB1199" i="18"/>
  <c r="AD1199" i="18"/>
  <c r="F1199" i="18"/>
  <c r="F1777" i="18"/>
  <c r="K53" i="18"/>
  <c r="L53" i="18"/>
  <c r="F1751" i="18"/>
  <c r="K1002" i="18"/>
  <c r="L1002" i="18"/>
  <c r="L1000" i="18"/>
  <c r="J169" i="17"/>
  <c r="K987" i="18"/>
  <c r="L987" i="18"/>
  <c r="L985" i="18"/>
  <c r="J166" i="17"/>
  <c r="J2092" i="18"/>
  <c r="H203" i="18"/>
  <c r="F203" i="18"/>
  <c r="E203" i="18"/>
  <c r="F1443" i="18"/>
  <c r="L83" i="16"/>
  <c r="F83" i="16"/>
  <c r="O83" i="16"/>
  <c r="G1761" i="18"/>
  <c r="G1740" i="18"/>
  <c r="G1594" i="18"/>
  <c r="G1725" i="18"/>
  <c r="G1504" i="18"/>
  <c r="L1715" i="18"/>
  <c r="F1715" i="18"/>
  <c r="J83" i="16"/>
  <c r="K1504" i="18"/>
  <c r="L1504" i="18"/>
  <c r="K1773" i="18"/>
  <c r="L1773" i="18"/>
  <c r="AT37" i="19"/>
  <c r="G58" i="21"/>
  <c r="AA79" i="16"/>
  <c r="AB122" i="19"/>
  <c r="AD122" i="19"/>
  <c r="AB126" i="19"/>
  <c r="A126" i="19"/>
  <c r="G34" i="21"/>
  <c r="E5" i="20"/>
  <c r="L43" i="16"/>
  <c r="G18" i="21"/>
  <c r="G19" i="21"/>
  <c r="E217" i="16"/>
  <c r="AA217" i="16"/>
  <c r="E102" i="16"/>
  <c r="AA102" i="16"/>
  <c r="E129" i="16"/>
  <c r="AA129" i="16"/>
  <c r="E177" i="16"/>
  <c r="AA177" i="16"/>
  <c r="E128" i="16"/>
  <c r="AA128" i="16"/>
  <c r="H293" i="16"/>
  <c r="E121" i="16"/>
  <c r="AA121" i="16"/>
  <c r="E110" i="16"/>
  <c r="AA110" i="16"/>
  <c r="H119" i="16"/>
  <c r="E127" i="16"/>
  <c r="AA127" i="16"/>
  <c r="E288" i="16"/>
  <c r="AA288" i="16"/>
  <c r="E209" i="16"/>
  <c r="AA209" i="16"/>
  <c r="E221" i="16"/>
  <c r="AA221" i="16"/>
  <c r="E210" i="16"/>
  <c r="AA210" i="16"/>
  <c r="E281" i="16"/>
  <c r="AA281" i="16"/>
  <c r="E232" i="16"/>
  <c r="AA232" i="16"/>
  <c r="E301" i="16"/>
  <c r="AA301" i="16"/>
  <c r="E120" i="16"/>
  <c r="AA120" i="16"/>
  <c r="E257" i="16"/>
  <c r="AA257" i="16"/>
  <c r="E309" i="16"/>
  <c r="AA309" i="16"/>
  <c r="H309" i="16"/>
  <c r="H247" i="16"/>
  <c r="F247" i="16"/>
  <c r="E247" i="16"/>
  <c r="AA247" i="16"/>
  <c r="E145" i="16"/>
  <c r="AA145" i="16"/>
  <c r="H231" i="16"/>
  <c r="E231" i="16"/>
  <c r="AA231" i="16"/>
  <c r="E298" i="16"/>
  <c r="AA298" i="16"/>
  <c r="E262" i="16"/>
  <c r="AA262" i="16"/>
  <c r="L262" i="16"/>
  <c r="F262" i="16"/>
  <c r="O262" i="16"/>
  <c r="H284" i="16"/>
  <c r="F284" i="16"/>
  <c r="O284" i="16"/>
  <c r="E284" i="16"/>
  <c r="AA284" i="16"/>
  <c r="H241" i="16"/>
  <c r="F241" i="16"/>
  <c r="O241" i="16"/>
  <c r="E241" i="16"/>
  <c r="AA241" i="16"/>
  <c r="E305" i="16"/>
  <c r="AA305" i="16"/>
  <c r="E218" i="16"/>
  <c r="AA218" i="16"/>
  <c r="E269" i="16"/>
  <c r="AA269" i="16"/>
  <c r="E248" i="16"/>
  <c r="AA248" i="16"/>
  <c r="E194" i="16"/>
  <c r="AA194" i="16"/>
  <c r="J194" i="16"/>
  <c r="H278" i="16"/>
  <c r="E278" i="16"/>
  <c r="AA278" i="16"/>
  <c r="H182" i="16"/>
  <c r="E182" i="16"/>
  <c r="AA182" i="16"/>
  <c r="H116" i="16"/>
  <c r="F116" i="16"/>
  <c r="O116" i="16"/>
  <c r="E116" i="16"/>
  <c r="AA116" i="16"/>
  <c r="E171" i="16"/>
  <c r="AA171" i="16"/>
  <c r="H171" i="16"/>
  <c r="L209" i="16"/>
  <c r="E204" i="16"/>
  <c r="AA204" i="16"/>
  <c r="J204" i="16"/>
  <c r="H147" i="16"/>
  <c r="E147" i="16"/>
  <c r="AA147" i="16"/>
  <c r="E155" i="16"/>
  <c r="AA155" i="16"/>
  <c r="H155" i="16"/>
  <c r="F155" i="16"/>
  <c r="O155" i="16"/>
  <c r="H211" i="16"/>
  <c r="E211" i="16"/>
  <c r="AA211" i="16"/>
  <c r="E238" i="16"/>
  <c r="AA238" i="16"/>
  <c r="J120" i="16"/>
  <c r="E242" i="16"/>
  <c r="AA242" i="16"/>
  <c r="H242" i="16"/>
  <c r="H202" i="16"/>
  <c r="E202" i="16"/>
  <c r="AA202" i="16"/>
  <c r="E106" i="16"/>
  <c r="AA106" i="16"/>
  <c r="E195" i="16"/>
  <c r="AA195" i="16"/>
  <c r="E170" i="16"/>
  <c r="AA170" i="16"/>
  <c r="E302" i="16"/>
  <c r="AA302" i="16"/>
  <c r="E228" i="16"/>
  <c r="AA228" i="16"/>
  <c r="E234" i="16"/>
  <c r="AA234" i="16"/>
  <c r="H192" i="16"/>
  <c r="E192" i="16"/>
  <c r="AA192" i="16"/>
  <c r="H103" i="16"/>
  <c r="E103" i="16"/>
  <c r="AA103" i="16"/>
  <c r="E286" i="16"/>
  <c r="AA286" i="16"/>
  <c r="H286" i="16"/>
  <c r="F286" i="16"/>
  <c r="O286" i="16"/>
  <c r="E112" i="16"/>
  <c r="AA112" i="16"/>
  <c r="E216" i="16"/>
  <c r="AA216" i="16"/>
  <c r="E124" i="16"/>
  <c r="AA124" i="16"/>
  <c r="E108" i="16"/>
  <c r="AA108" i="16"/>
  <c r="J108" i="16"/>
  <c r="F108" i="16"/>
  <c r="E163" i="16"/>
  <c r="AA163" i="16"/>
  <c r="L163" i="16"/>
  <c r="E164" i="16"/>
  <c r="AA164" i="16"/>
  <c r="E229" i="16"/>
  <c r="AA229" i="16"/>
  <c r="E130" i="16"/>
  <c r="AA130" i="16"/>
  <c r="E314" i="16"/>
  <c r="AA314" i="16"/>
  <c r="E291" i="16"/>
  <c r="AA291" i="16"/>
  <c r="H221" i="16"/>
  <c r="E239" i="16"/>
  <c r="AA239" i="16"/>
  <c r="E233" i="16"/>
  <c r="AA233" i="16"/>
  <c r="E236" i="16"/>
  <c r="AA236" i="16"/>
  <c r="E117" i="16"/>
  <c r="AA117" i="16"/>
  <c r="E135" i="16"/>
  <c r="AA135" i="16"/>
  <c r="E149" i="16"/>
  <c r="AA149" i="16"/>
  <c r="H149" i="16"/>
  <c r="H179" i="16"/>
  <c r="E179" i="16"/>
  <c r="AA179" i="16"/>
  <c r="E146" i="16"/>
  <c r="AA146" i="16"/>
  <c r="E292" i="16"/>
  <c r="AA292" i="16"/>
  <c r="H292" i="16"/>
  <c r="E285" i="16"/>
  <c r="AA285" i="16"/>
  <c r="E181" i="16"/>
  <c r="AA181" i="16"/>
  <c r="J181" i="16"/>
  <c r="E290" i="16"/>
  <c r="AA290" i="16"/>
  <c r="H290" i="16"/>
  <c r="E183" i="16"/>
  <c r="AA183" i="16"/>
  <c r="H183" i="16"/>
  <c r="E193" i="16"/>
  <c r="AA193" i="16"/>
  <c r="H193" i="16"/>
  <c r="E191" i="16"/>
  <c r="AA191" i="16"/>
  <c r="H191" i="16"/>
  <c r="H188" i="16"/>
  <c r="E188" i="16"/>
  <c r="AA188" i="16"/>
  <c r="H252" i="16"/>
  <c r="E252" i="16"/>
  <c r="AA252" i="16"/>
  <c r="E299" i="16"/>
  <c r="AA299" i="16"/>
  <c r="E187" i="16"/>
  <c r="AA187" i="16"/>
  <c r="H187" i="16"/>
  <c r="H257" i="16"/>
  <c r="F257" i="16"/>
  <c r="O257" i="16"/>
  <c r="H225" i="16"/>
  <c r="E279" i="16"/>
  <c r="AA279" i="16"/>
  <c r="H152" i="16"/>
  <c r="E152" i="16"/>
  <c r="AA152" i="16"/>
  <c r="E254" i="16"/>
  <c r="AA254" i="16"/>
  <c r="J254" i="16"/>
  <c r="E196" i="16"/>
  <c r="AA196" i="16"/>
  <c r="H196" i="16"/>
  <c r="F196" i="16"/>
  <c r="E134" i="16"/>
  <c r="AA134" i="16"/>
  <c r="J134" i="16"/>
  <c r="E151" i="16"/>
  <c r="AA151" i="16"/>
  <c r="H217" i="16"/>
  <c r="F217" i="16"/>
  <c r="E213" i="16"/>
  <c r="AA213" i="16"/>
  <c r="J213" i="16"/>
  <c r="H261" i="16"/>
  <c r="E261" i="16"/>
  <c r="AA261" i="16"/>
  <c r="E105" i="16"/>
  <c r="AA105" i="16"/>
  <c r="E243" i="16"/>
  <c r="AA243" i="16"/>
  <c r="L243" i="16"/>
  <c r="H251" i="16"/>
  <c r="H250" i="16"/>
  <c r="E251" i="16"/>
  <c r="AA251" i="16"/>
  <c r="E224" i="16"/>
  <c r="AA224" i="16"/>
  <c r="E303" i="16"/>
  <c r="AA303" i="16"/>
  <c r="E310" i="16"/>
  <c r="AA310" i="16"/>
  <c r="E264" i="16"/>
  <c r="AA264" i="16"/>
  <c r="E200" i="16"/>
  <c r="AA200" i="16"/>
  <c r="H111" i="16"/>
  <c r="F111" i="16"/>
  <c r="O111" i="16"/>
  <c r="E111" i="16"/>
  <c r="AA111" i="16"/>
  <c r="H118" i="16"/>
  <c r="E118" i="16"/>
  <c r="AA118" i="16"/>
  <c r="H123" i="16"/>
  <c r="E123" i="16"/>
  <c r="AA123" i="16"/>
  <c r="E222" i="16"/>
  <c r="AA222" i="16"/>
  <c r="E178" i="16"/>
  <c r="AA178" i="16"/>
  <c r="H110" i="16"/>
  <c r="E253" i="16"/>
  <c r="AA253" i="16"/>
  <c r="H203" i="16"/>
  <c r="E203" i="16"/>
  <c r="AA203" i="16"/>
  <c r="E300" i="16"/>
  <c r="AA300" i="16"/>
  <c r="E153" i="16"/>
  <c r="AA153" i="16"/>
  <c r="E115" i="16"/>
  <c r="AA115" i="16"/>
  <c r="E294" i="16"/>
  <c r="AA294" i="16"/>
  <c r="E125" i="16"/>
  <c r="AA125" i="16"/>
  <c r="E259" i="16"/>
  <c r="AA259" i="16"/>
  <c r="H259" i="16"/>
  <c r="H174" i="16"/>
  <c r="F174" i="16"/>
  <c r="O174" i="16"/>
  <c r="E174" i="16"/>
  <c r="AA174" i="16"/>
  <c r="E166" i="16"/>
  <c r="AA166" i="16"/>
  <c r="J166" i="16"/>
  <c r="E126" i="16"/>
  <c r="AA126" i="16"/>
  <c r="L126" i="16"/>
  <c r="H270" i="16"/>
  <c r="E270" i="16"/>
  <c r="AA270" i="16"/>
  <c r="H214" i="16"/>
  <c r="E214" i="16"/>
  <c r="AA214" i="16"/>
  <c r="E122" i="16"/>
  <c r="AA122" i="16"/>
  <c r="H122" i="16"/>
  <c r="E175" i="16"/>
  <c r="AA175" i="16"/>
  <c r="H175" i="16"/>
  <c r="F175" i="16"/>
  <c r="O175" i="16"/>
  <c r="H185" i="16"/>
  <c r="E185" i="16"/>
  <c r="AA185" i="16"/>
  <c r="E306" i="16"/>
  <c r="AA306" i="16"/>
  <c r="H306" i="16"/>
  <c r="E283" i="16"/>
  <c r="AA283" i="16"/>
  <c r="E114" i="16"/>
  <c r="AA114" i="16"/>
  <c r="E142" i="16"/>
  <c r="AA142" i="16"/>
  <c r="H142" i="16"/>
  <c r="F142" i="16"/>
  <c r="E230" i="16"/>
  <c r="AA230" i="16"/>
  <c r="H207" i="16"/>
  <c r="E207" i="16"/>
  <c r="AA207" i="16"/>
  <c r="H227" i="16"/>
  <c r="F227" i="16"/>
  <c r="O227" i="16"/>
  <c r="E227" i="16"/>
  <c r="AA227" i="16"/>
  <c r="E150" i="16"/>
  <c r="AA150" i="16"/>
  <c r="E165" i="16"/>
  <c r="AA165" i="16"/>
  <c r="E148" i="16"/>
  <c r="AA148" i="16"/>
  <c r="H148" i="16"/>
  <c r="E287" i="16"/>
  <c r="AA287" i="16"/>
  <c r="E104" i="16"/>
  <c r="AA104" i="16"/>
  <c r="E109" i="16"/>
  <c r="AA109" i="16"/>
  <c r="H226" i="16"/>
  <c r="E226" i="16"/>
  <c r="AA226" i="16"/>
  <c r="H143" i="16"/>
  <c r="F143" i="16"/>
  <c r="E143" i="16"/>
  <c r="AA143" i="16"/>
  <c r="E246" i="16"/>
  <c r="AA246" i="16"/>
  <c r="E113" i="16"/>
  <c r="AA113" i="16"/>
  <c r="E199" i="16"/>
  <c r="AA199" i="16"/>
  <c r="E258" i="16"/>
  <c r="AA258" i="16"/>
  <c r="H258" i="16"/>
  <c r="F258" i="16"/>
  <c r="O258" i="16"/>
  <c r="E219" i="16"/>
  <c r="AA219" i="16"/>
  <c r="H219" i="16"/>
  <c r="E263" i="16"/>
  <c r="AA263" i="16"/>
  <c r="L263" i="16"/>
  <c r="F263" i="16"/>
  <c r="O263" i="16"/>
  <c r="H240" i="16"/>
  <c r="E240" i="16"/>
  <c r="AA240" i="16"/>
  <c r="E131" i="16"/>
  <c r="AA131" i="16"/>
  <c r="E304" i="16"/>
  <c r="AA304" i="16"/>
  <c r="E208" i="16"/>
  <c r="AA208" i="16"/>
  <c r="L208" i="16"/>
  <c r="E289" i="16"/>
  <c r="AA289" i="16"/>
  <c r="E144" i="16"/>
  <c r="AA144" i="16"/>
  <c r="H144" i="16"/>
  <c r="E186" i="16"/>
  <c r="AA186" i="16"/>
  <c r="H172" i="16"/>
  <c r="E172" i="16"/>
  <c r="AA172" i="16"/>
  <c r="E201" i="16"/>
  <c r="AA201" i="16"/>
  <c r="H201" i="16"/>
  <c r="H249" i="16"/>
  <c r="E249" i="16"/>
  <c r="AA249" i="16"/>
  <c r="H173" i="16"/>
  <c r="E173" i="16"/>
  <c r="AA173" i="16"/>
  <c r="H1594" i="18"/>
  <c r="H92" i="16"/>
  <c r="E92" i="16"/>
  <c r="AA92" i="16"/>
  <c r="L185" i="18"/>
  <c r="F234" i="17"/>
  <c r="H1643" i="18"/>
  <c r="H1640" i="18"/>
  <c r="H256" i="17"/>
  <c r="E93" i="16"/>
  <c r="AA93" i="16"/>
  <c r="H93" i="16"/>
  <c r="H98" i="16"/>
  <c r="E98" i="16"/>
  <c r="AA98" i="16"/>
  <c r="H282" i="17"/>
  <c r="I2090" i="18"/>
  <c r="F2097" i="18"/>
  <c r="L129" i="18"/>
  <c r="F205" i="17"/>
  <c r="G1600" i="18"/>
  <c r="G1566" i="18"/>
  <c r="H1740" i="18"/>
  <c r="F208" i="17"/>
  <c r="H99" i="16"/>
  <c r="L1774" i="18"/>
  <c r="L1770" i="18"/>
  <c r="J270" i="17"/>
  <c r="K1485" i="18"/>
  <c r="L1485" i="18"/>
  <c r="AB1775" i="18"/>
  <c r="AD1775" i="18"/>
  <c r="K1600" i="18"/>
  <c r="L1600" i="18"/>
  <c r="K1566" i="18"/>
  <c r="L1566" i="18"/>
  <c r="H281" i="17"/>
  <c r="F2159" i="18"/>
  <c r="E792" i="18"/>
  <c r="J33" i="30"/>
  <c r="H1600" i="18"/>
  <c r="AD126" i="19"/>
  <c r="E126" i="19"/>
  <c r="B126" i="19"/>
  <c r="H1566" i="18"/>
  <c r="E94" i="16"/>
  <c r="AA94" i="16"/>
  <c r="H94" i="16"/>
  <c r="E282" i="17"/>
  <c r="L1602" i="18"/>
  <c r="L1597" i="18"/>
  <c r="J240" i="17"/>
  <c r="I2089" i="18"/>
  <c r="H1568" i="18"/>
  <c r="AB1567" i="18"/>
  <c r="AD1567" i="18"/>
  <c r="H96" i="16"/>
  <c r="F96" i="16"/>
  <c r="O96" i="16"/>
  <c r="E96" i="16"/>
  <c r="AA96" i="16"/>
  <c r="J2089" i="18"/>
  <c r="E2090" i="18"/>
  <c r="J2090" i="18"/>
  <c r="F2090" i="18"/>
  <c r="H35" i="15"/>
  <c r="H95" i="16"/>
  <c r="E95" i="16"/>
  <c r="AA95" i="16"/>
  <c r="I34" i="15"/>
  <c r="J34" i="15"/>
  <c r="E91" i="16"/>
  <c r="AA91" i="16"/>
  <c r="H91" i="16"/>
  <c r="H97" i="16"/>
  <c r="F97" i="16"/>
  <c r="O97" i="16"/>
  <c r="E97" i="16"/>
  <c r="AA97" i="16"/>
  <c r="J272" i="16"/>
  <c r="F272" i="16"/>
  <c r="L99" i="16"/>
  <c r="E99" i="16"/>
  <c r="AA99" i="16"/>
  <c r="J282" i="16"/>
  <c r="J276" i="16"/>
  <c r="J273" i="16"/>
  <c r="J277" i="16"/>
  <c r="H295" i="16"/>
  <c r="J275" i="16"/>
  <c r="J274" i="16"/>
  <c r="J205" i="16"/>
  <c r="J132" i="16"/>
  <c r="J280" i="16"/>
  <c r="J139" i="16"/>
  <c r="L280" i="16"/>
  <c r="N4" i="15"/>
  <c r="L271" i="16"/>
  <c r="F271" i="16"/>
  <c r="L141" i="16"/>
  <c r="F141" i="16"/>
  <c r="L157" i="16"/>
  <c r="L168" i="16"/>
  <c r="J271" i="16"/>
  <c r="L276" i="16"/>
  <c r="L282" i="16"/>
  <c r="J197" i="16"/>
  <c r="L272" i="16"/>
  <c r="L295" i="16"/>
  <c r="E295" i="16"/>
  <c r="AA295" i="16"/>
  <c r="L273" i="16"/>
  <c r="L275" i="16"/>
  <c r="L277" i="16"/>
  <c r="L274" i="16"/>
  <c r="F274" i="16"/>
  <c r="O274" i="16"/>
  <c r="J184" i="16"/>
  <c r="J198" i="16"/>
  <c r="F198" i="16"/>
  <c r="J169" i="16"/>
  <c r="J140" i="16"/>
  <c r="J133" i="16"/>
  <c r="P21" i="15"/>
  <c r="N3" i="15"/>
  <c r="J138" i="16"/>
  <c r="J190" i="16"/>
  <c r="J167" i="16"/>
  <c r="J156" i="16"/>
  <c r="J307" i="16"/>
  <c r="F307" i="16"/>
  <c r="O307" i="16"/>
  <c r="J308" i="16"/>
  <c r="J268" i="16"/>
  <c r="J266" i="16"/>
  <c r="J267" i="16"/>
  <c r="J265" i="16"/>
  <c r="L308" i="16"/>
  <c r="L266" i="16"/>
  <c r="L267" i="16"/>
  <c r="L268" i="16"/>
  <c r="L265" i="16"/>
  <c r="L307" i="16"/>
  <c r="H273" i="16"/>
  <c r="E273" i="16"/>
  <c r="AA273" i="16"/>
  <c r="E274" i="16"/>
  <c r="AA274" i="16"/>
  <c r="H274" i="16"/>
  <c r="H272" i="16"/>
  <c r="E272" i="16"/>
  <c r="AA272" i="16"/>
  <c r="H280" i="16"/>
  <c r="F280" i="16"/>
  <c r="E280" i="16"/>
  <c r="AA280" i="16"/>
  <c r="H276" i="16"/>
  <c r="E276" i="16"/>
  <c r="AA276" i="16"/>
  <c r="E271" i="16"/>
  <c r="AA271" i="16"/>
  <c r="H271" i="16"/>
  <c r="J141" i="16"/>
  <c r="J168" i="16"/>
  <c r="J157" i="16"/>
  <c r="E275" i="16"/>
  <c r="AA275" i="16"/>
  <c r="H275" i="16"/>
  <c r="H277" i="16"/>
  <c r="E277" i="16"/>
  <c r="AA277" i="16"/>
  <c r="E282" i="16"/>
  <c r="AA282" i="16"/>
  <c r="H282" i="16"/>
  <c r="H268" i="16"/>
  <c r="F268" i="16"/>
  <c r="O268" i="16"/>
  <c r="E268" i="16"/>
  <c r="AA268" i="16"/>
  <c r="H308" i="16"/>
  <c r="E308" i="16"/>
  <c r="AA308" i="16"/>
  <c r="H307" i="16"/>
  <c r="E307" i="16"/>
  <c r="AA307" i="16"/>
  <c r="E266" i="16"/>
  <c r="AA266" i="16"/>
  <c r="H266" i="16"/>
  <c r="H265" i="16"/>
  <c r="E265" i="16"/>
  <c r="AA265" i="16"/>
  <c r="E267" i="16"/>
  <c r="AA267" i="16"/>
  <c r="H267" i="16"/>
  <c r="F267" i="16"/>
  <c r="H132" i="16"/>
  <c r="H157" i="16"/>
  <c r="E157" i="16"/>
  <c r="AA157" i="16"/>
  <c r="H141" i="16"/>
  <c r="E141" i="16"/>
  <c r="AA141" i="16"/>
  <c r="L197" i="16"/>
  <c r="H139" i="16"/>
  <c r="E168" i="16"/>
  <c r="AA168" i="16"/>
  <c r="H168" i="16"/>
  <c r="H205" i="16"/>
  <c r="H169" i="16"/>
  <c r="H133" i="16"/>
  <c r="H198" i="16"/>
  <c r="H138" i="16"/>
  <c r="H156" i="16"/>
  <c r="L167" i="16"/>
  <c r="L138" i="16"/>
  <c r="L190" i="16"/>
  <c r="L156" i="16"/>
  <c r="E197" i="16"/>
  <c r="AA197" i="16"/>
  <c r="H197" i="16"/>
  <c r="F197" i="16"/>
  <c r="O197" i="16"/>
  <c r="H190" i="16"/>
  <c r="H140" i="16"/>
  <c r="H184" i="16"/>
  <c r="E167" i="16"/>
  <c r="AA167" i="16"/>
  <c r="H167" i="16"/>
  <c r="E156" i="16"/>
  <c r="AA156" i="16"/>
  <c r="E190" i="16"/>
  <c r="AA190" i="16"/>
  <c r="L132" i="16"/>
  <c r="E132" i="16"/>
  <c r="AA132" i="16"/>
  <c r="E138" i="16"/>
  <c r="AA138" i="16"/>
  <c r="L139" i="16"/>
  <c r="E139" i="16"/>
  <c r="AA139" i="16"/>
  <c r="L184" i="16"/>
  <c r="E184" i="16"/>
  <c r="AA184" i="16"/>
  <c r="L169" i="16"/>
  <c r="E169" i="16"/>
  <c r="AA169" i="16"/>
  <c r="L205" i="16"/>
  <c r="E205" i="16"/>
  <c r="AA205" i="16"/>
  <c r="L198" i="16"/>
  <c r="E198" i="16"/>
  <c r="AA198" i="16"/>
  <c r="L140" i="16"/>
  <c r="E140" i="16"/>
  <c r="AA140" i="16"/>
  <c r="L133" i="16"/>
  <c r="E133" i="16"/>
  <c r="AA133" i="16"/>
  <c r="H34" i="15"/>
  <c r="I35" i="15"/>
  <c r="J35" i="15"/>
  <c r="G33" i="15"/>
  <c r="M21" i="15"/>
  <c r="M17" i="15"/>
  <c r="E1863" i="18"/>
  <c r="H1863" i="18"/>
  <c r="F1863" i="18"/>
  <c r="H1842" i="18"/>
  <c r="F1842" i="18"/>
  <c r="E1842" i="18"/>
  <c r="E1840" i="18"/>
  <c r="H1840" i="18"/>
  <c r="F1840" i="18"/>
  <c r="H17" i="15"/>
  <c r="I17" i="15"/>
  <c r="J17" i="15"/>
  <c r="H21" i="15"/>
  <c r="I21" i="15"/>
  <c r="J21" i="15"/>
  <c r="I20" i="15"/>
  <c r="J20" i="15"/>
  <c r="H20" i="15"/>
  <c r="M19" i="15"/>
  <c r="M16" i="15"/>
  <c r="H19" i="15"/>
  <c r="I19" i="15"/>
  <c r="J19" i="15"/>
  <c r="H22" i="15"/>
  <c r="I22" i="15"/>
  <c r="J22" i="15"/>
  <c r="M18" i="15"/>
  <c r="H16" i="15"/>
  <c r="I16" i="15"/>
  <c r="J16" i="15"/>
  <c r="H24" i="15"/>
  <c r="I24" i="15"/>
  <c r="J24" i="15"/>
  <c r="H18" i="15"/>
  <c r="I18" i="15"/>
  <c r="J18" i="15"/>
  <c r="H1972" i="18"/>
  <c r="F1972" i="18"/>
  <c r="E2121" i="18"/>
  <c r="H2119" i="18"/>
  <c r="F2119" i="18"/>
  <c r="H1951" i="18"/>
  <c r="F1951" i="18"/>
  <c r="H1605" i="18"/>
  <c r="G887" i="18"/>
  <c r="G902" i="18"/>
  <c r="G907" i="18"/>
  <c r="G932" i="18"/>
  <c r="G927" i="18"/>
  <c r="G912" i="18"/>
  <c r="H1563" i="18"/>
  <c r="E7" i="20"/>
  <c r="F2189" i="18"/>
  <c r="H2077" i="18"/>
  <c r="J1538" i="18"/>
  <c r="F1537" i="18"/>
  <c r="H2191" i="18"/>
  <c r="F2186" i="18"/>
  <c r="I1714" i="18"/>
  <c r="J1714" i="18"/>
  <c r="I1739" i="18"/>
  <c r="J1739" i="18"/>
  <c r="I1585" i="18"/>
  <c r="J1585" i="18"/>
  <c r="AB1586" i="18"/>
  <c r="AD1586" i="18"/>
  <c r="I1779" i="18"/>
  <c r="J1779" i="18"/>
  <c r="I1786" i="18"/>
  <c r="J1786" i="18"/>
  <c r="I1517" i="18"/>
  <c r="J1517" i="18"/>
  <c r="I1760" i="18"/>
  <c r="J1760" i="18"/>
  <c r="I1531" i="18"/>
  <c r="J1531" i="18"/>
  <c r="I1705" i="18"/>
  <c r="J1705" i="18"/>
  <c r="I1753" i="18"/>
  <c r="J1753" i="18"/>
  <c r="I1746" i="18"/>
  <c r="J1746" i="18"/>
  <c r="I1592" i="18"/>
  <c r="J1592" i="18"/>
  <c r="G11" i="20"/>
  <c r="F2193" i="18"/>
  <c r="H2197" i="18"/>
  <c r="H830" i="18"/>
  <c r="F830" i="18"/>
  <c r="E830" i="18"/>
  <c r="H234" i="17"/>
  <c r="I1017" i="18"/>
  <c r="J1017" i="18"/>
  <c r="J1015" i="18"/>
  <c r="H172" i="17"/>
  <c r="I1209" i="18"/>
  <c r="J1209" i="18"/>
  <c r="F1557" i="18"/>
  <c r="F921" i="18"/>
  <c r="H588" i="18"/>
  <c r="F588" i="18"/>
  <c r="E588" i="18"/>
  <c r="E1809" i="18"/>
  <c r="J1809" i="18"/>
  <c r="K1841" i="18"/>
  <c r="L1841" i="18"/>
  <c r="K1070" i="18"/>
  <c r="L1070" i="18"/>
  <c r="K1862" i="18"/>
  <c r="L1862" i="18"/>
  <c r="K1103" i="18"/>
  <c r="L1103" i="18"/>
  <c r="K1902" i="18"/>
  <c r="L1902" i="18"/>
  <c r="K1087" i="18"/>
  <c r="L1087" i="18"/>
  <c r="K1054" i="18"/>
  <c r="L1054" i="18"/>
  <c r="K1883" i="18"/>
  <c r="L1883" i="18"/>
  <c r="K1184" i="18"/>
  <c r="L1184" i="18"/>
  <c r="K1041" i="18"/>
  <c r="L1041" i="18"/>
  <c r="F1399" i="18"/>
  <c r="F886" i="18"/>
  <c r="F2165" i="18"/>
  <c r="H2170" i="18"/>
  <c r="G53" i="18"/>
  <c r="G157" i="18"/>
  <c r="G41" i="18"/>
  <c r="G101" i="18"/>
  <c r="E208" i="17"/>
  <c r="AA208" i="17"/>
  <c r="G33" i="18"/>
  <c r="G173" i="18"/>
  <c r="H1532" i="18"/>
  <c r="K1143" i="18"/>
  <c r="L1143" i="18"/>
  <c r="K2104" i="18"/>
  <c r="L2104" i="18"/>
  <c r="K1999" i="18"/>
  <c r="L1999" i="18"/>
  <c r="K1180" i="18"/>
  <c r="L1180" i="18"/>
  <c r="K1162" i="18"/>
  <c r="L1162" i="18"/>
  <c r="K1957" i="18"/>
  <c r="L1957" i="18"/>
  <c r="K1936" i="18"/>
  <c r="L1936" i="18"/>
  <c r="K2041" i="18"/>
  <c r="L2041" i="18"/>
  <c r="K2020" i="18"/>
  <c r="L2020" i="18"/>
  <c r="K1915" i="18"/>
  <c r="L1915" i="18"/>
  <c r="I173" i="18"/>
  <c r="J173" i="18"/>
  <c r="I33" i="18"/>
  <c r="J33" i="18"/>
  <c r="I53" i="18"/>
  <c r="J53" i="18"/>
  <c r="I41" i="18"/>
  <c r="J41" i="18"/>
  <c r="I157" i="18"/>
  <c r="J157" i="18"/>
  <c r="I101" i="18"/>
  <c r="J101" i="18"/>
  <c r="H690" i="18"/>
  <c r="F690" i="18"/>
  <c r="E690" i="18"/>
  <c r="F1601" i="18"/>
  <c r="AB1603" i="18"/>
  <c r="AD1603" i="18"/>
  <c r="E650" i="18"/>
  <c r="H650" i="18"/>
  <c r="F650" i="18"/>
  <c r="E2007" i="18"/>
  <c r="H2007" i="18"/>
  <c r="F2007" i="18"/>
  <c r="H589" i="18"/>
  <c r="F589" i="18"/>
  <c r="E589" i="18"/>
  <c r="H1170" i="18"/>
  <c r="F1170" i="18"/>
  <c r="E1170" i="18"/>
  <c r="L1733" i="18"/>
  <c r="F1733" i="18"/>
  <c r="F1731" i="18"/>
  <c r="AB1732" i="18"/>
  <c r="AD1732" i="18"/>
  <c r="F911" i="18"/>
  <c r="H2177" i="18"/>
  <c r="F2172" i="18"/>
  <c r="G37" i="18"/>
  <c r="G49" i="18"/>
  <c r="G121" i="18"/>
  <c r="G17" i="18"/>
  <c r="AB1624" i="18"/>
  <c r="AD1624" i="18"/>
  <c r="L1625" i="18"/>
  <c r="J1622" i="18"/>
  <c r="F1624" i="18"/>
  <c r="H494" i="18"/>
  <c r="F494" i="18"/>
  <c r="E494" i="18"/>
  <c r="H506" i="18"/>
  <c r="F506" i="18"/>
  <c r="E506" i="18"/>
  <c r="E515" i="18"/>
  <c r="H515" i="18"/>
  <c r="F515" i="18"/>
  <c r="H554" i="18"/>
  <c r="F554" i="18"/>
  <c r="E554" i="18"/>
  <c r="H563" i="18"/>
  <c r="F563" i="18"/>
  <c r="E563" i="18"/>
  <c r="H1602" i="18"/>
  <c r="AB1601" i="18"/>
  <c r="AD1601" i="18"/>
  <c r="H2041" i="18"/>
  <c r="F1712" i="18"/>
  <c r="AB1714" i="18"/>
  <c r="AD1714" i="18"/>
  <c r="E451" i="18"/>
  <c r="H451" i="18"/>
  <c r="F451" i="18"/>
  <c r="H2010" i="18"/>
  <c r="E2010" i="18"/>
  <c r="H2111" i="18"/>
  <c r="F2111" i="18"/>
  <c r="E2111" i="18"/>
  <c r="F1771" i="18"/>
  <c r="E196" i="18"/>
  <c r="H235" i="18"/>
  <c r="F235" i="18"/>
  <c r="E235" i="18"/>
  <c r="E270" i="18"/>
  <c r="H270" i="18"/>
  <c r="F270" i="18"/>
  <c r="H421" i="18"/>
  <c r="F421" i="18"/>
  <c r="E421" i="18"/>
  <c r="E442" i="18"/>
  <c r="H442" i="18"/>
  <c r="F442" i="18"/>
  <c r="H840" i="18"/>
  <c r="E840" i="18"/>
  <c r="E379" i="18"/>
  <c r="H379" i="18"/>
  <c r="F379" i="18"/>
  <c r="E596" i="18"/>
  <c r="H596" i="18"/>
  <c r="F596" i="18"/>
  <c r="E854" i="18"/>
  <c r="H854" i="18"/>
  <c r="F854" i="18"/>
  <c r="E2107" i="18"/>
  <c r="H2107" i="18"/>
  <c r="F2107" i="18"/>
  <c r="F2132" i="18"/>
  <c r="F2031" i="18"/>
  <c r="H2032" i="18"/>
  <c r="F2032" i="18"/>
  <c r="H430" i="18"/>
  <c r="F430" i="18"/>
  <c r="E430" i="18"/>
  <c r="F981" i="18"/>
  <c r="E1008" i="18"/>
  <c r="H1008" i="18"/>
  <c r="F1008" i="18"/>
  <c r="E1655" i="18"/>
  <c r="H1655" i="18"/>
  <c r="AD67" i="19"/>
  <c r="L1505" i="18"/>
  <c r="L1500" i="18"/>
  <c r="J225" i="17"/>
  <c r="AB1506" i="18"/>
  <c r="AD1506" i="18"/>
  <c r="H597" i="18"/>
  <c r="F597" i="18"/>
  <c r="E597" i="18"/>
  <c r="G21" i="21"/>
  <c r="G22" i="21"/>
  <c r="E4" i="20"/>
  <c r="F822" i="18"/>
  <c r="K149" i="18"/>
  <c r="L149" i="18"/>
  <c r="K21" i="18"/>
  <c r="L21" i="18"/>
  <c r="K9" i="18"/>
  <c r="L9" i="18"/>
  <c r="K161" i="18"/>
  <c r="L161" i="18"/>
  <c r="H579" i="18"/>
  <c r="F579" i="18"/>
  <c r="E579" i="18"/>
  <c r="H1426" i="18"/>
  <c r="E1426" i="18"/>
  <c r="I1193" i="18"/>
  <c r="E256" i="17"/>
  <c r="AA256" i="17"/>
  <c r="G4" i="20"/>
  <c r="E638" i="18"/>
  <c r="H638" i="18"/>
  <c r="F638" i="18"/>
  <c r="F230" i="17"/>
  <c r="J2085" i="18"/>
  <c r="H283" i="17"/>
  <c r="I2077" i="18"/>
  <c r="J2077" i="18"/>
  <c r="F816" i="18"/>
  <c r="H531" i="18"/>
  <c r="F531" i="18"/>
  <c r="E531" i="18"/>
  <c r="H550" i="18"/>
  <c r="F550" i="18"/>
  <c r="E550" i="18"/>
  <c r="H571" i="18"/>
  <c r="F571" i="18"/>
  <c r="E234" i="17"/>
  <c r="AA234" i="17"/>
  <c r="G1017" i="18"/>
  <c r="I1638" i="18"/>
  <c r="E277" i="17"/>
  <c r="AA277" i="17"/>
  <c r="J1651" i="18"/>
  <c r="F1652" i="18"/>
  <c r="H1162" i="18"/>
  <c r="H1615" i="18"/>
  <c r="F1617" i="18"/>
  <c r="E386" i="18"/>
  <c r="H386" i="18"/>
  <c r="F386" i="18"/>
  <c r="H403" i="18"/>
  <c r="F403" i="18"/>
  <c r="E403" i="18"/>
  <c r="E1043" i="18"/>
  <c r="H1043" i="18"/>
  <c r="F1043" i="18"/>
  <c r="H33" i="15"/>
  <c r="I33" i="15"/>
  <c r="J33" i="15"/>
  <c r="H1613" i="18"/>
  <c r="H412" i="18"/>
  <c r="F412" i="18"/>
  <c r="E412" i="18"/>
  <c r="E438" i="18"/>
  <c r="H438" i="18"/>
  <c r="F438" i="18"/>
  <c r="E532" i="18"/>
  <c r="H532" i="18"/>
  <c r="F532" i="18"/>
  <c r="H581" i="18"/>
  <c r="F581" i="18"/>
  <c r="E581" i="18"/>
  <c r="H1545" i="18"/>
  <c r="F1546" i="18"/>
  <c r="K1979" i="18"/>
  <c r="L1979" i="18"/>
  <c r="K1916" i="18"/>
  <c r="L1916" i="18"/>
  <c r="K1181" i="18"/>
  <c r="L1181" i="18"/>
  <c r="K2021" i="18"/>
  <c r="L2021" i="18"/>
  <c r="K1937" i="18"/>
  <c r="L1937" i="18"/>
  <c r="K1958" i="18"/>
  <c r="L1958" i="18"/>
  <c r="K1163" i="18"/>
  <c r="L1163" i="18"/>
  <c r="K2042" i="18"/>
  <c r="L2042" i="18"/>
  <c r="K1144" i="18"/>
  <c r="L1144" i="18"/>
  <c r="K2105" i="18"/>
  <c r="L2105" i="18"/>
  <c r="K2000" i="18"/>
  <c r="L2000" i="18"/>
  <c r="F1989" i="18"/>
  <c r="H1990" i="18"/>
  <c r="F1990" i="18"/>
  <c r="F1389" i="18"/>
  <c r="H1928" i="18"/>
  <c r="AB1672" i="18"/>
  <c r="AD1672" i="18"/>
  <c r="F1669" i="18"/>
  <c r="J1672" i="18"/>
  <c r="AB1670" i="18"/>
  <c r="AD1670" i="18"/>
  <c r="H883" i="18"/>
  <c r="F883" i="18"/>
  <c r="E883" i="18"/>
  <c r="H1137" i="18"/>
  <c r="F1137" i="18"/>
  <c r="E1137" i="18"/>
  <c r="H1761" i="18"/>
  <c r="H2030" i="18"/>
  <c r="K181" i="18"/>
  <c r="L181" i="18"/>
  <c r="K133" i="18"/>
  <c r="L133" i="18"/>
  <c r="J1549" i="18"/>
  <c r="F1547" i="18"/>
  <c r="AB1549" i="18"/>
  <c r="AD1549" i="18"/>
  <c r="H740" i="18"/>
  <c r="F740" i="18"/>
  <c r="E740" i="18"/>
  <c r="E872" i="18"/>
  <c r="H872" i="18"/>
  <c r="F872" i="18"/>
  <c r="K169" i="18"/>
  <c r="L169" i="18"/>
  <c r="K93" i="18"/>
  <c r="L93" i="18"/>
  <c r="K61" i="18"/>
  <c r="L61" i="18"/>
  <c r="F1542" i="18"/>
  <c r="J1543" i="18"/>
  <c r="F245" i="17"/>
  <c r="E1646" i="18"/>
  <c r="J1646" i="18"/>
  <c r="H2114" i="18"/>
  <c r="F1678" i="18"/>
  <c r="AB1679" i="18"/>
  <c r="AD1679" i="18"/>
  <c r="L1680" i="18"/>
  <c r="J1674" i="18"/>
  <c r="H255" i="17"/>
  <c r="E491" i="18"/>
  <c r="H491" i="18"/>
  <c r="F491" i="18"/>
  <c r="E626" i="18"/>
  <c r="H626" i="18"/>
  <c r="F626" i="18"/>
  <c r="E676" i="18"/>
  <c r="H676" i="18"/>
  <c r="F676" i="18"/>
  <c r="G45" i="21"/>
  <c r="G46" i="21"/>
  <c r="E6" i="20"/>
  <c r="E549" i="18"/>
  <c r="H549" i="18"/>
  <c r="F549" i="18"/>
  <c r="E1115" i="18"/>
  <c r="H1115" i="18"/>
  <c r="E130" i="19"/>
  <c r="E116" i="19"/>
  <c r="J7" i="17"/>
  <c r="AF128" i="19"/>
  <c r="E128" i="19"/>
  <c r="F936" i="18"/>
  <c r="AB1705" i="18"/>
  <c r="AD1705" i="18"/>
  <c r="F1703" i="18"/>
  <c r="L1706" i="18"/>
  <c r="F1706" i="18"/>
  <c r="AT139" i="19"/>
  <c r="A139" i="19"/>
  <c r="H348" i="18"/>
  <c r="F348" i="18"/>
  <c r="E348" i="18"/>
  <c r="E1347" i="18"/>
  <c r="J1347" i="18"/>
  <c r="F1347" i="18"/>
  <c r="L1372" i="18"/>
  <c r="L1371" i="18"/>
  <c r="J206" i="17"/>
  <c r="E1372" i="18"/>
  <c r="J1420" i="18"/>
  <c r="H212" i="17"/>
  <c r="G13" i="18"/>
  <c r="AB1525" i="18"/>
  <c r="AD1525" i="18"/>
  <c r="H1526" i="18"/>
  <c r="H653" i="18"/>
  <c r="F653" i="18"/>
  <c r="E653" i="18"/>
  <c r="E1215" i="18"/>
  <c r="H1215" i="18"/>
  <c r="F1215" i="18"/>
  <c r="E1242" i="18"/>
  <c r="H1242" i="18"/>
  <c r="F1242" i="18"/>
  <c r="H1270" i="18"/>
  <c r="F1270" i="18"/>
  <c r="E1270" i="18"/>
  <c r="E1337" i="18"/>
  <c r="H1337" i="18"/>
  <c r="H1725" i="18"/>
  <c r="E783" i="18"/>
  <c r="H783" i="18"/>
  <c r="F783" i="18"/>
  <c r="H1459" i="18"/>
  <c r="F1465" i="18"/>
  <c r="H1674" i="18"/>
  <c r="F1675" i="18"/>
  <c r="H1694" i="18"/>
  <c r="F1694" i="18"/>
  <c r="E1694" i="18"/>
  <c r="AB1805" i="18"/>
  <c r="AD1805" i="18"/>
  <c r="L1804" i="18"/>
  <c r="F1802" i="18"/>
  <c r="J1805" i="18"/>
  <c r="AB1803" i="18"/>
  <c r="AD1803" i="18"/>
  <c r="H775" i="18"/>
  <c r="F775" i="18"/>
  <c r="E775" i="18"/>
  <c r="G1988" i="18"/>
  <c r="G2051" i="18"/>
  <c r="G1925" i="18"/>
  <c r="G1967" i="18"/>
  <c r="G1946" i="18"/>
  <c r="F237" i="17"/>
  <c r="AH37" i="19"/>
  <c r="AV37" i="19"/>
  <c r="AX37" i="19"/>
  <c r="A37" i="19"/>
  <c r="G6" i="20"/>
  <c r="H1916" i="18"/>
  <c r="H622" i="18"/>
  <c r="F622" i="18"/>
  <c r="E622" i="18"/>
  <c r="H1421" i="18"/>
  <c r="E1421" i="18"/>
  <c r="E1456" i="18"/>
  <c r="H1456" i="18"/>
  <c r="F1456" i="18"/>
  <c r="E1689" i="18"/>
  <c r="H1689" i="18"/>
  <c r="F1689" i="18"/>
  <c r="F25" i="30"/>
  <c r="E25" i="30"/>
  <c r="AA25" i="30"/>
  <c r="F2163" i="18"/>
  <c r="K41" i="18"/>
  <c r="L41" i="18"/>
  <c r="K101" i="18"/>
  <c r="L101" i="18"/>
  <c r="K33" i="18"/>
  <c r="L33" i="18"/>
  <c r="K157" i="18"/>
  <c r="L157" i="18"/>
  <c r="F906" i="18"/>
  <c r="H578" i="18"/>
  <c r="F578" i="18"/>
  <c r="E578" i="18"/>
  <c r="E635" i="18"/>
  <c r="H635" i="18"/>
  <c r="F635" i="18"/>
  <c r="E1229" i="18"/>
  <c r="H1229" i="18"/>
  <c r="F1229" i="18"/>
  <c r="E1285" i="18"/>
  <c r="H1285" i="18"/>
  <c r="F1285" i="18"/>
  <c r="F1580" i="18"/>
  <c r="J1577" i="18"/>
  <c r="H237" i="17"/>
  <c r="E1641" i="18"/>
  <c r="J1641" i="18"/>
  <c r="J1826" i="18"/>
  <c r="E1826" i="18"/>
  <c r="AV14" i="19"/>
  <c r="AX14" i="19"/>
  <c r="AF91" i="19"/>
  <c r="H564" i="18"/>
  <c r="F564" i="18"/>
  <c r="E564" i="18"/>
  <c r="F1119" i="18"/>
  <c r="H291" i="18"/>
  <c r="F291" i="18"/>
  <c r="E291" i="18"/>
  <c r="E310" i="18"/>
  <c r="H310" i="18"/>
  <c r="F310" i="18"/>
  <c r="H339" i="18"/>
  <c r="F339" i="18"/>
  <c r="E339" i="18"/>
  <c r="E726" i="18"/>
  <c r="H726" i="18"/>
  <c r="F726" i="18"/>
  <c r="F1376" i="18"/>
  <c r="F1451" i="18"/>
  <c r="H1450" i="18"/>
  <c r="H1676" i="18"/>
  <c r="F1676" i="18"/>
  <c r="E1676" i="18"/>
  <c r="AF106" i="19"/>
  <c r="AB106" i="19"/>
  <c r="AD106" i="19"/>
  <c r="AB109" i="19"/>
  <c r="H1859" i="18"/>
  <c r="F1859" i="18"/>
  <c r="E1859" i="18"/>
  <c r="E498" i="18"/>
  <c r="H2199" i="18"/>
  <c r="F2203" i="18"/>
  <c r="A122" i="19"/>
  <c r="AH122" i="19"/>
  <c r="E210" i="18"/>
  <c r="H210" i="18"/>
  <c r="F210" i="18"/>
  <c r="H331" i="18"/>
  <c r="F331" i="18"/>
  <c r="E331" i="18"/>
  <c r="E1013" i="18"/>
  <c r="H1013" i="18"/>
  <c r="F1013" i="18"/>
  <c r="J1450" i="18"/>
  <c r="H215" i="17"/>
  <c r="H1552" i="18"/>
  <c r="E1552" i="18"/>
  <c r="AB1566" i="18"/>
  <c r="AD1566" i="18"/>
  <c r="L1567" i="18"/>
  <c r="F1567" i="18"/>
  <c r="F1564" i="18"/>
  <c r="E478" i="18"/>
  <c r="H478" i="18"/>
  <c r="F478" i="18"/>
  <c r="H555" i="18"/>
  <c r="F555" i="18"/>
  <c r="E555" i="18"/>
  <c r="E629" i="18"/>
  <c r="H629" i="18"/>
  <c r="F629" i="18"/>
  <c r="E1387" i="18"/>
  <c r="H1387" i="18"/>
  <c r="F1387" i="18"/>
  <c r="G105" i="21"/>
  <c r="G106" i="21"/>
  <c r="K1938" i="18"/>
  <c r="L1938" i="18"/>
  <c r="K1182" i="18"/>
  <c r="L1182" i="18"/>
  <c r="K2001" i="18"/>
  <c r="L2001" i="18"/>
  <c r="K1071" i="18"/>
  <c r="L1071" i="18"/>
  <c r="K2043" i="18"/>
  <c r="L2043" i="18"/>
  <c r="K1104" i="18"/>
  <c r="L1104" i="18"/>
  <c r="K1088" i="18"/>
  <c r="L1088" i="18"/>
  <c r="K2022" i="18"/>
  <c r="L2022" i="18"/>
  <c r="K1145" i="18"/>
  <c r="L1145" i="18"/>
  <c r="K1959" i="18"/>
  <c r="L1959" i="18"/>
  <c r="H1949" i="18"/>
  <c r="K69" i="18"/>
  <c r="L69" i="18"/>
  <c r="K153" i="18"/>
  <c r="L153" i="18"/>
  <c r="H300" i="18"/>
  <c r="F300" i="18"/>
  <c r="E300" i="18"/>
  <c r="E349" i="18"/>
  <c r="H349" i="18"/>
  <c r="F349" i="18"/>
  <c r="K73" i="18"/>
  <c r="L73" i="18"/>
  <c r="K45" i="18"/>
  <c r="L45" i="18"/>
  <c r="F1383" i="18"/>
  <c r="J1380" i="18"/>
  <c r="H207" i="17"/>
  <c r="F1455" i="18"/>
  <c r="E1633" i="18"/>
  <c r="J1633" i="18"/>
  <c r="F248" i="17"/>
  <c r="K1837" i="18"/>
  <c r="L1837" i="18"/>
  <c r="E1522" i="18"/>
  <c r="E301" i="18"/>
  <c r="H301" i="18"/>
  <c r="F301" i="18"/>
  <c r="E340" i="18"/>
  <c r="H340" i="18"/>
  <c r="F340" i="18"/>
  <c r="H812" i="18"/>
  <c r="F812" i="18"/>
  <c r="E812" i="18"/>
  <c r="H893" i="18"/>
  <c r="F893" i="18"/>
  <c r="E893" i="18"/>
  <c r="H1321" i="18"/>
  <c r="F1321" i="18"/>
  <c r="E1321" i="18"/>
  <c r="L1545" i="18"/>
  <c r="J232" i="17"/>
  <c r="K922" i="18"/>
  <c r="L922" i="18"/>
  <c r="L920" i="18"/>
  <c r="J153" i="17"/>
  <c r="J1634" i="18"/>
  <c r="F1634" i="18"/>
  <c r="E1634" i="18"/>
  <c r="K2026" i="18"/>
  <c r="L2026" i="18"/>
  <c r="K1168" i="18"/>
  <c r="L1168" i="18"/>
  <c r="K1197" i="18"/>
  <c r="L1197" i="18"/>
  <c r="K1984" i="18"/>
  <c r="L1984" i="18"/>
  <c r="K1942" i="18"/>
  <c r="L1942" i="18"/>
  <c r="K1963" i="18"/>
  <c r="L1963" i="18"/>
  <c r="K2005" i="18"/>
  <c r="L2005" i="18"/>
  <c r="K1149" i="18"/>
  <c r="L1149" i="18"/>
  <c r="E1663" i="18"/>
  <c r="J1663" i="18"/>
  <c r="F119" i="21"/>
  <c r="G119" i="21"/>
  <c r="G120" i="21"/>
  <c r="F12" i="20"/>
  <c r="F107" i="21"/>
  <c r="G107" i="21"/>
  <c r="G108" i="21"/>
  <c r="F11" i="20"/>
  <c r="F35" i="21"/>
  <c r="G35" i="21"/>
  <c r="G36" i="21"/>
  <c r="F95" i="21"/>
  <c r="G95" i="21"/>
  <c r="G96" i="21"/>
  <c r="F10" i="20"/>
  <c r="F83" i="21"/>
  <c r="G83" i="21"/>
  <c r="G84" i="21"/>
  <c r="F9" i="20"/>
  <c r="I1518" i="18"/>
  <c r="J1518" i="18"/>
  <c r="F11" i="21"/>
  <c r="G11" i="21"/>
  <c r="G12" i="21"/>
  <c r="F59" i="21"/>
  <c r="G59" i="21"/>
  <c r="G60" i="21"/>
  <c r="F7" i="20"/>
  <c r="F71" i="21"/>
  <c r="G71" i="21"/>
  <c r="G72" i="21"/>
  <c r="F8" i="20"/>
  <c r="F47" i="21"/>
  <c r="G47" i="21"/>
  <c r="G48" i="21"/>
  <c r="F6" i="20"/>
  <c r="H1965" i="18"/>
  <c r="F1965" i="18"/>
  <c r="E1965" i="18"/>
  <c r="L2064" i="18"/>
  <c r="J2065" i="18"/>
  <c r="F2065" i="18"/>
  <c r="F2063" i="18"/>
  <c r="H1504" i="18"/>
  <c r="K1858" i="18"/>
  <c r="L1858" i="18"/>
  <c r="K962" i="18"/>
  <c r="L962" i="18"/>
  <c r="L960" i="18"/>
  <c r="J161" i="17"/>
  <c r="K1693" i="18"/>
  <c r="L1693" i="18"/>
  <c r="L1691" i="18"/>
  <c r="J258" i="17"/>
  <c r="K1228" i="18"/>
  <c r="L1228" i="18"/>
  <c r="K1007" i="18"/>
  <c r="L1007" i="18"/>
  <c r="L1005" i="18"/>
  <c r="J170" i="17"/>
  <c r="K972" i="18"/>
  <c r="L972" i="18"/>
  <c r="L970" i="18"/>
  <c r="J163" i="17"/>
  <c r="K1217" i="18"/>
  <c r="L1217" i="18"/>
  <c r="K982" i="18"/>
  <c r="L982" i="18"/>
  <c r="L980" i="18"/>
  <c r="J165" i="17"/>
  <c r="K1218" i="18"/>
  <c r="L1218" i="18"/>
  <c r="K957" i="18"/>
  <c r="L957" i="18"/>
  <c r="L955" i="18"/>
  <c r="J160" i="17"/>
  <c r="K952" i="18"/>
  <c r="L952" i="18"/>
  <c r="L950" i="18"/>
  <c r="J159" i="17"/>
  <c r="K992" i="18"/>
  <c r="L992" i="18"/>
  <c r="L990" i="18"/>
  <c r="J167" i="17"/>
  <c r="K977" i="18"/>
  <c r="L977" i="18"/>
  <c r="L975" i="18"/>
  <c r="J164" i="17"/>
  <c r="K1688" i="18"/>
  <c r="L1688" i="18"/>
  <c r="L1686" i="18"/>
  <c r="J257" i="17"/>
  <c r="K1227" i="18"/>
  <c r="L1227" i="18"/>
  <c r="K997" i="18"/>
  <c r="L997" i="18"/>
  <c r="L995" i="18"/>
  <c r="J168" i="17"/>
  <c r="K1219" i="18"/>
  <c r="L1219" i="18"/>
  <c r="H1144" i="18"/>
  <c r="H258" i="18"/>
  <c r="F258" i="18"/>
  <c r="E258" i="18"/>
  <c r="E525" i="18"/>
  <c r="H525" i="18"/>
  <c r="F525" i="18"/>
  <c r="H701" i="18"/>
  <c r="F701" i="18"/>
  <c r="E701" i="18"/>
  <c r="H748" i="18"/>
  <c r="F748" i="18"/>
  <c r="G774" i="18"/>
  <c r="E748" i="18"/>
  <c r="J1433" i="18"/>
  <c r="E1433" i="18"/>
  <c r="L1508" i="18"/>
  <c r="E1508" i="18"/>
  <c r="L1514" i="18"/>
  <c r="E1514" i="18"/>
  <c r="K2019" i="18"/>
  <c r="L2019" i="18"/>
  <c r="K1935" i="18"/>
  <c r="L1935" i="18"/>
  <c r="K1914" i="18"/>
  <c r="L1914" i="18"/>
  <c r="K1977" i="18"/>
  <c r="L1977" i="18"/>
  <c r="K1161" i="18"/>
  <c r="L1161" i="18"/>
  <c r="K1956" i="18"/>
  <c r="L1956" i="18"/>
  <c r="K1725" i="18"/>
  <c r="L1725" i="18"/>
  <c r="K1767" i="18"/>
  <c r="L1767" i="18"/>
  <c r="K1793" i="18"/>
  <c r="L1793" i="18"/>
  <c r="K1525" i="18"/>
  <c r="L1525" i="18"/>
  <c r="G121" i="21"/>
  <c r="H1201" i="18"/>
  <c r="F1394" i="18"/>
  <c r="F1554" i="18"/>
  <c r="AB1555" i="18"/>
  <c r="AD1555" i="18"/>
  <c r="J1555" i="18"/>
  <c r="J1551" i="18"/>
  <c r="H233" i="17"/>
  <c r="H2206" i="18"/>
  <c r="E227" i="18"/>
  <c r="E253" i="18"/>
  <c r="H253" i="18"/>
  <c r="F253" i="18"/>
  <c r="E404" i="18"/>
  <c r="H404" i="18"/>
  <c r="F404" i="18"/>
  <c r="H429" i="18"/>
  <c r="F429" i="18"/>
  <c r="H446" i="18"/>
  <c r="F446" i="18"/>
  <c r="E483" i="18"/>
  <c r="E499" i="18"/>
  <c r="H1129" i="18"/>
  <c r="F1129" i="18"/>
  <c r="H1439" i="18"/>
  <c r="F1439" i="18"/>
  <c r="H1446" i="18"/>
  <c r="F1446" i="18"/>
  <c r="H1501" i="18"/>
  <c r="E1501" i="18"/>
  <c r="F1509" i="18"/>
  <c r="AB1511" i="18"/>
  <c r="AD1511" i="18"/>
  <c r="F1524" i="18"/>
  <c r="L1615" i="18"/>
  <c r="J243" i="17"/>
  <c r="K1045" i="18"/>
  <c r="L1045" i="18"/>
  <c r="F1620" i="18"/>
  <c r="E1628" i="18"/>
  <c r="J1628" i="18"/>
  <c r="H1636" i="18"/>
  <c r="E765" i="18"/>
  <c r="H765" i="18"/>
  <c r="F765" i="18"/>
  <c r="F1559" i="18"/>
  <c r="AB1561" i="18"/>
  <c r="AD1561" i="18"/>
  <c r="H378" i="18"/>
  <c r="F378" i="18"/>
  <c r="E378" i="18"/>
  <c r="E458" i="18"/>
  <c r="H458" i="18"/>
  <c r="F458" i="18"/>
  <c r="H508" i="18"/>
  <c r="F508" i="18"/>
  <c r="E508" i="18"/>
  <c r="E630" i="18"/>
  <c r="H630" i="18"/>
  <c r="F630" i="18"/>
  <c r="E1287" i="18"/>
  <c r="H1287" i="18"/>
  <c r="F1287" i="18"/>
  <c r="H1380" i="18"/>
  <c r="E1797" i="18"/>
  <c r="J1797" i="18"/>
  <c r="J1796" i="18"/>
  <c r="G8" i="20"/>
  <c r="G10" i="20"/>
  <c r="E1960" i="18"/>
  <c r="H1960" i="18"/>
  <c r="F1960" i="18"/>
  <c r="H1156" i="18"/>
  <c r="F2180" i="18"/>
  <c r="L2179" i="18"/>
  <c r="L2184" i="18"/>
  <c r="J28" i="30"/>
  <c r="H274" i="18"/>
  <c r="F274" i="18"/>
  <c r="E274" i="18"/>
  <c r="E1067" i="18"/>
  <c r="H1067" i="18"/>
  <c r="F1067" i="18"/>
  <c r="E1078" i="18"/>
  <c r="H1078" i="18"/>
  <c r="F1078" i="18"/>
  <c r="H1185" i="18"/>
  <c r="F1185" i="18"/>
  <c r="E1185" i="18"/>
  <c r="E1355" i="18"/>
  <c r="J1355" i="18"/>
  <c r="F1355" i="18"/>
  <c r="G1991" i="18"/>
  <c r="G1970" i="18"/>
  <c r="G2012" i="18"/>
  <c r="G2133" i="18"/>
  <c r="G2117" i="18"/>
  <c r="G2033" i="18"/>
  <c r="G2054" i="18"/>
  <c r="F1354" i="18"/>
  <c r="H1353" i="18"/>
  <c r="F1649" i="18"/>
  <c r="J1648" i="18"/>
  <c r="E530" i="18"/>
  <c r="H530" i="18"/>
  <c r="F530" i="18"/>
  <c r="E668" i="18"/>
  <c r="H776" i="18"/>
  <c r="F776" i="18"/>
  <c r="E776" i="18"/>
  <c r="E1069" i="18"/>
  <c r="F1411" i="18"/>
  <c r="E1417" i="18"/>
  <c r="H1417" i="18"/>
  <c r="E1423" i="18"/>
  <c r="J1423" i="18"/>
  <c r="J1435" i="18"/>
  <c r="F1435" i="18"/>
  <c r="E1435" i="18"/>
  <c r="AB1519" i="18"/>
  <c r="AD1519" i="18"/>
  <c r="J1519" i="18"/>
  <c r="J1513" i="18"/>
  <c r="H227" i="17"/>
  <c r="H2184" i="18"/>
  <c r="F2179" i="18"/>
  <c r="H1570" i="18"/>
  <c r="G805" i="18"/>
  <c r="F2207" i="18"/>
  <c r="J2206" i="18"/>
  <c r="J2211" i="18"/>
  <c r="H32" i="30"/>
  <c r="E604" i="18"/>
  <c r="H604" i="18"/>
  <c r="F604" i="18"/>
  <c r="E1386" i="18"/>
  <c r="H1386" i="18"/>
  <c r="F1386" i="18"/>
  <c r="E1404" i="18"/>
  <c r="H1404" i="18"/>
  <c r="F1404" i="18"/>
  <c r="I129" i="18"/>
  <c r="J129" i="18"/>
  <c r="I153" i="18"/>
  <c r="J153" i="18"/>
  <c r="I65" i="18"/>
  <c r="J65" i="18"/>
  <c r="H1442" i="18"/>
  <c r="E1442" i="18"/>
  <c r="E1629" i="18"/>
  <c r="J1629" i="18"/>
  <c r="F1629" i="18"/>
  <c r="G1143" i="18"/>
  <c r="G1978" i="18"/>
  <c r="G1180" i="18"/>
  <c r="J1766" i="18"/>
  <c r="E1766" i="18"/>
  <c r="AB91" i="19"/>
  <c r="AD91" i="19"/>
  <c r="AB92" i="19"/>
  <c r="G81" i="21"/>
  <c r="G82" i="21"/>
  <c r="E9" i="20"/>
  <c r="H213" i="18"/>
  <c r="F213" i="18"/>
  <c r="E213" i="18"/>
  <c r="E540" i="18"/>
  <c r="H540" i="18"/>
  <c r="F540" i="18"/>
  <c r="E708" i="18"/>
  <c r="H708" i="18"/>
  <c r="F708" i="18"/>
  <c r="H742" i="18"/>
  <c r="F742" i="18"/>
  <c r="E742" i="18"/>
  <c r="H842" i="18"/>
  <c r="F842" i="18"/>
  <c r="E842" i="18"/>
  <c r="E991" i="18"/>
  <c r="H991" i="18"/>
  <c r="L1362" i="18"/>
  <c r="J205" i="17"/>
  <c r="K13" i="18"/>
  <c r="L13" i="18"/>
  <c r="F1363" i="18"/>
  <c r="F1429" i="18"/>
  <c r="J1441" i="18"/>
  <c r="H214" i="17"/>
  <c r="E1453" i="18"/>
  <c r="J1453" i="18"/>
  <c r="F1453" i="18"/>
  <c r="J1607" i="18"/>
  <c r="E1607" i="18"/>
  <c r="J1619" i="18"/>
  <c r="E1619" i="18"/>
  <c r="E2076" i="18"/>
  <c r="H2076" i="18"/>
  <c r="F2076" i="18"/>
  <c r="E2113" i="18"/>
  <c r="H2113" i="18"/>
  <c r="F2113" i="18"/>
  <c r="F1662" i="18"/>
  <c r="AB1664" i="18"/>
  <c r="AD1664" i="18"/>
  <c r="E202" i="18"/>
  <c r="H202" i="18"/>
  <c r="F202" i="18"/>
  <c r="E836" i="18"/>
  <c r="H836" i="18"/>
  <c r="F836" i="18"/>
  <c r="E1196" i="18"/>
  <c r="H1196" i="18"/>
  <c r="F1196" i="18"/>
  <c r="K1156" i="18"/>
  <c r="L1156" i="18"/>
  <c r="K2012" i="18"/>
  <c r="L2012" i="18"/>
  <c r="K1949" i="18"/>
  <c r="L1949" i="18"/>
  <c r="K1928" i="18"/>
  <c r="L1928" i="18"/>
  <c r="K1991" i="18"/>
  <c r="L1991" i="18"/>
  <c r="AB1821" i="18"/>
  <c r="AD1821" i="18"/>
  <c r="AB1822" i="18"/>
  <c r="AD1822" i="18"/>
  <c r="H1822" i="18"/>
  <c r="F1822" i="18"/>
  <c r="K1713" i="18"/>
  <c r="L1713" i="18"/>
  <c r="K1704" i="18"/>
  <c r="L1704" i="18"/>
  <c r="E1987" i="18"/>
  <c r="H1987" i="18"/>
  <c r="F1987" i="18"/>
  <c r="J1661" i="18"/>
  <c r="F941" i="18"/>
  <c r="F1372" i="18"/>
  <c r="J1586" i="18"/>
  <c r="F1583" i="18"/>
  <c r="H1611" i="18"/>
  <c r="AF157" i="19"/>
  <c r="AB157" i="19"/>
  <c r="AD157" i="19"/>
  <c r="G78" i="21"/>
  <c r="G79" i="21"/>
  <c r="L1810" i="18"/>
  <c r="J1811" i="18"/>
  <c r="AB1811" i="18"/>
  <c r="AD1811" i="18"/>
  <c r="E548" i="18"/>
  <c r="H548" i="18"/>
  <c r="F548" i="18"/>
  <c r="E574" i="18"/>
  <c r="H574" i="18"/>
  <c r="F574" i="18"/>
  <c r="J1371" i="18"/>
  <c r="F1522" i="18"/>
  <c r="AZ37" i="19"/>
  <c r="BB37" i="19"/>
  <c r="F2217" i="18"/>
  <c r="J2213" i="18"/>
  <c r="J2218" i="18"/>
  <c r="H33" i="30"/>
  <c r="J1349" i="18"/>
  <c r="J1344" i="18"/>
  <c r="H203" i="17"/>
  <c r="E1349" i="18"/>
  <c r="L1381" i="18"/>
  <c r="E1381" i="18"/>
  <c r="E1399" i="18"/>
  <c r="E1403" i="18"/>
  <c r="J1459" i="18"/>
  <c r="H216" i="17"/>
  <c r="I185" i="18"/>
  <c r="J185" i="18"/>
  <c r="E1546" i="18"/>
  <c r="G1172" i="18"/>
  <c r="G2127" i="18"/>
  <c r="E1744" i="18"/>
  <c r="J1744" i="18"/>
  <c r="G1773" i="18"/>
  <c r="G1793" i="18"/>
  <c r="G1767" i="18"/>
  <c r="E684" i="18"/>
  <c r="H684" i="18"/>
  <c r="F684" i="18"/>
  <c r="H1188" i="18"/>
  <c r="F1188" i="18"/>
  <c r="E1188" i="18"/>
  <c r="E1345" i="18"/>
  <c r="H1345" i="18"/>
  <c r="E1363" i="18"/>
  <c r="J1398" i="18"/>
  <c r="H209" i="17"/>
  <c r="E1427" i="18"/>
  <c r="H1427" i="18"/>
  <c r="F1427" i="18"/>
  <c r="AB1538" i="18"/>
  <c r="AD1538" i="18"/>
  <c r="E2093" i="18"/>
  <c r="E1922" i="18"/>
  <c r="H1922" i="18"/>
  <c r="F1922" i="18"/>
  <c r="E2154" i="18"/>
  <c r="H2154" i="18"/>
  <c r="F2154" i="18"/>
  <c r="H723" i="18"/>
  <c r="F723" i="18"/>
  <c r="E723" i="18"/>
  <c r="H1303" i="18"/>
  <c r="F1303" i="18"/>
  <c r="E1303" i="18"/>
  <c r="J1434" i="18"/>
  <c r="F1434" i="18"/>
  <c r="E1434" i="18"/>
  <c r="J1507" i="18"/>
  <c r="F2093" i="18"/>
  <c r="L2095" i="18"/>
  <c r="F2166" i="18"/>
  <c r="F2200" i="18"/>
  <c r="J2199" i="18"/>
  <c r="J2204" i="18"/>
  <c r="H31" i="30"/>
  <c r="F2216" i="18"/>
  <c r="H2213" i="18"/>
  <c r="F2208" i="18"/>
  <c r="F1349" i="18"/>
  <c r="H426" i="18"/>
  <c r="F426" i="18"/>
  <c r="E426" i="18"/>
  <c r="H852" i="18"/>
  <c r="H928" i="18"/>
  <c r="F928" i="18"/>
  <c r="E996" i="18"/>
  <c r="J1502" i="18"/>
  <c r="E1502" i="18"/>
  <c r="J1657" i="18"/>
  <c r="H1880" i="18"/>
  <c r="F1880" i="18"/>
  <c r="F2181" i="18"/>
  <c r="G93" i="21"/>
  <c r="G94" i="21"/>
  <c r="E10" i="20"/>
  <c r="J2060" i="18"/>
  <c r="H1408" i="18"/>
  <c r="E1408" i="18"/>
  <c r="AB142" i="19"/>
  <c r="AD142" i="19"/>
  <c r="AB146" i="19"/>
  <c r="AZ14" i="19"/>
  <c r="BB14" i="19"/>
  <c r="A14" i="19"/>
  <c r="E402" i="18"/>
  <c r="AF142" i="19"/>
  <c r="F2215" i="18"/>
  <c r="G1518" i="18"/>
  <c r="A92" i="19"/>
  <c r="AD92" i="19"/>
  <c r="D92" i="19"/>
  <c r="B92" i="19"/>
  <c r="E109" i="19"/>
  <c r="B109" i="19"/>
  <c r="A109" i="19"/>
  <c r="E11" i="20"/>
  <c r="G109" i="21"/>
  <c r="AD146" i="19"/>
  <c r="A146" i="19"/>
  <c r="D146" i="19"/>
  <c r="B146" i="19"/>
  <c r="I73" i="18"/>
  <c r="J73" i="18"/>
  <c r="I45" i="18"/>
  <c r="J45" i="18"/>
  <c r="I5" i="18"/>
  <c r="J5" i="18"/>
  <c r="I81" i="18"/>
  <c r="J81" i="18"/>
  <c r="F1381" i="18"/>
  <c r="L1380" i="18"/>
  <c r="J207" i="17"/>
  <c r="I1074" i="18"/>
  <c r="J1074" i="18"/>
  <c r="I1844" i="18"/>
  <c r="J1844" i="18"/>
  <c r="I1107" i="18"/>
  <c r="J1107" i="18"/>
  <c r="I1886" i="18"/>
  <c r="J1886" i="18"/>
  <c r="I1030" i="18"/>
  <c r="J1030" i="18"/>
  <c r="I1905" i="18"/>
  <c r="J1905" i="18"/>
  <c r="I1058" i="18"/>
  <c r="J1058" i="18"/>
  <c r="I1091" i="18"/>
  <c r="J1091" i="18"/>
  <c r="I1865" i="18"/>
  <c r="J1865" i="18"/>
  <c r="F1674" i="18"/>
  <c r="F255" i="17"/>
  <c r="H1336" i="18"/>
  <c r="F1337" i="18"/>
  <c r="G892" i="18"/>
  <c r="G877" i="18"/>
  <c r="G897" i="18"/>
  <c r="G882" i="18"/>
  <c r="G942" i="18"/>
  <c r="G937" i="18"/>
  <c r="G917" i="18"/>
  <c r="L1622" i="18"/>
  <c r="J244" i="17"/>
  <c r="F1625" i="18"/>
  <c r="H101" i="18"/>
  <c r="E101" i="18"/>
  <c r="H1398" i="18"/>
  <c r="H927" i="18"/>
  <c r="L1811" i="18"/>
  <c r="L1807" i="18"/>
  <c r="J276" i="17"/>
  <c r="K1613" i="18"/>
  <c r="L1613" i="18"/>
  <c r="AB1812" i="18"/>
  <c r="AD1812" i="18"/>
  <c r="F1810" i="18"/>
  <c r="I1992" i="18"/>
  <c r="J1992" i="18"/>
  <c r="I1929" i="18"/>
  <c r="J1929" i="18"/>
  <c r="I2118" i="18"/>
  <c r="J2118" i="18"/>
  <c r="I1157" i="18"/>
  <c r="J1157" i="18"/>
  <c r="I2055" i="18"/>
  <c r="J2055" i="18"/>
  <c r="I2135" i="18"/>
  <c r="J2135" i="18"/>
  <c r="I1971" i="18"/>
  <c r="J1971" i="18"/>
  <c r="I1202" i="18"/>
  <c r="J1202" i="18"/>
  <c r="I2013" i="18"/>
  <c r="J2013" i="18"/>
  <c r="I2129" i="18"/>
  <c r="J2129" i="18"/>
  <c r="I1950" i="18"/>
  <c r="J1950" i="18"/>
  <c r="I1176" i="18"/>
  <c r="J1176" i="18"/>
  <c r="I2034" i="18"/>
  <c r="J2034" i="18"/>
  <c r="G1531" i="18"/>
  <c r="AB145" i="19"/>
  <c r="G1585" i="18"/>
  <c r="G1739" i="18"/>
  <c r="H4" i="20"/>
  <c r="G1760" i="18"/>
  <c r="G1746" i="18"/>
  <c r="G1714" i="18"/>
  <c r="AB93" i="19"/>
  <c r="G1705" i="18"/>
  <c r="G1753" i="18"/>
  <c r="G1786" i="18"/>
  <c r="G1779" i="18"/>
  <c r="G1592" i="18"/>
  <c r="G1517" i="18"/>
  <c r="E41" i="18"/>
  <c r="H41" i="18"/>
  <c r="H1767" i="18"/>
  <c r="H2117" i="18"/>
  <c r="I992" i="18"/>
  <c r="J992" i="18"/>
  <c r="J990" i="18"/>
  <c r="H167" i="17"/>
  <c r="I972" i="18"/>
  <c r="J972" i="18"/>
  <c r="J970" i="18"/>
  <c r="H163" i="17"/>
  <c r="I1217" i="18"/>
  <c r="J1217" i="18"/>
  <c r="I977" i="18"/>
  <c r="J977" i="18"/>
  <c r="J975" i="18"/>
  <c r="H164" i="17"/>
  <c r="I1002" i="18"/>
  <c r="J1002" i="18"/>
  <c r="J1000" i="18"/>
  <c r="H169" i="17"/>
  <c r="I1012" i="18"/>
  <c r="J1012" i="18"/>
  <c r="J1010" i="18"/>
  <c r="H171" i="17"/>
  <c r="I962" i="18"/>
  <c r="J962" i="18"/>
  <c r="J960" i="18"/>
  <c r="H161" i="17"/>
  <c r="I1007" i="18"/>
  <c r="J1007" i="18"/>
  <c r="J1005" i="18"/>
  <c r="H170" i="17"/>
  <c r="I997" i="18"/>
  <c r="J997" i="18"/>
  <c r="J995" i="18"/>
  <c r="H168" i="17"/>
  <c r="I1219" i="18"/>
  <c r="J1219" i="18"/>
  <c r="I957" i="18"/>
  <c r="J957" i="18"/>
  <c r="J955" i="18"/>
  <c r="H160" i="17"/>
  <c r="I967" i="18"/>
  <c r="J967" i="18"/>
  <c r="J965" i="18"/>
  <c r="H162" i="17"/>
  <c r="I1688" i="18"/>
  <c r="J1688" i="18"/>
  <c r="J1686" i="18"/>
  <c r="H257" i="17"/>
  <c r="I1227" i="18"/>
  <c r="J1227" i="18"/>
  <c r="I987" i="18"/>
  <c r="J987" i="18"/>
  <c r="J985" i="18"/>
  <c r="H166" i="17"/>
  <c r="I1693" i="18"/>
  <c r="J1693" i="18"/>
  <c r="J1691" i="18"/>
  <c r="H258" i="17"/>
  <c r="I1228" i="18"/>
  <c r="J1228" i="18"/>
  <c r="I982" i="18"/>
  <c r="J982" i="18"/>
  <c r="J980" i="18"/>
  <c r="H165" i="17"/>
  <c r="I1218" i="18"/>
  <c r="J1218" i="18"/>
  <c r="I952" i="18"/>
  <c r="J952" i="18"/>
  <c r="J950" i="18"/>
  <c r="H159" i="17"/>
  <c r="I947" i="18"/>
  <c r="J947" i="18"/>
  <c r="J945" i="18"/>
  <c r="H158" i="17"/>
  <c r="I133" i="18"/>
  <c r="J133" i="18"/>
  <c r="I181" i="18"/>
  <c r="J181" i="18"/>
  <c r="AB42" i="19"/>
  <c r="AB44" i="19"/>
  <c r="AB40" i="19"/>
  <c r="E205" i="17"/>
  <c r="AA205" i="17"/>
  <c r="L1674" i="18"/>
  <c r="J255" i="17"/>
  <c r="F1680" i="18"/>
  <c r="E157" i="18"/>
  <c r="H157" i="18"/>
  <c r="H932" i="18"/>
  <c r="H1793" i="18"/>
  <c r="F991" i="18"/>
  <c r="H2133" i="18"/>
  <c r="F1362" i="18"/>
  <c r="F1577" i="18"/>
  <c r="H13" i="18"/>
  <c r="E13" i="18"/>
  <c r="F1615" i="18"/>
  <c r="F243" i="17"/>
  <c r="AJ67" i="19"/>
  <c r="AF67" i="19"/>
  <c r="AH67" i="19"/>
  <c r="H1597" i="18"/>
  <c r="H53" i="18"/>
  <c r="E53" i="18"/>
  <c r="F1809" i="18"/>
  <c r="AB1809" i="18"/>
  <c r="AD1809" i="18"/>
  <c r="H907" i="18"/>
  <c r="H2054" i="18"/>
  <c r="G1747" i="18"/>
  <c r="H10" i="20"/>
  <c r="G1754" i="18"/>
  <c r="F2213" i="18"/>
  <c r="H2218" i="18"/>
  <c r="G9" i="20"/>
  <c r="K1518" i="18"/>
  <c r="L1518" i="18"/>
  <c r="G85" i="21"/>
  <c r="G1905" i="18"/>
  <c r="G1030" i="18"/>
  <c r="G1844" i="18"/>
  <c r="G1107" i="18"/>
  <c r="G1058" i="18"/>
  <c r="G1074" i="18"/>
  <c r="G1091" i="18"/>
  <c r="G1865" i="18"/>
  <c r="E237" i="17"/>
  <c r="AA237" i="17"/>
  <c r="G1886" i="18"/>
  <c r="F1459" i="18"/>
  <c r="F216" i="17"/>
  <c r="H1432" i="18"/>
  <c r="F1655" i="18"/>
  <c r="AB1658" i="18"/>
  <c r="AD1658" i="18"/>
  <c r="H1659" i="18"/>
  <c r="F1659" i="18"/>
  <c r="H1654" i="18"/>
  <c r="H902" i="18"/>
  <c r="H274" i="17"/>
  <c r="F1796" i="18"/>
  <c r="H774" i="18"/>
  <c r="F774" i="18"/>
  <c r="E774" i="18"/>
  <c r="H2211" i="18"/>
  <c r="F2206" i="18"/>
  <c r="F1552" i="18"/>
  <c r="H1551" i="18"/>
  <c r="H2012" i="18"/>
  <c r="G1139" i="18"/>
  <c r="AB1788" i="18"/>
  <c r="AD1788" i="18"/>
  <c r="J1788" i="18"/>
  <c r="J1783" i="18"/>
  <c r="H272" i="17"/>
  <c r="I1490" i="18"/>
  <c r="J1490" i="18"/>
  <c r="G1704" i="18"/>
  <c r="G1713" i="18"/>
  <c r="AB108" i="19"/>
  <c r="AB124" i="19"/>
  <c r="H7" i="20"/>
  <c r="H887" i="18"/>
  <c r="J1540" i="18"/>
  <c r="F1543" i="18"/>
  <c r="F26" i="30"/>
  <c r="E26" i="30"/>
  <c r="F2170" i="18"/>
  <c r="H912" i="18"/>
  <c r="F1648" i="18"/>
  <c r="H250" i="17"/>
  <c r="I1643" i="18"/>
  <c r="I1740" i="18"/>
  <c r="I1532" i="18"/>
  <c r="H8" i="20"/>
  <c r="I1761" i="18"/>
  <c r="F1555" i="18"/>
  <c r="AB1795" i="18"/>
  <c r="AD1795" i="18"/>
  <c r="L1794" i="18"/>
  <c r="L1790" i="18"/>
  <c r="J273" i="17"/>
  <c r="K1493" i="18"/>
  <c r="L1493" i="18"/>
  <c r="H1773" i="18"/>
  <c r="I1478" i="18"/>
  <c r="J1478" i="18"/>
  <c r="I865" i="18"/>
  <c r="J865" i="18"/>
  <c r="J863" i="18"/>
  <c r="H142" i="17"/>
  <c r="I811" i="18"/>
  <c r="J811" i="18"/>
  <c r="J809" i="18"/>
  <c r="H133" i="17"/>
  <c r="I1713" i="18"/>
  <c r="J1713" i="18"/>
  <c r="AB107" i="19"/>
  <c r="AB125" i="19"/>
  <c r="I1704" i="18"/>
  <c r="J1704" i="18"/>
  <c r="H2011" i="18"/>
  <c r="F2011" i="18"/>
  <c r="F2010" i="18"/>
  <c r="F1766" i="18"/>
  <c r="H1925" i="18"/>
  <c r="H251" i="17"/>
  <c r="F1651" i="18"/>
  <c r="G25" i="21"/>
  <c r="F1426" i="18"/>
  <c r="H1422" i="18"/>
  <c r="F1422" i="18"/>
  <c r="F27" i="30"/>
  <c r="E27" i="30"/>
  <c r="F2177" i="18"/>
  <c r="A142" i="19"/>
  <c r="AH142" i="19"/>
  <c r="F1408" i="18"/>
  <c r="H1407" i="18"/>
  <c r="H2127" i="18"/>
  <c r="H206" i="17"/>
  <c r="F1371" i="18"/>
  <c r="H1180" i="18"/>
  <c r="AB1504" i="18"/>
  <c r="AD1504" i="18"/>
  <c r="H1505" i="18"/>
  <c r="F1633" i="18"/>
  <c r="J1632" i="18"/>
  <c r="H2051" i="18"/>
  <c r="K49" i="18"/>
  <c r="L49" i="18"/>
  <c r="K121" i="18"/>
  <c r="L121" i="18"/>
  <c r="K17" i="18"/>
  <c r="L17" i="18"/>
  <c r="K37" i="18"/>
  <c r="L37" i="18"/>
  <c r="J1668" i="18"/>
  <c r="F1672" i="18"/>
  <c r="K1753" i="18"/>
  <c r="L1753" i="18"/>
  <c r="K1705" i="18"/>
  <c r="L1705" i="18"/>
  <c r="K1760" i="18"/>
  <c r="L1760" i="18"/>
  <c r="K1739" i="18"/>
  <c r="L1739" i="18"/>
  <c r="K1714" i="18"/>
  <c r="L1714" i="18"/>
  <c r="L1716" i="18"/>
  <c r="L1709" i="18"/>
  <c r="J261" i="17"/>
  <c r="K1294" i="18"/>
  <c r="L1294" i="18"/>
  <c r="L1292" i="18"/>
  <c r="J196" i="17"/>
  <c r="K1585" i="18"/>
  <c r="L1585" i="18"/>
  <c r="K1786" i="18"/>
  <c r="L1786" i="18"/>
  <c r="AB94" i="19"/>
  <c r="K1779" i="18"/>
  <c r="L1779" i="18"/>
  <c r="K1746" i="18"/>
  <c r="L1746" i="18"/>
  <c r="K1592" i="18"/>
  <c r="L1592" i="18"/>
  <c r="AB144" i="19"/>
  <c r="K1531" i="18"/>
  <c r="L1531" i="18"/>
  <c r="K1517" i="18"/>
  <c r="L1517" i="18"/>
  <c r="H17" i="18"/>
  <c r="K1780" i="18"/>
  <c r="L1780" i="18"/>
  <c r="K1787" i="18"/>
  <c r="L1787" i="18"/>
  <c r="F2191" i="18"/>
  <c r="F29" i="30"/>
  <c r="E29" i="30"/>
  <c r="I145" i="18"/>
  <c r="J145" i="18"/>
  <c r="I117" i="18"/>
  <c r="J117" i="18"/>
  <c r="I109" i="18"/>
  <c r="J109" i="18"/>
  <c r="F28" i="30"/>
  <c r="E28" i="30"/>
  <c r="F2184" i="18"/>
  <c r="F207" i="17"/>
  <c r="AB1728" i="18"/>
  <c r="AD1728" i="18"/>
  <c r="L1727" i="18"/>
  <c r="L1722" i="18"/>
  <c r="J263" i="17"/>
  <c r="F1797" i="18"/>
  <c r="F1501" i="18"/>
  <c r="AB159" i="19"/>
  <c r="AB161" i="19"/>
  <c r="AB160" i="19"/>
  <c r="H1946" i="18"/>
  <c r="F1805" i="18"/>
  <c r="J1801" i="18"/>
  <c r="H121" i="18"/>
  <c r="F2197" i="18"/>
  <c r="F30" i="30"/>
  <c r="E30" i="30"/>
  <c r="F235" i="17"/>
  <c r="H1420" i="18"/>
  <c r="F1421" i="18"/>
  <c r="H244" i="17"/>
  <c r="H280" i="17"/>
  <c r="F2060" i="18"/>
  <c r="H2033" i="18"/>
  <c r="AB1769" i="18"/>
  <c r="AD1769" i="18"/>
  <c r="L1768" i="18"/>
  <c r="L1764" i="18"/>
  <c r="J269" i="17"/>
  <c r="AH106" i="19"/>
  <c r="A106" i="19"/>
  <c r="F1549" i="18"/>
  <c r="J1545" i="18"/>
  <c r="H232" i="17"/>
  <c r="I922" i="18"/>
  <c r="J922" i="18"/>
  <c r="J920" i="18"/>
  <c r="H153" i="17"/>
  <c r="I1593" i="18"/>
  <c r="J1593" i="18"/>
  <c r="F215" i="17"/>
  <c r="F1450" i="18"/>
  <c r="H1970" i="18"/>
  <c r="F1115" i="18"/>
  <c r="F1744" i="18"/>
  <c r="A157" i="19"/>
  <c r="AH157" i="19"/>
  <c r="F204" i="17"/>
  <c r="F1353" i="18"/>
  <c r="H1991" i="18"/>
  <c r="H1967" i="18"/>
  <c r="I85" i="18"/>
  <c r="J85" i="18"/>
  <c r="I97" i="18"/>
  <c r="J97" i="18"/>
  <c r="AB1781" i="18"/>
  <c r="AD1781" i="18"/>
  <c r="J1781" i="18"/>
  <c r="J1776" i="18"/>
  <c r="H271" i="17"/>
  <c r="I1489" i="18"/>
  <c r="J1489" i="18"/>
  <c r="H226" i="17"/>
  <c r="F1507" i="18"/>
  <c r="L1707" i="18"/>
  <c r="L1700" i="18"/>
  <c r="J260" i="17"/>
  <c r="AB1708" i="18"/>
  <c r="AD1708" i="18"/>
  <c r="H1978" i="18"/>
  <c r="J1422" i="18"/>
  <c r="F1423" i="18"/>
  <c r="F247" i="17"/>
  <c r="F1514" i="18"/>
  <c r="J1353" i="18"/>
  <c r="H204" i="17"/>
  <c r="F1545" i="18"/>
  <c r="F232" i="17"/>
  <c r="E1638" i="18"/>
  <c r="J1638" i="18"/>
  <c r="I61" i="18"/>
  <c r="J61" i="18"/>
  <c r="I141" i="18"/>
  <c r="J141" i="18"/>
  <c r="I169" i="18"/>
  <c r="J169" i="18"/>
  <c r="I177" i="18"/>
  <c r="J177" i="18"/>
  <c r="I93" i="18"/>
  <c r="J93" i="18"/>
  <c r="F1619" i="18"/>
  <c r="J1615" i="18"/>
  <c r="H243" i="17"/>
  <c r="I1045" i="18"/>
  <c r="J1045" i="18"/>
  <c r="H1143" i="18"/>
  <c r="J1627" i="18"/>
  <c r="L1630" i="18"/>
  <c r="AB1629" i="18"/>
  <c r="AD1629" i="18"/>
  <c r="F1628" i="18"/>
  <c r="F5" i="20"/>
  <c r="G37" i="21"/>
  <c r="A91" i="19"/>
  <c r="AH91" i="19"/>
  <c r="AB1735" i="18"/>
  <c r="AD1735" i="18"/>
  <c r="E1193" i="18"/>
  <c r="J1193" i="18"/>
  <c r="F1193" i="18"/>
  <c r="F1538" i="18"/>
  <c r="J1535" i="18"/>
  <c r="AB1605" i="18"/>
  <c r="AD1605" i="18"/>
  <c r="H1606" i="18"/>
  <c r="F1606" i="18"/>
  <c r="H1604" i="18"/>
  <c r="G61" i="21"/>
  <c r="F2095" i="18"/>
  <c r="L2092" i="18"/>
  <c r="F242" i="17"/>
  <c r="F3" i="20"/>
  <c r="G13" i="21"/>
  <c r="H1988" i="18"/>
  <c r="AB19" i="19"/>
  <c r="AB17" i="19"/>
  <c r="AB21" i="19"/>
  <c r="H1727" i="18"/>
  <c r="AB1726" i="18"/>
  <c r="AD1726" i="18"/>
  <c r="F1646" i="18"/>
  <c r="J1645" i="18"/>
  <c r="F840" i="18"/>
  <c r="H49" i="18"/>
  <c r="F1502" i="18"/>
  <c r="H1172" i="18"/>
  <c r="I1754" i="18"/>
  <c r="J1754" i="18"/>
  <c r="AB1755" i="18"/>
  <c r="AD1755" i="18"/>
  <c r="I1747" i="18"/>
  <c r="J1747" i="18"/>
  <c r="J1748" i="18"/>
  <c r="J1743" i="18"/>
  <c r="H266" i="17"/>
  <c r="I1473" i="18"/>
  <c r="J1473" i="18"/>
  <c r="H6" i="20"/>
  <c r="G1593" i="18"/>
  <c r="F1417" i="18"/>
  <c r="H1416" i="18"/>
  <c r="L1507" i="18"/>
  <c r="J226" i="17"/>
  <c r="K805" i="18"/>
  <c r="L805" i="18"/>
  <c r="L803" i="18"/>
  <c r="J132" i="17"/>
  <c r="F1508" i="18"/>
  <c r="I165" i="18"/>
  <c r="J165" i="18"/>
  <c r="I189" i="18"/>
  <c r="J189" i="18"/>
  <c r="I125" i="18"/>
  <c r="J125" i="18"/>
  <c r="I25" i="18"/>
  <c r="J25" i="18"/>
  <c r="I113" i="18"/>
  <c r="J113" i="18"/>
  <c r="I89" i="18"/>
  <c r="J89" i="18"/>
  <c r="I29" i="18"/>
  <c r="J29" i="18"/>
  <c r="I57" i="18"/>
  <c r="J57" i="18"/>
  <c r="AB1806" i="18"/>
  <c r="AD1806" i="18"/>
  <c r="F1804" i="18"/>
  <c r="L1805" i="18"/>
  <c r="L1801" i="18"/>
  <c r="J275" i="17"/>
  <c r="K1612" i="18"/>
  <c r="L1612" i="18"/>
  <c r="F852" i="18"/>
  <c r="F1345" i="18"/>
  <c r="H1344" i="18"/>
  <c r="L1609" i="18"/>
  <c r="F1607" i="18"/>
  <c r="AB1608" i="18"/>
  <c r="AD1608" i="18"/>
  <c r="K1747" i="18"/>
  <c r="L1747" i="18"/>
  <c r="K1754" i="18"/>
  <c r="L1754" i="18"/>
  <c r="F2064" i="18"/>
  <c r="L2060" i="18"/>
  <c r="J280" i="17"/>
  <c r="I1594" i="18"/>
  <c r="H12" i="20"/>
  <c r="H2204" i="18"/>
  <c r="F2199" i="18"/>
  <c r="H37" i="18"/>
  <c r="I1780" i="18"/>
  <c r="J1780" i="18"/>
  <c r="I1787" i="18"/>
  <c r="J1787" i="18"/>
  <c r="G73" i="21"/>
  <c r="J1432" i="18"/>
  <c r="H213" i="17"/>
  <c r="I105" i="18"/>
  <c r="J105" i="18"/>
  <c r="F1433" i="18"/>
  <c r="F1663" i="18"/>
  <c r="L1665" i="18"/>
  <c r="L1828" i="18"/>
  <c r="F1826" i="18"/>
  <c r="J1829" i="18"/>
  <c r="AB1827" i="18"/>
  <c r="AD1827" i="18"/>
  <c r="AB1829" i="18"/>
  <c r="AD1829" i="18"/>
  <c r="G49" i="21"/>
  <c r="H1521" i="18"/>
  <c r="K2140" i="18"/>
  <c r="L2140" i="18"/>
  <c r="K1224" i="18"/>
  <c r="L1224" i="18"/>
  <c r="K1208" i="18"/>
  <c r="L1208" i="18"/>
  <c r="K2151" i="18"/>
  <c r="L2151" i="18"/>
  <c r="K2071" i="18"/>
  <c r="L2071" i="18"/>
  <c r="K1284" i="18"/>
  <c r="L1284" i="18"/>
  <c r="K1258" i="18"/>
  <c r="L1258" i="18"/>
  <c r="K1276" i="18"/>
  <c r="L1276" i="18"/>
  <c r="K1214" i="18"/>
  <c r="L1214" i="18"/>
  <c r="K1266" i="18"/>
  <c r="L1266" i="18"/>
  <c r="K1236" i="18"/>
  <c r="L1236" i="18"/>
  <c r="H1017" i="18"/>
  <c r="E1017" i="18"/>
  <c r="AB1569" i="18"/>
  <c r="AD1569" i="18"/>
  <c r="H173" i="18"/>
  <c r="E173" i="18"/>
  <c r="J1654" i="18"/>
  <c r="H252" i="17"/>
  <c r="F1657" i="18"/>
  <c r="J1587" i="18"/>
  <c r="H9" i="30"/>
  <c r="J1582" i="18"/>
  <c r="H238" i="17"/>
  <c r="K859" i="18"/>
  <c r="L859" i="18"/>
  <c r="L857" i="18"/>
  <c r="J141" i="17"/>
  <c r="K799" i="18"/>
  <c r="L799" i="18"/>
  <c r="L797" i="18"/>
  <c r="J131" i="17"/>
  <c r="K871" i="18"/>
  <c r="L871" i="18"/>
  <c r="L869" i="18"/>
  <c r="J143" i="17"/>
  <c r="K835" i="18"/>
  <c r="L835" i="18"/>
  <c r="L833" i="18"/>
  <c r="J137" i="17"/>
  <c r="K1486" i="18"/>
  <c r="L1486" i="18"/>
  <c r="L1484" i="18"/>
  <c r="J221" i="17"/>
  <c r="K853" i="18"/>
  <c r="L853" i="18"/>
  <c r="L851" i="18"/>
  <c r="J140" i="17"/>
  <c r="K829" i="18"/>
  <c r="L829" i="18"/>
  <c r="L827" i="18"/>
  <c r="J136" i="17"/>
  <c r="K1498" i="18"/>
  <c r="L1498" i="18"/>
  <c r="K841" i="18"/>
  <c r="L841" i="18"/>
  <c r="L839" i="18"/>
  <c r="J138" i="17"/>
  <c r="G97" i="21"/>
  <c r="L1734" i="18"/>
  <c r="L1729" i="18"/>
  <c r="J264" i="17"/>
  <c r="H805" i="18"/>
  <c r="J1807" i="18"/>
  <c r="H253" i="17"/>
  <c r="H1819" i="18"/>
  <c r="F1442" i="18"/>
  <c r="H1441" i="18"/>
  <c r="F236" i="17"/>
  <c r="K1740" i="18"/>
  <c r="L1740" i="18"/>
  <c r="K1761" i="18"/>
  <c r="L1761" i="18"/>
  <c r="K1532" i="18"/>
  <c r="L1532" i="18"/>
  <c r="K1643" i="18"/>
  <c r="L1643" i="18"/>
  <c r="L1640" i="18"/>
  <c r="J248" i="17"/>
  <c r="K1139" i="18"/>
  <c r="L1139" i="18"/>
  <c r="L1526" i="18"/>
  <c r="L1521" i="18"/>
  <c r="J228" i="17"/>
  <c r="AB1527" i="18"/>
  <c r="AD1527" i="18"/>
  <c r="F1641" i="18"/>
  <c r="K1593" i="18"/>
  <c r="L1593" i="18"/>
  <c r="G1848" i="18"/>
  <c r="G1077" i="18"/>
  <c r="G1869" i="18"/>
  <c r="G1094" i="18"/>
  <c r="G1061" i="18"/>
  <c r="G1110" i="18"/>
  <c r="G1909" i="18"/>
  <c r="L1568" i="18"/>
  <c r="L1563" i="18"/>
  <c r="J235" i="17"/>
  <c r="H33" i="18"/>
  <c r="E33" i="18"/>
  <c r="H1848" i="18"/>
  <c r="J1825" i="18"/>
  <c r="L1781" i="18"/>
  <c r="L1776" i="18"/>
  <c r="J271" i="17"/>
  <c r="K1489" i="18"/>
  <c r="L1489" i="18"/>
  <c r="L1488" i="18"/>
  <c r="J222" i="17"/>
  <c r="AB1782" i="18"/>
  <c r="AD1782" i="18"/>
  <c r="E1704" i="18"/>
  <c r="H1704" i="18"/>
  <c r="F53" i="18"/>
  <c r="AB1595" i="18"/>
  <c r="AD1595" i="18"/>
  <c r="H1592" i="18"/>
  <c r="E1592" i="18"/>
  <c r="J1636" i="18"/>
  <c r="F1638" i="18"/>
  <c r="F240" i="17"/>
  <c r="F1630" i="18"/>
  <c r="L1627" i="18"/>
  <c r="J245" i="17"/>
  <c r="I17" i="18"/>
  <c r="I121" i="18"/>
  <c r="I49" i="18"/>
  <c r="I37" i="18"/>
  <c r="E206" i="17"/>
  <c r="AA206" i="17"/>
  <c r="AD40" i="19"/>
  <c r="AF40" i="19"/>
  <c r="A40" i="19"/>
  <c r="H1754" i="18"/>
  <c r="F1754" i="18"/>
  <c r="E1754" i="18"/>
  <c r="AD44" i="19"/>
  <c r="AF44" i="19"/>
  <c r="F1609" i="18"/>
  <c r="L1604" i="18"/>
  <c r="J241" i="17"/>
  <c r="K1042" i="18"/>
  <c r="L1042" i="18"/>
  <c r="G1045" i="18"/>
  <c r="E243" i="17"/>
  <c r="AA243" i="17"/>
  <c r="AD42" i="19"/>
  <c r="AF42" i="19"/>
  <c r="G2034" i="18"/>
  <c r="G1971" i="18"/>
  <c r="G2129" i="18"/>
  <c r="G2013" i="18"/>
  <c r="G2055" i="18"/>
  <c r="G1950" i="18"/>
  <c r="E255" i="17"/>
  <c r="AA255" i="17"/>
  <c r="G1992" i="18"/>
  <c r="G1929" i="18"/>
  <c r="G2135" i="18"/>
  <c r="G2118" i="18"/>
  <c r="G1176" i="18"/>
  <c r="G1157" i="18"/>
  <c r="G1202" i="18"/>
  <c r="F1819" i="18"/>
  <c r="F278" i="17"/>
  <c r="F203" i="17"/>
  <c r="F1344" i="18"/>
  <c r="AB1748" i="18"/>
  <c r="AD1748" i="18"/>
  <c r="F1622" i="18"/>
  <c r="D107" i="19"/>
  <c r="B107" i="19"/>
  <c r="A107" i="19"/>
  <c r="H231" i="17"/>
  <c r="F1540" i="18"/>
  <c r="A93" i="19"/>
  <c r="AD93" i="19"/>
  <c r="C93" i="19"/>
  <c r="B93" i="19"/>
  <c r="H937" i="18"/>
  <c r="I1060" i="18"/>
  <c r="I1093" i="18"/>
  <c r="I1109" i="18"/>
  <c r="I1076" i="18"/>
  <c r="E244" i="17"/>
  <c r="AA244" i="17"/>
  <c r="F1654" i="18"/>
  <c r="F252" i="17"/>
  <c r="E1714" i="18"/>
  <c r="H1714" i="18"/>
  <c r="F1714" i="18"/>
  <c r="H1909" i="18"/>
  <c r="F1416" i="18"/>
  <c r="F211" i="17"/>
  <c r="F1632" i="18"/>
  <c r="H246" i="17"/>
  <c r="H1844" i="18"/>
  <c r="F1844" i="18"/>
  <c r="E1844" i="18"/>
  <c r="H1768" i="18"/>
  <c r="AB1767" i="18"/>
  <c r="AD1767" i="18"/>
  <c r="AB1717" i="18"/>
  <c r="AD1717" i="18"/>
  <c r="I2105" i="18"/>
  <c r="I2042" i="18"/>
  <c r="I1937" i="18"/>
  <c r="I2000" i="18"/>
  <c r="I2021" i="18"/>
  <c r="I1163" i="18"/>
  <c r="E251" i="17"/>
  <c r="AA251" i="17"/>
  <c r="I1181" i="18"/>
  <c r="I1916" i="18"/>
  <c r="I1979" i="18"/>
  <c r="I1144" i="18"/>
  <c r="I1958" i="18"/>
  <c r="H885" i="18"/>
  <c r="H882" i="18"/>
  <c r="J1532" i="18"/>
  <c r="E1532" i="18"/>
  <c r="E1905" i="18"/>
  <c r="H1905" i="18"/>
  <c r="F1905" i="18"/>
  <c r="H1794" i="18"/>
  <c r="AB1793" i="18"/>
  <c r="AD1793" i="18"/>
  <c r="H1760" i="18"/>
  <c r="E1760" i="18"/>
  <c r="H897" i="18"/>
  <c r="H1061" i="18"/>
  <c r="I2047" i="18"/>
  <c r="J2047" i="18"/>
  <c r="I1921" i="18"/>
  <c r="J1921" i="18"/>
  <c r="I1942" i="18"/>
  <c r="J1942" i="18"/>
  <c r="I2110" i="18"/>
  <c r="J2110" i="18"/>
  <c r="I1149" i="18"/>
  <c r="J1149" i="18"/>
  <c r="I1168" i="18"/>
  <c r="J1168" i="18"/>
  <c r="I1963" i="18"/>
  <c r="J1963" i="18"/>
  <c r="I1984" i="18"/>
  <c r="J1984" i="18"/>
  <c r="I2005" i="18"/>
  <c r="J2005" i="18"/>
  <c r="I2026" i="18"/>
  <c r="J2026" i="18"/>
  <c r="I1197" i="18"/>
  <c r="J1197" i="18"/>
  <c r="F31" i="30"/>
  <c r="E31" i="30"/>
  <c r="F2204" i="18"/>
  <c r="L1611" i="18"/>
  <c r="J242" i="17"/>
  <c r="H1722" i="18"/>
  <c r="F1420" i="18"/>
  <c r="F212" i="17"/>
  <c r="AB1534" i="18"/>
  <c r="AD1534" i="18"/>
  <c r="L1533" i="18"/>
  <c r="L1528" i="18"/>
  <c r="J229" i="17"/>
  <c r="J1740" i="18"/>
  <c r="E1740" i="18"/>
  <c r="H905" i="18"/>
  <c r="F13" i="18"/>
  <c r="J1755" i="18"/>
  <c r="J1750" i="18"/>
  <c r="H267" i="17"/>
  <c r="I1474" i="18"/>
  <c r="J1474" i="18"/>
  <c r="J1472" i="18"/>
  <c r="H218" i="17"/>
  <c r="H877" i="18"/>
  <c r="AD95" i="19"/>
  <c r="D95" i="19"/>
  <c r="AD98" i="19"/>
  <c r="I1600" i="18"/>
  <c r="I1566" i="18"/>
  <c r="H5" i="20"/>
  <c r="F1801" i="18"/>
  <c r="H275" i="17"/>
  <c r="H1774" i="18"/>
  <c r="AB1773" i="18"/>
  <c r="AD1773" i="18"/>
  <c r="I1967" i="18"/>
  <c r="I1946" i="18"/>
  <c r="I2030" i="18"/>
  <c r="I1925" i="18"/>
  <c r="I2051" i="18"/>
  <c r="I2009" i="18"/>
  <c r="E280" i="17"/>
  <c r="I1988" i="18"/>
  <c r="F214" i="17"/>
  <c r="F1441" i="18"/>
  <c r="H245" i="17"/>
  <c r="H1865" i="18"/>
  <c r="F1865" i="18"/>
  <c r="E1865" i="18"/>
  <c r="G1332" i="18"/>
  <c r="G2003" i="18"/>
  <c r="G1839" i="18"/>
  <c r="G1240" i="18"/>
  <c r="G1860" i="18"/>
  <c r="G1166" i="18"/>
  <c r="G1982" i="18"/>
  <c r="G1961" i="18"/>
  <c r="G1147" i="18"/>
  <c r="G1322" i="18"/>
  <c r="G1940" i="18"/>
  <c r="G1302" i="18"/>
  <c r="G2024" i="18"/>
  <c r="G1312" i="18"/>
  <c r="G1881" i="18"/>
  <c r="G1900" i="18"/>
  <c r="G2108" i="18"/>
  <c r="G2045" i="18"/>
  <c r="G1028" i="18"/>
  <c r="G2075" i="18"/>
  <c r="G1919" i="18"/>
  <c r="G1130" i="18"/>
  <c r="G1288" i="18"/>
  <c r="K1093" i="18"/>
  <c r="L1093" i="18"/>
  <c r="K1060" i="18"/>
  <c r="L1060" i="18"/>
  <c r="K1109" i="18"/>
  <c r="L1109" i="18"/>
  <c r="K1076" i="18"/>
  <c r="L1076" i="18"/>
  <c r="AD160" i="19"/>
  <c r="AF160" i="19"/>
  <c r="D160" i="19"/>
  <c r="B160" i="19"/>
  <c r="F1407" i="18"/>
  <c r="F210" i="17"/>
  <c r="E1747" i="18"/>
  <c r="H1747" i="18"/>
  <c r="F1747" i="18"/>
  <c r="H917" i="18"/>
  <c r="I1253" i="18"/>
  <c r="J1253" i="18"/>
  <c r="J1251" i="18"/>
  <c r="H191" i="17"/>
  <c r="I1230" i="18"/>
  <c r="J1230" i="18"/>
  <c r="I1698" i="18"/>
  <c r="J1698" i="18"/>
  <c r="J1696" i="18"/>
  <c r="H259" i="17"/>
  <c r="I1032" i="18"/>
  <c r="J1032" i="18"/>
  <c r="I1249" i="18"/>
  <c r="J1249" i="18"/>
  <c r="J1247" i="18"/>
  <c r="H190" i="17"/>
  <c r="H276" i="17"/>
  <c r="F1807" i="18"/>
  <c r="H942" i="18"/>
  <c r="H1030" i="18"/>
  <c r="F1030" i="18"/>
  <c r="E1030" i="18"/>
  <c r="F33" i="18"/>
  <c r="AD21" i="19"/>
  <c r="AF21" i="19"/>
  <c r="A21" i="19"/>
  <c r="E1739" i="18"/>
  <c r="H1739" i="18"/>
  <c r="H892" i="18"/>
  <c r="E215" i="17"/>
  <c r="AA215" i="17"/>
  <c r="G133" i="18"/>
  <c r="G181" i="18"/>
  <c r="G185" i="18"/>
  <c r="E216" i="17"/>
  <c r="AA216" i="17"/>
  <c r="K2156" i="18"/>
  <c r="L2156" i="18"/>
  <c r="K1271" i="18"/>
  <c r="L1271" i="18"/>
  <c r="K2145" i="18"/>
  <c r="L2145" i="18"/>
  <c r="E94" i="19"/>
  <c r="B94" i="19"/>
  <c r="A94" i="19"/>
  <c r="AD94" i="19"/>
  <c r="H910" i="18"/>
  <c r="F233" i="17"/>
  <c r="F1551" i="18"/>
  <c r="F101" i="18"/>
  <c r="I805" i="18"/>
  <c r="E226" i="17"/>
  <c r="AA226" i="17"/>
  <c r="AB69" i="19"/>
  <c r="AD69" i="19"/>
  <c r="AF69" i="19"/>
  <c r="F157" i="18"/>
  <c r="G922" i="18"/>
  <c r="E232" i="17"/>
  <c r="AA232" i="17"/>
  <c r="AL67" i="19"/>
  <c r="A67" i="19"/>
  <c r="H1786" i="18"/>
  <c r="E1786" i="18"/>
  <c r="F201" i="17"/>
  <c r="E201" i="17"/>
  <c r="AA201" i="17"/>
  <c r="F1336" i="18"/>
  <c r="F241" i="17"/>
  <c r="L1788" i="18"/>
  <c r="L1783" i="18"/>
  <c r="J272" i="17"/>
  <c r="K1490" i="18"/>
  <c r="L1490" i="18"/>
  <c r="AB1789" i="18"/>
  <c r="AD1789" i="18"/>
  <c r="E1091" i="18"/>
  <c r="H1091" i="18"/>
  <c r="F1091" i="18"/>
  <c r="F41" i="18"/>
  <c r="H1753" i="18"/>
  <c r="E1753" i="18"/>
  <c r="J1488" i="18"/>
  <c r="H222" i="17"/>
  <c r="L1586" i="18"/>
  <c r="AB1588" i="18"/>
  <c r="AD1588" i="18"/>
  <c r="F2211" i="18"/>
  <c r="F32" i="30"/>
  <c r="E32" i="30"/>
  <c r="AA32" i="30"/>
  <c r="G1780" i="18"/>
  <c r="H11" i="20"/>
  <c r="G1787" i="18"/>
  <c r="K1846" i="18"/>
  <c r="L1846" i="18"/>
  <c r="K1324" i="18"/>
  <c r="L1324" i="18"/>
  <c r="K1888" i="18"/>
  <c r="L1888" i="18"/>
  <c r="K1304" i="18"/>
  <c r="L1304" i="18"/>
  <c r="K1907" i="18"/>
  <c r="L1907" i="18"/>
  <c r="K1867" i="18"/>
  <c r="L1867" i="18"/>
  <c r="E1058" i="18"/>
  <c r="H1058" i="18"/>
  <c r="F1058" i="18"/>
  <c r="K1314" i="18"/>
  <c r="L1314" i="18"/>
  <c r="K1334" i="18"/>
  <c r="L1334" i="18"/>
  <c r="F1380" i="18"/>
  <c r="J1761" i="18"/>
  <c r="E1761" i="18"/>
  <c r="H1110" i="18"/>
  <c r="F1811" i="18"/>
  <c r="H1746" i="18"/>
  <c r="E1746" i="18"/>
  <c r="F228" i="17"/>
  <c r="AB1520" i="18"/>
  <c r="AD1520" i="18"/>
  <c r="L1519" i="18"/>
  <c r="L1513" i="18"/>
  <c r="J227" i="17"/>
  <c r="K817" i="18"/>
  <c r="L817" i="18"/>
  <c r="L815" i="18"/>
  <c r="J134" i="17"/>
  <c r="K1494" i="18"/>
  <c r="L1494" i="18"/>
  <c r="K1482" i="18"/>
  <c r="L1482" i="18"/>
  <c r="K823" i="18"/>
  <c r="L823" i="18"/>
  <c r="L821" i="18"/>
  <c r="J135" i="17"/>
  <c r="C124" i="19"/>
  <c r="B124" i="19"/>
  <c r="A124" i="19"/>
  <c r="AD124" i="19"/>
  <c r="H1139" i="18"/>
  <c r="F1432" i="18"/>
  <c r="F213" i="17"/>
  <c r="H1869" i="18"/>
  <c r="J1594" i="18"/>
  <c r="E1594" i="18"/>
  <c r="A17" i="19"/>
  <c r="AD17" i="19"/>
  <c r="AF17" i="19"/>
  <c r="H1500" i="18"/>
  <c r="L1595" i="18"/>
  <c r="L1589" i="18"/>
  <c r="J239" i="17"/>
  <c r="AB1596" i="18"/>
  <c r="AD1596" i="18"/>
  <c r="I1936" i="18"/>
  <c r="I2020" i="18"/>
  <c r="I1915" i="18"/>
  <c r="I2041" i="18"/>
  <c r="I1143" i="18"/>
  <c r="E250" i="17"/>
  <c r="AA250" i="17"/>
  <c r="I2104" i="18"/>
  <c r="I1978" i="18"/>
  <c r="I1162" i="18"/>
  <c r="I1180" i="18"/>
  <c r="I1999" i="18"/>
  <c r="I1957" i="18"/>
  <c r="C108" i="19"/>
  <c r="B108" i="19"/>
  <c r="A108" i="19"/>
  <c r="I1605" i="18"/>
  <c r="I1571" i="18"/>
  <c r="E274" i="17"/>
  <c r="AA274" i="17"/>
  <c r="H1585" i="18"/>
  <c r="E1585" i="18"/>
  <c r="AD150" i="19"/>
  <c r="AD147" i="19"/>
  <c r="D147" i="19"/>
  <c r="H9" i="20"/>
  <c r="K2075" i="18"/>
  <c r="L2075" i="18"/>
  <c r="K2003" i="18"/>
  <c r="L2003" i="18"/>
  <c r="K1147" i="18"/>
  <c r="L1147" i="18"/>
  <c r="K1900" i="18"/>
  <c r="L1900" i="18"/>
  <c r="K1288" i="18"/>
  <c r="L1288" i="18"/>
  <c r="K2024" i="18"/>
  <c r="L2024" i="18"/>
  <c r="K1839" i="18"/>
  <c r="L1839" i="18"/>
  <c r="K1312" i="18"/>
  <c r="L1312" i="18"/>
  <c r="K1961" i="18"/>
  <c r="L1961" i="18"/>
  <c r="K1130" i="18"/>
  <c r="L1130" i="18"/>
  <c r="K1166" i="18"/>
  <c r="L1166" i="18"/>
  <c r="K1881" i="18"/>
  <c r="L1881" i="18"/>
  <c r="K1940" i="18"/>
  <c r="L1940" i="18"/>
  <c r="K1982" i="18"/>
  <c r="L1982" i="18"/>
  <c r="K2045" i="18"/>
  <c r="L2045" i="18"/>
  <c r="K1322" i="18"/>
  <c r="L1322" i="18"/>
  <c r="K2108" i="18"/>
  <c r="L2108" i="18"/>
  <c r="K1240" i="18"/>
  <c r="L1240" i="18"/>
  <c r="K1860" i="18"/>
  <c r="L1860" i="18"/>
  <c r="K1028" i="18"/>
  <c r="L1028" i="18"/>
  <c r="K1332" i="18"/>
  <c r="L1332" i="18"/>
  <c r="K1302" i="18"/>
  <c r="L1302" i="18"/>
  <c r="K1919" i="18"/>
  <c r="L1919" i="18"/>
  <c r="J281" i="17"/>
  <c r="F2092" i="18"/>
  <c r="E1517" i="18"/>
  <c r="H1517" i="18"/>
  <c r="H1531" i="18"/>
  <c r="E1531" i="18"/>
  <c r="G1879" i="18"/>
  <c r="G1029" i="18"/>
  <c r="G1088" i="18"/>
  <c r="G1917" i="18"/>
  <c r="G1071" i="18"/>
  <c r="G1145" i="18"/>
  <c r="G2001" i="18"/>
  <c r="G2022" i="18"/>
  <c r="G1980" i="18"/>
  <c r="G1055" i="18"/>
  <c r="G1959" i="18"/>
  <c r="G1104" i="18"/>
  <c r="G2043" i="18"/>
  <c r="G1898" i="18"/>
  <c r="G1938" i="18"/>
  <c r="G1164" i="18"/>
  <c r="G1182" i="18"/>
  <c r="G1837" i="18"/>
  <c r="G2106" i="18"/>
  <c r="G1858" i="18"/>
  <c r="G1128" i="18"/>
  <c r="F173" i="18"/>
  <c r="F1828" i="18"/>
  <c r="L1829" i="18"/>
  <c r="L1825" i="18"/>
  <c r="J279" i="17"/>
  <c r="K1720" i="18"/>
  <c r="L1720" i="18"/>
  <c r="L1718" i="18"/>
  <c r="J262" i="17"/>
  <c r="AB1830" i="18"/>
  <c r="AD1830" i="18"/>
  <c r="G161" i="18"/>
  <c r="G9" i="18"/>
  <c r="G21" i="18"/>
  <c r="G149" i="18"/>
  <c r="E204" i="17"/>
  <c r="AA204" i="17"/>
  <c r="E1886" i="18"/>
  <c r="H1886" i="18"/>
  <c r="F1886" i="18"/>
  <c r="H930" i="18"/>
  <c r="H1779" i="18"/>
  <c r="E1779" i="18"/>
  <c r="K633" i="18"/>
  <c r="L633" i="18"/>
  <c r="L632" i="18"/>
  <c r="J111" i="17"/>
  <c r="K289" i="18"/>
  <c r="L289" i="18"/>
  <c r="L288" i="18"/>
  <c r="J68" i="17"/>
  <c r="K473" i="18"/>
  <c r="L473" i="18"/>
  <c r="L472" i="18"/>
  <c r="J91" i="17"/>
  <c r="K649" i="18"/>
  <c r="L649" i="18"/>
  <c r="L648" i="18"/>
  <c r="J113" i="17"/>
  <c r="K689" i="18"/>
  <c r="L689" i="18"/>
  <c r="L688" i="18"/>
  <c r="J118" i="17"/>
  <c r="K789" i="18"/>
  <c r="K561" i="18"/>
  <c r="L561" i="18"/>
  <c r="L560" i="18"/>
  <c r="J102" i="17"/>
  <c r="K681" i="18"/>
  <c r="L681" i="18"/>
  <c r="L680" i="18"/>
  <c r="J117" i="17"/>
  <c r="K273" i="18"/>
  <c r="L273" i="18"/>
  <c r="L272" i="18"/>
  <c r="J66" i="17"/>
  <c r="K569" i="18"/>
  <c r="L569" i="18"/>
  <c r="L568" i="18"/>
  <c r="J103" i="17"/>
  <c r="K537" i="18"/>
  <c r="L537" i="18"/>
  <c r="L536" i="18"/>
  <c r="J99" i="17"/>
  <c r="K369" i="18"/>
  <c r="L369" i="18"/>
  <c r="L368" i="18"/>
  <c r="J78" i="17"/>
  <c r="K505" i="18"/>
  <c r="L505" i="18"/>
  <c r="L504" i="18"/>
  <c r="J95" i="17"/>
  <c r="L1661" i="18"/>
  <c r="F1665" i="18"/>
  <c r="L1492" i="18"/>
  <c r="J223" i="17"/>
  <c r="AB1707" i="18"/>
  <c r="AD1707" i="18"/>
  <c r="J1707" i="18"/>
  <c r="J1700" i="18"/>
  <c r="H260" i="17"/>
  <c r="A125" i="19"/>
  <c r="AD125" i="19"/>
  <c r="D125" i="19"/>
  <c r="B125" i="19"/>
  <c r="E1074" i="18"/>
  <c r="H1074" i="18"/>
  <c r="F1074" i="18"/>
  <c r="H1705" i="18"/>
  <c r="F1705" i="18"/>
  <c r="E1705" i="18"/>
  <c r="K57" i="18"/>
  <c r="L57" i="18"/>
  <c r="K29" i="18"/>
  <c r="L29" i="18"/>
  <c r="K125" i="18"/>
  <c r="L125" i="18"/>
  <c r="K165" i="18"/>
  <c r="L165" i="18"/>
  <c r="K189" i="18"/>
  <c r="L189" i="18"/>
  <c r="K113" i="18"/>
  <c r="L113" i="18"/>
  <c r="K89" i="18"/>
  <c r="L89" i="18"/>
  <c r="K25" i="18"/>
  <c r="L25" i="18"/>
  <c r="I21" i="18"/>
  <c r="J21" i="18"/>
  <c r="I161" i="18"/>
  <c r="J161" i="18"/>
  <c r="I149" i="18"/>
  <c r="J149" i="18"/>
  <c r="I9" i="18"/>
  <c r="J9" i="18"/>
  <c r="AD161" i="19"/>
  <c r="AF161" i="19"/>
  <c r="E161" i="19"/>
  <c r="B161" i="19"/>
  <c r="H925" i="18"/>
  <c r="I2133" i="18"/>
  <c r="I2114" i="18"/>
  <c r="I1172" i="18"/>
  <c r="I1153" i="18"/>
  <c r="I2127" i="18"/>
  <c r="I1198" i="18"/>
  <c r="H249" i="17"/>
  <c r="F1645" i="18"/>
  <c r="A159" i="19"/>
  <c r="AD159" i="19"/>
  <c r="AF159" i="19"/>
  <c r="C159" i="19"/>
  <c r="B159" i="19"/>
  <c r="AB1742" i="18"/>
  <c r="AD1742" i="18"/>
  <c r="L1741" i="18"/>
  <c r="L1736" i="18"/>
  <c r="J265" i="17"/>
  <c r="K1469" i="18"/>
  <c r="L1469" i="18"/>
  <c r="AB1716" i="18"/>
  <c r="AD1716" i="18"/>
  <c r="J1716" i="18"/>
  <c r="J1709" i="18"/>
  <c r="H261" i="17"/>
  <c r="I1294" i="18"/>
  <c r="J1294" i="18"/>
  <c r="J1292" i="18"/>
  <c r="H196" i="17"/>
  <c r="E1107" i="18"/>
  <c r="H1107" i="18"/>
  <c r="F1107" i="18"/>
  <c r="H230" i="17"/>
  <c r="F1535" i="18"/>
  <c r="L1762" i="18"/>
  <c r="L1757" i="18"/>
  <c r="J268" i="17"/>
  <c r="K1477" i="18"/>
  <c r="L1477" i="18"/>
  <c r="AB1763" i="18"/>
  <c r="AD1763" i="18"/>
  <c r="G1133" i="18"/>
  <c r="G165" i="18"/>
  <c r="G189" i="18"/>
  <c r="G89" i="18"/>
  <c r="G57" i="18"/>
  <c r="G29" i="18"/>
  <c r="G113" i="18"/>
  <c r="G125" i="18"/>
  <c r="G25" i="18"/>
  <c r="E207" i="17"/>
  <c r="AA207" i="17"/>
  <c r="K1481" i="18"/>
  <c r="L1481" i="18"/>
  <c r="L1480" i="18"/>
  <c r="J220" i="17"/>
  <c r="K257" i="18"/>
  <c r="L257" i="18"/>
  <c r="L256" i="18"/>
  <c r="J64" i="17"/>
  <c r="K1497" i="18"/>
  <c r="L1497" i="18"/>
  <c r="L1496" i="18"/>
  <c r="J224" i="17"/>
  <c r="AB1756" i="18"/>
  <c r="AD1756" i="18"/>
  <c r="L1755" i="18"/>
  <c r="L1750" i="18"/>
  <c r="J267" i="17"/>
  <c r="K1474" i="18"/>
  <c r="L1474" i="18"/>
  <c r="H1094" i="18"/>
  <c r="H1593" i="18"/>
  <c r="F1593" i="18"/>
  <c r="E1593" i="18"/>
  <c r="I1793" i="18"/>
  <c r="I1504" i="18"/>
  <c r="H3" i="20"/>
  <c r="I1725" i="18"/>
  <c r="I1773" i="18"/>
  <c r="I1732" i="18"/>
  <c r="I1525" i="18"/>
  <c r="I1767" i="18"/>
  <c r="AD144" i="19"/>
  <c r="A144" i="19"/>
  <c r="E144" i="19"/>
  <c r="B144" i="19"/>
  <c r="F1668" i="18"/>
  <c r="H254" i="17"/>
  <c r="E1643" i="18"/>
  <c r="J1643" i="18"/>
  <c r="H1015" i="18"/>
  <c r="F1017" i="18"/>
  <c r="H1077" i="18"/>
  <c r="H803" i="18"/>
  <c r="K2030" i="18"/>
  <c r="L2030" i="18"/>
  <c r="K1967" i="18"/>
  <c r="L1967" i="18"/>
  <c r="K1946" i="18"/>
  <c r="L1946" i="18"/>
  <c r="K2009" i="18"/>
  <c r="L2009" i="18"/>
  <c r="K2051" i="18"/>
  <c r="L2051" i="18"/>
  <c r="K1925" i="18"/>
  <c r="L1925" i="18"/>
  <c r="K1988" i="18"/>
  <c r="L1988" i="18"/>
  <c r="AD19" i="19"/>
  <c r="AF19" i="19"/>
  <c r="A19" i="19"/>
  <c r="G1885" i="18"/>
  <c r="G1116" i="18"/>
  <c r="G1186" i="18"/>
  <c r="G1843" i="18"/>
  <c r="G1073" i="18"/>
  <c r="G1864" i="18"/>
  <c r="G1904" i="18"/>
  <c r="G1090" i="18"/>
  <c r="G1122" i="18"/>
  <c r="G1057" i="18"/>
  <c r="G1044" i="18"/>
  <c r="G1106" i="18"/>
  <c r="L1748" i="18"/>
  <c r="L1743" i="18"/>
  <c r="J266" i="17"/>
  <c r="K1473" i="18"/>
  <c r="L1473" i="18"/>
  <c r="AB1749" i="18"/>
  <c r="AD1749" i="18"/>
  <c r="E1713" i="18"/>
  <c r="H1713" i="18"/>
  <c r="H900" i="18"/>
  <c r="F33" i="30"/>
  <c r="E33" i="30"/>
  <c r="AA33" i="30"/>
  <c r="F2218" i="18"/>
  <c r="K2118" i="18"/>
  <c r="L2118" i="18"/>
  <c r="K2055" i="18"/>
  <c r="L2055" i="18"/>
  <c r="K1157" i="18"/>
  <c r="L1157" i="18"/>
  <c r="K1202" i="18"/>
  <c r="L1202" i="18"/>
  <c r="K1176" i="18"/>
  <c r="L1176" i="18"/>
  <c r="K1950" i="18"/>
  <c r="L1950" i="18"/>
  <c r="K2034" i="18"/>
  <c r="L2034" i="18"/>
  <c r="K1971" i="18"/>
  <c r="L1971" i="18"/>
  <c r="K1992" i="18"/>
  <c r="L1992" i="18"/>
  <c r="K2135" i="18"/>
  <c r="L2135" i="18"/>
  <c r="K2013" i="18"/>
  <c r="L2013" i="18"/>
  <c r="K2129" i="18"/>
  <c r="L2129" i="18"/>
  <c r="K1929" i="18"/>
  <c r="L1929" i="18"/>
  <c r="C145" i="19"/>
  <c r="B145" i="19"/>
  <c r="A145" i="19"/>
  <c r="AD145" i="19"/>
  <c r="F209" i="17"/>
  <c r="F1398" i="18"/>
  <c r="E1518" i="18"/>
  <c r="H1518" i="18"/>
  <c r="F1518" i="18"/>
  <c r="I593" i="18"/>
  <c r="J593" i="18"/>
  <c r="J592" i="18"/>
  <c r="H106" i="17"/>
  <c r="I449" i="18"/>
  <c r="J449" i="18"/>
  <c r="J448" i="18"/>
  <c r="H88" i="17"/>
  <c r="I217" i="18"/>
  <c r="J217" i="18"/>
  <c r="J216" i="18"/>
  <c r="H59" i="17"/>
  <c r="I529" i="18"/>
  <c r="J529" i="18"/>
  <c r="J528" i="18"/>
  <c r="H98" i="17"/>
  <c r="I313" i="18"/>
  <c r="J313" i="18"/>
  <c r="J312" i="18"/>
  <c r="H71" i="17"/>
  <c r="I297" i="18"/>
  <c r="J297" i="18"/>
  <c r="J296" i="18"/>
  <c r="H69" i="17"/>
  <c r="I577" i="18"/>
  <c r="J577" i="18"/>
  <c r="J576" i="18"/>
  <c r="H104" i="17"/>
  <c r="H1106" i="18"/>
  <c r="AD128" i="19"/>
  <c r="D128" i="19"/>
  <c r="D130" i="19"/>
  <c r="D116" i="19"/>
  <c r="H7" i="17"/>
  <c r="L1582" i="18"/>
  <c r="J238" i="17"/>
  <c r="L1587" i="18"/>
  <c r="J9" i="30"/>
  <c r="H1288" i="18"/>
  <c r="J1533" i="18"/>
  <c r="J1528" i="18"/>
  <c r="H229" i="17"/>
  <c r="AB1533" i="18"/>
  <c r="AD1533" i="18"/>
  <c r="F1532" i="18"/>
  <c r="H2001" i="18"/>
  <c r="F150" i="17"/>
  <c r="G1719" i="18"/>
  <c r="E278" i="17"/>
  <c r="AA278" i="17"/>
  <c r="K585" i="18"/>
  <c r="L585" i="18"/>
  <c r="L584" i="18"/>
  <c r="J105" i="17"/>
  <c r="K697" i="18"/>
  <c r="L697" i="18"/>
  <c r="L696" i="18"/>
  <c r="J119" i="17"/>
  <c r="K481" i="18"/>
  <c r="L481" i="18"/>
  <c r="L480" i="18"/>
  <c r="J92" i="17"/>
  <c r="K489" i="18"/>
  <c r="L489" i="18"/>
  <c r="L488" i="18"/>
  <c r="J93" i="17"/>
  <c r="K729" i="18"/>
  <c r="L729" i="18"/>
  <c r="L728" i="18"/>
  <c r="J123" i="17"/>
  <c r="K545" i="18"/>
  <c r="L545" i="18"/>
  <c r="L544" i="18"/>
  <c r="J100" i="17"/>
  <c r="K745" i="18"/>
  <c r="L745" i="18"/>
  <c r="L744" i="18"/>
  <c r="J125" i="17"/>
  <c r="K713" i="18"/>
  <c r="L713" i="18"/>
  <c r="L712" i="18"/>
  <c r="J121" i="17"/>
  <c r="F1746" i="18"/>
  <c r="H1748" i="18"/>
  <c r="AB1747" i="18"/>
  <c r="AD1747" i="18"/>
  <c r="F1786" i="18"/>
  <c r="AB1787" i="18"/>
  <c r="AD1787" i="18"/>
  <c r="H1240" i="18"/>
  <c r="H1202" i="18"/>
  <c r="F1202" i="18"/>
  <c r="E1202" i="18"/>
  <c r="J1767" i="18"/>
  <c r="E1767" i="18"/>
  <c r="H2106" i="18"/>
  <c r="F1740" i="18"/>
  <c r="J1741" i="18"/>
  <c r="J1736" i="18"/>
  <c r="H265" i="17"/>
  <c r="I1469" i="18"/>
  <c r="J1469" i="18"/>
  <c r="AB1741" i="18"/>
  <c r="AD1741" i="18"/>
  <c r="J2105" i="18"/>
  <c r="F2105" i="18"/>
  <c r="E2105" i="18"/>
  <c r="E1045" i="18"/>
  <c r="H1045" i="18"/>
  <c r="F1045" i="18"/>
  <c r="I942" i="18"/>
  <c r="I917" i="18"/>
  <c r="I892" i="18"/>
  <c r="I897" i="18"/>
  <c r="I937" i="18"/>
  <c r="I882" i="18"/>
  <c r="I877" i="18"/>
  <c r="E230" i="17"/>
  <c r="AA230" i="17"/>
  <c r="H1088" i="18"/>
  <c r="K1226" i="18"/>
  <c r="L1226" i="18"/>
  <c r="K1132" i="18"/>
  <c r="L1132" i="18"/>
  <c r="K1101" i="18"/>
  <c r="L1101" i="18"/>
  <c r="K1068" i="18"/>
  <c r="L1068" i="18"/>
  <c r="K1878" i="18"/>
  <c r="L1878" i="18"/>
  <c r="K1836" i="18"/>
  <c r="L1836" i="18"/>
  <c r="K2153" i="18"/>
  <c r="L2153" i="18"/>
  <c r="K1286" i="18"/>
  <c r="L1286" i="18"/>
  <c r="K1052" i="18"/>
  <c r="L1052" i="18"/>
  <c r="K1216" i="18"/>
  <c r="L1216" i="18"/>
  <c r="K1260" i="18"/>
  <c r="L1260" i="18"/>
  <c r="K1268" i="18"/>
  <c r="L1268" i="18"/>
  <c r="K1897" i="18"/>
  <c r="L1897" i="18"/>
  <c r="K1085" i="18"/>
  <c r="L1085" i="18"/>
  <c r="K1238" i="18"/>
  <c r="L1238" i="18"/>
  <c r="K1857" i="18"/>
  <c r="L1857" i="18"/>
  <c r="K1039" i="18"/>
  <c r="L1039" i="18"/>
  <c r="K1278" i="18"/>
  <c r="L1278" i="18"/>
  <c r="K2073" i="18"/>
  <c r="L2073" i="18"/>
  <c r="K2142" i="18"/>
  <c r="L2142" i="18"/>
  <c r="H133" i="18"/>
  <c r="E133" i="18"/>
  <c r="E1176" i="18"/>
  <c r="H1176" i="18"/>
  <c r="F1176" i="18"/>
  <c r="J1732" i="18"/>
  <c r="E1732" i="18"/>
  <c r="H1029" i="18"/>
  <c r="H1716" i="18"/>
  <c r="AB1715" i="18"/>
  <c r="AD1715" i="18"/>
  <c r="F1713" i="18"/>
  <c r="H1879" i="18"/>
  <c r="H1881" i="18"/>
  <c r="E2135" i="18"/>
  <c r="H2135" i="18"/>
  <c r="H940" i="18"/>
  <c r="J1600" i="18"/>
  <c r="E1600" i="18"/>
  <c r="H1790" i="18"/>
  <c r="I932" i="18"/>
  <c r="I907" i="18"/>
  <c r="I902" i="18"/>
  <c r="I927" i="18"/>
  <c r="I912" i="18"/>
  <c r="I887" i="18"/>
  <c r="E231" i="17"/>
  <c r="AA231" i="17"/>
  <c r="E29" i="18"/>
  <c r="H29" i="18"/>
  <c r="H1992" i="18"/>
  <c r="F1992" i="18"/>
  <c r="E1992" i="18"/>
  <c r="F1829" i="18"/>
  <c r="L1472" i="18"/>
  <c r="J218" i="17"/>
  <c r="H1116" i="18"/>
  <c r="J1504" i="18"/>
  <c r="E1504" i="18"/>
  <c r="E57" i="18"/>
  <c r="H57" i="18"/>
  <c r="A161" i="19"/>
  <c r="H9" i="18"/>
  <c r="E9" i="18"/>
  <c r="H1898" i="18"/>
  <c r="J1180" i="18"/>
  <c r="F1180" i="18"/>
  <c r="E1180" i="18"/>
  <c r="AH17" i="19"/>
  <c r="D17" i="19"/>
  <c r="B17" i="19"/>
  <c r="J1762" i="18"/>
  <c r="J1757" i="18"/>
  <c r="H268" i="17"/>
  <c r="I1477" i="18"/>
  <c r="J1477" i="18"/>
  <c r="J1476" i="18"/>
  <c r="H219" i="17"/>
  <c r="AB1762" i="18"/>
  <c r="AD1762" i="18"/>
  <c r="F1761" i="18"/>
  <c r="H1302" i="18"/>
  <c r="J1925" i="18"/>
  <c r="F1925" i="18"/>
  <c r="E1925" i="18"/>
  <c r="J1144" i="18"/>
  <c r="F1144" i="18"/>
  <c r="E1144" i="18"/>
  <c r="H1764" i="18"/>
  <c r="G2047" i="18"/>
  <c r="G1942" i="18"/>
  <c r="E252" i="17"/>
  <c r="AA252" i="17"/>
  <c r="G2005" i="18"/>
  <c r="G1963" i="18"/>
  <c r="G2110" i="18"/>
  <c r="G1149" i="18"/>
  <c r="G2026" i="18"/>
  <c r="G1984" i="18"/>
  <c r="G1921" i="18"/>
  <c r="G1168" i="18"/>
  <c r="G1197" i="18"/>
  <c r="AH44" i="19"/>
  <c r="E44" i="19"/>
  <c r="B44" i="19"/>
  <c r="F1825" i="18"/>
  <c r="H279" i="17"/>
  <c r="H1133" i="18"/>
  <c r="E1971" i="18"/>
  <c r="H1971" i="18"/>
  <c r="F1971" i="18"/>
  <c r="H1044" i="18"/>
  <c r="I2019" i="18"/>
  <c r="I1956" i="18"/>
  <c r="I1142" i="18"/>
  <c r="I1179" i="18"/>
  <c r="I1914" i="18"/>
  <c r="I1977" i="18"/>
  <c r="I1161" i="18"/>
  <c r="E249" i="17"/>
  <c r="AA249" i="17"/>
  <c r="I1998" i="18"/>
  <c r="I2040" i="18"/>
  <c r="I1935" i="18"/>
  <c r="I2103" i="18"/>
  <c r="H1057" i="18"/>
  <c r="H1122" i="18"/>
  <c r="J1153" i="18"/>
  <c r="E1157" i="18"/>
  <c r="H1157" i="18"/>
  <c r="F1157" i="18"/>
  <c r="H1900" i="18"/>
  <c r="E2118" i="18"/>
  <c r="H2118" i="18"/>
  <c r="F2118" i="18"/>
  <c r="E125" i="18"/>
  <c r="H125" i="18"/>
  <c r="H113" i="18"/>
  <c r="E113" i="18"/>
  <c r="H1938" i="18"/>
  <c r="H1186" i="18"/>
  <c r="F154" i="17"/>
  <c r="K865" i="18"/>
  <c r="L865" i="18"/>
  <c r="L863" i="18"/>
  <c r="J142" i="17"/>
  <c r="K1478" i="18"/>
  <c r="L1478" i="18"/>
  <c r="L1476" i="18"/>
  <c r="J219" i="17"/>
  <c r="K811" i="18"/>
  <c r="L811" i="18"/>
  <c r="L809" i="18"/>
  <c r="J133" i="17"/>
  <c r="E1780" i="18"/>
  <c r="H1780" i="18"/>
  <c r="F1780" i="18"/>
  <c r="AH69" i="19"/>
  <c r="A69" i="19"/>
  <c r="AD109" i="19"/>
  <c r="AF101" i="19"/>
  <c r="E101" i="19"/>
  <c r="AF95" i="19"/>
  <c r="E95" i="19"/>
  <c r="AF99" i="19"/>
  <c r="E99" i="19"/>
  <c r="H890" i="18"/>
  <c r="H1940" i="18"/>
  <c r="F1627" i="18"/>
  <c r="J2030" i="18"/>
  <c r="F2030" i="18"/>
  <c r="E2030" i="18"/>
  <c r="G97" i="18"/>
  <c r="E212" i="17"/>
  <c r="AA212" i="17"/>
  <c r="G85" i="18"/>
  <c r="J1979" i="18"/>
  <c r="F1979" i="18"/>
  <c r="E1979" i="18"/>
  <c r="E1950" i="18"/>
  <c r="H1950" i="18"/>
  <c r="F1950" i="18"/>
  <c r="A44" i="19"/>
  <c r="I2033" i="18"/>
  <c r="I1970" i="18"/>
  <c r="I1201" i="18"/>
  <c r="I2054" i="18"/>
  <c r="I2117" i="18"/>
  <c r="I2012" i="18"/>
  <c r="I1991" i="18"/>
  <c r="I1175" i="18"/>
  <c r="I1928" i="18"/>
  <c r="I1949" i="18"/>
  <c r="I1156" i="18"/>
  <c r="E254" i="17"/>
  <c r="AA254" i="17"/>
  <c r="K1320" i="18"/>
  <c r="L1320" i="18"/>
  <c r="K1300" i="18"/>
  <c r="L1300" i="18"/>
  <c r="K1330" i="18"/>
  <c r="L1330" i="18"/>
  <c r="K1342" i="18"/>
  <c r="L1342" i="18"/>
  <c r="L1341" i="18"/>
  <c r="J202" i="17"/>
  <c r="K1310" i="18"/>
  <c r="L1310" i="18"/>
  <c r="H1533" i="18"/>
  <c r="F1531" i="18"/>
  <c r="AB1532" i="18"/>
  <c r="AD1532" i="18"/>
  <c r="H1980" i="18"/>
  <c r="J1143" i="18"/>
  <c r="F1143" i="18"/>
  <c r="E1143" i="18"/>
  <c r="I2081" i="18"/>
  <c r="J2081" i="18"/>
  <c r="I1244" i="18"/>
  <c r="J1244" i="18"/>
  <c r="H1982" i="18"/>
  <c r="J1163" i="18"/>
  <c r="F1163" i="18"/>
  <c r="E1163" i="18"/>
  <c r="E1093" i="18"/>
  <c r="J1093" i="18"/>
  <c r="F1093" i="18"/>
  <c r="F1592" i="18"/>
  <c r="H1595" i="18"/>
  <c r="AB1594" i="18"/>
  <c r="AD1594" i="18"/>
  <c r="H2022" i="18"/>
  <c r="J2041" i="18"/>
  <c r="F2041" i="18"/>
  <c r="E2041" i="18"/>
  <c r="G105" i="18"/>
  <c r="E213" i="17"/>
  <c r="AA213" i="17"/>
  <c r="I305" i="18"/>
  <c r="J305" i="18"/>
  <c r="J304" i="18"/>
  <c r="H70" i="17"/>
  <c r="I513" i="18"/>
  <c r="J513" i="18"/>
  <c r="J512" i="18"/>
  <c r="H96" i="17"/>
  <c r="J805" i="18"/>
  <c r="E805" i="18"/>
  <c r="E21" i="19"/>
  <c r="B21" i="19"/>
  <c r="AH21" i="19"/>
  <c r="H1130" i="18"/>
  <c r="G177" i="18"/>
  <c r="G61" i="18"/>
  <c r="G141" i="18"/>
  <c r="E209" i="17"/>
  <c r="AA209" i="17"/>
  <c r="G169" i="18"/>
  <c r="G93" i="18"/>
  <c r="J1915" i="18"/>
  <c r="F1915" i="18"/>
  <c r="E1915" i="18"/>
  <c r="H1919" i="18"/>
  <c r="J2000" i="18"/>
  <c r="F2000" i="18"/>
  <c r="E2000" i="18"/>
  <c r="J37" i="18"/>
  <c r="E37" i="18"/>
  <c r="AB151" i="19"/>
  <c r="C151" i="19"/>
  <c r="AB147" i="19"/>
  <c r="C147" i="19"/>
  <c r="AH159" i="19"/>
  <c r="J1198" i="18"/>
  <c r="H1128" i="18"/>
  <c r="H1145" i="18"/>
  <c r="H185" i="18"/>
  <c r="E185" i="18"/>
  <c r="H2075" i="18"/>
  <c r="H935" i="18"/>
  <c r="J2127" i="18"/>
  <c r="H1071" i="18"/>
  <c r="E1936" i="18"/>
  <c r="J1936" i="18"/>
  <c r="F1936" i="18"/>
  <c r="F1704" i="18"/>
  <c r="H1707" i="18"/>
  <c r="AB1706" i="18"/>
  <c r="AD1706" i="18"/>
  <c r="F155" i="17"/>
  <c r="H1917" i="18"/>
  <c r="C130" i="19"/>
  <c r="AB128" i="19"/>
  <c r="C128" i="19"/>
  <c r="B128" i="19"/>
  <c r="E181" i="18"/>
  <c r="H181" i="18"/>
  <c r="H2045" i="18"/>
  <c r="I1612" i="18"/>
  <c r="E275" i="17"/>
  <c r="AA275" i="17"/>
  <c r="J17" i="18"/>
  <c r="E17" i="18"/>
  <c r="F149" i="17"/>
  <c r="E1525" i="18"/>
  <c r="J1525" i="18"/>
  <c r="J1172" i="18"/>
  <c r="K1909" i="18"/>
  <c r="L1909" i="18"/>
  <c r="K1110" i="18"/>
  <c r="L1110" i="18"/>
  <c r="K1848" i="18"/>
  <c r="L1848" i="18"/>
  <c r="K1094" i="18"/>
  <c r="L1094" i="18"/>
  <c r="K1869" i="18"/>
  <c r="L1869" i="18"/>
  <c r="K1077" i="18"/>
  <c r="L1077" i="18"/>
  <c r="K1061" i="18"/>
  <c r="L1061" i="18"/>
  <c r="F132" i="17"/>
  <c r="H25" i="18"/>
  <c r="E25" i="18"/>
  <c r="J2114" i="18"/>
  <c r="I2145" i="18"/>
  <c r="J2145" i="18"/>
  <c r="I1271" i="18"/>
  <c r="J1271" i="18"/>
  <c r="I2156" i="18"/>
  <c r="J2156" i="18"/>
  <c r="G137" i="18"/>
  <c r="G69" i="18"/>
  <c r="G153" i="18"/>
  <c r="G65" i="18"/>
  <c r="E210" i="17"/>
  <c r="AA210" i="17"/>
  <c r="G129" i="18"/>
  <c r="H1762" i="18"/>
  <c r="AB1761" i="18"/>
  <c r="AD1761" i="18"/>
  <c r="F1760" i="18"/>
  <c r="H1164" i="18"/>
  <c r="F151" i="17"/>
  <c r="J1566" i="18"/>
  <c r="E1566" i="18"/>
  <c r="F146" i="17"/>
  <c r="G1184" i="18"/>
  <c r="G1841" i="18"/>
  <c r="G1054" i="18"/>
  <c r="G1103" i="18"/>
  <c r="G1041" i="18"/>
  <c r="G1902" i="18"/>
  <c r="G1883" i="18"/>
  <c r="G1087" i="18"/>
  <c r="G1070" i="18"/>
  <c r="G1862" i="18"/>
  <c r="H1843" i="18"/>
  <c r="K329" i="18"/>
  <c r="L329" i="18"/>
  <c r="L328" i="18"/>
  <c r="J73" i="17"/>
  <c r="K353" i="18"/>
  <c r="L353" i="18"/>
  <c r="L352" i="18"/>
  <c r="J76" i="17"/>
  <c r="K345" i="18"/>
  <c r="L345" i="18"/>
  <c r="L344" i="18"/>
  <c r="J75" i="17"/>
  <c r="K337" i="18"/>
  <c r="L337" i="18"/>
  <c r="L336" i="18"/>
  <c r="J74" i="17"/>
  <c r="K321" i="18"/>
  <c r="L321" i="18"/>
  <c r="L320" i="18"/>
  <c r="J72" i="17"/>
  <c r="E149" i="18"/>
  <c r="H149" i="18"/>
  <c r="J1957" i="18"/>
  <c r="F1957" i="18"/>
  <c r="E1957" i="18"/>
  <c r="H1312" i="18"/>
  <c r="H21" i="18"/>
  <c r="E21" i="18"/>
  <c r="H1787" i="18"/>
  <c r="F1787" i="18"/>
  <c r="E1787" i="18"/>
  <c r="A160" i="19"/>
  <c r="H2024" i="18"/>
  <c r="J2051" i="18"/>
  <c r="F2051" i="18"/>
  <c r="E2051" i="18"/>
  <c r="E1958" i="18"/>
  <c r="J1958" i="18"/>
  <c r="F1958" i="18"/>
  <c r="H1885" i="18"/>
  <c r="F172" i="17"/>
  <c r="F1015" i="18"/>
  <c r="J1793" i="18"/>
  <c r="E1793" i="18"/>
  <c r="H89" i="18"/>
  <c r="E89" i="18"/>
  <c r="F1643" i="18"/>
  <c r="J1640" i="18"/>
  <c r="H189" i="18"/>
  <c r="E189" i="18"/>
  <c r="J253" i="17"/>
  <c r="F1661" i="18"/>
  <c r="H1104" i="18"/>
  <c r="J1978" i="18"/>
  <c r="F1978" i="18"/>
  <c r="E1978" i="18"/>
  <c r="AB73" i="19"/>
  <c r="AB75" i="19"/>
  <c r="AB71" i="19"/>
  <c r="AB1740" i="18"/>
  <c r="AD1740" i="18"/>
  <c r="H1741" i="18"/>
  <c r="F1739" i="18"/>
  <c r="I1613" i="18"/>
  <c r="E276" i="17"/>
  <c r="AA276" i="17"/>
  <c r="H1322" i="18"/>
  <c r="I1869" i="18"/>
  <c r="I1909" i="18"/>
  <c r="I1094" i="18"/>
  <c r="I1848" i="18"/>
  <c r="I1061" i="18"/>
  <c r="I1077" i="18"/>
  <c r="I1110" i="18"/>
  <c r="E245" i="17"/>
  <c r="AA245" i="17"/>
  <c r="J1946" i="18"/>
  <c r="F1946" i="18"/>
  <c r="E1946" i="18"/>
  <c r="H875" i="18"/>
  <c r="J1916" i="18"/>
  <c r="F1916" i="18"/>
  <c r="E1916" i="18"/>
  <c r="E2055" i="18"/>
  <c r="H2055" i="18"/>
  <c r="F2055" i="18"/>
  <c r="H1055" i="18"/>
  <c r="G823" i="18"/>
  <c r="G1494" i="18"/>
  <c r="G817" i="18"/>
  <c r="G1482" i="18"/>
  <c r="H1961" i="18"/>
  <c r="F263" i="17"/>
  <c r="I1114" i="18"/>
  <c r="I1120" i="18"/>
  <c r="I2128" i="18"/>
  <c r="E246" i="17"/>
  <c r="AA246" i="17"/>
  <c r="I2134" i="18"/>
  <c r="J1109" i="18"/>
  <c r="F1109" i="18"/>
  <c r="E1109" i="18"/>
  <c r="H2129" i="18"/>
  <c r="E2129" i="18"/>
  <c r="AB1518" i="18"/>
  <c r="AD1518" i="18"/>
  <c r="F1517" i="18"/>
  <c r="H1519" i="18"/>
  <c r="H1586" i="18"/>
  <c r="F1585" i="18"/>
  <c r="AB1585" i="18"/>
  <c r="AD1585" i="18"/>
  <c r="E214" i="17"/>
  <c r="AA214" i="17"/>
  <c r="G109" i="18"/>
  <c r="G145" i="18"/>
  <c r="G117" i="18"/>
  <c r="AH40" i="19"/>
  <c r="C40" i="19"/>
  <c r="B40" i="19"/>
  <c r="H1166" i="18"/>
  <c r="H1770" i="18"/>
  <c r="E2021" i="18"/>
  <c r="J2021" i="18"/>
  <c r="F2021" i="18"/>
  <c r="J1060" i="18"/>
  <c r="F1060" i="18"/>
  <c r="E1060" i="18"/>
  <c r="G81" i="18"/>
  <c r="G45" i="18"/>
  <c r="E203" i="17"/>
  <c r="AA203" i="17"/>
  <c r="G5" i="18"/>
  <c r="G73" i="18"/>
  <c r="H2034" i="18"/>
  <c r="F2034" i="18"/>
  <c r="E2034" i="18"/>
  <c r="F1779" i="18"/>
  <c r="H1781" i="18"/>
  <c r="AB1780" i="18"/>
  <c r="AD1780" i="18"/>
  <c r="H1860" i="18"/>
  <c r="G77" i="18"/>
  <c r="E211" i="17"/>
  <c r="AA211" i="17"/>
  <c r="D42" i="19"/>
  <c r="B42" i="19"/>
  <c r="AH42" i="19"/>
  <c r="AF151" i="19"/>
  <c r="E151" i="19"/>
  <c r="AH161" i="19"/>
  <c r="AF147" i="19"/>
  <c r="E147" i="19"/>
  <c r="J2020" i="18"/>
  <c r="F2020" i="18"/>
  <c r="E2020" i="18"/>
  <c r="K1090" i="18"/>
  <c r="L1090" i="18"/>
  <c r="K1904" i="18"/>
  <c r="L1904" i="18"/>
  <c r="K1186" i="18"/>
  <c r="L1186" i="18"/>
  <c r="K1073" i="18"/>
  <c r="L1073" i="18"/>
  <c r="K1116" i="18"/>
  <c r="L1116" i="18"/>
  <c r="L1112" i="18"/>
  <c r="J180" i="17"/>
  <c r="K1885" i="18"/>
  <c r="L1885" i="18"/>
  <c r="K1044" i="18"/>
  <c r="L1044" i="18"/>
  <c r="K1106" i="18"/>
  <c r="L1106" i="18"/>
  <c r="K1057" i="18"/>
  <c r="L1057" i="18"/>
  <c r="K1122" i="18"/>
  <c r="L1122" i="18"/>
  <c r="L1118" i="18"/>
  <c r="J181" i="17"/>
  <c r="K1843" i="18"/>
  <c r="L1843" i="18"/>
  <c r="K1864" i="18"/>
  <c r="L1864" i="18"/>
  <c r="J1937" i="18"/>
  <c r="F1937" i="18"/>
  <c r="E1937" i="18"/>
  <c r="A42" i="19"/>
  <c r="J49" i="18"/>
  <c r="E49" i="18"/>
  <c r="H1858" i="18"/>
  <c r="K2089" i="18"/>
  <c r="E281" i="17"/>
  <c r="H1755" i="18"/>
  <c r="AB1754" i="18"/>
  <c r="AD1754" i="18"/>
  <c r="F1753" i="18"/>
  <c r="H915" i="18"/>
  <c r="H1028" i="18"/>
  <c r="H895" i="18"/>
  <c r="H880" i="18"/>
  <c r="J2042" i="18"/>
  <c r="F2042" i="18"/>
  <c r="E2042" i="18"/>
  <c r="J121" i="18"/>
  <c r="E121" i="18"/>
  <c r="H1090" i="18"/>
  <c r="J1571" i="18"/>
  <c r="E1571" i="18"/>
  <c r="H1839" i="18"/>
  <c r="H1904" i="18"/>
  <c r="H1837" i="18"/>
  <c r="J1605" i="18"/>
  <c r="E1605" i="18"/>
  <c r="H2108" i="18"/>
  <c r="H2003" i="18"/>
  <c r="AB95" i="19"/>
  <c r="C95" i="19"/>
  <c r="B95" i="19"/>
  <c r="AB99" i="19"/>
  <c r="C99" i="19"/>
  <c r="B99" i="19"/>
  <c r="AB101" i="19"/>
  <c r="C101" i="19"/>
  <c r="AD108" i="19"/>
  <c r="H1864" i="18"/>
  <c r="H1182" i="18"/>
  <c r="F225" i="17"/>
  <c r="E922" i="18"/>
  <c r="H922" i="18"/>
  <c r="G962" i="18"/>
  <c r="G997" i="18"/>
  <c r="G987" i="18"/>
  <c r="G982" i="18"/>
  <c r="G1002" i="18"/>
  <c r="E233" i="17"/>
  <c r="AA233" i="17"/>
  <c r="G977" i="18"/>
  <c r="G972" i="18"/>
  <c r="G992" i="18"/>
  <c r="G952" i="18"/>
  <c r="G967" i="18"/>
  <c r="G1012" i="18"/>
  <c r="G957" i="18"/>
  <c r="G1693" i="18"/>
  <c r="G947" i="18"/>
  <c r="G1007" i="18"/>
  <c r="G1688" i="18"/>
  <c r="H1332" i="18"/>
  <c r="J1988" i="18"/>
  <c r="F1988" i="18"/>
  <c r="E1988" i="18"/>
  <c r="K513" i="18"/>
  <c r="L513" i="18"/>
  <c r="L512" i="18"/>
  <c r="J96" i="17"/>
  <c r="K305" i="18"/>
  <c r="L305" i="18"/>
  <c r="L304" i="18"/>
  <c r="J70" i="17"/>
  <c r="H1073" i="18"/>
  <c r="J1773" i="18"/>
  <c r="E1773" i="18"/>
  <c r="J2133" i="18"/>
  <c r="L789" i="18"/>
  <c r="K790" i="18"/>
  <c r="L790" i="18"/>
  <c r="K1470" i="18"/>
  <c r="L1470" i="18"/>
  <c r="L1468" i="18"/>
  <c r="J217" i="17"/>
  <c r="K847" i="18"/>
  <c r="L847" i="18"/>
  <c r="L845" i="18"/>
  <c r="J139" i="17"/>
  <c r="J1725" i="18"/>
  <c r="E1725" i="18"/>
  <c r="J2009" i="18"/>
  <c r="F2009" i="18"/>
  <c r="E2009" i="18"/>
  <c r="H1929" i="18"/>
  <c r="F1929" i="18"/>
  <c r="E1929" i="18"/>
  <c r="J1999" i="18"/>
  <c r="F1999" i="18"/>
  <c r="E1999" i="18"/>
  <c r="AD101" i="19"/>
  <c r="D101" i="19"/>
  <c r="AD99" i="19"/>
  <c r="D99" i="19"/>
  <c r="AD107" i="19"/>
  <c r="H161" i="18"/>
  <c r="E161" i="18"/>
  <c r="H2043" i="18"/>
  <c r="J1162" i="18"/>
  <c r="F1162" i="18"/>
  <c r="E1162" i="18"/>
  <c r="AH19" i="19"/>
  <c r="C19" i="19"/>
  <c r="B19" i="19"/>
  <c r="E165" i="18"/>
  <c r="H165" i="18"/>
  <c r="H1959" i="18"/>
  <c r="AH160" i="19"/>
  <c r="AD151" i="19"/>
  <c r="D151" i="19"/>
  <c r="J2104" i="18"/>
  <c r="F2104" i="18"/>
  <c r="E2104" i="18"/>
  <c r="F1594" i="18"/>
  <c r="J1595" i="18"/>
  <c r="J1589" i="18"/>
  <c r="H239" i="17"/>
  <c r="G1042" i="18"/>
  <c r="H1147" i="18"/>
  <c r="J1967" i="18"/>
  <c r="F1967" i="18"/>
  <c r="E1967" i="18"/>
  <c r="J1181" i="18"/>
  <c r="F1181" i="18"/>
  <c r="E1181" i="18"/>
  <c r="J1076" i="18"/>
  <c r="F1076" i="18"/>
  <c r="E1076" i="18"/>
  <c r="H2013" i="18"/>
  <c r="F2013" i="18"/>
  <c r="E2013" i="18"/>
  <c r="H247" i="17"/>
  <c r="F1636" i="18"/>
  <c r="K553" i="18"/>
  <c r="L553" i="18"/>
  <c r="L552" i="18"/>
  <c r="J101" i="17"/>
  <c r="K249" i="18"/>
  <c r="L249" i="18"/>
  <c r="L248" i="18"/>
  <c r="J63" i="17"/>
  <c r="K771" i="18"/>
  <c r="K233" i="18"/>
  <c r="L233" i="18"/>
  <c r="L232" i="18"/>
  <c r="J61" i="17"/>
  <c r="K497" i="18"/>
  <c r="L497" i="18"/>
  <c r="L496" i="18"/>
  <c r="J94" i="17"/>
  <c r="K665" i="18"/>
  <c r="L665" i="18"/>
  <c r="L664" i="18"/>
  <c r="J115" i="17"/>
  <c r="K209" i="18"/>
  <c r="L209" i="18"/>
  <c r="L208" i="18"/>
  <c r="J58" i="17"/>
  <c r="K457" i="18"/>
  <c r="L457" i="18"/>
  <c r="L456" i="18"/>
  <c r="J89" i="17"/>
  <c r="K425" i="18"/>
  <c r="L425" i="18"/>
  <c r="L424" i="18"/>
  <c r="J85" i="17"/>
  <c r="K521" i="18"/>
  <c r="L521" i="18"/>
  <c r="L520" i="18"/>
  <c r="J97" i="17"/>
  <c r="K433" i="18"/>
  <c r="L433" i="18"/>
  <c r="L432" i="18"/>
  <c r="J86" i="17"/>
  <c r="K465" i="18"/>
  <c r="L465" i="18"/>
  <c r="L464" i="18"/>
  <c r="J90" i="17"/>
  <c r="K241" i="18"/>
  <c r="L241" i="18"/>
  <c r="L240" i="18"/>
  <c r="J62" i="17"/>
  <c r="K193" i="18"/>
  <c r="L193" i="18"/>
  <c r="L192" i="18"/>
  <c r="J56" i="17"/>
  <c r="K737" i="18"/>
  <c r="L737" i="18"/>
  <c r="L736" i="18"/>
  <c r="J124" i="17"/>
  <c r="K417" i="18"/>
  <c r="L417" i="18"/>
  <c r="L416" i="18"/>
  <c r="J84" i="17"/>
  <c r="K673" i="18"/>
  <c r="L673" i="18"/>
  <c r="L672" i="18"/>
  <c r="J116" i="17"/>
  <c r="K617" i="18"/>
  <c r="L617" i="18"/>
  <c r="L616" i="18"/>
  <c r="J109" i="17"/>
  <c r="K780" i="18"/>
  <c r="K201" i="18"/>
  <c r="L201" i="18"/>
  <c r="L200" i="18"/>
  <c r="J57" i="17"/>
  <c r="K281" i="18"/>
  <c r="L281" i="18"/>
  <c r="L280" i="18"/>
  <c r="J67" i="17"/>
  <c r="K705" i="18"/>
  <c r="L705" i="18"/>
  <c r="L704" i="18"/>
  <c r="J120" i="17"/>
  <c r="K265" i="18"/>
  <c r="L265" i="18"/>
  <c r="L264" i="18"/>
  <c r="J65" i="17"/>
  <c r="K641" i="18"/>
  <c r="L641" i="18"/>
  <c r="L640" i="18"/>
  <c r="J112" i="17"/>
  <c r="K753" i="18"/>
  <c r="K657" i="18"/>
  <c r="L657" i="18"/>
  <c r="L656" i="18"/>
  <c r="J114" i="17"/>
  <c r="K721" i="18"/>
  <c r="L721" i="18"/>
  <c r="L720" i="18"/>
  <c r="J122" i="17"/>
  <c r="K385" i="18"/>
  <c r="L385" i="18"/>
  <c r="L384" i="18"/>
  <c r="J80" i="17"/>
  <c r="K409" i="18"/>
  <c r="L409" i="18"/>
  <c r="L408" i="18"/>
  <c r="J83" i="17"/>
  <c r="K361" i="18"/>
  <c r="L361" i="18"/>
  <c r="L360" i="18"/>
  <c r="J77" i="17"/>
  <c r="K377" i="18"/>
  <c r="L377" i="18"/>
  <c r="L376" i="18"/>
  <c r="J79" i="17"/>
  <c r="K441" i="18"/>
  <c r="L441" i="18"/>
  <c r="L440" i="18"/>
  <c r="J87" i="17"/>
  <c r="K401" i="18"/>
  <c r="L401" i="18"/>
  <c r="L400" i="18"/>
  <c r="J82" i="17"/>
  <c r="K393" i="18"/>
  <c r="L393" i="18"/>
  <c r="L392" i="18"/>
  <c r="J81" i="17"/>
  <c r="K625" i="18"/>
  <c r="L625" i="18"/>
  <c r="L624" i="18"/>
  <c r="J110" i="17"/>
  <c r="K225" i="18"/>
  <c r="L225" i="18"/>
  <c r="L224" i="18"/>
  <c r="J60" i="17"/>
  <c r="K601" i="18"/>
  <c r="L601" i="18"/>
  <c r="L600" i="18"/>
  <c r="J107" i="17"/>
  <c r="K609" i="18"/>
  <c r="L609" i="18"/>
  <c r="L608" i="18"/>
  <c r="J108" i="17"/>
  <c r="J1094" i="18"/>
  <c r="F1094" i="18"/>
  <c r="E1094" i="18"/>
  <c r="H1041" i="18"/>
  <c r="E2110" i="18"/>
  <c r="H2110" i="18"/>
  <c r="F2110" i="18"/>
  <c r="AB54" i="19"/>
  <c r="C54" i="19"/>
  <c r="AB46" i="19"/>
  <c r="C46" i="19"/>
  <c r="AB52" i="19"/>
  <c r="C52" i="19"/>
  <c r="C56" i="19"/>
  <c r="I393" i="18"/>
  <c r="J393" i="18"/>
  <c r="J392" i="18"/>
  <c r="H81" i="17"/>
  <c r="I225" i="18"/>
  <c r="J225" i="18"/>
  <c r="J224" i="18"/>
  <c r="H60" i="17"/>
  <c r="I361" i="18"/>
  <c r="J361" i="18"/>
  <c r="J360" i="18"/>
  <c r="H77" i="17"/>
  <c r="I625" i="18"/>
  <c r="J625" i="18"/>
  <c r="J624" i="18"/>
  <c r="H110" i="17"/>
  <c r="I657" i="18"/>
  <c r="J657" i="18"/>
  <c r="J656" i="18"/>
  <c r="H114" i="17"/>
  <c r="I609" i="18"/>
  <c r="J609" i="18"/>
  <c r="J608" i="18"/>
  <c r="H108" i="17"/>
  <c r="I601" i="18"/>
  <c r="J601" i="18"/>
  <c r="J600" i="18"/>
  <c r="H107" i="17"/>
  <c r="I753" i="18"/>
  <c r="I385" i="18"/>
  <c r="J385" i="18"/>
  <c r="J384" i="18"/>
  <c r="H80" i="17"/>
  <c r="I409" i="18"/>
  <c r="J409" i="18"/>
  <c r="J408" i="18"/>
  <c r="H83" i="17"/>
  <c r="I401" i="18"/>
  <c r="J401" i="18"/>
  <c r="J400" i="18"/>
  <c r="H82" i="17"/>
  <c r="I441" i="18"/>
  <c r="J441" i="18"/>
  <c r="J440" i="18"/>
  <c r="H87" i="17"/>
  <c r="I377" i="18"/>
  <c r="J377" i="18"/>
  <c r="J376" i="18"/>
  <c r="H79" i="17"/>
  <c r="I721" i="18"/>
  <c r="J721" i="18"/>
  <c r="J720" i="18"/>
  <c r="H122" i="17"/>
  <c r="F165" i="18"/>
  <c r="J2128" i="18"/>
  <c r="F2128" i="18"/>
  <c r="E2128" i="18"/>
  <c r="F149" i="18"/>
  <c r="H145" i="18"/>
  <c r="E145" i="18"/>
  <c r="K2114" i="18"/>
  <c r="K2127" i="18"/>
  <c r="K1153" i="18"/>
  <c r="K1198" i="18"/>
  <c r="K1172" i="18"/>
  <c r="K2133" i="18"/>
  <c r="E253" i="17"/>
  <c r="AA253" i="17"/>
  <c r="K217" i="18"/>
  <c r="L217" i="18"/>
  <c r="L216" i="18"/>
  <c r="J59" i="17"/>
  <c r="K529" i="18"/>
  <c r="L529" i="18"/>
  <c r="L528" i="18"/>
  <c r="J98" i="17"/>
  <c r="K449" i="18"/>
  <c r="L449" i="18"/>
  <c r="L448" i="18"/>
  <c r="J88" i="17"/>
  <c r="K297" i="18"/>
  <c r="L297" i="18"/>
  <c r="L296" i="18"/>
  <c r="J69" i="17"/>
  <c r="K593" i="18"/>
  <c r="L593" i="18"/>
  <c r="L592" i="18"/>
  <c r="J106" i="17"/>
  <c r="K577" i="18"/>
  <c r="L577" i="18"/>
  <c r="L576" i="18"/>
  <c r="J104" i="17"/>
  <c r="K313" i="18"/>
  <c r="L313" i="18"/>
  <c r="L312" i="18"/>
  <c r="J71" i="17"/>
  <c r="H1841" i="18"/>
  <c r="H65" i="18"/>
  <c r="E65" i="18"/>
  <c r="H1589" i="18"/>
  <c r="F1595" i="18"/>
  <c r="J2054" i="18"/>
  <c r="F2054" i="18"/>
  <c r="E2054" i="18"/>
  <c r="E1935" i="18"/>
  <c r="J1935" i="18"/>
  <c r="H1942" i="18"/>
  <c r="F1942" i="18"/>
  <c r="E1942" i="18"/>
  <c r="F1600" i="18"/>
  <c r="J1602" i="18"/>
  <c r="AB1602" i="18"/>
  <c r="AD1602" i="18"/>
  <c r="J897" i="18"/>
  <c r="E897" i="18"/>
  <c r="E153" i="18"/>
  <c r="H153" i="18"/>
  <c r="F147" i="17"/>
  <c r="G1304" i="18"/>
  <c r="G1907" i="18"/>
  <c r="G1867" i="18"/>
  <c r="G1846" i="18"/>
  <c r="G1324" i="18"/>
  <c r="G1888" i="18"/>
  <c r="J1613" i="18"/>
  <c r="F1613" i="18"/>
  <c r="E1613" i="18"/>
  <c r="B151" i="19"/>
  <c r="F1533" i="18"/>
  <c r="H1528" i="18"/>
  <c r="F269" i="17"/>
  <c r="J942" i="18"/>
  <c r="E942" i="18"/>
  <c r="J1161" i="18"/>
  <c r="E1161" i="18"/>
  <c r="F133" i="18"/>
  <c r="H987" i="18"/>
  <c r="E987" i="18"/>
  <c r="H1118" i="18"/>
  <c r="E56" i="19"/>
  <c r="E27" i="19"/>
  <c r="J4" i="17"/>
  <c r="AF54" i="19"/>
  <c r="E54" i="19"/>
  <c r="AF52" i="19"/>
  <c r="E52" i="19"/>
  <c r="AF46" i="19"/>
  <c r="E46" i="19"/>
  <c r="H1788" i="18"/>
  <c r="AD71" i="19"/>
  <c r="AF71" i="19"/>
  <c r="H1688" i="18"/>
  <c r="E1688" i="18"/>
  <c r="AD75" i="19"/>
  <c r="AF75" i="19"/>
  <c r="F21" i="18"/>
  <c r="H1862" i="18"/>
  <c r="E1179" i="18"/>
  <c r="J1179" i="18"/>
  <c r="H1743" i="18"/>
  <c r="F1748" i="18"/>
  <c r="F270" i="17"/>
  <c r="H1494" i="18"/>
  <c r="J1110" i="18"/>
  <c r="F1110" i="18"/>
  <c r="E1110" i="18"/>
  <c r="AD73" i="19"/>
  <c r="AF73" i="19"/>
  <c r="A73" i="19"/>
  <c r="J1794" i="18"/>
  <c r="AB1794" i="18"/>
  <c r="AD1794" i="18"/>
  <c r="F1793" i="18"/>
  <c r="H1070" i="18"/>
  <c r="J1142" i="18"/>
  <c r="E1142" i="18"/>
  <c r="H1921" i="18"/>
  <c r="F1921" i="18"/>
  <c r="E1921" i="18"/>
  <c r="J912" i="18"/>
  <c r="E912" i="18"/>
  <c r="F148" i="17"/>
  <c r="J932" i="18"/>
  <c r="E932" i="18"/>
  <c r="J877" i="18"/>
  <c r="E877" i="18"/>
  <c r="J1869" i="18"/>
  <c r="F1869" i="18"/>
  <c r="E1869" i="18"/>
  <c r="H141" i="18"/>
  <c r="E141" i="18"/>
  <c r="J882" i="18"/>
  <c r="E882" i="18"/>
  <c r="J2117" i="18"/>
  <c r="F2117" i="18"/>
  <c r="E2117" i="18"/>
  <c r="J937" i="18"/>
  <c r="E937" i="18"/>
  <c r="C166" i="19"/>
  <c r="AB164" i="19"/>
  <c r="C164" i="19"/>
  <c r="AB162" i="19"/>
  <c r="C162" i="19"/>
  <c r="AB23" i="19"/>
  <c r="C23" i="19"/>
  <c r="C25" i="19"/>
  <c r="J892" i="18"/>
  <c r="E892" i="18"/>
  <c r="AD46" i="19"/>
  <c r="D46" i="19"/>
  <c r="AD50" i="19"/>
  <c r="F189" i="18"/>
  <c r="H1042" i="18"/>
  <c r="E25" i="19"/>
  <c r="E4" i="19"/>
  <c r="J3" i="17"/>
  <c r="AF23" i="19"/>
  <c r="E23" i="19"/>
  <c r="F1755" i="18"/>
  <c r="H1750" i="18"/>
  <c r="AB1568" i="18"/>
  <c r="AD1568" i="18"/>
  <c r="J1568" i="18"/>
  <c r="F1566" i="18"/>
  <c r="F161" i="18"/>
  <c r="F121" i="18"/>
  <c r="H817" i="18"/>
  <c r="J1077" i="18"/>
  <c r="F1077" i="18"/>
  <c r="E1077" i="18"/>
  <c r="J1156" i="18"/>
  <c r="F1156" i="18"/>
  <c r="E1156" i="18"/>
  <c r="H85" i="18"/>
  <c r="E85" i="18"/>
  <c r="F125" i="18"/>
  <c r="E1956" i="18"/>
  <c r="J1956" i="18"/>
  <c r="H1984" i="18"/>
  <c r="F1984" i="18"/>
  <c r="E1984" i="18"/>
  <c r="F57" i="18"/>
  <c r="J927" i="18"/>
  <c r="E927" i="18"/>
  <c r="H1012" i="18"/>
  <c r="E1012" i="18"/>
  <c r="E169" i="18"/>
  <c r="H169" i="18"/>
  <c r="J1175" i="18"/>
  <c r="F1175" i="18"/>
  <c r="E1175" i="18"/>
  <c r="AB1505" i="18"/>
  <c r="AD1505" i="18"/>
  <c r="F1504" i="18"/>
  <c r="J1505" i="18"/>
  <c r="E967" i="18"/>
  <c r="H967" i="18"/>
  <c r="J1909" i="18"/>
  <c r="F1909" i="18"/>
  <c r="E1909" i="18"/>
  <c r="H1757" i="18"/>
  <c r="F1762" i="18"/>
  <c r="E1612" i="18"/>
  <c r="J1612" i="18"/>
  <c r="J1991" i="18"/>
  <c r="F1991" i="18"/>
  <c r="E1991" i="18"/>
  <c r="F273" i="17"/>
  <c r="AB1774" i="18"/>
  <c r="AD1774" i="18"/>
  <c r="J1774" i="18"/>
  <c r="F1773" i="18"/>
  <c r="H117" i="18"/>
  <c r="E117" i="18"/>
  <c r="H1054" i="18"/>
  <c r="J2012" i="18"/>
  <c r="F2012" i="18"/>
  <c r="E2012" i="18"/>
  <c r="E992" i="18"/>
  <c r="H992" i="18"/>
  <c r="E5" i="18"/>
  <c r="H5" i="18"/>
  <c r="J2103" i="18"/>
  <c r="E2103" i="18"/>
  <c r="AB112" i="19"/>
  <c r="C112" i="19"/>
  <c r="C114" i="19"/>
  <c r="AB110" i="19"/>
  <c r="C110" i="19"/>
  <c r="F1732" i="18"/>
  <c r="J1734" i="18"/>
  <c r="AB1734" i="18"/>
  <c r="AD1734" i="18"/>
  <c r="H977" i="18"/>
  <c r="E977" i="18"/>
  <c r="E45" i="18"/>
  <c r="H45" i="18"/>
  <c r="H1184" i="18"/>
  <c r="H1178" i="18"/>
  <c r="B147" i="19"/>
  <c r="J1201" i="18"/>
  <c r="F1201" i="18"/>
  <c r="E1201" i="18"/>
  <c r="H2047" i="18"/>
  <c r="F2047" i="18"/>
  <c r="E2047" i="18"/>
  <c r="F157" i="17"/>
  <c r="H81" i="18"/>
  <c r="E81" i="18"/>
  <c r="E69" i="18"/>
  <c r="H69" i="18"/>
  <c r="J1970" i="18"/>
  <c r="F1970" i="18"/>
  <c r="E1970" i="18"/>
  <c r="J1998" i="18"/>
  <c r="E1998" i="18"/>
  <c r="E279" i="17"/>
  <c r="AA279" i="17"/>
  <c r="I1720" i="18"/>
  <c r="J917" i="18"/>
  <c r="E917" i="18"/>
  <c r="E1002" i="18"/>
  <c r="H1002" i="18"/>
  <c r="F144" i="17"/>
  <c r="H248" i="17"/>
  <c r="F1640" i="18"/>
  <c r="H137" i="18"/>
  <c r="E137" i="18"/>
  <c r="J2125" i="18"/>
  <c r="H284" i="17"/>
  <c r="J2033" i="18"/>
  <c r="F2033" i="18"/>
  <c r="E2033" i="18"/>
  <c r="F29" i="18"/>
  <c r="I1039" i="18"/>
  <c r="J1039" i="18"/>
  <c r="I1836" i="18"/>
  <c r="J1836" i="18"/>
  <c r="I1897" i="18"/>
  <c r="J1897" i="18"/>
  <c r="I1101" i="18"/>
  <c r="J1101" i="18"/>
  <c r="I1238" i="18"/>
  <c r="J1238" i="18"/>
  <c r="I1260" i="18"/>
  <c r="J1260" i="18"/>
  <c r="I2153" i="18"/>
  <c r="J2153" i="18"/>
  <c r="I2073" i="18"/>
  <c r="J2073" i="18"/>
  <c r="I1052" i="18"/>
  <c r="J1052" i="18"/>
  <c r="I1085" i="18"/>
  <c r="J1085" i="18"/>
  <c r="I1278" i="18"/>
  <c r="J1278" i="18"/>
  <c r="I1068" i="18"/>
  <c r="J1068" i="18"/>
  <c r="I2142" i="18"/>
  <c r="J2142" i="18"/>
  <c r="I1226" i="18"/>
  <c r="J1226" i="18"/>
  <c r="I1216" i="18"/>
  <c r="J1216" i="18"/>
  <c r="I1286" i="18"/>
  <c r="J1286" i="18"/>
  <c r="I1857" i="18"/>
  <c r="J1857" i="18"/>
  <c r="I1132" i="18"/>
  <c r="J1132" i="18"/>
  <c r="I1268" i="18"/>
  <c r="J1268" i="18"/>
  <c r="I1878" i="18"/>
  <c r="J1878" i="18"/>
  <c r="E982" i="18"/>
  <c r="H982" i="18"/>
  <c r="H1587" i="18"/>
  <c r="H1582" i="18"/>
  <c r="F1586" i="18"/>
  <c r="H1736" i="18"/>
  <c r="F1741" i="18"/>
  <c r="I1133" i="18"/>
  <c r="E247" i="17"/>
  <c r="AA247" i="17"/>
  <c r="H77" i="18"/>
  <c r="E77" i="18"/>
  <c r="J1727" i="18"/>
  <c r="AB1727" i="18"/>
  <c r="AD1727" i="18"/>
  <c r="F1725" i="18"/>
  <c r="L2089" i="18"/>
  <c r="E2089" i="18"/>
  <c r="H1482" i="18"/>
  <c r="E114" i="19"/>
  <c r="E83" i="19"/>
  <c r="J6" i="17"/>
  <c r="AF112" i="19"/>
  <c r="E112" i="19"/>
  <c r="AF110" i="19"/>
  <c r="E110" i="19"/>
  <c r="H1197" i="18"/>
  <c r="F1197" i="18"/>
  <c r="E1197" i="18"/>
  <c r="F9" i="18"/>
  <c r="H962" i="18"/>
  <c r="E962" i="18"/>
  <c r="J887" i="18"/>
  <c r="E887" i="18"/>
  <c r="E1007" i="18"/>
  <c r="H1007" i="18"/>
  <c r="AD162" i="19"/>
  <c r="D162" i="19"/>
  <c r="D166" i="19"/>
  <c r="D132" i="19"/>
  <c r="H8" i="17"/>
  <c r="AD164" i="19"/>
  <c r="D164" i="19"/>
  <c r="E947" i="18"/>
  <c r="H947" i="18"/>
  <c r="J1604" i="18"/>
  <c r="F1605" i="18"/>
  <c r="F2129" i="18"/>
  <c r="H2125" i="18"/>
  <c r="F185" i="18"/>
  <c r="AD112" i="19"/>
  <c r="D112" i="19"/>
  <c r="AD110" i="19"/>
  <c r="D110" i="19"/>
  <c r="D114" i="19"/>
  <c r="D83" i="19"/>
  <c r="H6" i="17"/>
  <c r="L788" i="18"/>
  <c r="L795" i="18"/>
  <c r="H1693" i="18"/>
  <c r="E1693" i="18"/>
  <c r="G835" i="18"/>
  <c r="G799" i="18"/>
  <c r="G1498" i="18"/>
  <c r="G853" i="18"/>
  <c r="G1486" i="18"/>
  <c r="G841" i="18"/>
  <c r="G871" i="18"/>
  <c r="G829" i="18"/>
  <c r="G859" i="18"/>
  <c r="H1776" i="18"/>
  <c r="F1781" i="18"/>
  <c r="J1061" i="18"/>
  <c r="F1061" i="18"/>
  <c r="E1061" i="18"/>
  <c r="G1209" i="18"/>
  <c r="E172" i="17"/>
  <c r="AA172" i="17"/>
  <c r="H1883" i="18"/>
  <c r="F25" i="18"/>
  <c r="H1700" i="18"/>
  <c r="F1707" i="18"/>
  <c r="E105" i="18"/>
  <c r="H105" i="18"/>
  <c r="J1949" i="18"/>
  <c r="F1949" i="18"/>
  <c r="E1949" i="18"/>
  <c r="J2019" i="18"/>
  <c r="E2019" i="18"/>
  <c r="H2026" i="18"/>
  <c r="F2026" i="18"/>
  <c r="E2026" i="18"/>
  <c r="J902" i="18"/>
  <c r="E902" i="18"/>
  <c r="F49" i="18"/>
  <c r="E2134" i="18"/>
  <c r="J2134" i="18"/>
  <c r="F2134" i="18"/>
  <c r="H1103" i="18"/>
  <c r="H1963" i="18"/>
  <c r="F1963" i="18"/>
  <c r="E1963" i="18"/>
  <c r="H952" i="18"/>
  <c r="E952" i="18"/>
  <c r="H73" i="18"/>
  <c r="E73" i="18"/>
  <c r="H129" i="18"/>
  <c r="E129" i="18"/>
  <c r="H2005" i="18"/>
  <c r="F2005" i="18"/>
  <c r="E2005" i="18"/>
  <c r="H1112" i="18"/>
  <c r="AB1768" i="18"/>
  <c r="AD1768" i="18"/>
  <c r="J1768" i="18"/>
  <c r="F1767" i="18"/>
  <c r="J1120" i="18"/>
  <c r="E1120" i="18"/>
  <c r="H61" i="18"/>
  <c r="E61" i="18"/>
  <c r="AD23" i="19"/>
  <c r="D23" i="19"/>
  <c r="D25" i="19"/>
  <c r="D4" i="19"/>
  <c r="H3" i="17"/>
  <c r="K1249" i="18"/>
  <c r="L1249" i="18"/>
  <c r="L1247" i="18"/>
  <c r="J190" i="17"/>
  <c r="K1253" i="18"/>
  <c r="L1253" i="18"/>
  <c r="L1251" i="18"/>
  <c r="J191" i="17"/>
  <c r="K1230" i="18"/>
  <c r="L1230" i="18"/>
  <c r="K1032" i="18"/>
  <c r="L1032" i="18"/>
  <c r="K1698" i="18"/>
  <c r="L1698" i="18"/>
  <c r="L1696" i="18"/>
  <c r="J259" i="17"/>
  <c r="H972" i="18"/>
  <c r="E972" i="18"/>
  <c r="F152" i="17"/>
  <c r="E166" i="19"/>
  <c r="E132" i="19"/>
  <c r="J8" i="17"/>
  <c r="AF164" i="19"/>
  <c r="E164" i="19"/>
  <c r="AF162" i="19"/>
  <c r="E162" i="19"/>
  <c r="E109" i="18"/>
  <c r="H109" i="18"/>
  <c r="J1114" i="18"/>
  <c r="E1114" i="18"/>
  <c r="F181" i="18"/>
  <c r="H177" i="18"/>
  <c r="E177" i="18"/>
  <c r="B101" i="19"/>
  <c r="J2040" i="18"/>
  <c r="E2040" i="18"/>
  <c r="I2140" i="18"/>
  <c r="J2140" i="18"/>
  <c r="I1266" i="18"/>
  <c r="J1266" i="18"/>
  <c r="I1284" i="18"/>
  <c r="J1284" i="18"/>
  <c r="I1208" i="18"/>
  <c r="J1208" i="18"/>
  <c r="I2151" i="18"/>
  <c r="J2151" i="18"/>
  <c r="I1276" i="18"/>
  <c r="J1276" i="18"/>
  <c r="I1214" i="18"/>
  <c r="J1214" i="18"/>
  <c r="I1258" i="18"/>
  <c r="J1258" i="18"/>
  <c r="I2071" i="18"/>
  <c r="J2071" i="18"/>
  <c r="I1224" i="18"/>
  <c r="J1224" i="18"/>
  <c r="I1236" i="18"/>
  <c r="J1236" i="18"/>
  <c r="J1570" i="18"/>
  <c r="F1571" i="18"/>
  <c r="C116" i="19"/>
  <c r="F7" i="17"/>
  <c r="B130" i="19"/>
  <c r="F2135" i="18"/>
  <c r="H2131" i="18"/>
  <c r="F156" i="17"/>
  <c r="F37" i="18"/>
  <c r="E1719" i="18"/>
  <c r="H1719" i="18"/>
  <c r="H1513" i="18"/>
  <c r="F1519" i="18"/>
  <c r="J1977" i="18"/>
  <c r="E1977" i="18"/>
  <c r="H997" i="18"/>
  <c r="E997" i="18"/>
  <c r="F89" i="18"/>
  <c r="J1526" i="18"/>
  <c r="F1525" i="18"/>
  <c r="AB1526" i="18"/>
  <c r="AD1526" i="18"/>
  <c r="J803" i="18"/>
  <c r="F805" i="18"/>
  <c r="F113" i="18"/>
  <c r="J1914" i="18"/>
  <c r="E1914" i="18"/>
  <c r="E1168" i="18"/>
  <c r="H1168" i="18"/>
  <c r="F1168" i="18"/>
  <c r="F922" i="18"/>
  <c r="H920" i="18"/>
  <c r="H823" i="18"/>
  <c r="H1087" i="18"/>
  <c r="E957" i="18"/>
  <c r="H957" i="18"/>
  <c r="F145" i="17"/>
  <c r="J1848" i="18"/>
  <c r="F1848" i="18"/>
  <c r="E1848" i="18"/>
  <c r="H1902" i="18"/>
  <c r="F17" i="18"/>
  <c r="H93" i="18"/>
  <c r="E93" i="18"/>
  <c r="J1928" i="18"/>
  <c r="F1928" i="18"/>
  <c r="E1928" i="18"/>
  <c r="E97" i="18"/>
  <c r="H97" i="18"/>
  <c r="E1149" i="18"/>
  <c r="H1149" i="18"/>
  <c r="F1149" i="18"/>
  <c r="J907" i="18"/>
  <c r="E907" i="18"/>
  <c r="F1716" i="18"/>
  <c r="H1709" i="18"/>
  <c r="I1470" i="18"/>
  <c r="J1470" i="18"/>
  <c r="J1468" i="18"/>
  <c r="H217" i="17"/>
  <c r="I847" i="18"/>
  <c r="J847" i="18"/>
  <c r="J845" i="18"/>
  <c r="H139" i="17"/>
  <c r="I521" i="18"/>
  <c r="J521" i="18"/>
  <c r="J520" i="18"/>
  <c r="H97" i="17"/>
  <c r="I457" i="18"/>
  <c r="J457" i="18"/>
  <c r="J456" i="18"/>
  <c r="H89" i="17"/>
  <c r="I641" i="18"/>
  <c r="J641" i="18"/>
  <c r="J640" i="18"/>
  <c r="H112" i="17"/>
  <c r="I209" i="18"/>
  <c r="J209" i="18"/>
  <c r="J208" i="18"/>
  <c r="H58" i="17"/>
  <c r="I417" i="18"/>
  <c r="J417" i="18"/>
  <c r="J416" i="18"/>
  <c r="H84" i="17"/>
  <c r="I425" i="18"/>
  <c r="J425" i="18"/>
  <c r="J424" i="18"/>
  <c r="H85" i="17"/>
  <c r="I737" i="18"/>
  <c r="J737" i="18"/>
  <c r="J736" i="18"/>
  <c r="H124" i="17"/>
  <c r="I433" i="18"/>
  <c r="J433" i="18"/>
  <c r="J432" i="18"/>
  <c r="H86" i="17"/>
  <c r="I771" i="18"/>
  <c r="I665" i="18"/>
  <c r="J665" i="18"/>
  <c r="J664" i="18"/>
  <c r="H115" i="17"/>
  <c r="I193" i="18"/>
  <c r="J193" i="18"/>
  <c r="J192" i="18"/>
  <c r="H56" i="17"/>
  <c r="I465" i="18"/>
  <c r="J465" i="18"/>
  <c r="J464" i="18"/>
  <c r="H90" i="17"/>
  <c r="I233" i="18"/>
  <c r="J233" i="18"/>
  <c r="J232" i="18"/>
  <c r="H61" i="17"/>
  <c r="I497" i="18"/>
  <c r="J497" i="18"/>
  <c r="J496" i="18"/>
  <c r="H94" i="17"/>
  <c r="I265" i="18"/>
  <c r="J265" i="18"/>
  <c r="J264" i="18"/>
  <c r="H65" i="17"/>
  <c r="I553" i="18"/>
  <c r="J553" i="18"/>
  <c r="J552" i="18"/>
  <c r="H101" i="17"/>
  <c r="I673" i="18"/>
  <c r="J673" i="18"/>
  <c r="J672" i="18"/>
  <c r="H116" i="17"/>
  <c r="I241" i="18"/>
  <c r="J241" i="18"/>
  <c r="J240" i="18"/>
  <c r="H62" i="17"/>
  <c r="I705" i="18"/>
  <c r="J705" i="18"/>
  <c r="J704" i="18"/>
  <c r="H120" i="17"/>
  <c r="I281" i="18"/>
  <c r="J281" i="18"/>
  <c r="J280" i="18"/>
  <c r="H67" i="17"/>
  <c r="I201" i="18"/>
  <c r="J201" i="18"/>
  <c r="J200" i="18"/>
  <c r="H57" i="17"/>
  <c r="I617" i="18"/>
  <c r="J617" i="18"/>
  <c r="J616" i="18"/>
  <c r="H109" i="17"/>
  <c r="I249" i="18"/>
  <c r="J249" i="18"/>
  <c r="J248" i="18"/>
  <c r="H63" i="17"/>
  <c r="I780" i="18"/>
  <c r="F185" i="17"/>
  <c r="F1120" i="18"/>
  <c r="J925" i="18"/>
  <c r="F927" i="18"/>
  <c r="F2040" i="18"/>
  <c r="H835" i="18"/>
  <c r="H1160" i="18"/>
  <c r="J895" i="18"/>
  <c r="F897" i="18"/>
  <c r="J1764" i="18"/>
  <c r="F1768" i="18"/>
  <c r="F1998" i="18"/>
  <c r="F145" i="18"/>
  <c r="F1693" i="18"/>
  <c r="H1691" i="18"/>
  <c r="I2036" i="18"/>
  <c r="J2036" i="18"/>
  <c r="I2015" i="18"/>
  <c r="J2015" i="18"/>
  <c r="I2057" i="18"/>
  <c r="J2057" i="18"/>
  <c r="I1994" i="18"/>
  <c r="J1994" i="18"/>
  <c r="I2120" i="18"/>
  <c r="J2120" i="18"/>
  <c r="I1952" i="18"/>
  <c r="J1952" i="18"/>
  <c r="I1973" i="18"/>
  <c r="J1973" i="18"/>
  <c r="I1931" i="18"/>
  <c r="J1931" i="18"/>
  <c r="F1743" i="18"/>
  <c r="F266" i="17"/>
  <c r="H1686" i="18"/>
  <c r="F1688" i="18"/>
  <c r="H1888" i="18"/>
  <c r="H236" i="17"/>
  <c r="F1570" i="18"/>
  <c r="F180" i="17"/>
  <c r="G1493" i="18"/>
  <c r="I1037" i="18"/>
  <c r="J1037" i="18"/>
  <c r="I1127" i="18"/>
  <c r="J1127" i="18"/>
  <c r="I1026" i="18"/>
  <c r="J1026" i="18"/>
  <c r="I1319" i="18"/>
  <c r="J1319" i="18"/>
  <c r="I1855" i="18"/>
  <c r="J1855" i="18"/>
  <c r="I1299" i="18"/>
  <c r="J1299" i="18"/>
  <c r="I1050" i="18"/>
  <c r="J1050" i="18"/>
  <c r="I1309" i="18"/>
  <c r="J1309" i="18"/>
  <c r="I1895" i="18"/>
  <c r="J1895" i="18"/>
  <c r="I1083" i="18"/>
  <c r="J1083" i="18"/>
  <c r="I1235" i="18"/>
  <c r="J1235" i="18"/>
  <c r="I1834" i="18"/>
  <c r="J1834" i="18"/>
  <c r="I1329" i="18"/>
  <c r="J1329" i="18"/>
  <c r="I1099" i="18"/>
  <c r="J1099" i="18"/>
  <c r="I2070" i="18"/>
  <c r="J2070" i="18"/>
  <c r="I1876" i="18"/>
  <c r="J1876" i="18"/>
  <c r="I1066" i="18"/>
  <c r="J1066" i="18"/>
  <c r="F177" i="18"/>
  <c r="D56" i="19"/>
  <c r="D27" i="19"/>
  <c r="H4" i="17"/>
  <c r="AD54" i="19"/>
  <c r="D54" i="19"/>
  <c r="AD52" i="19"/>
  <c r="D52" i="19"/>
  <c r="B52" i="19"/>
  <c r="F141" i="18"/>
  <c r="C71" i="19"/>
  <c r="B71" i="19"/>
  <c r="AH71" i="19"/>
  <c r="F97" i="18"/>
  <c r="F1935" i="18"/>
  <c r="H132" i="17"/>
  <c r="E132" i="17"/>
  <c r="AA132" i="17"/>
  <c r="F803" i="18"/>
  <c r="J1722" i="18"/>
  <c r="F1727" i="18"/>
  <c r="F129" i="18"/>
  <c r="H829" i="18"/>
  <c r="B110" i="19"/>
  <c r="C83" i="19"/>
  <c r="F6" i="17"/>
  <c r="B114" i="19"/>
  <c r="C4" i="19"/>
  <c r="F3" i="17"/>
  <c r="B25" i="19"/>
  <c r="AH73" i="19"/>
  <c r="D73" i="19"/>
  <c r="B73" i="19"/>
  <c r="J1521" i="18"/>
  <c r="F1526" i="18"/>
  <c r="F109" i="18"/>
  <c r="J2131" i="18"/>
  <c r="H285" i="17"/>
  <c r="I2122" i="18"/>
  <c r="J2122" i="18"/>
  <c r="H871" i="18"/>
  <c r="B112" i="19"/>
  <c r="J1563" i="18"/>
  <c r="F1568" i="18"/>
  <c r="J940" i="18"/>
  <c r="F942" i="18"/>
  <c r="L2133" i="18"/>
  <c r="E2133" i="18"/>
  <c r="C27" i="19"/>
  <c r="F4" i="17"/>
  <c r="F93" i="18"/>
  <c r="F260" i="17"/>
  <c r="F1700" i="18"/>
  <c r="H841" i="18"/>
  <c r="B162" i="19"/>
  <c r="F239" i="17"/>
  <c r="F1589" i="18"/>
  <c r="L1172" i="18"/>
  <c r="E1172" i="18"/>
  <c r="E1209" i="18"/>
  <c r="H1209" i="18"/>
  <c r="F1209" i="18"/>
  <c r="J1597" i="18"/>
  <c r="F1602" i="18"/>
  <c r="J753" i="18"/>
  <c r="I762" i="18"/>
  <c r="J762" i="18"/>
  <c r="I754" i="18"/>
  <c r="F992" i="18"/>
  <c r="H990" i="18"/>
  <c r="K1244" i="18"/>
  <c r="L1244" i="18"/>
  <c r="K2081" i="18"/>
  <c r="L2081" i="18"/>
  <c r="F238" i="17"/>
  <c r="F1582" i="18"/>
  <c r="J885" i="18"/>
  <c r="F887" i="18"/>
  <c r="F1734" i="18"/>
  <c r="J1729" i="18"/>
  <c r="H859" i="18"/>
  <c r="H960" i="18"/>
  <c r="F962" i="18"/>
  <c r="F1757" i="18"/>
  <c r="F268" i="17"/>
  <c r="B23" i="19"/>
  <c r="K1853" i="18"/>
  <c r="L1853" i="18"/>
  <c r="K1097" i="18"/>
  <c r="L1097" i="18"/>
  <c r="K1317" i="18"/>
  <c r="L1317" i="18"/>
  <c r="K2068" i="18"/>
  <c r="L2068" i="18"/>
  <c r="K1233" i="18"/>
  <c r="L1233" i="18"/>
  <c r="K1081" i="18"/>
  <c r="L1081" i="18"/>
  <c r="K1307" i="18"/>
  <c r="L1307" i="18"/>
  <c r="K1874" i="18"/>
  <c r="L1874" i="18"/>
  <c r="K1274" i="18"/>
  <c r="L1274" i="18"/>
  <c r="K1048" i="18"/>
  <c r="L1048" i="18"/>
  <c r="K1832" i="18"/>
  <c r="L1832" i="18"/>
  <c r="K1064" i="18"/>
  <c r="L1064" i="18"/>
  <c r="K1212" i="18"/>
  <c r="L1212" i="18"/>
  <c r="K1035" i="18"/>
  <c r="L1035" i="18"/>
  <c r="K1256" i="18"/>
  <c r="L1256" i="18"/>
  <c r="K1125" i="18"/>
  <c r="L1125" i="18"/>
  <c r="K1893" i="18"/>
  <c r="L1893" i="18"/>
  <c r="K1282" i="18"/>
  <c r="L1282" i="18"/>
  <c r="K1206" i="18"/>
  <c r="L1206" i="18"/>
  <c r="K1327" i="18"/>
  <c r="L1327" i="18"/>
  <c r="K2138" i="18"/>
  <c r="L2138" i="18"/>
  <c r="K1297" i="18"/>
  <c r="L1297" i="18"/>
  <c r="K1264" i="18"/>
  <c r="L1264" i="18"/>
  <c r="K1024" i="18"/>
  <c r="L1024" i="18"/>
  <c r="K1222" i="18"/>
  <c r="L1222" i="18"/>
  <c r="K2149" i="18"/>
  <c r="L2149" i="18"/>
  <c r="G1497" i="18"/>
  <c r="G1481" i="18"/>
  <c r="L1198" i="18"/>
  <c r="E1198" i="18"/>
  <c r="B46" i="19"/>
  <c r="K781" i="18"/>
  <c r="L781" i="18"/>
  <c r="L780" i="18"/>
  <c r="L779" i="18"/>
  <c r="L786" i="18"/>
  <c r="L771" i="18"/>
  <c r="K772" i="18"/>
  <c r="L772" i="18"/>
  <c r="B116" i="19"/>
  <c r="Y116" i="19"/>
  <c r="J900" i="18"/>
  <c r="F902" i="18"/>
  <c r="H799" i="18"/>
  <c r="J1770" i="18"/>
  <c r="F1774" i="18"/>
  <c r="K106" i="18"/>
  <c r="L106" i="18"/>
  <c r="L104" i="18"/>
  <c r="J34" i="17"/>
  <c r="K178" i="18"/>
  <c r="L178" i="18"/>
  <c r="L176" i="18"/>
  <c r="J52" i="17"/>
  <c r="K170" i="18"/>
  <c r="L170" i="18"/>
  <c r="L168" i="18"/>
  <c r="J50" i="17"/>
  <c r="K90" i="18"/>
  <c r="L90" i="18"/>
  <c r="L88" i="18"/>
  <c r="J30" i="17"/>
  <c r="K98" i="18"/>
  <c r="L98" i="18"/>
  <c r="L96" i="18"/>
  <c r="J32" i="17"/>
  <c r="K42" i="18"/>
  <c r="L42" i="18"/>
  <c r="L40" i="18"/>
  <c r="J18" i="17"/>
  <c r="K114" i="18"/>
  <c r="L114" i="18"/>
  <c r="L112" i="18"/>
  <c r="J36" i="17"/>
  <c r="K82" i="18"/>
  <c r="L82" i="18"/>
  <c r="L80" i="18"/>
  <c r="J28" i="17"/>
  <c r="K186" i="18"/>
  <c r="L186" i="18"/>
  <c r="L184" i="18"/>
  <c r="J54" i="17"/>
  <c r="K102" i="18"/>
  <c r="L102" i="18"/>
  <c r="L100" i="18"/>
  <c r="J33" i="17"/>
  <c r="K34" i="18"/>
  <c r="L34" i="18"/>
  <c r="L32" i="18"/>
  <c r="J16" i="17"/>
  <c r="K122" i="18"/>
  <c r="L122" i="18"/>
  <c r="L120" i="18"/>
  <c r="J38" i="17"/>
  <c r="K62" i="18"/>
  <c r="L62" i="18"/>
  <c r="L60" i="18"/>
  <c r="J23" i="17"/>
  <c r="K142" i="18"/>
  <c r="L142" i="18"/>
  <c r="L140" i="18"/>
  <c r="J43" i="17"/>
  <c r="K26" i="18"/>
  <c r="L26" i="18"/>
  <c r="L24" i="18"/>
  <c r="J14" i="17"/>
  <c r="K30" i="18"/>
  <c r="L30" i="18"/>
  <c r="L28" i="18"/>
  <c r="J15" i="17"/>
  <c r="K110" i="18"/>
  <c r="L110" i="18"/>
  <c r="L108" i="18"/>
  <c r="J35" i="17"/>
  <c r="K14" i="18"/>
  <c r="L14" i="18"/>
  <c r="L12" i="18"/>
  <c r="J11" i="17"/>
  <c r="K50" i="18"/>
  <c r="L50" i="18"/>
  <c r="L48" i="18"/>
  <c r="J20" i="17"/>
  <c r="K118" i="18"/>
  <c r="L118" i="18"/>
  <c r="L116" i="18"/>
  <c r="J37" i="17"/>
  <c r="K150" i="18"/>
  <c r="L150" i="18"/>
  <c r="L148" i="18"/>
  <c r="J45" i="17"/>
  <c r="K130" i="18"/>
  <c r="L130" i="18"/>
  <c r="L128" i="18"/>
  <c r="J40" i="17"/>
  <c r="K38" i="18"/>
  <c r="L38" i="18"/>
  <c r="L36" i="18"/>
  <c r="J17" i="17"/>
  <c r="K66" i="18"/>
  <c r="L66" i="18"/>
  <c r="L64" i="18"/>
  <c r="J24" i="17"/>
  <c r="K174" i="18"/>
  <c r="L174" i="18"/>
  <c r="L172" i="18"/>
  <c r="J51" i="17"/>
  <c r="K190" i="18"/>
  <c r="L190" i="18"/>
  <c r="L188" i="18"/>
  <c r="K162" i="18"/>
  <c r="L162" i="18"/>
  <c r="L160" i="18"/>
  <c r="J48" i="17"/>
  <c r="K158" i="18"/>
  <c r="L158" i="18"/>
  <c r="L156" i="18"/>
  <c r="J47" i="17"/>
  <c r="K134" i="18"/>
  <c r="L134" i="18"/>
  <c r="L132" i="18"/>
  <c r="J41" i="17"/>
  <c r="K18" i="18"/>
  <c r="L18" i="18"/>
  <c r="L16" i="18"/>
  <c r="J12" i="17"/>
  <c r="K78" i="18"/>
  <c r="L78" i="18"/>
  <c r="L76" i="18"/>
  <c r="J27" i="17"/>
  <c r="K154" i="18"/>
  <c r="L154" i="18"/>
  <c r="L152" i="18"/>
  <c r="J46" i="17"/>
  <c r="K182" i="18"/>
  <c r="L182" i="18"/>
  <c r="L180" i="18"/>
  <c r="J53" i="17"/>
  <c r="K166" i="18"/>
  <c r="L166" i="18"/>
  <c r="L164" i="18"/>
  <c r="J49" i="17"/>
  <c r="K54" i="18"/>
  <c r="L54" i="18"/>
  <c r="L52" i="18"/>
  <c r="J21" i="17"/>
  <c r="K126" i="18"/>
  <c r="L126" i="18"/>
  <c r="L124" i="18"/>
  <c r="J39" i="17"/>
  <c r="K146" i="18"/>
  <c r="L146" i="18"/>
  <c r="L144" i="18"/>
  <c r="J44" i="17"/>
  <c r="K94" i="18"/>
  <c r="L94" i="18"/>
  <c r="L92" i="18"/>
  <c r="J31" i="17"/>
  <c r="K6" i="18"/>
  <c r="L6" i="18"/>
  <c r="L4" i="18"/>
  <c r="J9" i="17"/>
  <c r="K86" i="18"/>
  <c r="L86" i="18"/>
  <c r="L84" i="18"/>
  <c r="J29" i="17"/>
  <c r="K58" i="18"/>
  <c r="L58" i="18"/>
  <c r="L56" i="18"/>
  <c r="J22" i="17"/>
  <c r="K10" i="18"/>
  <c r="L10" i="18"/>
  <c r="L8" i="18"/>
  <c r="J10" i="17"/>
  <c r="K70" i="18"/>
  <c r="L70" i="18"/>
  <c r="L68" i="18"/>
  <c r="J25" i="17"/>
  <c r="K74" i="18"/>
  <c r="L74" i="18"/>
  <c r="L72" i="18"/>
  <c r="J26" i="17"/>
  <c r="K138" i="18"/>
  <c r="L138" i="18"/>
  <c r="L136" i="18"/>
  <c r="J42" i="17"/>
  <c r="K46" i="18"/>
  <c r="L46" i="18"/>
  <c r="L44" i="18"/>
  <c r="J19" i="17"/>
  <c r="K22" i="18"/>
  <c r="L22" i="18"/>
  <c r="L20" i="18"/>
  <c r="J13" i="17"/>
  <c r="G1485" i="18"/>
  <c r="L2114" i="18"/>
  <c r="E2114" i="18"/>
  <c r="J1500" i="18"/>
  <c r="F1505" i="18"/>
  <c r="I2080" i="18"/>
  <c r="J2080" i="18"/>
  <c r="I1243" i="18"/>
  <c r="J1243" i="18"/>
  <c r="F45" i="18"/>
  <c r="J905" i="18"/>
  <c r="F907" i="18"/>
  <c r="F1914" i="18"/>
  <c r="F972" i="18"/>
  <c r="H970" i="18"/>
  <c r="J7" i="30"/>
  <c r="J130" i="17"/>
  <c r="F265" i="17"/>
  <c r="F1736" i="18"/>
  <c r="J880" i="18"/>
  <c r="F882" i="18"/>
  <c r="H1324" i="18"/>
  <c r="L2085" i="18"/>
  <c r="F2089" i="18"/>
  <c r="F137" i="18"/>
  <c r="F977" i="18"/>
  <c r="H975" i="18"/>
  <c r="F1956" i="18"/>
  <c r="H1846" i="18"/>
  <c r="F957" i="18"/>
  <c r="H955" i="18"/>
  <c r="F271" i="17"/>
  <c r="F1776" i="18"/>
  <c r="F1719" i="18"/>
  <c r="H1718" i="18"/>
  <c r="F105" i="18"/>
  <c r="F9" i="30"/>
  <c r="E9" i="30"/>
  <c r="AA9" i="30"/>
  <c r="F1587" i="18"/>
  <c r="I146" i="18"/>
  <c r="J146" i="18"/>
  <c r="J144" i="18"/>
  <c r="H44" i="17"/>
  <c r="I94" i="18"/>
  <c r="J94" i="18"/>
  <c r="J92" i="18"/>
  <c r="H31" i="17"/>
  <c r="I70" i="18"/>
  <c r="J70" i="18"/>
  <c r="J68" i="18"/>
  <c r="H25" i="17"/>
  <c r="I50" i="18"/>
  <c r="J50" i="18"/>
  <c r="J48" i="18"/>
  <c r="H20" i="17"/>
  <c r="I158" i="18"/>
  <c r="J158" i="18"/>
  <c r="J156" i="18"/>
  <c r="H47" i="17"/>
  <c r="I98" i="18"/>
  <c r="J98" i="18"/>
  <c r="J96" i="18"/>
  <c r="H32" i="17"/>
  <c r="I138" i="18"/>
  <c r="J138" i="18"/>
  <c r="J136" i="18"/>
  <c r="H42" i="17"/>
  <c r="I102" i="18"/>
  <c r="J102" i="18"/>
  <c r="J100" i="18"/>
  <c r="H33" i="17"/>
  <c r="I22" i="18"/>
  <c r="J22" i="18"/>
  <c r="J20" i="18"/>
  <c r="H13" i="17"/>
  <c r="I174" i="18"/>
  <c r="J174" i="18"/>
  <c r="J172" i="18"/>
  <c r="H51" i="17"/>
  <c r="I182" i="18"/>
  <c r="J182" i="18"/>
  <c r="J180" i="18"/>
  <c r="H53" i="17"/>
  <c r="I18" i="18"/>
  <c r="J18" i="18"/>
  <c r="J16" i="18"/>
  <c r="H12" i="17"/>
  <c r="I58" i="18"/>
  <c r="J58" i="18"/>
  <c r="J56" i="18"/>
  <c r="H22" i="17"/>
  <c r="I82" i="18"/>
  <c r="J82" i="18"/>
  <c r="J80" i="18"/>
  <c r="H28" i="17"/>
  <c r="I86" i="18"/>
  <c r="J86" i="18"/>
  <c r="J84" i="18"/>
  <c r="H29" i="17"/>
  <c r="I54" i="18"/>
  <c r="J54" i="18"/>
  <c r="J52" i="18"/>
  <c r="H21" i="17"/>
  <c r="I150" i="18"/>
  <c r="J150" i="18"/>
  <c r="J148" i="18"/>
  <c r="H45" i="17"/>
  <c r="I190" i="18"/>
  <c r="J190" i="18"/>
  <c r="J188" i="18"/>
  <c r="H55" i="17"/>
  <c r="I42" i="18"/>
  <c r="J42" i="18"/>
  <c r="J40" i="18"/>
  <c r="H18" i="17"/>
  <c r="I130" i="18"/>
  <c r="J130" i="18"/>
  <c r="J128" i="18"/>
  <c r="H40" i="17"/>
  <c r="I66" i="18"/>
  <c r="J66" i="18"/>
  <c r="J64" i="18"/>
  <c r="H24" i="17"/>
  <c r="I166" i="18"/>
  <c r="J166" i="18"/>
  <c r="J164" i="18"/>
  <c r="H49" i="17"/>
  <c r="I162" i="18"/>
  <c r="J162" i="18"/>
  <c r="J160" i="18"/>
  <c r="H48" i="17"/>
  <c r="I134" i="18"/>
  <c r="J134" i="18"/>
  <c r="J132" i="18"/>
  <c r="H41" i="17"/>
  <c r="I62" i="18"/>
  <c r="J62" i="18"/>
  <c r="J60" i="18"/>
  <c r="H23" i="17"/>
  <c r="I74" i="18"/>
  <c r="J74" i="18"/>
  <c r="J72" i="18"/>
  <c r="H26" i="17"/>
  <c r="I34" i="18"/>
  <c r="J34" i="18"/>
  <c r="J32" i="18"/>
  <c r="H16" i="17"/>
  <c r="I106" i="18"/>
  <c r="J106" i="18"/>
  <c r="J104" i="18"/>
  <c r="H34" i="17"/>
  <c r="I126" i="18"/>
  <c r="J126" i="18"/>
  <c r="J124" i="18"/>
  <c r="H39" i="17"/>
  <c r="I90" i="18"/>
  <c r="J90" i="18"/>
  <c r="J88" i="18"/>
  <c r="H30" i="17"/>
  <c r="I110" i="18"/>
  <c r="J110" i="18"/>
  <c r="J108" i="18"/>
  <c r="H35" i="17"/>
  <c r="I122" i="18"/>
  <c r="J122" i="18"/>
  <c r="J120" i="18"/>
  <c r="H38" i="17"/>
  <c r="I178" i="18"/>
  <c r="J178" i="18"/>
  <c r="J176" i="18"/>
  <c r="H52" i="17"/>
  <c r="I78" i="18"/>
  <c r="J78" i="18"/>
  <c r="J76" i="18"/>
  <c r="H27" i="17"/>
  <c r="I6" i="18"/>
  <c r="J6" i="18"/>
  <c r="J4" i="18"/>
  <c r="H9" i="17"/>
  <c r="I142" i="18"/>
  <c r="J142" i="18"/>
  <c r="J140" i="18"/>
  <c r="H43" i="17"/>
  <c r="I170" i="18"/>
  <c r="J170" i="18"/>
  <c r="J168" i="18"/>
  <c r="H50" i="17"/>
  <c r="I26" i="18"/>
  <c r="J26" i="18"/>
  <c r="J24" i="18"/>
  <c r="H14" i="17"/>
  <c r="I38" i="18"/>
  <c r="J38" i="18"/>
  <c r="J36" i="18"/>
  <c r="H17" i="17"/>
  <c r="I10" i="18"/>
  <c r="J10" i="18"/>
  <c r="J8" i="18"/>
  <c r="H10" i="17"/>
  <c r="I118" i="18"/>
  <c r="J118" i="18"/>
  <c r="J116" i="18"/>
  <c r="H37" i="17"/>
  <c r="I154" i="18"/>
  <c r="J154" i="18"/>
  <c r="J152" i="18"/>
  <c r="H46" i="17"/>
  <c r="I114" i="18"/>
  <c r="J114" i="18"/>
  <c r="J112" i="18"/>
  <c r="H36" i="17"/>
  <c r="I30" i="18"/>
  <c r="J30" i="18"/>
  <c r="J28" i="18"/>
  <c r="H15" i="17"/>
  <c r="I14" i="18"/>
  <c r="J14" i="18"/>
  <c r="J12" i="18"/>
  <c r="H11" i="17"/>
  <c r="I186" i="18"/>
  <c r="J186" i="18"/>
  <c r="J184" i="18"/>
  <c r="H54" i="17"/>
  <c r="I46" i="18"/>
  <c r="J46" i="18"/>
  <c r="J44" i="18"/>
  <c r="H19" i="17"/>
  <c r="J875" i="18"/>
  <c r="F877" i="18"/>
  <c r="F73" i="18"/>
  <c r="F284" i="17"/>
  <c r="H1000" i="18"/>
  <c r="F1002" i="18"/>
  <c r="H1010" i="18"/>
  <c r="F1012" i="18"/>
  <c r="F285" i="17"/>
  <c r="F952" i="18"/>
  <c r="H950" i="18"/>
  <c r="H1486" i="18"/>
  <c r="F920" i="18"/>
  <c r="F153" i="17"/>
  <c r="E153" i="17"/>
  <c r="AA153" i="17"/>
  <c r="F61" i="18"/>
  <c r="H853" i="18"/>
  <c r="H241" i="17"/>
  <c r="F1604" i="18"/>
  <c r="J1133" i="18"/>
  <c r="F1133" i="18"/>
  <c r="E1133" i="18"/>
  <c r="J915" i="18"/>
  <c r="F917" i="18"/>
  <c r="F117" i="18"/>
  <c r="C132" i="19"/>
  <c r="F8" i="17"/>
  <c r="B166" i="19"/>
  <c r="J930" i="18"/>
  <c r="F932" i="18"/>
  <c r="E75" i="19"/>
  <c r="B75" i="19"/>
  <c r="AH75" i="19"/>
  <c r="F181" i="17"/>
  <c r="F229" i="17"/>
  <c r="F1528" i="18"/>
  <c r="F153" i="18"/>
  <c r="L1153" i="18"/>
  <c r="E1153" i="18"/>
  <c r="B54" i="19"/>
  <c r="F261" i="17"/>
  <c r="F1709" i="18"/>
  <c r="F997" i="18"/>
  <c r="H995" i="18"/>
  <c r="K1099" i="18"/>
  <c r="L1099" i="18"/>
  <c r="K2070" i="18"/>
  <c r="L2070" i="18"/>
  <c r="K1235" i="18"/>
  <c r="L1235" i="18"/>
  <c r="K1855" i="18"/>
  <c r="L1855" i="18"/>
  <c r="K1083" i="18"/>
  <c r="L1083" i="18"/>
  <c r="K1066" i="18"/>
  <c r="L1066" i="18"/>
  <c r="K1299" i="18"/>
  <c r="L1299" i="18"/>
  <c r="K1026" i="18"/>
  <c r="L1026" i="18"/>
  <c r="K1329" i="18"/>
  <c r="L1329" i="18"/>
  <c r="K1834" i="18"/>
  <c r="L1834" i="18"/>
  <c r="K1876" i="18"/>
  <c r="L1876" i="18"/>
  <c r="K1895" i="18"/>
  <c r="L1895" i="18"/>
  <c r="K1037" i="18"/>
  <c r="L1037" i="18"/>
  <c r="K1309" i="18"/>
  <c r="L1309" i="18"/>
  <c r="K1050" i="18"/>
  <c r="L1050" i="18"/>
  <c r="K1127" i="18"/>
  <c r="L1127" i="18"/>
  <c r="K1319" i="18"/>
  <c r="L1319" i="18"/>
  <c r="J935" i="18"/>
  <c r="F937" i="18"/>
  <c r="E7" i="17"/>
  <c r="AA7" i="17"/>
  <c r="G2071" i="18"/>
  <c r="G1276" i="18"/>
  <c r="G2140" i="18"/>
  <c r="G1214" i="18"/>
  <c r="G1284" i="18"/>
  <c r="G1236" i="18"/>
  <c r="G1266" i="18"/>
  <c r="G1208" i="18"/>
  <c r="G1258" i="18"/>
  <c r="G1224" i="18"/>
  <c r="G2151" i="18"/>
  <c r="H985" i="18"/>
  <c r="F987" i="18"/>
  <c r="F1977" i="18"/>
  <c r="F5" i="18"/>
  <c r="F2019" i="18"/>
  <c r="F1007" i="18"/>
  <c r="H1005" i="18"/>
  <c r="F1179" i="18"/>
  <c r="F1513" i="18"/>
  <c r="F227" i="17"/>
  <c r="F69" i="18"/>
  <c r="H815" i="18"/>
  <c r="J910" i="18"/>
  <c r="F912" i="18"/>
  <c r="F169" i="18"/>
  <c r="I1139" i="18"/>
  <c r="E248" i="17"/>
  <c r="AA248" i="17"/>
  <c r="J1611" i="18"/>
  <c r="F1612" i="18"/>
  <c r="A71" i="19"/>
  <c r="F1161" i="18"/>
  <c r="H1867" i="18"/>
  <c r="K762" i="18"/>
  <c r="L762" i="18"/>
  <c r="K754" i="18"/>
  <c r="L753" i="18"/>
  <c r="F982" i="18"/>
  <c r="H980" i="18"/>
  <c r="F81" i="18"/>
  <c r="J1790" i="18"/>
  <c r="F1794" i="18"/>
  <c r="H1907" i="18"/>
  <c r="H1141" i="18"/>
  <c r="J890" i="18"/>
  <c r="F892" i="18"/>
  <c r="H1783" i="18"/>
  <c r="F1788" i="18"/>
  <c r="H1304" i="18"/>
  <c r="F1114" i="18"/>
  <c r="F1142" i="18"/>
  <c r="H821" i="18"/>
  <c r="F77" i="18"/>
  <c r="F2103" i="18"/>
  <c r="F967" i="18"/>
  <c r="H965" i="18"/>
  <c r="F267" i="17"/>
  <c r="F1750" i="18"/>
  <c r="B164" i="19"/>
  <c r="K2080" i="18"/>
  <c r="L2080" i="18"/>
  <c r="K1243" i="18"/>
  <c r="L1243" i="18"/>
  <c r="H1498" i="18"/>
  <c r="H945" i="18"/>
  <c r="F947" i="18"/>
  <c r="J1720" i="18"/>
  <c r="E1720" i="18"/>
  <c r="F85" i="18"/>
  <c r="A75" i="19"/>
  <c r="F65" i="18"/>
  <c r="L2127" i="18"/>
  <c r="E2127" i="18"/>
  <c r="H273" i="17"/>
  <c r="F1790" i="18"/>
  <c r="H155" i="17"/>
  <c r="E155" i="17"/>
  <c r="AA155" i="17"/>
  <c r="F930" i="18"/>
  <c r="H235" i="17"/>
  <c r="F1563" i="18"/>
  <c r="H1236" i="18"/>
  <c r="F1236" i="18"/>
  <c r="E1236" i="18"/>
  <c r="H270" i="17"/>
  <c r="F1770" i="18"/>
  <c r="G1477" i="18"/>
  <c r="E268" i="17"/>
  <c r="AA268" i="17"/>
  <c r="H839" i="18"/>
  <c r="H869" i="18"/>
  <c r="G2156" i="18"/>
  <c r="E260" i="17"/>
  <c r="AA260" i="17"/>
  <c r="G2145" i="18"/>
  <c r="G1271" i="18"/>
  <c r="L752" i="18"/>
  <c r="L759" i="18"/>
  <c r="H2071" i="18"/>
  <c r="F2071" i="18"/>
  <c r="E2071" i="18"/>
  <c r="J55" i="17"/>
  <c r="H240" i="17"/>
  <c r="F1597" i="18"/>
  <c r="I772" i="18"/>
  <c r="J772" i="18"/>
  <c r="J771" i="18"/>
  <c r="J770" i="18"/>
  <c r="J777" i="18"/>
  <c r="G847" i="18"/>
  <c r="G1470" i="18"/>
  <c r="E229" i="17"/>
  <c r="AA229" i="17"/>
  <c r="H228" i="17"/>
  <c r="F1521" i="18"/>
  <c r="F955" i="18"/>
  <c r="F160" i="17"/>
  <c r="E160" i="17"/>
  <c r="AA160" i="17"/>
  <c r="B56" i="19"/>
  <c r="E81" i="19"/>
  <c r="E58" i="19"/>
  <c r="J5" i="17"/>
  <c r="AF79" i="19"/>
  <c r="E79" i="19"/>
  <c r="H851" i="18"/>
  <c r="F1000" i="18"/>
  <c r="F169" i="17"/>
  <c r="E169" i="17"/>
  <c r="AA169" i="17"/>
  <c r="J129" i="17"/>
  <c r="J6" i="30"/>
  <c r="G1853" i="18"/>
  <c r="G1893" i="18"/>
  <c r="G1024" i="18"/>
  <c r="G2149" i="18"/>
  <c r="G1125" i="18"/>
  <c r="G1256" i="18"/>
  <c r="G1206" i="18"/>
  <c r="G1035" i="18"/>
  <c r="G1212" i="18"/>
  <c r="G1832" i="18"/>
  <c r="G1282" i="18"/>
  <c r="G1297" i="18"/>
  <c r="E4" i="17"/>
  <c r="AA4" i="17"/>
  <c r="G2138" i="18"/>
  <c r="G1317" i="18"/>
  <c r="G1264" i="18"/>
  <c r="G1081" i="18"/>
  <c r="G1274" i="18"/>
  <c r="G1222" i="18"/>
  <c r="G1874" i="18"/>
  <c r="G1097" i="18"/>
  <c r="G1048" i="18"/>
  <c r="G2068" i="18"/>
  <c r="G1064" i="18"/>
  <c r="G1233" i="18"/>
  <c r="G1307" i="18"/>
  <c r="G1327" i="18"/>
  <c r="D81" i="19"/>
  <c r="D58" i="19"/>
  <c r="H5" i="17"/>
  <c r="AD79" i="19"/>
  <c r="D79" i="19"/>
  <c r="J1718" i="18"/>
  <c r="H262" i="17"/>
  <c r="F1720" i="18"/>
  <c r="H1158" i="18"/>
  <c r="F183" i="17"/>
  <c r="F166" i="17"/>
  <c r="E166" i="17"/>
  <c r="AA166" i="17"/>
  <c r="F985" i="18"/>
  <c r="E265" i="17"/>
  <c r="AA265" i="17"/>
  <c r="G1469" i="18"/>
  <c r="H225" i="17"/>
  <c r="F1500" i="18"/>
  <c r="H146" i="17"/>
  <c r="E146" i="17"/>
  <c r="AA146" i="17"/>
  <c r="F885" i="18"/>
  <c r="B4" i="19"/>
  <c r="Y4" i="19"/>
  <c r="H148" i="17"/>
  <c r="E148" i="17"/>
  <c r="AA148" i="17"/>
  <c r="F895" i="18"/>
  <c r="G1238" i="18"/>
  <c r="G1260" i="18"/>
  <c r="G2073" i="18"/>
  <c r="E239" i="17"/>
  <c r="AA239" i="17"/>
  <c r="G2142" i="18"/>
  <c r="G1216" i="18"/>
  <c r="G1878" i="18"/>
  <c r="G1101" i="18"/>
  <c r="G1068" i="18"/>
  <c r="G1836" i="18"/>
  <c r="G2153" i="18"/>
  <c r="G1085" i="18"/>
  <c r="G1278" i="18"/>
  <c r="G1897" i="18"/>
  <c r="G1268" i="18"/>
  <c r="G1052" i="18"/>
  <c r="G1226" i="18"/>
  <c r="G1857" i="18"/>
  <c r="G1132" i="18"/>
  <c r="G1286" i="18"/>
  <c r="G1039" i="18"/>
  <c r="F1005" i="18"/>
  <c r="F170" i="17"/>
  <c r="E170" i="17"/>
  <c r="AA170" i="17"/>
  <c r="H1266" i="18"/>
  <c r="F1266" i="18"/>
  <c r="E1266" i="18"/>
  <c r="B132" i="19"/>
  <c r="Y132" i="19"/>
  <c r="C81" i="19"/>
  <c r="AB79" i="19"/>
  <c r="C79" i="19"/>
  <c r="B79" i="19"/>
  <c r="H797" i="18"/>
  <c r="L2125" i="18"/>
  <c r="F2127" i="18"/>
  <c r="L1141" i="18"/>
  <c r="F1153" i="18"/>
  <c r="F165" i="17"/>
  <c r="F980" i="18"/>
  <c r="H2140" i="18"/>
  <c r="F2140" i="18"/>
  <c r="E2140" i="18"/>
  <c r="F960" i="18"/>
  <c r="F161" i="17"/>
  <c r="E161" i="17"/>
  <c r="AA161" i="17"/>
  <c r="F965" i="18"/>
  <c r="F162" i="17"/>
  <c r="E162" i="17"/>
  <c r="AA162" i="17"/>
  <c r="H1276" i="18"/>
  <c r="F1276" i="18"/>
  <c r="E1276" i="18"/>
  <c r="H152" i="17"/>
  <c r="E152" i="17"/>
  <c r="AA152" i="17"/>
  <c r="F915" i="18"/>
  <c r="G2122" i="18"/>
  <c r="E285" i="17"/>
  <c r="F262" i="17"/>
  <c r="F1718" i="18"/>
  <c r="H150" i="17"/>
  <c r="E150" i="17"/>
  <c r="AA150" i="17"/>
  <c r="F905" i="18"/>
  <c r="H149" i="17"/>
  <c r="E149" i="17"/>
  <c r="AA149" i="17"/>
  <c r="F900" i="18"/>
  <c r="H857" i="18"/>
  <c r="F1686" i="18"/>
  <c r="F257" i="17"/>
  <c r="K763" i="18"/>
  <c r="L763" i="18"/>
  <c r="L761" i="18"/>
  <c r="L768" i="18"/>
  <c r="L754" i="18"/>
  <c r="G1489" i="18"/>
  <c r="E271" i="17"/>
  <c r="AA271" i="17"/>
  <c r="I1042" i="18"/>
  <c r="E241" i="17"/>
  <c r="AA241" i="17"/>
  <c r="H145" i="17"/>
  <c r="E145" i="17"/>
  <c r="AA145" i="17"/>
  <c r="F880" i="18"/>
  <c r="H147" i="17"/>
  <c r="E147" i="17"/>
  <c r="AA147" i="17"/>
  <c r="F890" i="18"/>
  <c r="G865" i="18"/>
  <c r="G811" i="18"/>
  <c r="E227" i="17"/>
  <c r="AA227" i="17"/>
  <c r="G1478" i="18"/>
  <c r="H2151" i="18"/>
  <c r="F2151" i="18"/>
  <c r="E2151" i="18"/>
  <c r="G2120" i="18"/>
  <c r="G1973" i="18"/>
  <c r="G1994" i="18"/>
  <c r="G2015" i="18"/>
  <c r="G2036" i="18"/>
  <c r="G1952" i="18"/>
  <c r="G2057" i="18"/>
  <c r="G1931" i="18"/>
  <c r="L2131" i="18"/>
  <c r="J285" i="17"/>
  <c r="K2122" i="18"/>
  <c r="L2122" i="18"/>
  <c r="F2133" i="18"/>
  <c r="G174" i="18"/>
  <c r="G82" i="18"/>
  <c r="G126" i="18"/>
  <c r="G142" i="18"/>
  <c r="G130" i="18"/>
  <c r="G86" i="18"/>
  <c r="G66" i="18"/>
  <c r="G70" i="18"/>
  <c r="G62" i="18"/>
  <c r="G110" i="18"/>
  <c r="G78" i="18"/>
  <c r="G42" i="18"/>
  <c r="G146" i="18"/>
  <c r="G90" i="18"/>
  <c r="G122" i="18"/>
  <c r="G98" i="18"/>
  <c r="G38" i="18"/>
  <c r="G190" i="18"/>
  <c r="G158" i="18"/>
  <c r="G58" i="18"/>
  <c r="G138" i="18"/>
  <c r="G74" i="18"/>
  <c r="G106" i="18"/>
  <c r="G22" i="18"/>
  <c r="G102" i="18"/>
  <c r="E3" i="17"/>
  <c r="AA3" i="17"/>
  <c r="G46" i="18"/>
  <c r="G166" i="18"/>
  <c r="G26" i="18"/>
  <c r="G150" i="18"/>
  <c r="G178" i="18"/>
  <c r="G186" i="18"/>
  <c r="G114" i="18"/>
  <c r="G18" i="18"/>
  <c r="G170" i="18"/>
  <c r="G50" i="18"/>
  <c r="G162" i="18"/>
  <c r="G94" i="18"/>
  <c r="G182" i="18"/>
  <c r="G154" i="18"/>
  <c r="G134" i="18"/>
  <c r="G30" i="18"/>
  <c r="G54" i="18"/>
  <c r="G118" i="18"/>
  <c r="G10" i="18"/>
  <c r="G6" i="18"/>
  <c r="G34" i="18"/>
  <c r="G14" i="18"/>
  <c r="F184" i="17"/>
  <c r="H242" i="17"/>
  <c r="F1611" i="18"/>
  <c r="G1294" i="18"/>
  <c r="E261" i="17"/>
  <c r="AA261" i="17"/>
  <c r="F167" i="17"/>
  <c r="E167" i="17"/>
  <c r="AA167" i="17"/>
  <c r="F990" i="18"/>
  <c r="F258" i="17"/>
  <c r="F1691" i="18"/>
  <c r="I1182" i="18"/>
  <c r="I1938" i="18"/>
  <c r="I1879" i="18"/>
  <c r="I2022" i="18"/>
  <c r="I1029" i="18"/>
  <c r="I2106" i="18"/>
  <c r="I2043" i="18"/>
  <c r="I1104" i="18"/>
  <c r="I1164" i="18"/>
  <c r="I1071" i="18"/>
  <c r="I1128" i="18"/>
  <c r="I1145" i="18"/>
  <c r="I1917" i="18"/>
  <c r="I1055" i="18"/>
  <c r="I1858" i="18"/>
  <c r="I1959" i="18"/>
  <c r="I1837" i="18"/>
  <c r="I2001" i="18"/>
  <c r="I1088" i="18"/>
  <c r="I1980" i="18"/>
  <c r="I1898" i="18"/>
  <c r="E236" i="17"/>
  <c r="AA236" i="17"/>
  <c r="H154" i="17"/>
  <c r="E154" i="17"/>
  <c r="AA154" i="17"/>
  <c r="F925" i="18"/>
  <c r="G1474" i="18"/>
  <c r="E267" i="17"/>
  <c r="AA267" i="17"/>
  <c r="F2131" i="18"/>
  <c r="G1473" i="18"/>
  <c r="E266" i="17"/>
  <c r="AA266" i="17"/>
  <c r="H151" i="17"/>
  <c r="E151" i="17"/>
  <c r="AA151" i="17"/>
  <c r="F910" i="18"/>
  <c r="F134" i="17"/>
  <c r="G1698" i="18"/>
  <c r="E238" i="17"/>
  <c r="AA238" i="17"/>
  <c r="G1032" i="18"/>
  <c r="G1249" i="18"/>
  <c r="G1253" i="18"/>
  <c r="L1160" i="18"/>
  <c r="J184" i="17"/>
  <c r="F1172" i="18"/>
  <c r="B83" i="19"/>
  <c r="Y83" i="19"/>
  <c r="H1493" i="18"/>
  <c r="H833" i="18"/>
  <c r="E1208" i="18"/>
  <c r="H1208" i="18"/>
  <c r="F1208" i="18"/>
  <c r="F975" i="18"/>
  <c r="F164" i="17"/>
  <c r="E164" i="17"/>
  <c r="AA164" i="17"/>
  <c r="H1485" i="18"/>
  <c r="H1481" i="18"/>
  <c r="H827" i="18"/>
  <c r="J1139" i="18"/>
  <c r="F1139" i="18"/>
  <c r="E1139" i="18"/>
  <c r="E8" i="17"/>
  <c r="AA8" i="17"/>
  <c r="G1243" i="18"/>
  <c r="G2080" i="18"/>
  <c r="H144" i="17"/>
  <c r="E144" i="17"/>
  <c r="AA144" i="17"/>
  <c r="F875" i="18"/>
  <c r="H1284" i="18"/>
  <c r="F1284" i="18"/>
  <c r="E1284" i="18"/>
  <c r="H1497" i="18"/>
  <c r="J754" i="18"/>
  <c r="J752" i="18"/>
  <c r="J759" i="18"/>
  <c r="I763" i="18"/>
  <c r="J763" i="18"/>
  <c r="J761" i="18"/>
  <c r="J768" i="18"/>
  <c r="E1214" i="18"/>
  <c r="H1214" i="18"/>
  <c r="F1214" i="18"/>
  <c r="F159" i="17"/>
  <c r="E159" i="17"/>
  <c r="AA159" i="17"/>
  <c r="F950" i="18"/>
  <c r="J283" i="17"/>
  <c r="F2085" i="18"/>
  <c r="H263" i="17"/>
  <c r="F1722" i="18"/>
  <c r="I1264" i="18"/>
  <c r="J1264" i="18"/>
  <c r="I1233" i="18"/>
  <c r="J1233" i="18"/>
  <c r="I1282" i="18"/>
  <c r="J1282" i="18"/>
  <c r="I1307" i="18"/>
  <c r="J1307" i="18"/>
  <c r="I1297" i="18"/>
  <c r="J1297" i="18"/>
  <c r="I1256" i="18"/>
  <c r="J1256" i="18"/>
  <c r="I1125" i="18"/>
  <c r="J1125" i="18"/>
  <c r="I2149" i="18"/>
  <c r="J2149" i="18"/>
  <c r="I2138" i="18"/>
  <c r="J2138" i="18"/>
  <c r="I1024" i="18"/>
  <c r="J1024" i="18"/>
  <c r="I1048" i="18"/>
  <c r="J1048" i="18"/>
  <c r="I1212" i="18"/>
  <c r="J1212" i="18"/>
  <c r="I1853" i="18"/>
  <c r="J1853" i="18"/>
  <c r="I1222" i="18"/>
  <c r="J1222" i="18"/>
  <c r="I1274" i="18"/>
  <c r="J1274" i="18"/>
  <c r="I1097" i="18"/>
  <c r="J1097" i="18"/>
  <c r="I1317" i="18"/>
  <c r="J1317" i="18"/>
  <c r="I1064" i="18"/>
  <c r="J1064" i="18"/>
  <c r="I1206" i="18"/>
  <c r="J1206" i="18"/>
  <c r="I1832" i="18"/>
  <c r="J1832" i="18"/>
  <c r="I1874" i="18"/>
  <c r="J1874" i="18"/>
  <c r="I1327" i="18"/>
  <c r="J1327" i="18"/>
  <c r="I1893" i="18"/>
  <c r="J1893" i="18"/>
  <c r="I1035" i="18"/>
  <c r="J1035" i="18"/>
  <c r="I2068" i="18"/>
  <c r="J2068" i="18"/>
  <c r="I1081" i="18"/>
  <c r="J1081" i="18"/>
  <c r="J780" i="18"/>
  <c r="I781" i="18"/>
  <c r="J781" i="18"/>
  <c r="F272" i="17"/>
  <c r="F1783" i="18"/>
  <c r="F171" i="17"/>
  <c r="E171" i="17"/>
  <c r="AA171" i="17"/>
  <c r="F1010" i="18"/>
  <c r="H264" i="17"/>
  <c r="F1729" i="18"/>
  <c r="H156" i="17"/>
  <c r="E156" i="17"/>
  <c r="AA156" i="17"/>
  <c r="F935" i="18"/>
  <c r="L770" i="18"/>
  <c r="L777" i="18"/>
  <c r="H269" i="17"/>
  <c r="F1764" i="18"/>
  <c r="F158" i="17"/>
  <c r="E158" i="17"/>
  <c r="AA158" i="17"/>
  <c r="F945" i="18"/>
  <c r="F135" i="17"/>
  <c r="E1224" i="18"/>
  <c r="H1224" i="18"/>
  <c r="F1224" i="18"/>
  <c r="F168" i="17"/>
  <c r="F995" i="18"/>
  <c r="F2114" i="18"/>
  <c r="E1258" i="18"/>
  <c r="H1258" i="18"/>
  <c r="F1258" i="18"/>
  <c r="F163" i="17"/>
  <c r="F970" i="18"/>
  <c r="F1198" i="18"/>
  <c r="L1178" i="18"/>
  <c r="J185" i="17"/>
  <c r="H157" i="17"/>
  <c r="E157" i="17"/>
  <c r="AA157" i="17"/>
  <c r="F940" i="18"/>
  <c r="G1309" i="18"/>
  <c r="G1099" i="18"/>
  <c r="G1876" i="18"/>
  <c r="G1834" i="18"/>
  <c r="G1037" i="18"/>
  <c r="G1329" i="18"/>
  <c r="G1855" i="18"/>
  <c r="G1127" i="18"/>
  <c r="G2070" i="18"/>
  <c r="G1066" i="18"/>
  <c r="G1895" i="18"/>
  <c r="G1026" i="18"/>
  <c r="G1319" i="18"/>
  <c r="G1235" i="18"/>
  <c r="G1299" i="18"/>
  <c r="E6" i="17"/>
  <c r="AA6" i="17"/>
  <c r="G1050" i="18"/>
  <c r="G1083" i="18"/>
  <c r="J127" i="17"/>
  <c r="J4" i="30"/>
  <c r="H126" i="17"/>
  <c r="H3" i="30"/>
  <c r="H4" i="30"/>
  <c r="H127" i="17"/>
  <c r="J1858" i="18"/>
  <c r="F1858" i="18"/>
  <c r="E1858" i="18"/>
  <c r="E62" i="18"/>
  <c r="H62" i="18"/>
  <c r="H1309" i="18"/>
  <c r="F1309" i="18"/>
  <c r="E1309" i="18"/>
  <c r="J1055" i="18"/>
  <c r="F1055" i="18"/>
  <c r="E1055" i="18"/>
  <c r="H154" i="18"/>
  <c r="E154" i="18"/>
  <c r="E22" i="18"/>
  <c r="H22" i="18"/>
  <c r="I853" i="18"/>
  <c r="I841" i="18"/>
  <c r="I871" i="18"/>
  <c r="I1486" i="18"/>
  <c r="I835" i="18"/>
  <c r="I829" i="18"/>
  <c r="I799" i="18"/>
  <c r="I859" i="18"/>
  <c r="I1498" i="18"/>
  <c r="E225" i="17"/>
  <c r="AA225" i="17"/>
  <c r="H2068" i="18"/>
  <c r="E2068" i="18"/>
  <c r="H1206" i="18"/>
  <c r="E1206" i="18"/>
  <c r="E264" i="17"/>
  <c r="AA264" i="17"/>
  <c r="I1314" i="18"/>
  <c r="I1334" i="18"/>
  <c r="E94" i="18"/>
  <c r="H94" i="18"/>
  <c r="H86" i="18"/>
  <c r="E86" i="18"/>
  <c r="G1300" i="18"/>
  <c r="G1320" i="18"/>
  <c r="G1330" i="18"/>
  <c r="E262" i="17"/>
  <c r="AA262" i="17"/>
  <c r="G1342" i="18"/>
  <c r="G1310" i="18"/>
  <c r="H1039" i="18"/>
  <c r="F1039" i="18"/>
  <c r="E1039" i="18"/>
  <c r="H2142" i="18"/>
  <c r="F2142" i="18"/>
  <c r="E2142" i="18"/>
  <c r="E1097" i="18"/>
  <c r="H1097" i="18"/>
  <c r="H1477" i="18"/>
  <c r="E1477" i="18"/>
  <c r="E168" i="17"/>
  <c r="AA168" i="17"/>
  <c r="G1219" i="18"/>
  <c r="J1042" i="18"/>
  <c r="F1042" i="18"/>
  <c r="E1042" i="18"/>
  <c r="J1221" i="18"/>
  <c r="H188" i="17"/>
  <c r="E1032" i="18"/>
  <c r="H1032" i="18"/>
  <c r="F1032" i="18"/>
  <c r="E58" i="18"/>
  <c r="H58" i="18"/>
  <c r="L1158" i="18"/>
  <c r="J8" i="30"/>
  <c r="J183" i="17"/>
  <c r="E1132" i="18"/>
  <c r="H1132" i="18"/>
  <c r="F1132" i="18"/>
  <c r="E1222" i="18"/>
  <c r="H1222" i="18"/>
  <c r="H1484" i="18"/>
  <c r="I1116" i="18"/>
  <c r="I1843" i="18"/>
  <c r="I1186" i="18"/>
  <c r="I1122" i="18"/>
  <c r="I1057" i="18"/>
  <c r="I1044" i="18"/>
  <c r="I1073" i="18"/>
  <c r="I1885" i="18"/>
  <c r="I1106" i="18"/>
  <c r="I1864" i="18"/>
  <c r="I1090" i="18"/>
  <c r="I1904" i="18"/>
  <c r="E242" i="17"/>
  <c r="AA242" i="17"/>
  <c r="H1857" i="18"/>
  <c r="F1857" i="18"/>
  <c r="E1857" i="18"/>
  <c r="E1274" i="18"/>
  <c r="H1274" i="18"/>
  <c r="E1895" i="18"/>
  <c r="H1895" i="18"/>
  <c r="F1895" i="18"/>
  <c r="H1698" i="18"/>
  <c r="E1698" i="18"/>
  <c r="H18" i="18"/>
  <c r="E18" i="18"/>
  <c r="H82" i="18"/>
  <c r="E82" i="18"/>
  <c r="H1489" i="18"/>
  <c r="E1489" i="18"/>
  <c r="E1066" i="18"/>
  <c r="H1066" i="18"/>
  <c r="F1066" i="18"/>
  <c r="J2106" i="18"/>
  <c r="E2106" i="18"/>
  <c r="H98" i="18"/>
  <c r="E98" i="18"/>
  <c r="F131" i="17"/>
  <c r="E1268" i="18"/>
  <c r="H1268" i="18"/>
  <c r="F1268" i="18"/>
  <c r="H1317" i="18"/>
  <c r="E1317" i="18"/>
  <c r="H2145" i="18"/>
  <c r="F2145" i="18"/>
  <c r="E2145" i="18"/>
  <c r="H1127" i="18"/>
  <c r="F1127" i="18"/>
  <c r="E1127" i="18"/>
  <c r="E90" i="18"/>
  <c r="H90" i="18"/>
  <c r="B81" i="19"/>
  <c r="C58" i="19"/>
  <c r="F5" i="17"/>
  <c r="E1278" i="18"/>
  <c r="H1278" i="18"/>
  <c r="F1278" i="18"/>
  <c r="H2156" i="18"/>
  <c r="F2156" i="18"/>
  <c r="E2156" i="18"/>
  <c r="E1329" i="18"/>
  <c r="H1329" i="18"/>
  <c r="F1329" i="18"/>
  <c r="G1217" i="18"/>
  <c r="E163" i="17"/>
  <c r="AA163" i="17"/>
  <c r="H2080" i="18"/>
  <c r="F2080" i="18"/>
  <c r="E2080" i="18"/>
  <c r="J1088" i="18"/>
  <c r="F1088" i="18"/>
  <c r="E1088" i="18"/>
  <c r="J1879" i="18"/>
  <c r="F1879" i="18"/>
  <c r="E1879" i="18"/>
  <c r="H10" i="18"/>
  <c r="E10" i="18"/>
  <c r="H26" i="18"/>
  <c r="E26" i="18"/>
  <c r="E146" i="18"/>
  <c r="H146" i="18"/>
  <c r="H865" i="18"/>
  <c r="E865" i="18"/>
  <c r="F141" i="17"/>
  <c r="E1085" i="18"/>
  <c r="H1085" i="18"/>
  <c r="F1085" i="18"/>
  <c r="I2139" i="18"/>
  <c r="J2139" i="18"/>
  <c r="J2137" i="18"/>
  <c r="J2146" i="18"/>
  <c r="H23" i="30"/>
  <c r="I1894" i="18"/>
  <c r="J1894" i="18"/>
  <c r="I1049" i="18"/>
  <c r="J1049" i="18"/>
  <c r="I1213" i="18"/>
  <c r="J1213" i="18"/>
  <c r="J1211" i="18"/>
  <c r="H187" i="17"/>
  <c r="I1098" i="18"/>
  <c r="J1098" i="18"/>
  <c r="I1308" i="18"/>
  <c r="J1308" i="18"/>
  <c r="I1065" i="18"/>
  <c r="J1065" i="18"/>
  <c r="I1082" i="18"/>
  <c r="J1082" i="18"/>
  <c r="I1234" i="18"/>
  <c r="J1234" i="18"/>
  <c r="I1207" i="18"/>
  <c r="J1207" i="18"/>
  <c r="J1205" i="18"/>
  <c r="H186" i="17"/>
  <c r="I1036" i="18"/>
  <c r="J1036" i="18"/>
  <c r="I1223" i="18"/>
  <c r="J1223" i="18"/>
  <c r="I1126" i="18"/>
  <c r="J1126" i="18"/>
  <c r="I1265" i="18"/>
  <c r="J1265" i="18"/>
  <c r="I1283" i="18"/>
  <c r="J1283" i="18"/>
  <c r="I1298" i="18"/>
  <c r="J1298" i="18"/>
  <c r="I1275" i="18"/>
  <c r="J1275" i="18"/>
  <c r="J1273" i="18"/>
  <c r="H194" i="17"/>
  <c r="I1318" i="18"/>
  <c r="J1318" i="18"/>
  <c r="I2150" i="18"/>
  <c r="J2150" i="18"/>
  <c r="I1875" i="18"/>
  <c r="J1875" i="18"/>
  <c r="I1328" i="18"/>
  <c r="J1328" i="18"/>
  <c r="I1257" i="18"/>
  <c r="J1257" i="18"/>
  <c r="J1255" i="18"/>
  <c r="H192" i="17"/>
  <c r="I1025" i="18"/>
  <c r="J1025" i="18"/>
  <c r="I2069" i="18"/>
  <c r="J2069" i="18"/>
  <c r="I1854" i="18"/>
  <c r="J1854" i="18"/>
  <c r="I1833" i="18"/>
  <c r="J1833" i="18"/>
  <c r="E1297" i="18"/>
  <c r="H1297" i="18"/>
  <c r="H1470" i="18"/>
  <c r="F1470" i="18"/>
  <c r="E1470" i="18"/>
  <c r="H1099" i="18"/>
  <c r="F1099" i="18"/>
  <c r="E1099" i="18"/>
  <c r="E1035" i="18"/>
  <c r="H1035" i="18"/>
  <c r="H1256" i="18"/>
  <c r="E1256" i="18"/>
  <c r="H1253" i="18"/>
  <c r="E1253" i="18"/>
  <c r="J1145" i="18"/>
  <c r="E1145" i="18"/>
  <c r="H74" i="18"/>
  <c r="E74" i="18"/>
  <c r="H1994" i="18"/>
  <c r="E1125" i="18"/>
  <c r="H1125" i="18"/>
  <c r="H1235" i="18"/>
  <c r="F1235" i="18"/>
  <c r="E1235" i="18"/>
  <c r="J1128" i="18"/>
  <c r="F1128" i="18"/>
  <c r="E1128" i="18"/>
  <c r="H130" i="18"/>
  <c r="E130" i="18"/>
  <c r="H1286" i="18"/>
  <c r="F1286" i="18"/>
  <c r="E1286" i="18"/>
  <c r="H2149" i="18"/>
  <c r="E2149" i="18"/>
  <c r="E1024" i="18"/>
  <c r="H1024" i="18"/>
  <c r="E158" i="18"/>
  <c r="H158" i="18"/>
  <c r="E1893" i="18"/>
  <c r="H1893" i="18"/>
  <c r="J1104" i="18"/>
  <c r="F1104" i="18"/>
  <c r="E1104" i="18"/>
  <c r="H1238" i="18"/>
  <c r="F1238" i="18"/>
  <c r="E1238" i="18"/>
  <c r="J779" i="18"/>
  <c r="J786" i="18"/>
  <c r="I817" i="18"/>
  <c r="I1482" i="18"/>
  <c r="I823" i="18"/>
  <c r="I1494" i="18"/>
  <c r="E228" i="17"/>
  <c r="AA228" i="17"/>
  <c r="H2070" i="18"/>
  <c r="F2070" i="18"/>
  <c r="E2070" i="18"/>
  <c r="E186" i="18"/>
  <c r="H186" i="18"/>
  <c r="H2153" i="18"/>
  <c r="F2153" i="18"/>
  <c r="E2153" i="18"/>
  <c r="H1327" i="18"/>
  <c r="E1327" i="18"/>
  <c r="E1282" i="18"/>
  <c r="H1282" i="18"/>
  <c r="F140" i="17"/>
  <c r="H847" i="18"/>
  <c r="E847" i="18"/>
  <c r="E1083" i="18"/>
  <c r="H1083" i="18"/>
  <c r="F1083" i="18"/>
  <c r="E134" i="18"/>
  <c r="H134" i="18"/>
  <c r="K1265" i="18"/>
  <c r="L1265" i="18"/>
  <c r="L1263" i="18"/>
  <c r="J193" i="17"/>
  <c r="K1854" i="18"/>
  <c r="L1854" i="18"/>
  <c r="L1852" i="18"/>
  <c r="L1871" i="18"/>
  <c r="J11" i="30"/>
  <c r="K1894" i="18"/>
  <c r="L1894" i="18"/>
  <c r="L1892" i="18"/>
  <c r="L1911" i="18"/>
  <c r="J13" i="30"/>
  <c r="K1065" i="18"/>
  <c r="L1065" i="18"/>
  <c r="L1063" i="18"/>
  <c r="J177" i="17"/>
  <c r="K1318" i="18"/>
  <c r="L1318" i="18"/>
  <c r="L1316" i="18"/>
  <c r="J199" i="17"/>
  <c r="K1328" i="18"/>
  <c r="L1328" i="18"/>
  <c r="L1326" i="18"/>
  <c r="J200" i="17"/>
  <c r="K1049" i="18"/>
  <c r="L1049" i="18"/>
  <c r="L1047" i="18"/>
  <c r="J176" i="17"/>
  <c r="K1275" i="18"/>
  <c r="L1275" i="18"/>
  <c r="L1273" i="18"/>
  <c r="J194" i="17"/>
  <c r="K1082" i="18"/>
  <c r="L1082" i="18"/>
  <c r="L1080" i="18"/>
  <c r="J178" i="17"/>
  <c r="K1283" i="18"/>
  <c r="L1283" i="18"/>
  <c r="L1281" i="18"/>
  <c r="J195" i="17"/>
  <c r="K1207" i="18"/>
  <c r="L1207" i="18"/>
  <c r="L1205" i="18"/>
  <c r="J186" i="17"/>
  <c r="K1298" i="18"/>
  <c r="L1298" i="18"/>
  <c r="L1296" i="18"/>
  <c r="J197" i="17"/>
  <c r="K2150" i="18"/>
  <c r="L2150" i="18"/>
  <c r="L2148" i="18"/>
  <c r="L2157" i="18"/>
  <c r="J24" i="30"/>
  <c r="K1126" i="18"/>
  <c r="L1126" i="18"/>
  <c r="L1124" i="18"/>
  <c r="J182" i="17"/>
  <c r="K1025" i="18"/>
  <c r="L1025" i="18"/>
  <c r="L1023" i="18"/>
  <c r="J174" i="17"/>
  <c r="K1098" i="18"/>
  <c r="L1098" i="18"/>
  <c r="L1096" i="18"/>
  <c r="J179" i="17"/>
  <c r="K1308" i="18"/>
  <c r="L1308" i="18"/>
  <c r="L1306" i="18"/>
  <c r="J198" i="17"/>
  <c r="K1223" i="18"/>
  <c r="L1223" i="18"/>
  <c r="L1221" i="18"/>
  <c r="J188" i="17"/>
  <c r="K1234" i="18"/>
  <c r="L1234" i="18"/>
  <c r="L1232" i="18"/>
  <c r="J189" i="17"/>
  <c r="K1875" i="18"/>
  <c r="L1875" i="18"/>
  <c r="L1873" i="18"/>
  <c r="L1890" i="18"/>
  <c r="J12" i="30"/>
  <c r="K1213" i="18"/>
  <c r="L1213" i="18"/>
  <c r="L1211" i="18"/>
  <c r="J187" i="17"/>
  <c r="K1257" i="18"/>
  <c r="L1257" i="18"/>
  <c r="L1255" i="18"/>
  <c r="J192" i="17"/>
  <c r="K2069" i="18"/>
  <c r="L2069" i="18"/>
  <c r="K1833" i="18"/>
  <c r="L1833" i="18"/>
  <c r="L1831" i="18"/>
  <c r="L1850" i="18"/>
  <c r="J10" i="30"/>
  <c r="K1036" i="18"/>
  <c r="L1036" i="18"/>
  <c r="L1034" i="18"/>
  <c r="J175" i="17"/>
  <c r="K2139" i="18"/>
  <c r="L2139" i="18"/>
  <c r="L2137" i="18"/>
  <c r="L2146" i="18"/>
  <c r="J23" i="30"/>
  <c r="H1473" i="18"/>
  <c r="E1473" i="18"/>
  <c r="H2015" i="18"/>
  <c r="I1841" i="18"/>
  <c r="I1883" i="18"/>
  <c r="I1902" i="18"/>
  <c r="I1070" i="18"/>
  <c r="I1184" i="18"/>
  <c r="I1862" i="18"/>
  <c r="I1103" i="18"/>
  <c r="I1041" i="18"/>
  <c r="I1054" i="18"/>
  <c r="I1087" i="18"/>
  <c r="E240" i="17"/>
  <c r="AA240" i="17"/>
  <c r="F136" i="17"/>
  <c r="J1917" i="18"/>
  <c r="E1917" i="18"/>
  <c r="H106" i="18"/>
  <c r="E106" i="18"/>
  <c r="B27" i="19"/>
  <c r="Y27" i="19"/>
  <c r="H1480" i="18"/>
  <c r="E138" i="18"/>
  <c r="H138" i="18"/>
  <c r="J1164" i="18"/>
  <c r="E1164" i="18"/>
  <c r="H126" i="18"/>
  <c r="E126" i="18"/>
  <c r="H190" i="18"/>
  <c r="E190" i="18"/>
  <c r="J284" i="17"/>
  <c r="F2125" i="18"/>
  <c r="E1226" i="18"/>
  <c r="H1226" i="18"/>
  <c r="F1226" i="18"/>
  <c r="H1081" i="18"/>
  <c r="E1081" i="18"/>
  <c r="E1853" i="18"/>
  <c r="H1853" i="18"/>
  <c r="H114" i="18"/>
  <c r="E114" i="18"/>
  <c r="H38" i="18"/>
  <c r="E38" i="18"/>
  <c r="E174" i="18"/>
  <c r="H174" i="18"/>
  <c r="H1052" i="18"/>
  <c r="F1052" i="18"/>
  <c r="E1052" i="18"/>
  <c r="H1264" i="18"/>
  <c r="E1264" i="18"/>
  <c r="H1271" i="18"/>
  <c r="F1271" i="18"/>
  <c r="E1271" i="18"/>
  <c r="E178" i="18"/>
  <c r="H178" i="18"/>
  <c r="J2022" i="18"/>
  <c r="E2022" i="18"/>
  <c r="H811" i="18"/>
  <c r="E811" i="18"/>
  <c r="H1037" i="18"/>
  <c r="F1037" i="18"/>
  <c r="E1037" i="18"/>
  <c r="I1481" i="18"/>
  <c r="I1497" i="18"/>
  <c r="E269" i="17"/>
  <c r="AA269" i="17"/>
  <c r="E1243" i="18"/>
  <c r="H1243" i="18"/>
  <c r="F1243" i="18"/>
  <c r="J2001" i="18"/>
  <c r="E2001" i="18"/>
  <c r="J1938" i="18"/>
  <c r="E1938" i="18"/>
  <c r="H118" i="18"/>
  <c r="E118" i="18"/>
  <c r="H166" i="18"/>
  <c r="E166" i="18"/>
  <c r="E42" i="18"/>
  <c r="H42" i="18"/>
  <c r="H1931" i="18"/>
  <c r="E1834" i="18"/>
  <c r="H1834" i="18"/>
  <c r="F1834" i="18"/>
  <c r="J5" i="30"/>
  <c r="J128" i="17"/>
  <c r="H1492" i="18"/>
  <c r="J1837" i="18"/>
  <c r="F1837" i="18"/>
  <c r="E1837" i="18"/>
  <c r="J1182" i="18"/>
  <c r="E1182" i="18"/>
  <c r="E54" i="18"/>
  <c r="H54" i="18"/>
  <c r="H46" i="18"/>
  <c r="E46" i="18"/>
  <c r="E78" i="18"/>
  <c r="H78" i="18"/>
  <c r="H2057" i="18"/>
  <c r="H1836" i="18"/>
  <c r="F1836" i="18"/>
  <c r="E1836" i="18"/>
  <c r="E1307" i="18"/>
  <c r="H1307" i="18"/>
  <c r="H1832" i="18"/>
  <c r="E1832" i="18"/>
  <c r="H5" i="30"/>
  <c r="H128" i="17"/>
  <c r="F143" i="17"/>
  <c r="G1228" i="18"/>
  <c r="E258" i="17"/>
  <c r="AA258" i="17"/>
  <c r="H102" i="18"/>
  <c r="E102" i="18"/>
  <c r="H2036" i="18"/>
  <c r="E1101" i="18"/>
  <c r="H1101" i="18"/>
  <c r="F1101" i="18"/>
  <c r="H1064" i="18"/>
  <c r="E1064" i="18"/>
  <c r="E1050" i="18"/>
  <c r="H1050" i="18"/>
  <c r="F1050" i="18"/>
  <c r="E70" i="18"/>
  <c r="H70" i="18"/>
  <c r="H1878" i="18"/>
  <c r="F1878" i="18"/>
  <c r="E1878" i="18"/>
  <c r="J1263" i="18"/>
  <c r="H193" i="17"/>
  <c r="H182" i="18"/>
  <c r="E182" i="18"/>
  <c r="H66" i="18"/>
  <c r="E66" i="18"/>
  <c r="E1216" i="18"/>
  <c r="H1216" i="18"/>
  <c r="F1216" i="18"/>
  <c r="H1469" i="18"/>
  <c r="E1469" i="18"/>
  <c r="H1048" i="18"/>
  <c r="E1048" i="18"/>
  <c r="H1299" i="18"/>
  <c r="F1299" i="18"/>
  <c r="E1299" i="18"/>
  <c r="E165" i="17"/>
  <c r="AA165" i="17"/>
  <c r="G1218" i="18"/>
  <c r="E1249" i="18"/>
  <c r="H1249" i="18"/>
  <c r="E1294" i="18"/>
  <c r="H1294" i="18"/>
  <c r="H162" i="18"/>
  <c r="E162" i="18"/>
  <c r="H1973" i="18"/>
  <c r="H1874" i="18"/>
  <c r="E1874" i="18"/>
  <c r="H1319" i="18"/>
  <c r="F1319" i="18"/>
  <c r="E1319" i="18"/>
  <c r="H1496" i="18"/>
  <c r="H1474" i="18"/>
  <c r="F1474" i="18"/>
  <c r="E1474" i="18"/>
  <c r="J1071" i="18"/>
  <c r="F1071" i="18"/>
  <c r="E1071" i="18"/>
  <c r="H50" i="18"/>
  <c r="E50" i="18"/>
  <c r="E142" i="18"/>
  <c r="H142" i="18"/>
  <c r="H2120" i="18"/>
  <c r="H2122" i="18"/>
  <c r="F2122" i="18"/>
  <c r="E2122" i="18"/>
  <c r="H2073" i="18"/>
  <c r="F2073" i="18"/>
  <c r="E2073" i="18"/>
  <c r="I1485" i="18"/>
  <c r="E270" i="17"/>
  <c r="AA270" i="17"/>
  <c r="E1026" i="18"/>
  <c r="H1026" i="18"/>
  <c r="F1026" i="18"/>
  <c r="E272" i="17"/>
  <c r="AA272" i="17"/>
  <c r="G1490" i="18"/>
  <c r="I1846" i="18"/>
  <c r="I1867" i="18"/>
  <c r="I1324" i="18"/>
  <c r="I1907" i="18"/>
  <c r="I1888" i="18"/>
  <c r="I1304" i="18"/>
  <c r="E263" i="17"/>
  <c r="AA263" i="17"/>
  <c r="E170" i="18"/>
  <c r="H170" i="18"/>
  <c r="H1260" i="18"/>
  <c r="F1260" i="18"/>
  <c r="E1260" i="18"/>
  <c r="J3" i="30"/>
  <c r="J126" i="17"/>
  <c r="J2043" i="18"/>
  <c r="E2043" i="18"/>
  <c r="F8" i="30"/>
  <c r="H14" i="18"/>
  <c r="E14" i="18"/>
  <c r="E1478" i="18"/>
  <c r="H1478" i="18"/>
  <c r="F1478" i="18"/>
  <c r="I1900" i="18"/>
  <c r="I2075" i="18"/>
  <c r="I1332" i="18"/>
  <c r="I1166" i="18"/>
  <c r="I1839" i="18"/>
  <c r="I1302" i="18"/>
  <c r="I2045" i="18"/>
  <c r="I1940" i="18"/>
  <c r="I1312" i="18"/>
  <c r="I1130" i="18"/>
  <c r="I2003" i="18"/>
  <c r="I2108" i="18"/>
  <c r="I1919" i="18"/>
  <c r="I1982" i="18"/>
  <c r="I1147" i="18"/>
  <c r="I1961" i="18"/>
  <c r="I1028" i="18"/>
  <c r="I1322" i="18"/>
  <c r="I2024" i="18"/>
  <c r="I1860" i="18"/>
  <c r="I1240" i="18"/>
  <c r="I1288" i="18"/>
  <c r="I1881" i="18"/>
  <c r="E235" i="17"/>
  <c r="AA235" i="17"/>
  <c r="K2077" i="18"/>
  <c r="E283" i="17"/>
  <c r="J1898" i="18"/>
  <c r="F1898" i="18"/>
  <c r="E1898" i="18"/>
  <c r="J1029" i="18"/>
  <c r="F1029" i="18"/>
  <c r="E1029" i="18"/>
  <c r="H34" i="18"/>
  <c r="E34" i="18"/>
  <c r="E122" i="18"/>
  <c r="H122" i="18"/>
  <c r="E257" i="17"/>
  <c r="AA257" i="17"/>
  <c r="G1227" i="18"/>
  <c r="E1897" i="18"/>
  <c r="H1897" i="18"/>
  <c r="F1897" i="18"/>
  <c r="I1310" i="18"/>
  <c r="J1310" i="18"/>
  <c r="I1330" i="18"/>
  <c r="J1330" i="18"/>
  <c r="I1342" i="18"/>
  <c r="J1342" i="18"/>
  <c r="J1341" i="18"/>
  <c r="H202" i="17"/>
  <c r="I1320" i="18"/>
  <c r="J1320" i="18"/>
  <c r="I1300" i="18"/>
  <c r="J1300" i="18"/>
  <c r="H2138" i="18"/>
  <c r="E2138" i="18"/>
  <c r="E1855" i="18"/>
  <c r="H1855" i="18"/>
  <c r="F1855" i="18"/>
  <c r="J2148" i="18"/>
  <c r="J2157" i="18"/>
  <c r="H24" i="30"/>
  <c r="F137" i="17"/>
  <c r="J1980" i="18"/>
  <c r="E1980" i="18"/>
  <c r="H6" i="18"/>
  <c r="E6" i="18"/>
  <c r="H150" i="18"/>
  <c r="E150" i="18"/>
  <c r="E1876" i="18"/>
  <c r="H1876" i="18"/>
  <c r="F1876" i="18"/>
  <c r="J1959" i="18"/>
  <c r="E1959" i="18"/>
  <c r="H30" i="18"/>
  <c r="E30" i="18"/>
  <c r="E110" i="18"/>
  <c r="H110" i="18"/>
  <c r="H1952" i="18"/>
  <c r="H1068" i="18"/>
  <c r="F1068" i="18"/>
  <c r="E1068" i="18"/>
  <c r="H1233" i="18"/>
  <c r="E1233" i="18"/>
  <c r="H1212" i="18"/>
  <c r="E1212" i="18"/>
  <c r="F138" i="17"/>
  <c r="I1493" i="18"/>
  <c r="E273" i="17"/>
  <c r="AA273" i="17"/>
  <c r="J1306" i="18"/>
  <c r="H198" i="17"/>
  <c r="J1852" i="18"/>
  <c r="J1871" i="18"/>
  <c r="H11" i="30"/>
  <c r="J1326" i="18"/>
  <c r="H200" i="17"/>
  <c r="J1106" i="18"/>
  <c r="F1106" i="18"/>
  <c r="E1106" i="18"/>
  <c r="F1206" i="18"/>
  <c r="F114" i="18"/>
  <c r="H112" i="18"/>
  <c r="J1494" i="18"/>
  <c r="F1494" i="18"/>
  <c r="E1494" i="18"/>
  <c r="F82" i="18"/>
  <c r="H80" i="18"/>
  <c r="J1885" i="18"/>
  <c r="F1885" i="18"/>
  <c r="E1885" i="18"/>
  <c r="F34" i="18"/>
  <c r="H32" i="18"/>
  <c r="J1961" i="18"/>
  <c r="F1961" i="18"/>
  <c r="E1961" i="18"/>
  <c r="F118" i="18"/>
  <c r="H116" i="18"/>
  <c r="J823" i="18"/>
  <c r="E823" i="18"/>
  <c r="F1145" i="18"/>
  <c r="F1317" i="18"/>
  <c r="J1147" i="18"/>
  <c r="F1147" i="18"/>
  <c r="E1147" i="18"/>
  <c r="F1064" i="18"/>
  <c r="F178" i="18"/>
  <c r="H176" i="18"/>
  <c r="J1482" i="18"/>
  <c r="F1482" i="18"/>
  <c r="E1482" i="18"/>
  <c r="E1342" i="18"/>
  <c r="H1342" i="18"/>
  <c r="F1959" i="18"/>
  <c r="J1888" i="18"/>
  <c r="F1888" i="18"/>
  <c r="E1888" i="18"/>
  <c r="F162" i="18"/>
  <c r="H160" i="18"/>
  <c r="F2001" i="18"/>
  <c r="F138" i="18"/>
  <c r="H136" i="18"/>
  <c r="J1041" i="18"/>
  <c r="E1041" i="18"/>
  <c r="G2069" i="18"/>
  <c r="G1082" i="18"/>
  <c r="G1036" i="18"/>
  <c r="G1049" i="18"/>
  <c r="G1213" i="18"/>
  <c r="G1283" i="18"/>
  <c r="G1318" i="18"/>
  <c r="G1298" i="18"/>
  <c r="G1833" i="18"/>
  <c r="G1126" i="18"/>
  <c r="G1328" i="18"/>
  <c r="G1234" i="18"/>
  <c r="G1308" i="18"/>
  <c r="E5" i="17"/>
  <c r="AA5" i="17"/>
  <c r="G1265" i="18"/>
  <c r="G1854" i="18"/>
  <c r="G1894" i="18"/>
  <c r="G1065" i="18"/>
  <c r="G2150" i="18"/>
  <c r="G1025" i="18"/>
  <c r="G1207" i="18"/>
  <c r="G1875" i="18"/>
  <c r="G2139" i="18"/>
  <c r="G1275" i="18"/>
  <c r="G1098" i="18"/>
  <c r="G1257" i="18"/>
  <c r="G1223" i="18"/>
  <c r="F62" i="18"/>
  <c r="H60" i="18"/>
  <c r="J1867" i="18"/>
  <c r="F1867" i="18"/>
  <c r="E1867" i="18"/>
  <c r="F66" i="18"/>
  <c r="H64" i="18"/>
  <c r="J1103" i="18"/>
  <c r="E1103" i="18"/>
  <c r="F1274" i="18"/>
  <c r="H1219" i="18"/>
  <c r="F1219" i="18"/>
  <c r="E1219" i="18"/>
  <c r="J835" i="18"/>
  <c r="E835" i="18"/>
  <c r="J1312" i="18"/>
  <c r="F1312" i="18"/>
  <c r="E1312" i="18"/>
  <c r="H1490" i="18"/>
  <c r="F1490" i="18"/>
  <c r="E1490" i="18"/>
  <c r="F182" i="18"/>
  <c r="H180" i="18"/>
  <c r="F102" i="18"/>
  <c r="H100" i="18"/>
  <c r="F1264" i="18"/>
  <c r="J1184" i="18"/>
  <c r="F1184" i="18"/>
  <c r="E1184" i="18"/>
  <c r="F150" i="18"/>
  <c r="H148" i="18"/>
  <c r="J1940" i="18"/>
  <c r="F1940" i="18"/>
  <c r="E1940" i="18"/>
  <c r="F2106" i="18"/>
  <c r="J2102" i="18"/>
  <c r="J2123" i="18"/>
  <c r="H22" i="30"/>
  <c r="J871" i="18"/>
  <c r="E871" i="18"/>
  <c r="J1881" i="18"/>
  <c r="E1881" i="18"/>
  <c r="J1497" i="18"/>
  <c r="E1497" i="18"/>
  <c r="K2036" i="18"/>
  <c r="K2120" i="18"/>
  <c r="K1952" i="18"/>
  <c r="K1994" i="18"/>
  <c r="K2057" i="18"/>
  <c r="K1973" i="18"/>
  <c r="K2015" i="18"/>
  <c r="K1931" i="18"/>
  <c r="E284" i="17"/>
  <c r="J1902" i="18"/>
  <c r="F1902" i="18"/>
  <c r="E1902" i="18"/>
  <c r="F1222" i="18"/>
  <c r="F1477" i="18"/>
  <c r="H1476" i="18"/>
  <c r="F6" i="18"/>
  <c r="H4" i="18"/>
  <c r="J1288" i="18"/>
  <c r="F1288" i="18"/>
  <c r="E1288" i="18"/>
  <c r="J1302" i="18"/>
  <c r="E1302" i="18"/>
  <c r="H1218" i="18"/>
  <c r="F1218" i="18"/>
  <c r="E1218" i="18"/>
  <c r="F46" i="18"/>
  <c r="H44" i="18"/>
  <c r="J1481" i="18"/>
  <c r="E1481" i="18"/>
  <c r="F174" i="18"/>
  <c r="H172" i="18"/>
  <c r="J1883" i="18"/>
  <c r="F1883" i="18"/>
  <c r="E1883" i="18"/>
  <c r="F134" i="18"/>
  <c r="H132" i="18"/>
  <c r="F186" i="18"/>
  <c r="H184" i="18"/>
  <c r="F1097" i="18"/>
  <c r="E1334" i="18"/>
  <c r="J1334" i="18"/>
  <c r="F1334" i="18"/>
  <c r="J853" i="18"/>
  <c r="E853" i="18"/>
  <c r="J1322" i="18"/>
  <c r="E1322" i="18"/>
  <c r="F166" i="18"/>
  <c r="H164" i="18"/>
  <c r="F58" i="18"/>
  <c r="H56" i="18"/>
  <c r="F30" i="18"/>
  <c r="H28" i="18"/>
  <c r="F1164" i="18"/>
  <c r="F1081" i="18"/>
  <c r="J829" i="18"/>
  <c r="E829" i="18"/>
  <c r="F1212" i="18"/>
  <c r="L2077" i="18"/>
  <c r="F2077" i="18"/>
  <c r="E2077" i="18"/>
  <c r="J1130" i="18"/>
  <c r="F1130" i="18"/>
  <c r="E1130" i="18"/>
  <c r="F158" i="18"/>
  <c r="H156" i="18"/>
  <c r="H1976" i="18"/>
  <c r="J1904" i="18"/>
  <c r="F1904" i="18"/>
  <c r="E1904" i="18"/>
  <c r="J1314" i="18"/>
  <c r="F1314" i="18"/>
  <c r="E1314" i="18"/>
  <c r="F22" i="18"/>
  <c r="H20" i="18"/>
  <c r="J2075" i="18"/>
  <c r="F2075" i="18"/>
  <c r="E2075" i="18"/>
  <c r="F74" i="18"/>
  <c r="H72" i="18"/>
  <c r="F146" i="18"/>
  <c r="H144" i="18"/>
  <c r="F1048" i="18"/>
  <c r="F1874" i="18"/>
  <c r="F1832" i="18"/>
  <c r="F2022" i="18"/>
  <c r="F126" i="18"/>
  <c r="H124" i="18"/>
  <c r="F847" i="18"/>
  <c r="H845" i="18"/>
  <c r="F2149" i="18"/>
  <c r="J1073" i="18"/>
  <c r="F1073" i="18"/>
  <c r="E1073" i="18"/>
  <c r="H1310" i="18"/>
  <c r="F1310" i="18"/>
  <c r="E1310" i="18"/>
  <c r="F1469" i="18"/>
  <c r="H1468" i="18"/>
  <c r="F1938" i="18"/>
  <c r="H1251" i="18"/>
  <c r="F1253" i="18"/>
  <c r="J1057" i="18"/>
  <c r="F1057" i="18"/>
  <c r="E1057" i="18"/>
  <c r="J1919" i="18"/>
  <c r="F1919" i="18"/>
  <c r="E1919" i="18"/>
  <c r="F142" i="18"/>
  <c r="H140" i="18"/>
  <c r="J1054" i="18"/>
  <c r="F1054" i="18"/>
  <c r="E1054" i="18"/>
  <c r="H129" i="17"/>
  <c r="H6" i="30"/>
  <c r="F1698" i="18"/>
  <c r="H1696" i="18"/>
  <c r="H1330" i="18"/>
  <c r="F1330" i="18"/>
  <c r="E1330" i="18"/>
  <c r="J2108" i="18"/>
  <c r="F2108" i="18"/>
  <c r="E2108" i="18"/>
  <c r="J1186" i="18"/>
  <c r="F1186" i="18"/>
  <c r="E1186" i="18"/>
  <c r="J799" i="18"/>
  <c r="E799" i="18"/>
  <c r="H1292" i="18"/>
  <c r="F1294" i="18"/>
  <c r="Y58" i="19"/>
  <c r="B58" i="19"/>
  <c r="H1300" i="18"/>
  <c r="F1300" i="18"/>
  <c r="E1300" i="18"/>
  <c r="J1846" i="18"/>
  <c r="F1846" i="18"/>
  <c r="E1846" i="18"/>
  <c r="F90" i="18"/>
  <c r="H88" i="18"/>
  <c r="J1116" i="18"/>
  <c r="E1116" i="18"/>
  <c r="H1247" i="18"/>
  <c r="F1249" i="18"/>
  <c r="J1486" i="18"/>
  <c r="F1486" i="18"/>
  <c r="E1486" i="18"/>
  <c r="F2043" i="18"/>
  <c r="F221" i="17"/>
  <c r="J2045" i="18"/>
  <c r="F2045" i="18"/>
  <c r="E2045" i="18"/>
  <c r="H1228" i="18"/>
  <c r="F1228" i="18"/>
  <c r="E1228" i="18"/>
  <c r="F1893" i="18"/>
  <c r="J841" i="18"/>
  <c r="E841" i="18"/>
  <c r="H1934" i="18"/>
  <c r="H1227" i="18"/>
  <c r="F1227" i="18"/>
  <c r="E1227" i="18"/>
  <c r="J1839" i="18"/>
  <c r="F1839" i="18"/>
  <c r="E1839" i="18"/>
  <c r="F224" i="17"/>
  <c r="F70" i="18"/>
  <c r="H68" i="18"/>
  <c r="F42" i="18"/>
  <c r="H40" i="18"/>
  <c r="F106" i="18"/>
  <c r="H104" i="18"/>
  <c r="J1841" i="18"/>
  <c r="F1841" i="18"/>
  <c r="E1841" i="18"/>
  <c r="F1980" i="18"/>
  <c r="J1860" i="18"/>
  <c r="F1860" i="18"/>
  <c r="E1860" i="18"/>
  <c r="J1166" i="18"/>
  <c r="F1166" i="18"/>
  <c r="E1166" i="18"/>
  <c r="J1485" i="18"/>
  <c r="E1485" i="18"/>
  <c r="F1297" i="18"/>
  <c r="J1090" i="18"/>
  <c r="F1090" i="18"/>
  <c r="E1090" i="18"/>
  <c r="F170" i="18"/>
  <c r="H168" i="18"/>
  <c r="F1182" i="18"/>
  <c r="J1178" i="18"/>
  <c r="F811" i="18"/>
  <c r="H809" i="18"/>
  <c r="F154" i="18"/>
  <c r="H152" i="18"/>
  <c r="J1028" i="18"/>
  <c r="F1028" i="18"/>
  <c r="E1028" i="18"/>
  <c r="J1900" i="18"/>
  <c r="F1900" i="18"/>
  <c r="E1900" i="18"/>
  <c r="H1472" i="18"/>
  <c r="F1473" i="18"/>
  <c r="F2068" i="18"/>
  <c r="J1304" i="18"/>
  <c r="F1304" i="18"/>
  <c r="E1304" i="18"/>
  <c r="H1955" i="18"/>
  <c r="F1307" i="18"/>
  <c r="F1853" i="18"/>
  <c r="F26" i="18"/>
  <c r="H24" i="18"/>
  <c r="F18" i="18"/>
  <c r="H16" i="18"/>
  <c r="J1044" i="18"/>
  <c r="F1044" i="18"/>
  <c r="E1044" i="18"/>
  <c r="J1493" i="18"/>
  <c r="E1493" i="18"/>
  <c r="J1982" i="18"/>
  <c r="F1982" i="18"/>
  <c r="E1982" i="18"/>
  <c r="H2102" i="18"/>
  <c r="F223" i="17"/>
  <c r="J1087" i="18"/>
  <c r="F1087" i="18"/>
  <c r="E1087" i="18"/>
  <c r="J817" i="18"/>
  <c r="E817" i="18"/>
  <c r="J1498" i="18"/>
  <c r="F1498" i="18"/>
  <c r="E1498" i="18"/>
  <c r="F2138" i="18"/>
  <c r="F14" i="18"/>
  <c r="H12" i="18"/>
  <c r="J1907" i="18"/>
  <c r="F1907" i="18"/>
  <c r="E1907" i="18"/>
  <c r="L2067" i="18"/>
  <c r="L2083" i="18"/>
  <c r="J21" i="30"/>
  <c r="F1282" i="18"/>
  <c r="F10" i="18"/>
  <c r="H8" i="18"/>
  <c r="J1122" i="18"/>
  <c r="E1122" i="18"/>
  <c r="J859" i="18"/>
  <c r="E859" i="18"/>
  <c r="J1324" i="18"/>
  <c r="F1324" i="18"/>
  <c r="E1324" i="18"/>
  <c r="H2018" i="18"/>
  <c r="F130" i="18"/>
  <c r="H128" i="18"/>
  <c r="H1320" i="18"/>
  <c r="F1320" i="18"/>
  <c r="E1320" i="18"/>
  <c r="J2003" i="18"/>
  <c r="F2003" i="18"/>
  <c r="E2003" i="18"/>
  <c r="F1256" i="18"/>
  <c r="J1843" i="18"/>
  <c r="F1843" i="18"/>
  <c r="E1843" i="18"/>
  <c r="F50" i="18"/>
  <c r="H48" i="18"/>
  <c r="H2039" i="18"/>
  <c r="F220" i="17"/>
  <c r="J1862" i="18"/>
  <c r="F1862" i="18"/>
  <c r="E1862" i="18"/>
  <c r="F1327" i="18"/>
  <c r="F1035" i="18"/>
  <c r="F98" i="18"/>
  <c r="H96" i="18"/>
  <c r="F78" i="18"/>
  <c r="H76" i="18"/>
  <c r="F86" i="18"/>
  <c r="H84" i="18"/>
  <c r="F1233" i="18"/>
  <c r="J1070" i="18"/>
  <c r="F1070" i="18"/>
  <c r="E1070" i="18"/>
  <c r="F94" i="18"/>
  <c r="H92" i="18"/>
  <c r="F1125" i="18"/>
  <c r="J1240" i="18"/>
  <c r="F1240" i="18"/>
  <c r="E1240" i="18"/>
  <c r="F54" i="18"/>
  <c r="H52" i="18"/>
  <c r="F190" i="18"/>
  <c r="H188" i="18"/>
  <c r="F110" i="18"/>
  <c r="H108" i="18"/>
  <c r="F122" i="18"/>
  <c r="H120" i="18"/>
  <c r="J2024" i="18"/>
  <c r="F2024" i="18"/>
  <c r="E2024" i="18"/>
  <c r="J1332" i="18"/>
  <c r="F1332" i="18"/>
  <c r="E1332" i="18"/>
  <c r="F38" i="18"/>
  <c r="H36" i="18"/>
  <c r="F1917" i="18"/>
  <c r="J1913" i="18"/>
  <c r="J1932" i="18"/>
  <c r="H14" i="30"/>
  <c r="H1997" i="18"/>
  <c r="F1024" i="18"/>
  <c r="F865" i="18"/>
  <c r="H863" i="18"/>
  <c r="E1217" i="18"/>
  <c r="H1217" i="18"/>
  <c r="F1217" i="18"/>
  <c r="F1489" i="18"/>
  <c r="H1488" i="18"/>
  <c r="J1864" i="18"/>
  <c r="F1864" i="18"/>
  <c r="E1864" i="18"/>
  <c r="F32" i="17"/>
  <c r="E32" i="17"/>
  <c r="AA32" i="17"/>
  <c r="F96" i="18"/>
  <c r="F132" i="18"/>
  <c r="F41" i="17"/>
  <c r="E41" i="17"/>
  <c r="AA41" i="17"/>
  <c r="F116" i="18"/>
  <c r="F37" i="17"/>
  <c r="E37" i="17"/>
  <c r="AA37" i="17"/>
  <c r="F8" i="18"/>
  <c r="F10" i="17"/>
  <c r="E10" i="17"/>
  <c r="AA10" i="17"/>
  <c r="F22" i="17"/>
  <c r="E22" i="17"/>
  <c r="AA22" i="17"/>
  <c r="F56" i="18"/>
  <c r="F24" i="17"/>
  <c r="E24" i="17"/>
  <c r="AA24" i="17"/>
  <c r="F64" i="18"/>
  <c r="G545" i="18"/>
  <c r="G489" i="18"/>
  <c r="G585" i="18"/>
  <c r="G713" i="18"/>
  <c r="G481" i="18"/>
  <c r="G745" i="18"/>
  <c r="G729" i="18"/>
  <c r="G697" i="18"/>
  <c r="F44" i="17"/>
  <c r="E44" i="17"/>
  <c r="AA44" i="17"/>
  <c r="F144" i="18"/>
  <c r="G321" i="18"/>
  <c r="G337" i="18"/>
  <c r="G329" i="18"/>
  <c r="G345" i="18"/>
  <c r="G353" i="18"/>
  <c r="J2039" i="18"/>
  <c r="J2058" i="18"/>
  <c r="H20" i="30"/>
  <c r="F164" i="18"/>
  <c r="F49" i="17"/>
  <c r="E49" i="17"/>
  <c r="AA49" i="17"/>
  <c r="F1041" i="18"/>
  <c r="J1034" i="18"/>
  <c r="H175" i="17"/>
  <c r="F52" i="17"/>
  <c r="E52" i="17"/>
  <c r="AA52" i="17"/>
  <c r="F176" i="18"/>
  <c r="H185" i="17"/>
  <c r="E185" i="17"/>
  <c r="AA185" i="17"/>
  <c r="F1178" i="18"/>
  <c r="F196" i="17"/>
  <c r="E196" i="17"/>
  <c r="AA196" i="17"/>
  <c r="F1292" i="18"/>
  <c r="F222" i="17"/>
  <c r="F1488" i="18"/>
  <c r="F168" i="18"/>
  <c r="F50" i="17"/>
  <c r="E50" i="17"/>
  <c r="AA50" i="17"/>
  <c r="J1480" i="18"/>
  <c r="F1481" i="18"/>
  <c r="E1234" i="18"/>
  <c r="H1234" i="18"/>
  <c r="J1063" i="18"/>
  <c r="H177" i="17"/>
  <c r="E1223" i="18"/>
  <c r="H1223" i="18"/>
  <c r="H1328" i="18"/>
  <c r="E1328" i="18"/>
  <c r="F190" i="17"/>
  <c r="E190" i="17"/>
  <c r="AA190" i="17"/>
  <c r="F1247" i="18"/>
  <c r="F44" i="18"/>
  <c r="F19" i="17"/>
  <c r="E19" i="17"/>
  <c r="AA19" i="17"/>
  <c r="E1257" i="18"/>
  <c r="H1257" i="18"/>
  <c r="L1931" i="18"/>
  <c r="E1931" i="18"/>
  <c r="H1098" i="18"/>
  <c r="E1098" i="18"/>
  <c r="F142" i="17"/>
  <c r="E142" i="17"/>
  <c r="AA142" i="17"/>
  <c r="F863" i="18"/>
  <c r="J827" i="18"/>
  <c r="F829" i="18"/>
  <c r="J833" i="18"/>
  <c r="F835" i="18"/>
  <c r="H1298" i="18"/>
  <c r="E1298" i="18"/>
  <c r="F218" i="17"/>
  <c r="F1472" i="18"/>
  <c r="F104" i="18"/>
  <c r="F34" i="17"/>
  <c r="E34" i="17"/>
  <c r="AA34" i="17"/>
  <c r="F88" i="18"/>
  <c r="F30" i="17"/>
  <c r="E30" i="17"/>
  <c r="AA30" i="17"/>
  <c r="F191" i="17"/>
  <c r="F1251" i="18"/>
  <c r="L1973" i="18"/>
  <c r="E1973" i="18"/>
  <c r="F45" i="17"/>
  <c r="E45" i="17"/>
  <c r="AA45" i="17"/>
  <c r="F148" i="18"/>
  <c r="E2139" i="18"/>
  <c r="H2139" i="18"/>
  <c r="E1318" i="18"/>
  <c r="H1318" i="18"/>
  <c r="J1141" i="18"/>
  <c r="F36" i="17"/>
  <c r="E36" i="17"/>
  <c r="AA36" i="17"/>
  <c r="F112" i="18"/>
  <c r="J1831" i="18"/>
  <c r="J1850" i="18"/>
  <c r="H10" i="30"/>
  <c r="H1341" i="18"/>
  <c r="F1342" i="18"/>
  <c r="F46" i="17"/>
  <c r="E46" i="17"/>
  <c r="AA46" i="17"/>
  <c r="F152" i="18"/>
  <c r="F1103" i="18"/>
  <c r="J1096" i="18"/>
  <c r="H179" i="17"/>
  <c r="G369" i="18"/>
  <c r="G473" i="18"/>
  <c r="G689" i="18"/>
  <c r="G789" i="18"/>
  <c r="G505" i="18"/>
  <c r="G633" i="18"/>
  <c r="G681" i="18"/>
  <c r="G561" i="18"/>
  <c r="G289" i="18"/>
  <c r="G569" i="18"/>
  <c r="G649" i="18"/>
  <c r="G537" i="18"/>
  <c r="G273" i="18"/>
  <c r="F33" i="17"/>
  <c r="E33" i="17"/>
  <c r="AA33" i="17"/>
  <c r="F100" i="18"/>
  <c r="F42" i="17"/>
  <c r="E42" i="17"/>
  <c r="AA42" i="17"/>
  <c r="F136" i="18"/>
  <c r="J797" i="18"/>
  <c r="F799" i="18"/>
  <c r="J1997" i="18"/>
  <c r="J2016" i="18"/>
  <c r="H18" i="30"/>
  <c r="J1976" i="18"/>
  <c r="J1995" i="18"/>
  <c r="H17" i="30"/>
  <c r="H2058" i="18"/>
  <c r="H1875" i="18"/>
  <c r="E1875" i="18"/>
  <c r="E1283" i="18"/>
  <c r="H1283" i="18"/>
  <c r="J1124" i="18"/>
  <c r="H182" i="17"/>
  <c r="F21" i="17"/>
  <c r="E21" i="17"/>
  <c r="AA21" i="17"/>
  <c r="F52" i="18"/>
  <c r="F1122" i="18"/>
  <c r="J1118" i="18"/>
  <c r="F15" i="17"/>
  <c r="E15" i="17"/>
  <c r="AA15" i="17"/>
  <c r="F28" i="18"/>
  <c r="L2036" i="18"/>
  <c r="E2036" i="18"/>
  <c r="H1065" i="18"/>
  <c r="E1065" i="18"/>
  <c r="E1082" i="18"/>
  <c r="H1082" i="18"/>
  <c r="F17" i="17"/>
  <c r="E17" i="17"/>
  <c r="AA17" i="17"/>
  <c r="F36" i="18"/>
  <c r="F133" i="17"/>
  <c r="E133" i="17"/>
  <c r="AA133" i="17"/>
  <c r="F809" i="18"/>
  <c r="J1484" i="18"/>
  <c r="F1485" i="18"/>
  <c r="J1496" i="18"/>
  <c r="F1497" i="18"/>
  <c r="E1854" i="18"/>
  <c r="H1854" i="18"/>
  <c r="H1974" i="18"/>
  <c r="F140" i="18"/>
  <c r="F43" i="17"/>
  <c r="E43" i="17"/>
  <c r="AA43" i="17"/>
  <c r="F1881" i="18"/>
  <c r="J1873" i="18"/>
  <c r="J1890" i="18"/>
  <c r="H12" i="30"/>
  <c r="F31" i="17"/>
  <c r="E31" i="17"/>
  <c r="AA31" i="17"/>
  <c r="F92" i="18"/>
  <c r="F60" i="18"/>
  <c r="F23" i="17"/>
  <c r="E23" i="17"/>
  <c r="AA23" i="17"/>
  <c r="J1281" i="18"/>
  <c r="H195" i="17"/>
  <c r="F12" i="18"/>
  <c r="F11" i="17"/>
  <c r="E11" i="17"/>
  <c r="AA11" i="17"/>
  <c r="H1953" i="18"/>
  <c r="J1023" i="18"/>
  <c r="H174" i="17"/>
  <c r="H2037" i="18"/>
  <c r="F124" i="18"/>
  <c r="F39" i="17"/>
  <c r="E39" i="17"/>
  <c r="AA39" i="17"/>
  <c r="J851" i="18"/>
  <c r="F853" i="18"/>
  <c r="E1126" i="18"/>
  <c r="H1126" i="18"/>
  <c r="J1492" i="18"/>
  <c r="F1493" i="18"/>
  <c r="E1833" i="18"/>
  <c r="H1833" i="18"/>
  <c r="J2067" i="18"/>
  <c r="J2083" i="18"/>
  <c r="H21" i="30"/>
  <c r="F1116" i="18"/>
  <c r="J1112" i="18"/>
  <c r="L2015" i="18"/>
  <c r="E2015" i="18"/>
  <c r="E1275" i="18"/>
  <c r="H1275" i="18"/>
  <c r="F35" i="17"/>
  <c r="E35" i="17"/>
  <c r="AA35" i="17"/>
  <c r="F108" i="18"/>
  <c r="F48" i="18"/>
  <c r="F20" i="17"/>
  <c r="E20" i="17"/>
  <c r="AA20" i="17"/>
  <c r="F16" i="18"/>
  <c r="F12" i="17"/>
  <c r="E12" i="17"/>
  <c r="AA12" i="17"/>
  <c r="J1934" i="18"/>
  <c r="J1953" i="18"/>
  <c r="H15" i="30"/>
  <c r="F188" i="18"/>
  <c r="F55" i="17"/>
  <c r="E55" i="17"/>
  <c r="AA55" i="17"/>
  <c r="H1913" i="18"/>
  <c r="J857" i="18"/>
  <c r="F859" i="18"/>
  <c r="F40" i="18"/>
  <c r="F18" i="17"/>
  <c r="E18" i="17"/>
  <c r="AA18" i="17"/>
  <c r="J1160" i="18"/>
  <c r="F184" i="18"/>
  <c r="F54" i="17"/>
  <c r="E54" i="17"/>
  <c r="AA54" i="17"/>
  <c r="F1302" i="18"/>
  <c r="J1296" i="18"/>
  <c r="H197" i="17"/>
  <c r="L1994" i="18"/>
  <c r="E1994" i="18"/>
  <c r="H1207" i="18"/>
  <c r="E1207" i="18"/>
  <c r="H1213" i="18"/>
  <c r="E1213" i="18"/>
  <c r="J1955" i="18"/>
  <c r="J1974" i="18"/>
  <c r="H16" i="30"/>
  <c r="J1892" i="18"/>
  <c r="J1911" i="18"/>
  <c r="H13" i="30"/>
  <c r="F68" i="18"/>
  <c r="F25" i="17"/>
  <c r="E25" i="17"/>
  <c r="AA25" i="17"/>
  <c r="H1995" i="18"/>
  <c r="L2120" i="18"/>
  <c r="E2120" i="18"/>
  <c r="E2150" i="18"/>
  <c r="H2150" i="18"/>
  <c r="E1036" i="18"/>
  <c r="H1036" i="18"/>
  <c r="F4" i="18"/>
  <c r="F9" i="17"/>
  <c r="E9" i="17"/>
  <c r="AA9" i="17"/>
  <c r="F47" i="17"/>
  <c r="E47" i="17"/>
  <c r="AA47" i="17"/>
  <c r="F156" i="18"/>
  <c r="H1894" i="18"/>
  <c r="E1894" i="18"/>
  <c r="H2069" i="18"/>
  <c r="E2069" i="18"/>
  <c r="F219" i="17"/>
  <c r="F1476" i="18"/>
  <c r="F172" i="18"/>
  <c r="F51" i="17"/>
  <c r="E51" i="17"/>
  <c r="AA51" i="17"/>
  <c r="F180" i="18"/>
  <c r="F53" i="17"/>
  <c r="E53" i="17"/>
  <c r="AA53" i="17"/>
  <c r="H1265" i="18"/>
  <c r="E1265" i="18"/>
  <c r="F32" i="18"/>
  <c r="F16" i="17"/>
  <c r="E16" i="17"/>
  <c r="AA16" i="17"/>
  <c r="H2123" i="18"/>
  <c r="F72" i="18"/>
  <c r="F26" i="17"/>
  <c r="E26" i="17"/>
  <c r="AA26" i="17"/>
  <c r="H1308" i="18"/>
  <c r="E1308" i="18"/>
  <c r="F128" i="18"/>
  <c r="F40" i="17"/>
  <c r="E40" i="17"/>
  <c r="AA40" i="17"/>
  <c r="F139" i="17"/>
  <c r="E139" i="17"/>
  <c r="AA139" i="17"/>
  <c r="F845" i="18"/>
  <c r="F1322" i="18"/>
  <c r="J1316" i="18"/>
  <c r="H199" i="17"/>
  <c r="J869" i="18"/>
  <c r="F871" i="18"/>
  <c r="F28" i="17"/>
  <c r="E28" i="17"/>
  <c r="AA28" i="17"/>
  <c r="F80" i="18"/>
  <c r="F38" i="17"/>
  <c r="E38" i="17"/>
  <c r="AA38" i="17"/>
  <c r="F120" i="18"/>
  <c r="G257" i="18"/>
  <c r="F20" i="18"/>
  <c r="F13" i="17"/>
  <c r="E13" i="17"/>
  <c r="AA13" i="17"/>
  <c r="F48" i="17"/>
  <c r="E48" i="17"/>
  <c r="AA48" i="17"/>
  <c r="F160" i="18"/>
  <c r="J1080" i="18"/>
  <c r="H178" i="17"/>
  <c r="J839" i="18"/>
  <c r="F841" i="18"/>
  <c r="J2018" i="18"/>
  <c r="J2037" i="18"/>
  <c r="H19" i="30"/>
  <c r="J1232" i="18"/>
  <c r="H189" i="17"/>
  <c r="F84" i="18"/>
  <c r="F29" i="17"/>
  <c r="E29" i="17"/>
  <c r="AA29" i="17"/>
  <c r="L2057" i="18"/>
  <c r="E2057" i="18"/>
  <c r="F27" i="17"/>
  <c r="E27" i="17"/>
  <c r="AA27" i="17"/>
  <c r="F76" i="18"/>
  <c r="H2016" i="18"/>
  <c r="J815" i="18"/>
  <c r="F817" i="18"/>
  <c r="F14" i="17"/>
  <c r="E14" i="17"/>
  <c r="AA14" i="17"/>
  <c r="F24" i="18"/>
  <c r="F259" i="17"/>
  <c r="F1696" i="18"/>
  <c r="F217" i="17"/>
  <c r="F1468" i="18"/>
  <c r="L1952" i="18"/>
  <c r="E1952" i="18"/>
  <c r="E1025" i="18"/>
  <c r="H1025" i="18"/>
  <c r="H1049" i="18"/>
  <c r="E1049" i="18"/>
  <c r="J821" i="18"/>
  <c r="F823" i="18"/>
  <c r="J1047" i="18"/>
  <c r="H176" i="17"/>
  <c r="F1234" i="18"/>
  <c r="H537" i="18"/>
  <c r="G1230" i="18"/>
  <c r="E191" i="17"/>
  <c r="AA191" i="17"/>
  <c r="H649" i="18"/>
  <c r="H220" i="17"/>
  <c r="F1480" i="18"/>
  <c r="L2102" i="18"/>
  <c r="F2120" i="18"/>
  <c r="H289" i="18"/>
  <c r="H184" i="17"/>
  <c r="E184" i="17"/>
  <c r="AA184" i="17"/>
  <c r="F1160" i="18"/>
  <c r="F20" i="30"/>
  <c r="H337" i="18"/>
  <c r="H681" i="18"/>
  <c r="H633" i="18"/>
  <c r="H257" i="18"/>
  <c r="F16" i="30"/>
  <c r="H789" i="18"/>
  <c r="G790" i="18"/>
  <c r="F2139" i="18"/>
  <c r="H2137" i="18"/>
  <c r="H697" i="18"/>
  <c r="F1049" i="18"/>
  <c r="H1047" i="18"/>
  <c r="F22" i="30"/>
  <c r="L1997" i="18"/>
  <c r="F2015" i="18"/>
  <c r="F1854" i="18"/>
  <c r="H1852" i="18"/>
  <c r="H131" i="17"/>
  <c r="E131" i="17"/>
  <c r="AA131" i="17"/>
  <c r="F797" i="18"/>
  <c r="H689" i="18"/>
  <c r="H137" i="17"/>
  <c r="E137" i="17"/>
  <c r="AA137" i="17"/>
  <c r="F833" i="18"/>
  <c r="F1328" i="18"/>
  <c r="H1326" i="18"/>
  <c r="H729" i="18"/>
  <c r="F1098" i="18"/>
  <c r="H1096" i="18"/>
  <c r="F1283" i="18"/>
  <c r="H1281" i="18"/>
  <c r="H545" i="18"/>
  <c r="H345" i="18"/>
  <c r="F1082" i="18"/>
  <c r="H1080" i="18"/>
  <c r="F18" i="30"/>
  <c r="H141" i="17"/>
  <c r="E141" i="17"/>
  <c r="AA141" i="17"/>
  <c r="F857" i="18"/>
  <c r="H505" i="18"/>
  <c r="H473" i="18"/>
  <c r="F1223" i="18"/>
  <c r="H745" i="18"/>
  <c r="L1955" i="18"/>
  <c r="F1973" i="18"/>
  <c r="H143" i="17"/>
  <c r="E143" i="17"/>
  <c r="AA143" i="17"/>
  <c r="F869" i="18"/>
  <c r="F1265" i="18"/>
  <c r="H1263" i="18"/>
  <c r="L1976" i="18"/>
  <c r="F1994" i="18"/>
  <c r="H223" i="17"/>
  <c r="F1492" i="18"/>
  <c r="H353" i="18"/>
  <c r="G1244" i="18"/>
  <c r="G2081" i="18"/>
  <c r="E259" i="17"/>
  <c r="AA259" i="17"/>
  <c r="H138" i="17"/>
  <c r="E138" i="17"/>
  <c r="AA138" i="17"/>
  <c r="F839" i="18"/>
  <c r="F1126" i="18"/>
  <c r="H1124" i="18"/>
  <c r="F202" i="17"/>
  <c r="E202" i="17"/>
  <c r="AA202" i="17"/>
  <c r="F1341" i="18"/>
  <c r="F17" i="30"/>
  <c r="F1875" i="18"/>
  <c r="H1873" i="18"/>
  <c r="G401" i="18"/>
  <c r="G385" i="18"/>
  <c r="G601" i="18"/>
  <c r="G377" i="18"/>
  <c r="G393" i="18"/>
  <c r="E219" i="17"/>
  <c r="AA219" i="17"/>
  <c r="G753" i="18"/>
  <c r="G609" i="18"/>
  <c r="G361" i="18"/>
  <c r="G409" i="18"/>
  <c r="G441" i="18"/>
  <c r="G225" i="18"/>
  <c r="G721" i="18"/>
  <c r="G625" i="18"/>
  <c r="G657" i="18"/>
  <c r="H134" i="17"/>
  <c r="E134" i="17"/>
  <c r="AA134" i="17"/>
  <c r="F815" i="18"/>
  <c r="J1158" i="18"/>
  <c r="H183" i="17"/>
  <c r="E183" i="17"/>
  <c r="AA183" i="17"/>
  <c r="F1141" i="18"/>
  <c r="H321" i="18"/>
  <c r="F2069" i="18"/>
  <c r="H135" i="17"/>
  <c r="E135" i="17"/>
  <c r="AA135" i="17"/>
  <c r="F821" i="18"/>
  <c r="F19" i="30"/>
  <c r="F1298" i="18"/>
  <c r="H1296" i="18"/>
  <c r="H1932" i="18"/>
  <c r="F2018" i="18"/>
  <c r="F1025" i="18"/>
  <c r="H1023" i="18"/>
  <c r="H180" i="17"/>
  <c r="E180" i="17"/>
  <c r="AA180" i="17"/>
  <c r="F1112" i="18"/>
  <c r="F15" i="30"/>
  <c r="H181" i="17"/>
  <c r="E181" i="17"/>
  <c r="AA181" i="17"/>
  <c r="F1118" i="18"/>
  <c r="H369" i="18"/>
  <c r="H136" i="17"/>
  <c r="E136" i="17"/>
  <c r="AA136" i="17"/>
  <c r="F827" i="18"/>
  <c r="H481" i="18"/>
  <c r="L1934" i="18"/>
  <c r="F1952" i="18"/>
  <c r="F1036" i="18"/>
  <c r="H1034" i="18"/>
  <c r="F1833" i="18"/>
  <c r="H1831" i="18"/>
  <c r="H221" i="17"/>
  <c r="F1484" i="18"/>
  <c r="H273" i="18"/>
  <c r="H585" i="18"/>
  <c r="G425" i="18"/>
  <c r="G457" i="18"/>
  <c r="G705" i="18"/>
  <c r="G233" i="18"/>
  <c r="G193" i="18"/>
  <c r="E217" i="17"/>
  <c r="AA217" i="17"/>
  <c r="G265" i="18"/>
  <c r="G417" i="18"/>
  <c r="G497" i="18"/>
  <c r="G281" i="18"/>
  <c r="G553" i="18"/>
  <c r="G241" i="18"/>
  <c r="G771" i="18"/>
  <c r="G521" i="18"/>
  <c r="G433" i="18"/>
  <c r="G673" i="18"/>
  <c r="G201" i="18"/>
  <c r="G249" i="18"/>
  <c r="G641" i="18"/>
  <c r="G617" i="18"/>
  <c r="G780" i="18"/>
  <c r="G209" i="18"/>
  <c r="G737" i="18"/>
  <c r="G465" i="18"/>
  <c r="G665" i="18"/>
  <c r="F2150" i="18"/>
  <c r="H2148" i="18"/>
  <c r="H489" i="18"/>
  <c r="H569" i="18"/>
  <c r="L1913" i="18"/>
  <c r="L1932" i="18"/>
  <c r="J14" i="30"/>
  <c r="F1931" i="18"/>
  <c r="F1257" i="18"/>
  <c r="H1255" i="18"/>
  <c r="H329" i="18"/>
  <c r="H140" i="17"/>
  <c r="E140" i="17"/>
  <c r="AA140" i="17"/>
  <c r="F851" i="18"/>
  <c r="H561" i="18"/>
  <c r="G305" i="18"/>
  <c r="E222" i="17"/>
  <c r="AA222" i="17"/>
  <c r="G513" i="18"/>
  <c r="F2039" i="18"/>
  <c r="G217" i="18"/>
  <c r="G577" i="18"/>
  <c r="G297" i="18"/>
  <c r="G529" i="18"/>
  <c r="G449" i="18"/>
  <c r="G313" i="18"/>
  <c r="E218" i="17"/>
  <c r="AA218" i="17"/>
  <c r="G593" i="18"/>
  <c r="F1308" i="18"/>
  <c r="H1306" i="18"/>
  <c r="F1275" i="18"/>
  <c r="H1273" i="18"/>
  <c r="F1065" i="18"/>
  <c r="H1063" i="18"/>
  <c r="F1318" i="18"/>
  <c r="H1316" i="18"/>
  <c r="F1894" i="18"/>
  <c r="H1892" i="18"/>
  <c r="L2018" i="18"/>
  <c r="L2037" i="18"/>
  <c r="J19" i="30"/>
  <c r="F2036" i="18"/>
  <c r="F1213" i="18"/>
  <c r="H1211" i="18"/>
  <c r="L2039" i="18"/>
  <c r="L2058" i="18"/>
  <c r="J20" i="30"/>
  <c r="F2057" i="18"/>
  <c r="F1207" i="18"/>
  <c r="H1205" i="18"/>
  <c r="H224" i="17"/>
  <c r="F1496" i="18"/>
  <c r="H713" i="18"/>
  <c r="F1913" i="18"/>
  <c r="H241" i="18"/>
  <c r="E241" i="18"/>
  <c r="H1850" i="18"/>
  <c r="F1831" i="18"/>
  <c r="H560" i="18"/>
  <c r="F175" i="17"/>
  <c r="E175" i="17"/>
  <c r="AA175" i="17"/>
  <c r="F1034" i="18"/>
  <c r="H352" i="18"/>
  <c r="H256" i="18"/>
  <c r="F198" i="17"/>
  <c r="E198" i="17"/>
  <c r="AA198" i="17"/>
  <c r="F1306" i="18"/>
  <c r="E265" i="18"/>
  <c r="H265" i="18"/>
  <c r="H385" i="18"/>
  <c r="E385" i="18"/>
  <c r="F195" i="17"/>
  <c r="E195" i="17"/>
  <c r="AA195" i="17"/>
  <c r="F1281" i="18"/>
  <c r="I257" i="18"/>
  <c r="E220" i="17"/>
  <c r="AA220" i="17"/>
  <c r="E209" i="18"/>
  <c r="H209" i="18"/>
  <c r="E593" i="18"/>
  <c r="H593" i="18"/>
  <c r="H328" i="18"/>
  <c r="E193" i="18"/>
  <c r="H193" i="18"/>
  <c r="E617" i="18"/>
  <c r="H617" i="18"/>
  <c r="H233" i="18"/>
  <c r="E233" i="18"/>
  <c r="H657" i="18"/>
  <c r="E657" i="18"/>
  <c r="F1211" i="18"/>
  <c r="F187" i="17"/>
  <c r="E187" i="17"/>
  <c r="AA187" i="17"/>
  <c r="F1296" i="18"/>
  <c r="F197" i="17"/>
  <c r="E197" i="17"/>
  <c r="AA197" i="17"/>
  <c r="F1047" i="18"/>
  <c r="F176" i="17"/>
  <c r="E176" i="17"/>
  <c r="AA176" i="17"/>
  <c r="H721" i="18"/>
  <c r="E721" i="18"/>
  <c r="F1263" i="18"/>
  <c r="F193" i="17"/>
  <c r="E193" i="17"/>
  <c r="AA193" i="17"/>
  <c r="H728" i="18"/>
  <c r="H336" i="18"/>
  <c r="H712" i="18"/>
  <c r="H272" i="18"/>
  <c r="H790" i="18"/>
  <c r="E513" i="18"/>
  <c r="H513" i="18"/>
  <c r="H753" i="18"/>
  <c r="G754" i="18"/>
  <c r="G762" i="18"/>
  <c r="E753" i="18"/>
  <c r="H281" i="18"/>
  <c r="E281" i="18"/>
  <c r="F1852" i="18"/>
  <c r="H1871" i="18"/>
  <c r="E417" i="18"/>
  <c r="H417" i="18"/>
  <c r="H425" i="18"/>
  <c r="E425" i="18"/>
  <c r="F1326" i="18"/>
  <c r="F200" i="17"/>
  <c r="E200" i="17"/>
  <c r="AA200" i="17"/>
  <c r="H696" i="18"/>
  <c r="H536" i="18"/>
  <c r="E217" i="18"/>
  <c r="H217" i="18"/>
  <c r="H521" i="18"/>
  <c r="E521" i="18"/>
  <c r="F199" i="17"/>
  <c r="E199" i="17"/>
  <c r="AA199" i="17"/>
  <c r="F1316" i="18"/>
  <c r="E771" i="18"/>
  <c r="H771" i="18"/>
  <c r="G772" i="18"/>
  <c r="L1974" i="18"/>
  <c r="F1955" i="18"/>
  <c r="H688" i="18"/>
  <c r="H788" i="18"/>
  <c r="H795" i="18"/>
  <c r="F1063" i="18"/>
  <c r="F177" i="17"/>
  <c r="E177" i="17"/>
  <c r="AA177" i="17"/>
  <c r="E553" i="18"/>
  <c r="H553" i="18"/>
  <c r="E305" i="18"/>
  <c r="H305" i="18"/>
  <c r="F194" i="17"/>
  <c r="E194" i="17"/>
  <c r="AA194" i="17"/>
  <c r="F1273" i="18"/>
  <c r="H665" i="18"/>
  <c r="E665" i="18"/>
  <c r="E497" i="18"/>
  <c r="H497" i="18"/>
  <c r="H377" i="18"/>
  <c r="E377" i="18"/>
  <c r="H1244" i="18"/>
  <c r="E1244" i="18"/>
  <c r="H544" i="18"/>
  <c r="H744" i="18"/>
  <c r="H8" i="30"/>
  <c r="E8" i="30"/>
  <c r="AA8" i="30"/>
  <c r="F1158" i="18"/>
  <c r="H401" i="18"/>
  <c r="E401" i="18"/>
  <c r="L1953" i="18"/>
  <c r="F1934" i="18"/>
  <c r="F1873" i="18"/>
  <c r="H1890" i="18"/>
  <c r="F179" i="17"/>
  <c r="E179" i="17"/>
  <c r="AA179" i="17"/>
  <c r="F1096" i="18"/>
  <c r="H648" i="18"/>
  <c r="H480" i="18"/>
  <c r="H472" i="18"/>
  <c r="E313" i="18"/>
  <c r="H313" i="18"/>
  <c r="H641" i="18"/>
  <c r="E641" i="18"/>
  <c r="H705" i="18"/>
  <c r="E705" i="18"/>
  <c r="H625" i="18"/>
  <c r="E625" i="18"/>
  <c r="H504" i="18"/>
  <c r="H1230" i="18"/>
  <c r="E1230" i="18"/>
  <c r="H449" i="18"/>
  <c r="E449" i="18"/>
  <c r="E249" i="18"/>
  <c r="H249" i="18"/>
  <c r="F2037" i="18"/>
  <c r="H225" i="18"/>
  <c r="E225" i="18"/>
  <c r="H297" i="18"/>
  <c r="E297" i="18"/>
  <c r="H584" i="18"/>
  <c r="E19" i="30"/>
  <c r="AA19" i="30"/>
  <c r="H441" i="18"/>
  <c r="E441" i="18"/>
  <c r="F2058" i="18"/>
  <c r="H568" i="18"/>
  <c r="E361" i="18"/>
  <c r="H361" i="18"/>
  <c r="H488" i="18"/>
  <c r="E609" i="18"/>
  <c r="H609" i="18"/>
  <c r="F1080" i="18"/>
  <c r="F178" i="17"/>
  <c r="E178" i="17"/>
  <c r="AA178" i="17"/>
  <c r="H288" i="18"/>
  <c r="I585" i="18"/>
  <c r="I729" i="18"/>
  <c r="I481" i="18"/>
  <c r="I697" i="18"/>
  <c r="I713" i="18"/>
  <c r="I745" i="18"/>
  <c r="I489" i="18"/>
  <c r="I545" i="18"/>
  <c r="E224" i="17"/>
  <c r="AA224" i="17"/>
  <c r="H2157" i="18"/>
  <c r="F2148" i="18"/>
  <c r="I681" i="18"/>
  <c r="I273" i="18"/>
  <c r="I633" i="18"/>
  <c r="I789" i="18"/>
  <c r="I289" i="18"/>
  <c r="I569" i="18"/>
  <c r="I561" i="18"/>
  <c r="I369" i="18"/>
  <c r="I689" i="18"/>
  <c r="I537" i="18"/>
  <c r="I505" i="18"/>
  <c r="I649" i="18"/>
  <c r="I473" i="18"/>
  <c r="E221" i="17"/>
  <c r="AA221" i="17"/>
  <c r="H320" i="18"/>
  <c r="E393" i="18"/>
  <c r="H393" i="18"/>
  <c r="E2081" i="18"/>
  <c r="H2081" i="18"/>
  <c r="H344" i="18"/>
  <c r="L2123" i="18"/>
  <c r="F2102" i="18"/>
  <c r="E465" i="18"/>
  <c r="H465" i="18"/>
  <c r="F1023" i="18"/>
  <c r="F174" i="17"/>
  <c r="E174" i="17"/>
  <c r="AA174" i="17"/>
  <c r="H601" i="18"/>
  <c r="E601" i="18"/>
  <c r="F1205" i="18"/>
  <c r="F186" i="17"/>
  <c r="E186" i="17"/>
  <c r="AA186" i="17"/>
  <c r="E737" i="18"/>
  <c r="H737" i="18"/>
  <c r="L2016" i="18"/>
  <c r="F1997" i="18"/>
  <c r="G781" i="18"/>
  <c r="E780" i="18"/>
  <c r="H780" i="18"/>
  <c r="I321" i="18"/>
  <c r="I353" i="18"/>
  <c r="I345" i="18"/>
  <c r="I337" i="18"/>
  <c r="I329" i="18"/>
  <c r="E223" i="17"/>
  <c r="AA223" i="17"/>
  <c r="H632" i="18"/>
  <c r="F1932" i="18"/>
  <c r="F14" i="30"/>
  <c r="E14" i="30"/>
  <c r="AA14" i="30"/>
  <c r="F192" i="17"/>
  <c r="E192" i="17"/>
  <c r="AA192" i="17"/>
  <c r="F1255" i="18"/>
  <c r="L1995" i="18"/>
  <c r="F1976" i="18"/>
  <c r="H680" i="18"/>
  <c r="H457" i="18"/>
  <c r="E457" i="18"/>
  <c r="H529" i="18"/>
  <c r="E529" i="18"/>
  <c r="H201" i="18"/>
  <c r="E201" i="18"/>
  <c r="E673" i="18"/>
  <c r="H673" i="18"/>
  <c r="F1892" i="18"/>
  <c r="H1911" i="18"/>
  <c r="E577" i="18"/>
  <c r="H577" i="18"/>
  <c r="H433" i="18"/>
  <c r="E433" i="18"/>
  <c r="H368" i="18"/>
  <c r="E409" i="18"/>
  <c r="H409" i="18"/>
  <c r="F182" i="17"/>
  <c r="E182" i="17"/>
  <c r="AA182" i="17"/>
  <c r="F1124" i="18"/>
  <c r="H2146" i="18"/>
  <c r="F2137" i="18"/>
  <c r="E20" i="30"/>
  <c r="AA20" i="30"/>
  <c r="F2081" i="18"/>
  <c r="H2067" i="18"/>
  <c r="F95" i="17"/>
  <c r="F193" i="18"/>
  <c r="H192" i="18"/>
  <c r="H576" i="18"/>
  <c r="F577" i="18"/>
  <c r="J18" i="30"/>
  <c r="E18" i="30"/>
  <c r="AA18" i="30"/>
  <c r="F2016" i="18"/>
  <c r="J633" i="18"/>
  <c r="E633" i="18"/>
  <c r="H440" i="18"/>
  <c r="F441" i="18"/>
  <c r="H752" i="18"/>
  <c r="H759" i="18"/>
  <c r="F753" i="18"/>
  <c r="F64" i="17"/>
  <c r="J681" i="18"/>
  <c r="E681" i="18"/>
  <c r="H624" i="18"/>
  <c r="F625" i="18"/>
  <c r="F76" i="17"/>
  <c r="H672" i="18"/>
  <c r="F673" i="18"/>
  <c r="F2157" i="18"/>
  <c r="F24" i="30"/>
  <c r="E24" i="30"/>
  <c r="AA24" i="30"/>
  <c r="F665" i="18"/>
  <c r="H664" i="18"/>
  <c r="F297" i="18"/>
  <c r="H296" i="18"/>
  <c r="F66" i="17"/>
  <c r="H640" i="18"/>
  <c r="F641" i="18"/>
  <c r="F2146" i="18"/>
  <c r="F23" i="30"/>
  <c r="E23" i="30"/>
  <c r="AA23" i="30"/>
  <c r="J649" i="18"/>
  <c r="E649" i="18"/>
  <c r="H304" i="18"/>
  <c r="F305" i="18"/>
  <c r="J337" i="18"/>
  <c r="E337" i="18"/>
  <c r="J745" i="18"/>
  <c r="E745" i="18"/>
  <c r="J713" i="18"/>
  <c r="E713" i="18"/>
  <c r="J697" i="18"/>
  <c r="E697" i="18"/>
  <c r="F457" i="18"/>
  <c r="H456" i="18"/>
  <c r="J369" i="18"/>
  <c r="E369" i="18"/>
  <c r="J481" i="18"/>
  <c r="E481" i="18"/>
  <c r="F92" i="17"/>
  <c r="H552" i="18"/>
  <c r="F553" i="18"/>
  <c r="F123" i="17"/>
  <c r="H232" i="18"/>
  <c r="F233" i="18"/>
  <c r="F10" i="30"/>
  <c r="E10" i="30"/>
  <c r="AA10" i="30"/>
  <c r="F1850" i="18"/>
  <c r="J789" i="18"/>
  <c r="I790" i="18"/>
  <c r="E789" i="18"/>
  <c r="E754" i="18"/>
  <c r="H754" i="18"/>
  <c r="F754" i="18"/>
  <c r="G763" i="18"/>
  <c r="H376" i="18"/>
  <c r="F377" i="18"/>
  <c r="F393" i="18"/>
  <c r="H392" i="18"/>
  <c r="F497" i="18"/>
  <c r="H496" i="18"/>
  <c r="F705" i="18"/>
  <c r="H704" i="18"/>
  <c r="F225" i="18"/>
  <c r="H224" i="18"/>
  <c r="J537" i="18"/>
  <c r="E537" i="18"/>
  <c r="F409" i="18"/>
  <c r="H408" i="18"/>
  <c r="F449" i="18"/>
  <c r="H448" i="18"/>
  <c r="H384" i="18"/>
  <c r="F385" i="18"/>
  <c r="F433" i="18"/>
  <c r="H432" i="18"/>
  <c r="F68" i="17"/>
  <c r="F99" i="17"/>
  <c r="F130" i="17"/>
  <c r="F7" i="30"/>
  <c r="F737" i="18"/>
  <c r="H736" i="18"/>
  <c r="J273" i="18"/>
  <c r="E273" i="18"/>
  <c r="F1890" i="18"/>
  <c r="F12" i="30"/>
  <c r="E12" i="30"/>
  <c r="AA12" i="30"/>
  <c r="F721" i="18"/>
  <c r="H720" i="18"/>
  <c r="F1911" i="18"/>
  <c r="F13" i="30"/>
  <c r="E13" i="30"/>
  <c r="AA13" i="30"/>
  <c r="F118" i="17"/>
  <c r="F73" i="17"/>
  <c r="J16" i="30"/>
  <c r="E16" i="30"/>
  <c r="AA16" i="30"/>
  <c r="F1974" i="18"/>
  <c r="H772" i="18"/>
  <c r="F772" i="18"/>
  <c r="E772" i="18"/>
  <c r="H208" i="18"/>
  <c r="F209" i="18"/>
  <c r="J473" i="18"/>
  <c r="E473" i="18"/>
  <c r="J545" i="18"/>
  <c r="E545" i="18"/>
  <c r="F771" i="18"/>
  <c r="F201" i="18"/>
  <c r="H200" i="18"/>
  <c r="J329" i="18"/>
  <c r="E329" i="18"/>
  <c r="J489" i="18"/>
  <c r="E489" i="18"/>
  <c r="H312" i="18"/>
  <c r="F313" i="18"/>
  <c r="F121" i="17"/>
  <c r="J257" i="18"/>
  <c r="E257" i="18"/>
  <c r="J345" i="18"/>
  <c r="E345" i="18"/>
  <c r="H248" i="18"/>
  <c r="F249" i="18"/>
  <c r="H656" i="18"/>
  <c r="F657" i="18"/>
  <c r="J353" i="18"/>
  <c r="E353" i="18"/>
  <c r="F91" i="17"/>
  <c r="J321" i="18"/>
  <c r="E321" i="18"/>
  <c r="J22" i="30"/>
  <c r="E22" i="30"/>
  <c r="AA22" i="30"/>
  <c r="F2123" i="18"/>
  <c r="J561" i="18"/>
  <c r="E561" i="18"/>
  <c r="F281" i="18"/>
  <c r="H280" i="18"/>
  <c r="J569" i="18"/>
  <c r="E569" i="18"/>
  <c r="F103" i="17"/>
  <c r="F113" i="17"/>
  <c r="F217" i="18"/>
  <c r="H216" i="18"/>
  <c r="F265" i="18"/>
  <c r="H264" i="18"/>
  <c r="J17" i="30"/>
  <c r="E17" i="30"/>
  <c r="AA17" i="30"/>
  <c r="F1995" i="18"/>
  <c r="F513" i="18"/>
  <c r="H512" i="18"/>
  <c r="F105" i="17"/>
  <c r="F119" i="17"/>
  <c r="F72" i="17"/>
  <c r="H592" i="18"/>
  <c r="F593" i="18"/>
  <c r="F111" i="17"/>
  <c r="J15" i="30"/>
  <c r="E15" i="30"/>
  <c r="AA15" i="30"/>
  <c r="F1953" i="18"/>
  <c r="H600" i="18"/>
  <c r="F601" i="18"/>
  <c r="F609" i="18"/>
  <c r="H608" i="18"/>
  <c r="H400" i="18"/>
  <c r="F401" i="18"/>
  <c r="F425" i="18"/>
  <c r="H424" i="18"/>
  <c r="F417" i="18"/>
  <c r="H416" i="18"/>
  <c r="F102" i="17"/>
  <c r="J505" i="18"/>
  <c r="E505" i="18"/>
  <c r="F93" i="17"/>
  <c r="H528" i="18"/>
  <c r="F529" i="18"/>
  <c r="H464" i="18"/>
  <c r="F465" i="18"/>
  <c r="F11" i="30"/>
  <c r="E11" i="30"/>
  <c r="AA11" i="30"/>
  <c r="F1871" i="18"/>
  <c r="J689" i="18"/>
  <c r="E689" i="18"/>
  <c r="F361" i="18"/>
  <c r="H360" i="18"/>
  <c r="F125" i="17"/>
  <c r="F74" i="17"/>
  <c r="F78" i="17"/>
  <c r="F780" i="18"/>
  <c r="H779" i="18"/>
  <c r="H786" i="18"/>
  <c r="J729" i="18"/>
  <c r="E729" i="18"/>
  <c r="F100" i="17"/>
  <c r="F521" i="18"/>
  <c r="H520" i="18"/>
  <c r="H616" i="18"/>
  <c r="F617" i="18"/>
  <c r="F117" i="17"/>
  <c r="J585" i="18"/>
  <c r="E585" i="18"/>
  <c r="H781" i="18"/>
  <c r="F781" i="18"/>
  <c r="E781" i="18"/>
  <c r="F75" i="17"/>
  <c r="J289" i="18"/>
  <c r="E289" i="18"/>
  <c r="F1230" i="18"/>
  <c r="H1221" i="18"/>
  <c r="F1244" i="18"/>
  <c r="H1232" i="18"/>
  <c r="E762" i="18"/>
  <c r="H762" i="18"/>
  <c r="F241" i="18"/>
  <c r="H240" i="18"/>
  <c r="F108" i="17"/>
  <c r="E108" i="17"/>
  <c r="AA108" i="17"/>
  <c r="F608" i="18"/>
  <c r="F720" i="18"/>
  <c r="F122" i="17"/>
  <c r="E122" i="17"/>
  <c r="AA122" i="17"/>
  <c r="J712" i="18"/>
  <c r="F713" i="18"/>
  <c r="F90" i="17"/>
  <c r="E90" i="17"/>
  <c r="AA90" i="17"/>
  <c r="F464" i="18"/>
  <c r="J544" i="18"/>
  <c r="F545" i="18"/>
  <c r="F126" i="17"/>
  <c r="E126" i="17"/>
  <c r="F3" i="30"/>
  <c r="E3" i="30"/>
  <c r="AA3" i="30"/>
  <c r="F759" i="18"/>
  <c r="F80" i="17"/>
  <c r="E80" i="17"/>
  <c r="AA80" i="17"/>
  <c r="F384" i="18"/>
  <c r="F664" i="18"/>
  <c r="F115" i="17"/>
  <c r="E115" i="17"/>
  <c r="AA115" i="17"/>
  <c r="J256" i="18"/>
  <c r="F257" i="18"/>
  <c r="F440" i="18"/>
  <c r="F87" i="17"/>
  <c r="E87" i="17"/>
  <c r="AA87" i="17"/>
  <c r="F552" i="18"/>
  <c r="F101" i="17"/>
  <c r="E101" i="17"/>
  <c r="AA101" i="17"/>
  <c r="J336" i="18"/>
  <c r="F337" i="18"/>
  <c r="F83" i="17"/>
  <c r="E83" i="17"/>
  <c r="AA83" i="17"/>
  <c r="F408" i="18"/>
  <c r="F264" i="18"/>
  <c r="F65" i="17"/>
  <c r="E65" i="17"/>
  <c r="AA65" i="17"/>
  <c r="J320" i="18"/>
  <c r="F321" i="18"/>
  <c r="F672" i="18"/>
  <c r="F116" i="17"/>
  <c r="E116" i="17"/>
  <c r="AA116" i="17"/>
  <c r="F62" i="17"/>
  <c r="E62" i="17"/>
  <c r="AA62" i="17"/>
  <c r="F240" i="18"/>
  <c r="J536" i="18"/>
  <c r="F537" i="18"/>
  <c r="J480" i="18"/>
  <c r="F481" i="18"/>
  <c r="F106" i="17"/>
  <c r="E106" i="17"/>
  <c r="AA106" i="17"/>
  <c r="F592" i="18"/>
  <c r="F77" i="17"/>
  <c r="E77" i="17"/>
  <c r="AA77" i="17"/>
  <c r="F360" i="18"/>
  <c r="F192" i="18"/>
  <c r="F56" i="17"/>
  <c r="E56" i="17"/>
  <c r="AA56" i="17"/>
  <c r="J352" i="18"/>
  <c r="F353" i="18"/>
  <c r="F120" i="17"/>
  <c r="E120" i="17"/>
  <c r="AA120" i="17"/>
  <c r="F704" i="18"/>
  <c r="F97" i="17"/>
  <c r="E97" i="17"/>
  <c r="AA97" i="17"/>
  <c r="F520" i="18"/>
  <c r="F424" i="18"/>
  <c r="F85" i="17"/>
  <c r="E85" i="17"/>
  <c r="AA85" i="17"/>
  <c r="F57" i="17"/>
  <c r="E57" i="17"/>
  <c r="AA57" i="17"/>
  <c r="F200" i="18"/>
  <c r="J788" i="18"/>
  <c r="J795" i="18"/>
  <c r="F789" i="18"/>
  <c r="F640" i="18"/>
  <c r="F112" i="17"/>
  <c r="E112" i="17"/>
  <c r="AA112" i="17"/>
  <c r="F232" i="18"/>
  <c r="F61" i="17"/>
  <c r="E61" i="17"/>
  <c r="AA61" i="17"/>
  <c r="J472" i="18"/>
  <c r="F473" i="18"/>
  <c r="F736" i="18"/>
  <c r="F124" i="17"/>
  <c r="E124" i="17"/>
  <c r="AA124" i="17"/>
  <c r="J504" i="18"/>
  <c r="F505" i="18"/>
  <c r="F60" i="17"/>
  <c r="E60" i="17"/>
  <c r="AA60" i="17"/>
  <c r="F224" i="18"/>
  <c r="J368" i="18"/>
  <c r="F369" i="18"/>
  <c r="F616" i="18"/>
  <c r="F109" i="17"/>
  <c r="E109" i="17"/>
  <c r="AA109" i="17"/>
  <c r="J688" i="18"/>
  <c r="F689" i="18"/>
  <c r="J680" i="18"/>
  <c r="F681" i="18"/>
  <c r="F512" i="18"/>
  <c r="F96" i="17"/>
  <c r="E96" i="17"/>
  <c r="AA96" i="17"/>
  <c r="J288" i="18"/>
  <c r="F289" i="18"/>
  <c r="J344" i="18"/>
  <c r="F345" i="18"/>
  <c r="F6" i="30"/>
  <c r="E6" i="30"/>
  <c r="AA6" i="30"/>
  <c r="F786" i="18"/>
  <c r="F129" i="17"/>
  <c r="E129" i="17"/>
  <c r="J744" i="18"/>
  <c r="F745" i="18"/>
  <c r="F98" i="17"/>
  <c r="E98" i="17"/>
  <c r="AA98" i="17"/>
  <c r="F528" i="18"/>
  <c r="F208" i="18"/>
  <c r="F58" i="17"/>
  <c r="E58" i="17"/>
  <c r="AA58" i="17"/>
  <c r="J584" i="18"/>
  <c r="F585" i="18"/>
  <c r="F59" i="17"/>
  <c r="E59" i="17"/>
  <c r="AA59" i="17"/>
  <c r="F216" i="18"/>
  <c r="J648" i="18"/>
  <c r="F649" i="18"/>
  <c r="F762" i="18"/>
  <c r="J790" i="18"/>
  <c r="F790" i="18"/>
  <c r="E790" i="18"/>
  <c r="F624" i="18"/>
  <c r="F110" i="17"/>
  <c r="E110" i="17"/>
  <c r="AA110" i="17"/>
  <c r="F189" i="17"/>
  <c r="E189" i="17"/>
  <c r="AA189" i="17"/>
  <c r="F1232" i="18"/>
  <c r="F656" i="18"/>
  <c r="F114" i="17"/>
  <c r="E114" i="17"/>
  <c r="AA114" i="17"/>
  <c r="F496" i="18"/>
  <c r="F94" i="17"/>
  <c r="E94" i="17"/>
  <c r="AA94" i="17"/>
  <c r="F188" i="17"/>
  <c r="E188" i="17"/>
  <c r="AA188" i="17"/>
  <c r="F1221" i="18"/>
  <c r="H770" i="18"/>
  <c r="H777" i="18"/>
  <c r="J696" i="18"/>
  <c r="F697" i="18"/>
  <c r="F2067" i="18"/>
  <c r="H2083" i="18"/>
  <c r="F280" i="18"/>
  <c r="F67" i="17"/>
  <c r="E67" i="17"/>
  <c r="AA67" i="17"/>
  <c r="J728" i="18"/>
  <c r="F729" i="18"/>
  <c r="F376" i="18"/>
  <c r="F79" i="17"/>
  <c r="E79" i="17"/>
  <c r="AA79" i="17"/>
  <c r="F107" i="17"/>
  <c r="E107" i="17"/>
  <c r="AA107" i="17"/>
  <c r="F600" i="18"/>
  <c r="J560" i="18"/>
  <c r="F561" i="18"/>
  <c r="F88" i="17"/>
  <c r="E88" i="17"/>
  <c r="AA88" i="17"/>
  <c r="F448" i="18"/>
  <c r="J272" i="18"/>
  <c r="F273" i="18"/>
  <c r="J632" i="18"/>
  <c r="F633" i="18"/>
  <c r="F70" i="17"/>
  <c r="E70" i="17"/>
  <c r="AA70" i="17"/>
  <c r="F304" i="18"/>
  <c r="F312" i="18"/>
  <c r="F71" i="17"/>
  <c r="E71" i="17"/>
  <c r="AA71" i="17"/>
  <c r="E763" i="18"/>
  <c r="H763" i="18"/>
  <c r="F763" i="18"/>
  <c r="J488" i="18"/>
  <c r="F489" i="18"/>
  <c r="F104" i="17"/>
  <c r="E104" i="17"/>
  <c r="AA104" i="17"/>
  <c r="F576" i="18"/>
  <c r="F84" i="17"/>
  <c r="E84" i="17"/>
  <c r="AA84" i="17"/>
  <c r="F416" i="18"/>
  <c r="J328" i="18"/>
  <c r="F329" i="18"/>
  <c r="F89" i="17"/>
  <c r="E89" i="17"/>
  <c r="AA89" i="17"/>
  <c r="F456" i="18"/>
  <c r="F400" i="18"/>
  <c r="F82" i="17"/>
  <c r="E82" i="17"/>
  <c r="AA82" i="17"/>
  <c r="J568" i="18"/>
  <c r="F569" i="18"/>
  <c r="F248" i="18"/>
  <c r="F63" i="17"/>
  <c r="E63" i="17"/>
  <c r="AA63" i="17"/>
  <c r="F432" i="18"/>
  <c r="F86" i="17"/>
  <c r="E86" i="17"/>
  <c r="AA86" i="17"/>
  <c r="F392" i="18"/>
  <c r="F81" i="17"/>
  <c r="E81" i="17"/>
  <c r="AA81" i="17"/>
  <c r="F69" i="17"/>
  <c r="E69" i="17"/>
  <c r="AA69" i="17"/>
  <c r="F296" i="18"/>
  <c r="H113" i="17"/>
  <c r="E113" i="17"/>
  <c r="AA113" i="17"/>
  <c r="F648" i="18"/>
  <c r="H130" i="17"/>
  <c r="E130" i="17"/>
  <c r="H7" i="30"/>
  <c r="E7" i="30"/>
  <c r="AA7" i="30"/>
  <c r="F795" i="18"/>
  <c r="H111" i="17"/>
  <c r="E111" i="17"/>
  <c r="AA111" i="17"/>
  <c r="F632" i="18"/>
  <c r="H66" i="17"/>
  <c r="E66" i="17"/>
  <c r="AA66" i="17"/>
  <c r="F272" i="18"/>
  <c r="H68" i="17"/>
  <c r="E68" i="17"/>
  <c r="AA68" i="17"/>
  <c r="F288" i="18"/>
  <c r="H92" i="17"/>
  <c r="E92" i="17"/>
  <c r="AA92" i="17"/>
  <c r="F480" i="18"/>
  <c r="H93" i="17"/>
  <c r="E93" i="17"/>
  <c r="AA93" i="17"/>
  <c r="F488" i="18"/>
  <c r="H91" i="17"/>
  <c r="E91" i="17"/>
  <c r="AA91" i="17"/>
  <c r="F472" i="18"/>
  <c r="H73" i="17"/>
  <c r="E73" i="17"/>
  <c r="AA73" i="17"/>
  <c r="F328" i="18"/>
  <c r="H72" i="17"/>
  <c r="E72" i="17"/>
  <c r="AA72" i="17"/>
  <c r="F320" i="18"/>
  <c r="H123" i="17"/>
  <c r="E123" i="17"/>
  <c r="AA123" i="17"/>
  <c r="F728" i="18"/>
  <c r="H78" i="17"/>
  <c r="E78" i="17"/>
  <c r="AA78" i="17"/>
  <c r="F368" i="18"/>
  <c r="H75" i="17"/>
  <c r="E75" i="17"/>
  <c r="AA75" i="17"/>
  <c r="F344" i="18"/>
  <c r="H105" i="17"/>
  <c r="E105" i="17"/>
  <c r="AA105" i="17"/>
  <c r="F584" i="18"/>
  <c r="H95" i="17"/>
  <c r="E95" i="17"/>
  <c r="AA95" i="17"/>
  <c r="F504" i="18"/>
  <c r="H103" i="17"/>
  <c r="E103" i="17"/>
  <c r="AA103" i="17"/>
  <c r="F568" i="18"/>
  <c r="H74" i="17"/>
  <c r="E74" i="17"/>
  <c r="AA74" i="17"/>
  <c r="F336" i="18"/>
  <c r="H99" i="17"/>
  <c r="E99" i="17"/>
  <c r="AA99" i="17"/>
  <c r="F536" i="18"/>
  <c r="H117" i="17"/>
  <c r="E117" i="17"/>
  <c r="AA117" i="17"/>
  <c r="F680" i="18"/>
  <c r="H121" i="17"/>
  <c r="E121" i="17"/>
  <c r="AA121" i="17"/>
  <c r="F712" i="18"/>
  <c r="H119" i="17"/>
  <c r="E119" i="17"/>
  <c r="AA119" i="17"/>
  <c r="F696" i="18"/>
  <c r="H102" i="17"/>
  <c r="E102" i="17"/>
  <c r="AA102" i="17"/>
  <c r="F560" i="18"/>
  <c r="H761" i="18"/>
  <c r="H768" i="18"/>
  <c r="H64" i="17"/>
  <c r="E64" i="17"/>
  <c r="AA64" i="17"/>
  <c r="F256" i="18"/>
  <c r="H100" i="17"/>
  <c r="E100" i="17"/>
  <c r="AA100" i="17"/>
  <c r="F544" i="18"/>
  <c r="F21" i="30"/>
  <c r="E21" i="30"/>
  <c r="AA21" i="30"/>
  <c r="F2083" i="18"/>
  <c r="H118" i="17"/>
  <c r="E118" i="17"/>
  <c r="AA118" i="17"/>
  <c r="F688" i="18"/>
  <c r="F5" i="30"/>
  <c r="E5" i="30"/>
  <c r="AA5" i="30"/>
  <c r="F128" i="17"/>
  <c r="E128" i="17"/>
  <c r="F777" i="18"/>
  <c r="H125" i="17"/>
  <c r="E125" i="17"/>
  <c r="AA125" i="17"/>
  <c r="F744" i="18"/>
  <c r="H76" i="17"/>
  <c r="E76" i="17"/>
  <c r="AA76" i="17"/>
  <c r="F352" i="18"/>
  <c r="F127" i="17"/>
  <c r="E127" i="17"/>
  <c r="F768" i="18"/>
  <c r="F4" i="30"/>
  <c r="E4" i="30"/>
  <c r="AA4" i="30"/>
  <c r="U83" i="16"/>
  <c r="Q83" i="16"/>
  <c r="W83" i="16"/>
  <c r="X83" i="16"/>
  <c r="F162" i="16"/>
  <c r="O162" i="16"/>
  <c r="T83" i="16"/>
  <c r="U43" i="16"/>
  <c r="U27" i="16"/>
  <c r="T27" i="16"/>
  <c r="Q27" i="16"/>
  <c r="R27" i="16"/>
  <c r="V27" i="16"/>
  <c r="T78" i="16"/>
  <c r="V55" i="16"/>
  <c r="F269" i="16"/>
  <c r="O269" i="16"/>
  <c r="F34" i="16"/>
  <c r="O34" i="16"/>
  <c r="Q188" i="16"/>
  <c r="W188" i="16"/>
  <c r="F222" i="16"/>
  <c r="O222" i="16"/>
  <c r="S254" i="16"/>
  <c r="S250" i="16"/>
  <c r="S78" i="16"/>
  <c r="F249" i="16"/>
  <c r="O249" i="16"/>
  <c r="T23" i="16"/>
  <c r="W322" i="16"/>
  <c r="U23" i="16"/>
  <c r="S69" i="16"/>
  <c r="Q351" i="16"/>
  <c r="W351" i="16"/>
  <c r="W205" i="16"/>
  <c r="S52" i="16"/>
  <c r="S65" i="16"/>
  <c r="Q180" i="16"/>
  <c r="Q186" i="16"/>
  <c r="R186" i="16"/>
  <c r="F238" i="16"/>
  <c r="O238" i="16"/>
  <c r="Q112" i="16"/>
  <c r="W112" i="16"/>
  <c r="Q175" i="16"/>
  <c r="Q239" i="16"/>
  <c r="T18" i="16"/>
  <c r="Q161" i="16"/>
  <c r="W161" i="16"/>
  <c r="V33" i="16"/>
  <c r="S73" i="16"/>
  <c r="V83" i="16"/>
  <c r="U73" i="16"/>
  <c r="O63" i="16"/>
  <c r="S77" i="16"/>
  <c r="O65" i="16"/>
  <c r="T47" i="16"/>
  <c r="Q272" i="16"/>
  <c r="W272" i="16"/>
  <c r="X272" i="16"/>
  <c r="Q277" i="16"/>
  <c r="W277" i="16"/>
  <c r="J235" i="16"/>
  <c r="F20" i="16"/>
  <c r="O20" i="16"/>
  <c r="T76" i="16"/>
  <c r="V74" i="16"/>
  <c r="S74" i="16"/>
  <c r="T74" i="16"/>
  <c r="U74" i="16"/>
  <c r="U75" i="16"/>
  <c r="T75" i="16"/>
  <c r="S75" i="16"/>
  <c r="Q147" i="16"/>
  <c r="W147" i="16"/>
  <c r="T87" i="16"/>
  <c r="S87" i="16"/>
  <c r="F309" i="16"/>
  <c r="O309" i="16"/>
  <c r="Q210" i="16"/>
  <c r="W210" i="16"/>
  <c r="T45" i="16"/>
  <c r="S45" i="16"/>
  <c r="T84" i="16"/>
  <c r="U84" i="16"/>
  <c r="F19" i="16"/>
  <c r="O19" i="16"/>
  <c r="F107" i="16"/>
  <c r="S43" i="16"/>
  <c r="F242" i="16"/>
  <c r="O242" i="16"/>
  <c r="F144" i="16"/>
  <c r="Q136" i="16"/>
  <c r="Q190" i="16"/>
  <c r="W190" i="16"/>
  <c r="Q307" i="16"/>
  <c r="Q108" i="16"/>
  <c r="W108" i="16"/>
  <c r="Q138" i="16"/>
  <c r="Q232" i="16"/>
  <c r="F193" i="16"/>
  <c r="O193" i="16"/>
  <c r="AN16" i="16"/>
  <c r="F103" i="16"/>
  <c r="Q201" i="16"/>
  <c r="W201" i="16"/>
  <c r="Q340" i="16"/>
  <c r="R340" i="16"/>
  <c r="Q46" i="16"/>
  <c r="Q311" i="16"/>
  <c r="T85" i="16"/>
  <c r="U85" i="16"/>
  <c r="V85" i="16"/>
  <c r="W302" i="16"/>
  <c r="T41" i="16"/>
  <c r="S41" i="16"/>
  <c r="T16" i="16"/>
  <c r="Q104" i="16"/>
  <c r="W129" i="16"/>
  <c r="Q221" i="16"/>
  <c r="V64" i="16"/>
  <c r="S64" i="16"/>
  <c r="U64" i="16"/>
  <c r="V71" i="16"/>
  <c r="F252" i="16"/>
  <c r="O252" i="16"/>
  <c r="F314" i="16"/>
  <c r="O314" i="16"/>
  <c r="H312" i="16"/>
  <c r="G8" i="16"/>
  <c r="T37" i="16"/>
  <c r="S37" i="16"/>
  <c r="U42" i="16"/>
  <c r="S42" i="16"/>
  <c r="Q42" i="16"/>
  <c r="T42" i="16"/>
  <c r="S58" i="16"/>
  <c r="F21" i="16"/>
  <c r="O21" i="16"/>
  <c r="S25" i="16"/>
  <c r="W353" i="16"/>
  <c r="X353" i="16"/>
  <c r="X253" i="16"/>
  <c r="T22" i="16"/>
  <c r="V22" i="16"/>
  <c r="S22" i="16"/>
  <c r="Q22" i="16"/>
  <c r="W22" i="16"/>
  <c r="V37" i="16"/>
  <c r="S68" i="16"/>
  <c r="T25" i="16"/>
  <c r="W49" i="16"/>
  <c r="X49" i="16"/>
  <c r="F179" i="16"/>
  <c r="O179" i="16"/>
  <c r="Q296" i="16"/>
  <c r="F209" i="16"/>
  <c r="O209" i="16"/>
  <c r="Q350" i="16"/>
  <c r="F275" i="16"/>
  <c r="O275" i="16"/>
  <c r="Q345" i="16"/>
  <c r="F120" i="16"/>
  <c r="O120" i="16"/>
  <c r="F248" i="16"/>
  <c r="O248" i="16"/>
  <c r="Q321" i="16"/>
  <c r="F84" i="16"/>
  <c r="O84" i="16"/>
  <c r="F160" i="16"/>
  <c r="F317" i="16"/>
  <c r="O317" i="16"/>
  <c r="W27" i="16"/>
  <c r="X27" i="16"/>
  <c r="Q43" i="16"/>
  <c r="W43" i="16"/>
  <c r="O217" i="16"/>
  <c r="X199" i="16"/>
  <c r="W311" i="16"/>
  <c r="O107" i="16"/>
  <c r="W138" i="16"/>
  <c r="O247" i="16"/>
  <c r="W134" i="16"/>
  <c r="W198" i="16"/>
  <c r="W306" i="16"/>
  <c r="W296" i="16"/>
  <c r="W321" i="16"/>
  <c r="W221" i="16"/>
  <c r="W144" i="16"/>
  <c r="W118" i="16"/>
  <c r="W287" i="16"/>
  <c r="W113" i="16"/>
  <c r="R118" i="16"/>
  <c r="O118" i="16"/>
  <c r="O198" i="16"/>
  <c r="R198" i="16"/>
  <c r="W176" i="16"/>
  <c r="X126" i="16"/>
  <c r="O126" i="16"/>
  <c r="F182" i="16"/>
  <c r="O182" i="16"/>
  <c r="S82" i="16"/>
  <c r="Q82" i="16"/>
  <c r="W82" i="16"/>
  <c r="U82" i="16"/>
  <c r="T82" i="16"/>
  <c r="V82" i="16"/>
  <c r="F270" i="16"/>
  <c r="O270" i="16"/>
  <c r="F87" i="16"/>
  <c r="O87" i="16"/>
  <c r="AR15" i="16"/>
  <c r="T21" i="16"/>
  <c r="S21" i="16"/>
  <c r="V21" i="16"/>
  <c r="U21" i="16"/>
  <c r="U48" i="16"/>
  <c r="T48" i="16"/>
  <c r="V48" i="16"/>
  <c r="F91" i="16"/>
  <c r="O91" i="16"/>
  <c r="L220" i="16"/>
  <c r="AO17" i="16"/>
  <c r="Q124" i="16"/>
  <c r="R124" i="16"/>
  <c r="Q140" i="16"/>
  <c r="W140" i="16"/>
  <c r="Q165" i="16"/>
  <c r="Q207" i="16"/>
  <c r="W207" i="16"/>
  <c r="X207" i="16"/>
  <c r="Q228" i="16"/>
  <c r="Q234" i="16"/>
  <c r="Q240" i="16"/>
  <c r="W240" i="16"/>
  <c r="Q257" i="16"/>
  <c r="Q262" i="16"/>
  <c r="Q267" i="16"/>
  <c r="W267" i="16"/>
  <c r="Q282" i="16"/>
  <c r="W282" i="16"/>
  <c r="Q304" i="16"/>
  <c r="W304" i="16"/>
  <c r="Q309" i="16"/>
  <c r="W50" i="16"/>
  <c r="X50" i="16"/>
  <c r="R50" i="16"/>
  <c r="Q87" i="16"/>
  <c r="S31" i="16"/>
  <c r="T31" i="16"/>
  <c r="U31" i="16"/>
  <c r="V31" i="16"/>
  <c r="U57" i="16"/>
  <c r="V57" i="16"/>
  <c r="W145" i="16"/>
  <c r="R327" i="16"/>
  <c r="W327" i="16"/>
  <c r="X327" i="16"/>
  <c r="X151" i="16"/>
  <c r="R241" i="16"/>
  <c r="W241" i="16"/>
  <c r="X241" i="16"/>
  <c r="R83" i="16"/>
  <c r="X198" i="16"/>
  <c r="S57" i="16"/>
  <c r="W317" i="16"/>
  <c r="X317" i="16"/>
  <c r="R49" i="16"/>
  <c r="Q181" i="16"/>
  <c r="W181" i="16"/>
  <c r="Q197" i="16"/>
  <c r="Q212" i="16"/>
  <c r="W218" i="16"/>
  <c r="X218" i="16"/>
  <c r="R218" i="16"/>
  <c r="R300" i="16"/>
  <c r="W300" i="16"/>
  <c r="X300" i="16"/>
  <c r="W42" i="16"/>
  <c r="X42" i="16"/>
  <c r="R42" i="16"/>
  <c r="O144" i="16"/>
  <c r="R144" i="16"/>
  <c r="O103" i="16"/>
  <c r="R103" i="16"/>
  <c r="F113" i="16"/>
  <c r="F56" i="16"/>
  <c r="O56" i="16"/>
  <c r="X134" i="16"/>
  <c r="R239" i="16"/>
  <c r="W239" i="16"/>
  <c r="R175" i="16"/>
  <c r="W175" i="16"/>
  <c r="X175" i="16"/>
  <c r="X112" i="16"/>
  <c r="X141" i="16"/>
  <c r="O141" i="16"/>
  <c r="F172" i="16"/>
  <c r="O172" i="16"/>
  <c r="O142" i="16"/>
  <c r="F45" i="16"/>
  <c r="O45" i="16"/>
  <c r="F281" i="16"/>
  <c r="O281" i="16"/>
  <c r="T312" i="16"/>
  <c r="T8" i="16"/>
  <c r="Q314" i="16"/>
  <c r="W326" i="16"/>
  <c r="X326" i="16"/>
  <c r="R326" i="16"/>
  <c r="S20" i="16"/>
  <c r="U20" i="16"/>
  <c r="T20" i="16"/>
  <c r="V20" i="16"/>
  <c r="S67" i="16"/>
  <c r="V67" i="16"/>
  <c r="U67" i="16"/>
  <c r="T67" i="16"/>
  <c r="Q67" i="16"/>
  <c r="Q26" i="16"/>
  <c r="R26" i="16"/>
  <c r="R112" i="16"/>
  <c r="R199" i="16"/>
  <c r="F290" i="16"/>
  <c r="O290" i="16"/>
  <c r="T33" i="16"/>
  <c r="S33" i="16"/>
  <c r="Q33" i="16"/>
  <c r="F70" i="16"/>
  <c r="O70" i="16"/>
  <c r="R120" i="16"/>
  <c r="U35" i="16"/>
  <c r="S35" i="16"/>
  <c r="Q35" i="16"/>
  <c r="W35" i="16"/>
  <c r="Q109" i="16"/>
  <c r="Q187" i="16"/>
  <c r="W187" i="16"/>
  <c r="X187" i="16"/>
  <c r="Q268" i="16"/>
  <c r="R268" i="16"/>
  <c r="Q288" i="16"/>
  <c r="R288" i="16"/>
  <c r="R294" i="16"/>
  <c r="W294" i="16"/>
  <c r="X294" i="16"/>
  <c r="U47" i="16"/>
  <c r="V47" i="16"/>
  <c r="S47" i="16"/>
  <c r="Q47" i="16"/>
  <c r="R47" i="16"/>
  <c r="F99" i="16"/>
  <c r="O99" i="16"/>
  <c r="F114" i="16"/>
  <c r="R349" i="16"/>
  <c r="S19" i="16"/>
  <c r="U19" i="16"/>
  <c r="T19" i="16"/>
  <c r="V19" i="16"/>
  <c r="W345" i="16"/>
  <c r="X345" i="16"/>
  <c r="R345" i="16"/>
  <c r="Q41" i="16"/>
  <c r="R41" i="16"/>
  <c r="R292" i="16"/>
  <c r="W292" i="16"/>
  <c r="X292" i="16"/>
  <c r="W344" i="16"/>
  <c r="X344" i="16"/>
  <c r="R344" i="16"/>
  <c r="T77" i="16"/>
  <c r="Q77" i="16"/>
  <c r="W77" i="16"/>
  <c r="U77" i="16"/>
  <c r="V77" i="16"/>
  <c r="R164" i="16"/>
  <c r="W164" i="16"/>
  <c r="X164" i="16"/>
  <c r="W211" i="16"/>
  <c r="X118" i="16"/>
  <c r="R204" i="16"/>
  <c r="Q74" i="16"/>
  <c r="W74" i="16"/>
  <c r="X74" i="16"/>
  <c r="V35" i="16"/>
  <c r="F277" i="16"/>
  <c r="O277" i="16"/>
  <c r="Q223" i="16"/>
  <c r="W293" i="16"/>
  <c r="W318" i="16"/>
  <c r="X318" i="16"/>
  <c r="R136" i="16"/>
  <c r="W186" i="16"/>
  <c r="F98" i="16"/>
  <c r="O98" i="16"/>
  <c r="F69" i="16"/>
  <c r="O69" i="16"/>
  <c r="F229" i="16"/>
  <c r="O229" i="16"/>
  <c r="W331" i="16"/>
  <c r="X331" i="16"/>
  <c r="R331" i="16"/>
  <c r="W116" i="16"/>
  <c r="X116" i="16"/>
  <c r="R116" i="16"/>
  <c r="X121" i="16"/>
  <c r="Q230" i="16"/>
  <c r="W230" i="16"/>
  <c r="X230" i="16"/>
  <c r="Q263" i="16"/>
  <c r="W263" i="16"/>
  <c r="X263" i="16"/>
  <c r="Q283" i="16"/>
  <c r="F167" i="16"/>
  <c r="O167" i="16"/>
  <c r="F132" i="16"/>
  <c r="O132" i="16"/>
  <c r="F33" i="16"/>
  <c r="O33" i="16"/>
  <c r="F30" i="16"/>
  <c r="O30" i="16"/>
  <c r="T66" i="16"/>
  <c r="U66" i="16"/>
  <c r="W284" i="16"/>
  <c r="X284" i="16"/>
  <c r="X210" i="16"/>
  <c r="F250" i="16"/>
  <c r="O250" i="16"/>
  <c r="F293" i="16"/>
  <c r="O293" i="16"/>
  <c r="F216" i="16"/>
  <c r="O216" i="16"/>
  <c r="Q242" i="16"/>
  <c r="F205" i="16"/>
  <c r="F176" i="16"/>
  <c r="O176" i="16"/>
  <c r="Q111" i="16"/>
  <c r="Q203" i="16"/>
  <c r="F283" i="16"/>
  <c r="O283" i="16"/>
  <c r="F22" i="16"/>
  <c r="O22" i="16"/>
  <c r="Q38" i="16"/>
  <c r="W38" i="16"/>
  <c r="Q132" i="16"/>
  <c r="Q183" i="16"/>
  <c r="W183" i="16"/>
  <c r="W285" i="16"/>
  <c r="X285" i="16"/>
  <c r="R285" i="16"/>
  <c r="S55" i="16"/>
  <c r="Q55" i="16"/>
  <c r="R55" i="16"/>
  <c r="L206" i="16"/>
  <c r="R39" i="16"/>
  <c r="F190" i="16"/>
  <c r="X190" i="16"/>
  <c r="F139" i="16"/>
  <c r="O139" i="16"/>
  <c r="F221" i="16"/>
  <c r="F170" i="16"/>
  <c r="H297" i="16"/>
  <c r="F44" i="16"/>
  <c r="O44" i="16"/>
  <c r="F244" i="16"/>
  <c r="F161" i="16"/>
  <c r="Q319" i="16"/>
  <c r="Q324" i="16"/>
  <c r="Q336" i="16"/>
  <c r="W336" i="16"/>
  <c r="X336" i="16"/>
  <c r="Q341" i="16"/>
  <c r="W341" i="16"/>
  <c r="X341" i="16"/>
  <c r="Q352" i="16"/>
  <c r="W352" i="16"/>
  <c r="X352" i="16"/>
  <c r="X279" i="16"/>
  <c r="S76" i="16"/>
  <c r="U76" i="16"/>
  <c r="V76" i="16"/>
  <c r="AO18" i="16"/>
  <c r="V87" i="16"/>
  <c r="U87" i="16"/>
  <c r="Q142" i="16"/>
  <c r="Q237" i="16"/>
  <c r="F157" i="16"/>
  <c r="O157" i="16"/>
  <c r="Q37" i="16"/>
  <c r="F210" i="16"/>
  <c r="O210" i="16"/>
  <c r="AQ103" i="16"/>
  <c r="F301" i="16"/>
  <c r="O301" i="16"/>
  <c r="F100" i="16"/>
  <c r="X100" i="16"/>
  <c r="Q178" i="16"/>
  <c r="X204" i="16"/>
  <c r="X311" i="16"/>
  <c r="F122" i="16"/>
  <c r="O122" i="16"/>
  <c r="F165" i="16"/>
  <c r="O165" i="16"/>
  <c r="X39" i="16"/>
  <c r="Q73" i="16"/>
  <c r="W73" i="16"/>
  <c r="E8" i="16"/>
  <c r="T65" i="16"/>
  <c r="Q65" i="16"/>
  <c r="U56" i="16"/>
  <c r="F201" i="16"/>
  <c r="O201" i="16"/>
  <c r="F292" i="16"/>
  <c r="O292" i="16"/>
  <c r="F145" i="16"/>
  <c r="O145" i="16"/>
  <c r="F279" i="16"/>
  <c r="O279" i="16"/>
  <c r="F158" i="16"/>
  <c r="O158" i="16"/>
  <c r="F92" i="16"/>
  <c r="O92" i="16"/>
  <c r="J220" i="16"/>
  <c r="Q271" i="16"/>
  <c r="W271" i="16"/>
  <c r="X271" i="16"/>
  <c r="Q291" i="16"/>
  <c r="Q330" i="16"/>
  <c r="Q342" i="16"/>
  <c r="R342" i="16"/>
  <c r="Q225" i="16"/>
  <c r="X144" i="16"/>
  <c r="F265" i="16"/>
  <c r="F74" i="16"/>
  <c r="O74" i="16"/>
  <c r="F137" i="16"/>
  <c r="O137" i="16"/>
  <c r="Q152" i="16"/>
  <c r="F266" i="16"/>
  <c r="O266" i="16"/>
  <c r="R346" i="16"/>
  <c r="W346" i="16"/>
  <c r="X346" i="16"/>
  <c r="F233" i="16"/>
  <c r="O233" i="16"/>
  <c r="F123" i="16"/>
  <c r="O123" i="16"/>
  <c r="Q117" i="16"/>
  <c r="T56" i="16"/>
  <c r="F93" i="16"/>
  <c r="O93" i="16"/>
  <c r="F191" i="16"/>
  <c r="O191" i="16"/>
  <c r="F117" i="16"/>
  <c r="O117" i="16"/>
  <c r="Q216" i="16"/>
  <c r="W216" i="16"/>
  <c r="Q233" i="16"/>
  <c r="Q244" i="16"/>
  <c r="Q248" i="16"/>
  <c r="Q255" i="16"/>
  <c r="Q261" i="16"/>
  <c r="W261" i="16"/>
  <c r="X261" i="16"/>
  <c r="Q281" i="16"/>
  <c r="W281" i="16"/>
  <c r="X281" i="16"/>
  <c r="Q308" i="16"/>
  <c r="S312" i="16"/>
  <c r="F295" i="16"/>
  <c r="O295" i="16"/>
  <c r="F152" i="16"/>
  <c r="O152" i="16"/>
  <c r="F128" i="16"/>
  <c r="O128" i="16"/>
  <c r="F153" i="16"/>
  <c r="O153" i="16"/>
  <c r="F17" i="16"/>
  <c r="O17" i="16"/>
  <c r="F73" i="16"/>
  <c r="Q40" i="16"/>
  <c r="Q173" i="16"/>
  <c r="X179" i="16"/>
  <c r="R247" i="16"/>
  <c r="F95" i="16"/>
  <c r="O95" i="16"/>
  <c r="F173" i="16"/>
  <c r="O173" i="16"/>
  <c r="F223" i="16"/>
  <c r="O223" i="16"/>
  <c r="F304" i="16"/>
  <c r="O304" i="16"/>
  <c r="F43" i="16"/>
  <c r="O43" i="16"/>
  <c r="L351" i="16"/>
  <c r="L15" i="16"/>
  <c r="X103" i="16"/>
  <c r="R174" i="16"/>
  <c r="Q231" i="16"/>
  <c r="Q243" i="16"/>
  <c r="Q269" i="16"/>
  <c r="F148" i="16"/>
  <c r="O148" i="16"/>
  <c r="F224" i="16"/>
  <c r="O224" i="16"/>
  <c r="F35" i="16"/>
  <c r="R35" i="16"/>
  <c r="F23" i="16"/>
  <c r="O23" i="16"/>
  <c r="Q270" i="16"/>
  <c r="R270" i="16"/>
  <c r="Q275" i="16"/>
  <c r="Q290" i="16"/>
  <c r="W290" i="16"/>
  <c r="U78" i="16"/>
  <c r="Q78" i="16"/>
  <c r="W78" i="16"/>
  <c r="R179" i="16"/>
  <c r="F308" i="16"/>
  <c r="O308" i="16"/>
  <c r="F32" i="16"/>
  <c r="O32" i="16"/>
  <c r="F236" i="16"/>
  <c r="O236" i="16"/>
  <c r="F211" i="16"/>
  <c r="O211" i="16"/>
  <c r="F195" i="16"/>
  <c r="F230" i="16"/>
  <c r="O230" i="16"/>
  <c r="F72" i="16"/>
  <c r="O72" i="16"/>
  <c r="Q139" i="16"/>
  <c r="W139" i="16"/>
  <c r="Q149" i="16"/>
  <c r="Q159" i="16"/>
  <c r="Q323" i="16"/>
  <c r="Q328" i="16"/>
  <c r="Q335" i="16"/>
  <c r="F273" i="16"/>
  <c r="O273" i="16"/>
  <c r="F171" i="16"/>
  <c r="O171" i="16"/>
  <c r="F168" i="16"/>
  <c r="O168" i="16"/>
  <c r="F151" i="16"/>
  <c r="O151" i="16"/>
  <c r="F76" i="16"/>
  <c r="O76" i="16"/>
  <c r="F299" i="16"/>
  <c r="O299" i="16"/>
  <c r="F289" i="16"/>
  <c r="O289" i="16"/>
  <c r="F154" i="16"/>
  <c r="O154" i="16"/>
  <c r="F239" i="16"/>
  <c r="O239" i="16"/>
  <c r="F134" i="16"/>
  <c r="O134" i="16"/>
  <c r="F71" i="16"/>
  <c r="O71" i="16"/>
  <c r="R143" i="16"/>
  <c r="O143" i="16"/>
  <c r="L332" i="16"/>
  <c r="K12" i="16"/>
  <c r="L12" i="16"/>
  <c r="F351" i="16"/>
  <c r="O351" i="16"/>
  <c r="R348" i="16"/>
  <c r="W348" i="16"/>
  <c r="X348" i="16"/>
  <c r="W162" i="16"/>
  <c r="X162" i="16"/>
  <c r="R162" i="16"/>
  <c r="W347" i="16"/>
  <c r="X347" i="16"/>
  <c r="R347" i="16"/>
  <c r="O161" i="16"/>
  <c r="X161" i="16"/>
  <c r="R161" i="16"/>
  <c r="W197" i="16"/>
  <c r="X197" i="16"/>
  <c r="R197" i="16"/>
  <c r="W202" i="16"/>
  <c r="X202" i="16"/>
  <c r="R202" i="16"/>
  <c r="X208" i="16"/>
  <c r="R212" i="16"/>
  <c r="W212" i="16"/>
  <c r="X212" i="16"/>
  <c r="W224" i="16"/>
  <c r="W229" i="16"/>
  <c r="R229" i="16"/>
  <c r="T256" i="16"/>
  <c r="T6" i="16"/>
  <c r="S8" i="16"/>
  <c r="Q8" i="16"/>
  <c r="Q312" i="16"/>
  <c r="R320" i="16"/>
  <c r="W320" i="16"/>
  <c r="X320" i="16"/>
  <c r="R325" i="16"/>
  <c r="W325" i="16"/>
  <c r="X325" i="16"/>
  <c r="W330" i="16"/>
  <c r="V52" i="16"/>
  <c r="U52" i="16"/>
  <c r="T52" i="16"/>
  <c r="U72" i="16"/>
  <c r="V72" i="16"/>
  <c r="T72" i="16"/>
  <c r="S72" i="16"/>
  <c r="T63" i="16"/>
  <c r="S63" i="16"/>
  <c r="U63" i="16"/>
  <c r="V63" i="16"/>
  <c r="Q53" i="16"/>
  <c r="T29" i="16"/>
  <c r="R304" i="16"/>
  <c r="W232" i="16"/>
  <c r="W51" i="16"/>
  <c r="W177" i="16"/>
  <c r="X177" i="16"/>
  <c r="R177" i="16"/>
  <c r="R187" i="16"/>
  <c r="W213" i="16"/>
  <c r="X213" i="16"/>
  <c r="R213" i="16"/>
  <c r="S316" i="16"/>
  <c r="S32" i="16"/>
  <c r="T32" i="16"/>
  <c r="U32" i="16"/>
  <c r="V32" i="16"/>
  <c r="V81" i="16"/>
  <c r="T81" i="16"/>
  <c r="S81" i="16"/>
  <c r="Q81" i="16"/>
  <c r="U71" i="16"/>
  <c r="T71" i="16"/>
  <c r="S71" i="16"/>
  <c r="V62" i="16"/>
  <c r="S62" i="16"/>
  <c r="T62" i="16"/>
  <c r="U62" i="16"/>
  <c r="U53" i="16"/>
  <c r="T53" i="16"/>
  <c r="V53" i="16"/>
  <c r="W337" i="16"/>
  <c r="X337" i="16"/>
  <c r="R201" i="16"/>
  <c r="W342" i="16"/>
  <c r="X342" i="16"/>
  <c r="F77" i="16"/>
  <c r="O77" i="16"/>
  <c r="AQ16" i="16"/>
  <c r="F24" i="16"/>
  <c r="O24" i="16"/>
  <c r="J15" i="16"/>
  <c r="R111" i="16"/>
  <c r="W111" i="16"/>
  <c r="X111" i="16"/>
  <c r="R193" i="16"/>
  <c r="W193" i="16"/>
  <c r="X193" i="16"/>
  <c r="W273" i="16"/>
  <c r="Q18" i="16"/>
  <c r="U90" i="16"/>
  <c r="T90" i="16"/>
  <c r="S90" i="16"/>
  <c r="Q90" i="16"/>
  <c r="U80" i="16"/>
  <c r="S29" i="16"/>
  <c r="W303" i="16"/>
  <c r="X303" i="16"/>
  <c r="R303" i="16"/>
  <c r="AO329" i="16"/>
  <c r="AQ329" i="16"/>
  <c r="F322" i="16"/>
  <c r="O73" i="16"/>
  <c r="R73" i="16"/>
  <c r="X73" i="16"/>
  <c r="W167" i="16"/>
  <c r="R315" i="16"/>
  <c r="W315" i="16"/>
  <c r="X315" i="16"/>
  <c r="W333" i="16"/>
  <c r="X333" i="16"/>
  <c r="R333" i="16"/>
  <c r="R338" i="16"/>
  <c r="W338" i="16"/>
  <c r="X338" i="16"/>
  <c r="U30" i="16"/>
  <c r="T30" i="16"/>
  <c r="S30" i="16"/>
  <c r="T70" i="16"/>
  <c r="V70" i="16"/>
  <c r="U70" i="16"/>
  <c r="T61" i="16"/>
  <c r="S61" i="16"/>
  <c r="U61" i="16"/>
  <c r="U254" i="16"/>
  <c r="U250" i="16"/>
  <c r="T254" i="16"/>
  <c r="T235" i="16"/>
  <c r="O265" i="16"/>
  <c r="R265" i="16"/>
  <c r="W91" i="16"/>
  <c r="X91" i="16"/>
  <c r="W350" i="16"/>
  <c r="X350" i="16"/>
  <c r="R350" i="16"/>
  <c r="S206" i="16"/>
  <c r="W278" i="16"/>
  <c r="F219" i="16"/>
  <c r="O219" i="16"/>
  <c r="H206" i="16"/>
  <c r="F206" i="16"/>
  <c r="O206" i="16"/>
  <c r="W106" i="16"/>
  <c r="R257" i="16"/>
  <c r="W257" i="16"/>
  <c r="X257" i="16"/>
  <c r="W319" i="16"/>
  <c r="X319" i="16"/>
  <c r="R319" i="16"/>
  <c r="V54" i="16"/>
  <c r="U54" i="16"/>
  <c r="T54" i="16"/>
  <c r="S54" i="16"/>
  <c r="F192" i="16"/>
  <c r="O192" i="16"/>
  <c r="AM18" i="16"/>
  <c r="Q299" i="16"/>
  <c r="S297" i="16"/>
  <c r="T17" i="16"/>
  <c r="V17" i="16"/>
  <c r="S17" i="16"/>
  <c r="U17" i="16"/>
  <c r="O196" i="16"/>
  <c r="R196" i="16"/>
  <c r="U316" i="16"/>
  <c r="U11" i="16"/>
  <c r="W136" i="16"/>
  <c r="X136" i="16"/>
  <c r="W343" i="16"/>
  <c r="X343" i="16"/>
  <c r="AM20" i="16"/>
  <c r="F226" i="16"/>
  <c r="O226" i="16"/>
  <c r="H220" i="16"/>
  <c r="W182" i="16"/>
  <c r="V34" i="16"/>
  <c r="U34" i="16"/>
  <c r="T34" i="16"/>
  <c r="S34" i="16"/>
  <c r="R234" i="16"/>
  <c r="W234" i="16"/>
  <c r="X234" i="16"/>
  <c r="O296" i="16"/>
  <c r="X296" i="16"/>
  <c r="R296" i="16"/>
  <c r="F51" i="16"/>
  <c r="O51" i="16"/>
  <c r="AM14" i="16"/>
  <c r="S28" i="16"/>
  <c r="V28" i="16"/>
  <c r="T28" i="16"/>
  <c r="U28" i="16"/>
  <c r="O178" i="16"/>
  <c r="X186" i="16"/>
  <c r="O186" i="16"/>
  <c r="R40" i="16"/>
  <c r="W40" i="16"/>
  <c r="R252" i="16"/>
  <c r="W252" i="16"/>
  <c r="X252" i="16"/>
  <c r="R157" i="16"/>
  <c r="X157" i="16"/>
  <c r="R207" i="16"/>
  <c r="W104" i="16"/>
  <c r="W228" i="16"/>
  <c r="W262" i="16"/>
  <c r="X262" i="16"/>
  <c r="R262" i="16"/>
  <c r="W314" i="16"/>
  <c r="X314" i="16"/>
  <c r="R314" i="16"/>
  <c r="W324" i="16"/>
  <c r="X324" i="16"/>
  <c r="R324" i="16"/>
  <c r="S332" i="16"/>
  <c r="F339" i="16"/>
  <c r="O339" i="16"/>
  <c r="AS350" i="16"/>
  <c r="AU350" i="16"/>
  <c r="U235" i="16"/>
  <c r="Q236" i="16"/>
  <c r="U256" i="16"/>
  <c r="U6" i="16"/>
  <c r="W309" i="16"/>
  <c r="X309" i="16"/>
  <c r="R309" i="16"/>
  <c r="S89" i="16"/>
  <c r="U89" i="16"/>
  <c r="V89" i="16"/>
  <c r="V80" i="16"/>
  <c r="S80" i="16"/>
  <c r="Q80" i="16"/>
  <c r="S256" i="16"/>
  <c r="Q258" i="16"/>
  <c r="G7" i="16"/>
  <c r="O280" i="16"/>
  <c r="R280" i="16"/>
  <c r="O108" i="16"/>
  <c r="R108" i="16"/>
  <c r="X108" i="16"/>
  <c r="Q102" i="16"/>
  <c r="S101" i="16"/>
  <c r="W153" i="16"/>
  <c r="X153" i="16"/>
  <c r="R153" i="16"/>
  <c r="W225" i="16"/>
  <c r="X225" i="16"/>
  <c r="R225" i="16"/>
  <c r="O267" i="16"/>
  <c r="X267" i="16"/>
  <c r="R267" i="16"/>
  <c r="O160" i="16"/>
  <c r="X160" i="16"/>
  <c r="R286" i="16"/>
  <c r="W286" i="16"/>
  <c r="X286" i="16"/>
  <c r="H8" i="16"/>
  <c r="F8" i="16"/>
  <c r="O8" i="16"/>
  <c r="W227" i="16"/>
  <c r="X227" i="16"/>
  <c r="R227" i="16"/>
  <c r="R160" i="16"/>
  <c r="Q66" i="16"/>
  <c r="U206" i="16"/>
  <c r="Q25" i="16"/>
  <c r="X129" i="16"/>
  <c r="W172" i="16"/>
  <c r="X172" i="16"/>
  <c r="W122" i="16"/>
  <c r="X122" i="16"/>
  <c r="R122" i="16"/>
  <c r="W148" i="16"/>
  <c r="X148" i="16"/>
  <c r="R148" i="16"/>
  <c r="W209" i="16"/>
  <c r="X209" i="16"/>
  <c r="R209" i="16"/>
  <c r="AN18" i="16"/>
  <c r="F185" i="16"/>
  <c r="O185" i="16"/>
  <c r="V59" i="16"/>
  <c r="S59" i="16"/>
  <c r="U59" i="16"/>
  <c r="T59" i="16"/>
  <c r="X302" i="16"/>
  <c r="R302" i="16"/>
  <c r="AO15" i="16"/>
  <c r="W184" i="16"/>
  <c r="AO20" i="16"/>
  <c r="H332" i="16"/>
  <c r="AO350" i="16"/>
  <c r="AQ350" i="16"/>
  <c r="AM16" i="16"/>
  <c r="F130" i="16"/>
  <c r="O261" i="16"/>
  <c r="F40" i="16"/>
  <c r="O40" i="16"/>
  <c r="T332" i="16"/>
  <c r="T12" i="16"/>
  <c r="W289" i="16"/>
  <c r="X289" i="16"/>
  <c r="O271" i="16"/>
  <c r="R271" i="16"/>
  <c r="F106" i="16"/>
  <c r="O106" i="16"/>
  <c r="AR102" i="16"/>
  <c r="F18" i="16"/>
  <c r="O18" i="16"/>
  <c r="AN14" i="16"/>
  <c r="AQ15" i="16"/>
  <c r="F240" i="16"/>
  <c r="O240" i="16"/>
  <c r="L235" i="16"/>
  <c r="L101" i="16"/>
  <c r="X139" i="16"/>
  <c r="R310" i="16"/>
  <c r="W310" i="16"/>
  <c r="X310" i="16"/>
  <c r="F246" i="16"/>
  <c r="AO16" i="16"/>
  <c r="F105" i="16"/>
  <c r="F298" i="16"/>
  <c r="J297" i="16"/>
  <c r="I7" i="16"/>
  <c r="J7" i="16"/>
  <c r="AP102" i="16"/>
  <c r="F150" i="16"/>
  <c r="R141" i="16"/>
  <c r="Q75" i="16"/>
  <c r="U88" i="16"/>
  <c r="F78" i="16"/>
  <c r="O78" i="16"/>
  <c r="F260" i="16"/>
  <c r="R260" i="16"/>
  <c r="AM61" i="16"/>
  <c r="AN15" i="16"/>
  <c r="Q76" i="16"/>
  <c r="W117" i="16"/>
  <c r="X117" i="16"/>
  <c r="R117" i="16"/>
  <c r="X143" i="16"/>
  <c r="W259" i="16"/>
  <c r="X259" i="16"/>
  <c r="R259" i="16"/>
  <c r="W274" i="16"/>
  <c r="X274" i="16"/>
  <c r="R274" i="16"/>
  <c r="V79" i="16"/>
  <c r="U79" i="16"/>
  <c r="T79" i="16"/>
  <c r="S79" i="16"/>
  <c r="Q79" i="16"/>
  <c r="U101" i="16"/>
  <c r="U297" i="16"/>
  <c r="U7" i="16"/>
  <c r="X290" i="16"/>
  <c r="F312" i="16"/>
  <c r="O312" i="16"/>
  <c r="O35" i="16"/>
  <c r="F228" i="16"/>
  <c r="O228" i="16"/>
  <c r="F46" i="16"/>
  <c r="O46" i="16"/>
  <c r="V69" i="16"/>
  <c r="T69" i="16"/>
  <c r="Q69" i="16"/>
  <c r="S88" i="16"/>
  <c r="F94" i="16"/>
  <c r="O94" i="16"/>
  <c r="T101" i="16"/>
  <c r="W132" i="16"/>
  <c r="X132" i="16"/>
  <c r="R132" i="16"/>
  <c r="W203" i="16"/>
  <c r="X203" i="16"/>
  <c r="R203" i="16"/>
  <c r="W264" i="16"/>
  <c r="X264" i="16"/>
  <c r="R264" i="16"/>
  <c r="W283" i="16"/>
  <c r="X283" i="16"/>
  <c r="R283" i="16"/>
  <c r="T297" i="16"/>
  <c r="T7" i="16"/>
  <c r="T60" i="16"/>
  <c r="V60" i="16"/>
  <c r="S60" i="16"/>
  <c r="W189" i="16"/>
  <c r="X189" i="16"/>
  <c r="R189" i="16"/>
  <c r="T206" i="16"/>
  <c r="U45" i="16"/>
  <c r="Q45" i="16"/>
  <c r="V45" i="16"/>
  <c r="R134" i="16"/>
  <c r="Q20" i="16"/>
  <c r="O121" i="16"/>
  <c r="R121" i="16"/>
  <c r="F104" i="16"/>
  <c r="O104" i="16"/>
  <c r="AP101" i="16"/>
  <c r="H101" i="16"/>
  <c r="R173" i="16"/>
  <c r="W173" i="16"/>
  <c r="W46" i="16"/>
  <c r="AO14" i="16"/>
  <c r="AP103" i="16"/>
  <c r="F200" i="16"/>
  <c r="F131" i="16"/>
  <c r="W307" i="16"/>
  <c r="X307" i="16"/>
  <c r="R307" i="16"/>
  <c r="X35" i="16"/>
  <c r="R126" i="16"/>
  <c r="T88" i="16"/>
  <c r="W349" i="16"/>
  <c r="X349" i="16"/>
  <c r="V41" i="16"/>
  <c r="X280" i="16"/>
  <c r="O146" i="16"/>
  <c r="R146" i="16"/>
  <c r="F259" i="16"/>
  <c r="O259" i="16"/>
  <c r="H256" i="16"/>
  <c r="W191" i="16"/>
  <c r="X191" i="16"/>
  <c r="R191" i="16"/>
  <c r="T68" i="16"/>
  <c r="Q68" i="16"/>
  <c r="X150" i="16"/>
  <c r="AM15" i="16"/>
  <c r="R128" i="16"/>
  <c r="W128" i="16"/>
  <c r="X128" i="16"/>
  <c r="X295" i="16"/>
  <c r="T316" i="16"/>
  <c r="T11" i="16"/>
  <c r="S86" i="16"/>
  <c r="U86" i="16"/>
  <c r="J206" i="16"/>
  <c r="AN17" i="16"/>
  <c r="F207" i="16"/>
  <c r="O207" i="16"/>
  <c r="R22" i="16"/>
  <c r="U58" i="16"/>
  <c r="Q58" i="16"/>
  <c r="W155" i="16"/>
  <c r="X155" i="16"/>
  <c r="R155" i="16"/>
  <c r="Q23" i="16"/>
  <c r="Q84" i="16"/>
  <c r="R287" i="16"/>
  <c r="R321" i="16"/>
  <c r="R216" i="16"/>
  <c r="R339" i="16"/>
  <c r="W174" i="16"/>
  <c r="X174" i="16"/>
  <c r="F82" i="16"/>
  <c r="O82" i="16"/>
  <c r="J256" i="16"/>
  <c r="I6" i="16"/>
  <c r="J6" i="16"/>
  <c r="X120" i="16"/>
  <c r="R139" i="16"/>
  <c r="Q238" i="16"/>
  <c r="S235" i="16"/>
  <c r="Q235" i="16"/>
  <c r="S44" i="16"/>
  <c r="Q44" i="16"/>
  <c r="V44" i="16"/>
  <c r="U44" i="16"/>
  <c r="F66" i="16"/>
  <c r="O66" i="16"/>
  <c r="Q64" i="16"/>
  <c r="F180" i="16"/>
  <c r="O180" i="16"/>
  <c r="F232" i="16"/>
  <c r="O232" i="16"/>
  <c r="F129" i="16"/>
  <c r="Q85" i="16"/>
  <c r="AP16" i="16"/>
  <c r="F208" i="16"/>
  <c r="O208" i="16"/>
  <c r="X287" i="16"/>
  <c r="AQ102" i="16"/>
  <c r="T86" i="16"/>
  <c r="W340" i="16"/>
  <c r="X340" i="16"/>
  <c r="X131" i="16"/>
  <c r="F147" i="16"/>
  <c r="F278" i="16"/>
  <c r="O278" i="16"/>
  <c r="AM69" i="16"/>
  <c r="F125" i="16"/>
  <c r="W10" i="16"/>
  <c r="X10" i="16"/>
  <c r="R10" i="16"/>
  <c r="Q110" i="16"/>
  <c r="O13" i="16"/>
  <c r="R13" i="16"/>
  <c r="X13" i="16"/>
  <c r="T250" i="16"/>
  <c r="Q250" i="16"/>
  <c r="W305" i="16"/>
  <c r="X305" i="16"/>
  <c r="R305" i="16"/>
  <c r="W334" i="16"/>
  <c r="X334" i="16"/>
  <c r="R334" i="16"/>
  <c r="O244" i="16"/>
  <c r="X114" i="16"/>
  <c r="W133" i="16"/>
  <c r="R226" i="16"/>
  <c r="W243" i="16"/>
  <c r="X243" i="16"/>
  <c r="Q31" i="16"/>
  <c r="X321" i="16"/>
  <c r="X22" i="16"/>
  <c r="F52" i="16"/>
  <c r="O52" i="16"/>
  <c r="X265" i="16"/>
  <c r="R295" i="16"/>
  <c r="W180" i="16"/>
  <c r="L297" i="16"/>
  <c r="F25" i="16"/>
  <c r="O25" i="16"/>
  <c r="R98" i="16"/>
  <c r="W124" i="16"/>
  <c r="X124" i="16"/>
  <c r="W185" i="16"/>
  <c r="X185" i="16"/>
  <c r="V86" i="16"/>
  <c r="Q56" i="16"/>
  <c r="F16" i="16"/>
  <c r="O16" i="16"/>
  <c r="AP15" i="16"/>
  <c r="H15" i="16"/>
  <c r="F156" i="16"/>
  <c r="F276" i="16"/>
  <c r="F181" i="16"/>
  <c r="F115" i="16"/>
  <c r="O115" i="16"/>
  <c r="U332" i="16"/>
  <c r="U12" i="16"/>
  <c r="F194" i="16"/>
  <c r="O194" i="16"/>
  <c r="R210" i="16"/>
  <c r="F282" i="16"/>
  <c r="O272" i="16"/>
  <c r="R272" i="16"/>
  <c r="H235" i="16"/>
  <c r="F235" i="16"/>
  <c r="O235" i="16"/>
  <c r="L330" i="16"/>
  <c r="AS329" i="16"/>
  <c r="AU329" i="16"/>
  <c r="H316" i="16"/>
  <c r="F38" i="16"/>
  <c r="F243" i="16"/>
  <c r="O243" i="16"/>
  <c r="AR16" i="16"/>
  <c r="U220" i="16"/>
  <c r="Q222" i="16"/>
  <c r="F163" i="16"/>
  <c r="J101" i="16"/>
  <c r="AQ101" i="16"/>
  <c r="T24" i="16"/>
  <c r="Q24" i="16"/>
  <c r="V24" i="16"/>
  <c r="L256" i="16"/>
  <c r="K6" i="16"/>
  <c r="L6" i="16"/>
  <c r="F133" i="16"/>
  <c r="O133" i="16"/>
  <c r="F214" i="16"/>
  <c r="O214" i="16"/>
  <c r="Q217" i="16"/>
  <c r="S220" i="16"/>
  <c r="Q266" i="16"/>
  <c r="R291" i="16"/>
  <c r="W291" i="16"/>
  <c r="X291" i="16"/>
  <c r="X170" i="16"/>
  <c r="AR101" i="16"/>
  <c r="W115" i="16"/>
  <c r="W135" i="16"/>
  <c r="X135" i="16"/>
  <c r="R135" i="16"/>
  <c r="W165" i="16"/>
  <c r="X165" i="16"/>
  <c r="R165" i="16"/>
  <c r="S16" i="16"/>
  <c r="V16" i="16"/>
  <c r="U16" i="16"/>
  <c r="F138" i="16"/>
  <c r="F215" i="16"/>
  <c r="R253" i="16"/>
  <c r="F169" i="16"/>
  <c r="X169" i="16"/>
  <c r="F188" i="16"/>
  <c r="F75" i="16"/>
  <c r="O75" i="16"/>
  <c r="Q107" i="16"/>
  <c r="Q166" i="16"/>
  <c r="Q192" i="16"/>
  <c r="T220" i="16"/>
  <c r="Q245" i="16"/>
  <c r="Q249" i="16"/>
  <c r="F85" i="16"/>
  <c r="O85" i="16"/>
  <c r="F254" i="16"/>
  <c r="O254" i="16"/>
  <c r="F184" i="16"/>
  <c r="O184" i="16"/>
  <c r="F251" i="16"/>
  <c r="R251" i="16"/>
  <c r="F140" i="16"/>
  <c r="AN20" i="16"/>
  <c r="Q94" i="16"/>
  <c r="W94" i="16"/>
  <c r="X94" i="16"/>
  <c r="Q123" i="16"/>
  <c r="Q154" i="16"/>
  <c r="Q168" i="16"/>
  <c r="Q194" i="16"/>
  <c r="Q214" i="16"/>
  <c r="Q219" i="16"/>
  <c r="F119" i="16"/>
  <c r="F313" i="16"/>
  <c r="S36" i="16"/>
  <c r="V36" i="16"/>
  <c r="U36" i="16"/>
  <c r="Q137" i="16"/>
  <c r="Q171" i="16"/>
  <c r="Q329" i="16"/>
  <c r="F306" i="16"/>
  <c r="F183" i="16"/>
  <c r="O183" i="16"/>
  <c r="F54" i="16"/>
  <c r="O54" i="16"/>
  <c r="Q127" i="16"/>
  <c r="W65" i="16"/>
  <c r="X65" i="16"/>
  <c r="R65" i="16"/>
  <c r="W33" i="16"/>
  <c r="X33" i="16"/>
  <c r="R33" i="16"/>
  <c r="Q220" i="16"/>
  <c r="R220" i="16"/>
  <c r="Q60" i="16"/>
  <c r="O195" i="16"/>
  <c r="R195" i="16"/>
  <c r="R231" i="16"/>
  <c r="W231" i="16"/>
  <c r="X231" i="16"/>
  <c r="R170" i="16"/>
  <c r="O170" i="16"/>
  <c r="O114" i="16"/>
  <c r="R114" i="16"/>
  <c r="R341" i="16"/>
  <c r="Q71" i="16"/>
  <c r="W71" i="16"/>
  <c r="X71" i="16"/>
  <c r="Q52" i="16"/>
  <c r="X195" i="16"/>
  <c r="O221" i="16"/>
  <c r="R221" i="16"/>
  <c r="X221" i="16"/>
  <c r="J14" i="16"/>
  <c r="I5" i="16"/>
  <c r="J5" i="16"/>
  <c r="Q36" i="16"/>
  <c r="F101" i="16"/>
  <c r="O101" i="16"/>
  <c r="Q30" i="16"/>
  <c r="W30" i="16"/>
  <c r="X30" i="16"/>
  <c r="X51" i="16"/>
  <c r="R91" i="16"/>
  <c r="X301" i="16"/>
  <c r="O190" i="16"/>
  <c r="R190" i="16"/>
  <c r="O205" i="16"/>
  <c r="X205" i="16"/>
  <c r="R293" i="16"/>
  <c r="O113" i="16"/>
  <c r="X113" i="16"/>
  <c r="R113" i="16"/>
  <c r="R184" i="16"/>
  <c r="R277" i="16"/>
  <c r="R336" i="16"/>
  <c r="R352" i="16"/>
  <c r="L14" i="16"/>
  <c r="K5" i="16"/>
  <c r="L5" i="16"/>
  <c r="R242" i="16"/>
  <c r="W242" i="16"/>
  <c r="X242" i="16"/>
  <c r="R172" i="16"/>
  <c r="X293" i="16"/>
  <c r="Q57" i="16"/>
  <c r="W288" i="16"/>
  <c r="X288" i="16"/>
  <c r="X184" i="16"/>
  <c r="X40" i="16"/>
  <c r="Q54" i="16"/>
  <c r="R301" i="16"/>
  <c r="W178" i="16"/>
  <c r="X178" i="16"/>
  <c r="R178" i="16"/>
  <c r="R289" i="16"/>
  <c r="W223" i="16"/>
  <c r="X223" i="16"/>
  <c r="R223" i="16"/>
  <c r="X201" i="16"/>
  <c r="X277" i="16"/>
  <c r="X158" i="16"/>
  <c r="O100" i="16"/>
  <c r="R100" i="16"/>
  <c r="W55" i="16"/>
  <c r="X55" i="16"/>
  <c r="W275" i="16"/>
  <c r="X275" i="16"/>
  <c r="R275" i="16"/>
  <c r="W152" i="16"/>
  <c r="X152" i="16"/>
  <c r="R152" i="16"/>
  <c r="X43" i="16"/>
  <c r="Q32" i="16"/>
  <c r="W41" i="16"/>
  <c r="X41" i="16"/>
  <c r="W323" i="16"/>
  <c r="X323" i="16"/>
  <c r="R323" i="16"/>
  <c r="R248" i="16"/>
  <c r="W248" i="16"/>
  <c r="X248" i="16"/>
  <c r="Q48" i="16"/>
  <c r="X176" i="16"/>
  <c r="Q89" i="16"/>
  <c r="W89" i="16"/>
  <c r="X89" i="16"/>
  <c r="W47" i="16"/>
  <c r="X47" i="16"/>
  <c r="W26" i="16"/>
  <c r="X26" i="16"/>
  <c r="W159" i="16"/>
  <c r="X159" i="16"/>
  <c r="R159" i="16"/>
  <c r="W244" i="16"/>
  <c r="X244" i="16"/>
  <c r="R244" i="16"/>
  <c r="R37" i="16"/>
  <c r="W37" i="16"/>
  <c r="X37" i="16"/>
  <c r="R109" i="16"/>
  <c r="W109" i="16"/>
  <c r="X109" i="16"/>
  <c r="X304" i="16"/>
  <c r="R176" i="16"/>
  <c r="T15" i="16"/>
  <c r="T14" i="16"/>
  <c r="T5" i="16"/>
  <c r="T9" i="16"/>
  <c r="T4" i="16"/>
  <c r="R182" i="16"/>
  <c r="R263" i="16"/>
  <c r="X167" i="16"/>
  <c r="R273" i="16"/>
  <c r="W149" i="16"/>
  <c r="X149" i="16"/>
  <c r="R149" i="16"/>
  <c r="W233" i="16"/>
  <c r="X233" i="16"/>
  <c r="R233" i="16"/>
  <c r="R279" i="16"/>
  <c r="R211" i="16"/>
  <c r="R205" i="16"/>
  <c r="W87" i="16"/>
  <c r="X87" i="16"/>
  <c r="R87" i="16"/>
  <c r="R328" i="16"/>
  <c r="W328" i="16"/>
  <c r="X328" i="16"/>
  <c r="W270" i="16"/>
  <c r="X270" i="16"/>
  <c r="R281" i="16"/>
  <c r="X46" i="16"/>
  <c r="R74" i="16"/>
  <c r="R261" i="16"/>
  <c r="X104" i="16"/>
  <c r="X182" i="16"/>
  <c r="X106" i="16"/>
  <c r="R167" i="16"/>
  <c r="X273" i="16"/>
  <c r="X229" i="16"/>
  <c r="X216" i="16"/>
  <c r="W237" i="16"/>
  <c r="X237" i="16"/>
  <c r="R237" i="16"/>
  <c r="X211" i="16"/>
  <c r="R145" i="16"/>
  <c r="W308" i="16"/>
  <c r="X308" i="16"/>
  <c r="R308" i="16"/>
  <c r="R158" i="16"/>
  <c r="W335" i="16"/>
  <c r="X335" i="16"/>
  <c r="R335" i="16"/>
  <c r="W255" i="16"/>
  <c r="X255" i="16"/>
  <c r="R255" i="16"/>
  <c r="R46" i="16"/>
  <c r="R151" i="16"/>
  <c r="X339" i="16"/>
  <c r="R104" i="16"/>
  <c r="F220" i="16"/>
  <c r="O220" i="16"/>
  <c r="R230" i="16"/>
  <c r="R106" i="16"/>
  <c r="R208" i="16"/>
  <c r="R224" i="16"/>
  <c r="W268" i="16"/>
  <c r="X268" i="16"/>
  <c r="W269" i="16"/>
  <c r="X269" i="16"/>
  <c r="R269" i="16"/>
  <c r="W142" i="16"/>
  <c r="X142" i="16"/>
  <c r="R142" i="16"/>
  <c r="Q19" i="16"/>
  <c r="R43" i="16"/>
  <c r="X145" i="16"/>
  <c r="Q21" i="16"/>
  <c r="R290" i="16"/>
  <c r="X173" i="16"/>
  <c r="X224" i="16"/>
  <c r="X239" i="16"/>
  <c r="W52" i="16"/>
  <c r="X52" i="16"/>
  <c r="R52" i="16"/>
  <c r="R69" i="16"/>
  <c r="W69" i="16"/>
  <c r="X69" i="16"/>
  <c r="W45" i="16"/>
  <c r="X45" i="16"/>
  <c r="R45" i="16"/>
  <c r="W250" i="16"/>
  <c r="X250" i="16"/>
  <c r="R250" i="16"/>
  <c r="G11" i="16"/>
  <c r="H7" i="16"/>
  <c r="K7" i="16"/>
  <c r="L7" i="16"/>
  <c r="AO61" i="16"/>
  <c r="R125" i="16"/>
  <c r="O125" i="16"/>
  <c r="Q86" i="16"/>
  <c r="W79" i="16"/>
  <c r="X79" i="16"/>
  <c r="R79" i="16"/>
  <c r="W236" i="16"/>
  <c r="X236" i="16"/>
  <c r="R236" i="16"/>
  <c r="S7" i="16"/>
  <c r="Q7" i="16"/>
  <c r="Q297" i="16"/>
  <c r="Q29" i="16"/>
  <c r="Q254" i="16"/>
  <c r="R329" i="16"/>
  <c r="W329" i="16"/>
  <c r="X329" i="16"/>
  <c r="O140" i="16"/>
  <c r="X140" i="16"/>
  <c r="R140" i="16"/>
  <c r="O181" i="16"/>
  <c r="R181" i="16"/>
  <c r="R180" i="16"/>
  <c r="AM17" i="16"/>
  <c r="W75" i="16"/>
  <c r="X75" i="16"/>
  <c r="R75" i="16"/>
  <c r="X181" i="16"/>
  <c r="Q28" i="16"/>
  <c r="R351" i="16"/>
  <c r="R299" i="16"/>
  <c r="W299" i="16"/>
  <c r="X299" i="16"/>
  <c r="R232" i="16"/>
  <c r="W220" i="16"/>
  <c r="X220" i="16"/>
  <c r="R94" i="16"/>
  <c r="O169" i="16"/>
  <c r="R169" i="16"/>
  <c r="O163" i="16"/>
  <c r="X163" i="16"/>
  <c r="R163" i="16"/>
  <c r="R82" i="16"/>
  <c r="W171" i="16"/>
  <c r="X171" i="16"/>
  <c r="R171" i="16"/>
  <c r="X180" i="16"/>
  <c r="W64" i="16"/>
  <c r="X64" i="16"/>
  <c r="R64" i="16"/>
  <c r="R77" i="16"/>
  <c r="X232" i="16"/>
  <c r="W137" i="16"/>
  <c r="X137" i="16"/>
  <c r="R137" i="16"/>
  <c r="X251" i="16"/>
  <c r="O251" i="16"/>
  <c r="R138" i="16"/>
  <c r="O138" i="16"/>
  <c r="O156" i="16"/>
  <c r="X156" i="16"/>
  <c r="R156" i="16"/>
  <c r="R147" i="16"/>
  <c r="O147" i="16"/>
  <c r="Q88" i="16"/>
  <c r="R183" i="16"/>
  <c r="AO69" i="16"/>
  <c r="X77" i="16"/>
  <c r="X138" i="16"/>
  <c r="X78" i="16"/>
  <c r="W81" i="16"/>
  <c r="X81" i="16"/>
  <c r="R81" i="16"/>
  <c r="O306" i="16"/>
  <c r="R306" i="16"/>
  <c r="X306" i="16"/>
  <c r="R222" i="16"/>
  <c r="W222" i="16"/>
  <c r="X222" i="16"/>
  <c r="O215" i="16"/>
  <c r="R215" i="16"/>
  <c r="O276" i="16"/>
  <c r="X276" i="16"/>
  <c r="R276" i="16"/>
  <c r="X215" i="16"/>
  <c r="W90" i="16"/>
  <c r="X90" i="16"/>
  <c r="R90" i="16"/>
  <c r="R266" i="16"/>
  <c r="W266" i="16"/>
  <c r="X266" i="16"/>
  <c r="O38" i="16"/>
  <c r="X38" i="16"/>
  <c r="F15" i="16"/>
  <c r="O15" i="16"/>
  <c r="H14" i="16"/>
  <c r="F297" i="16"/>
  <c r="O297" i="16"/>
  <c r="S12" i="16"/>
  <c r="Q12" i="16"/>
  <c r="Q332" i="16"/>
  <c r="R60" i="16"/>
  <c r="W60" i="16"/>
  <c r="X60" i="16"/>
  <c r="W36" i="16"/>
  <c r="X36" i="16"/>
  <c r="R36" i="16"/>
  <c r="W217" i="16"/>
  <c r="X217" i="16"/>
  <c r="R217" i="16"/>
  <c r="R23" i="16"/>
  <c r="W23" i="16"/>
  <c r="X23" i="16"/>
  <c r="R150" i="16"/>
  <c r="O150" i="16"/>
  <c r="R25" i="16"/>
  <c r="W25" i="16"/>
  <c r="X25" i="16"/>
  <c r="O313" i="16"/>
  <c r="R313" i="16"/>
  <c r="X313" i="16"/>
  <c r="W56" i="16"/>
  <c r="X56" i="16"/>
  <c r="R56" i="16"/>
  <c r="S6" i="16"/>
  <c r="Q6" i="16"/>
  <c r="Q256" i="16"/>
  <c r="O119" i="16"/>
  <c r="R119" i="16"/>
  <c r="R235" i="16"/>
  <c r="W235" i="16"/>
  <c r="X235" i="16"/>
  <c r="O130" i="16"/>
  <c r="X130" i="16"/>
  <c r="R130" i="16"/>
  <c r="X183" i="16"/>
  <c r="R31" i="16"/>
  <c r="W31" i="16"/>
  <c r="X31" i="16"/>
  <c r="W238" i="16"/>
  <c r="X238" i="16"/>
  <c r="R238" i="16"/>
  <c r="O298" i="16"/>
  <c r="R298" i="16"/>
  <c r="R278" i="16"/>
  <c r="W214" i="16"/>
  <c r="X214" i="16"/>
  <c r="R214" i="16"/>
  <c r="G6" i="16"/>
  <c r="F256" i="16"/>
  <c r="O256" i="16"/>
  <c r="X125" i="16"/>
  <c r="W194" i="16"/>
  <c r="X194" i="16"/>
  <c r="R194" i="16"/>
  <c r="R166" i="16"/>
  <c r="W166" i="16"/>
  <c r="X166" i="16"/>
  <c r="R115" i="16"/>
  <c r="O282" i="16"/>
  <c r="R282" i="16"/>
  <c r="X282" i="16"/>
  <c r="R243" i="16"/>
  <c r="W110" i="16"/>
  <c r="X110" i="16"/>
  <c r="R110" i="16"/>
  <c r="R131" i="16"/>
  <c r="O131" i="16"/>
  <c r="R76" i="16"/>
  <c r="W76" i="16"/>
  <c r="X76" i="16"/>
  <c r="G12" i="16"/>
  <c r="F332" i="16"/>
  <c r="O332" i="16"/>
  <c r="Q101" i="16"/>
  <c r="Q34" i="16"/>
  <c r="Q17" i="16"/>
  <c r="Q206" i="16"/>
  <c r="Q70" i="16"/>
  <c r="Q72" i="16"/>
  <c r="R78" i="16"/>
  <c r="R84" i="16"/>
  <c r="W84" i="16"/>
  <c r="X84" i="16"/>
  <c r="R68" i="16"/>
  <c r="W68" i="16"/>
  <c r="X68" i="16"/>
  <c r="W245" i="16"/>
  <c r="X245" i="16"/>
  <c r="R245" i="16"/>
  <c r="W312" i="16"/>
  <c r="X312" i="16"/>
  <c r="R312" i="16"/>
  <c r="R32" i="16"/>
  <c r="W32" i="16"/>
  <c r="X32" i="16"/>
  <c r="Q16" i="16"/>
  <c r="Q59" i="16"/>
  <c r="W258" i="16"/>
  <c r="X258" i="16"/>
  <c r="R258" i="16"/>
  <c r="W58" i="16"/>
  <c r="X58" i="16"/>
  <c r="R58" i="16"/>
  <c r="S11" i="16"/>
  <c r="Q11" i="16"/>
  <c r="Q316" i="16"/>
  <c r="W249" i="16"/>
  <c r="X249" i="16"/>
  <c r="R249" i="16"/>
  <c r="W66" i="16"/>
  <c r="X66" i="16"/>
  <c r="R66" i="16"/>
  <c r="R8" i="16"/>
  <c r="W8" i="16"/>
  <c r="X8" i="16"/>
  <c r="R185" i="16"/>
  <c r="W168" i="16"/>
  <c r="X168" i="16"/>
  <c r="R168" i="16"/>
  <c r="W18" i="16"/>
  <c r="X18" i="16"/>
  <c r="R18" i="16"/>
  <c r="R44" i="16"/>
  <c r="W44" i="16"/>
  <c r="X44" i="16"/>
  <c r="R53" i="16"/>
  <c r="W53" i="16"/>
  <c r="X53" i="16"/>
  <c r="L316" i="16"/>
  <c r="K11" i="16"/>
  <c r="L11" i="16"/>
  <c r="F330" i="16"/>
  <c r="X330" i="16"/>
  <c r="Q61" i="16"/>
  <c r="W80" i="16"/>
  <c r="X80" i="16"/>
  <c r="R80" i="16"/>
  <c r="W219" i="16"/>
  <c r="X219" i="16"/>
  <c r="R219" i="16"/>
  <c r="AN69" i="16"/>
  <c r="Q63" i="16"/>
  <c r="R192" i="16"/>
  <c r="W192" i="16"/>
  <c r="X192" i="16"/>
  <c r="W67" i="16"/>
  <c r="X67" i="16"/>
  <c r="R67" i="16"/>
  <c r="X278" i="16"/>
  <c r="R322" i="16"/>
  <c r="O322" i="16"/>
  <c r="X322" i="16"/>
  <c r="Q62" i="16"/>
  <c r="X298" i="16"/>
  <c r="W107" i="16"/>
  <c r="X107" i="16"/>
  <c r="R107" i="16"/>
  <c r="X115" i="16"/>
  <c r="R24" i="16"/>
  <c r="W24" i="16"/>
  <c r="X24" i="16"/>
  <c r="O200" i="16"/>
  <c r="R200" i="16"/>
  <c r="R20" i="16"/>
  <c r="W20" i="16"/>
  <c r="X20" i="16"/>
  <c r="X147" i="16"/>
  <c r="X105" i="16"/>
  <c r="R105" i="16"/>
  <c r="O105" i="16"/>
  <c r="X119" i="16"/>
  <c r="W102" i="16"/>
  <c r="X102" i="16"/>
  <c r="R102" i="16"/>
  <c r="R89" i="16"/>
  <c r="R54" i="16"/>
  <c r="W54" i="16"/>
  <c r="X54" i="16"/>
  <c r="J9" i="16"/>
  <c r="J4" i="16"/>
  <c r="AO9" i="16"/>
  <c r="AQ9" i="16"/>
  <c r="R127" i="16"/>
  <c r="W127" i="16"/>
  <c r="X127" i="16"/>
  <c r="W154" i="16"/>
  <c r="X154" i="16"/>
  <c r="R154" i="16"/>
  <c r="X133" i="16"/>
  <c r="W85" i="16"/>
  <c r="X85" i="16"/>
  <c r="R85" i="16"/>
  <c r="R240" i="16"/>
  <c r="R228" i="16"/>
  <c r="W123" i="16"/>
  <c r="X123" i="16"/>
  <c r="R123" i="16"/>
  <c r="R188" i="16"/>
  <c r="X188" i="16"/>
  <c r="O188" i="16"/>
  <c r="X200" i="16"/>
  <c r="R38" i="16"/>
  <c r="R133" i="16"/>
  <c r="O129" i="16"/>
  <c r="R129" i="16"/>
  <c r="AN61" i="16"/>
  <c r="X351" i="16"/>
  <c r="X226" i="16"/>
  <c r="O260" i="16"/>
  <c r="X260" i="16"/>
  <c r="O246" i="16"/>
  <c r="X246" i="16"/>
  <c r="R246" i="16"/>
  <c r="X240" i="16"/>
  <c r="X228" i="16"/>
  <c r="X82" i="16"/>
  <c r="R51" i="16"/>
  <c r="R57" i="16"/>
  <c r="W57" i="16"/>
  <c r="X57" i="16"/>
  <c r="R71" i="16"/>
  <c r="W19" i="16"/>
  <c r="X19" i="16"/>
  <c r="R19" i="16"/>
  <c r="W48" i="16"/>
  <c r="X48" i="16"/>
  <c r="R48" i="16"/>
  <c r="R30" i="16"/>
  <c r="AO10" i="16"/>
  <c r="AQ10" i="16"/>
  <c r="W21" i="16"/>
  <c r="X21" i="16"/>
  <c r="R21" i="16"/>
  <c r="W254" i="16"/>
  <c r="X254" i="16"/>
  <c r="R254" i="16"/>
  <c r="F316" i="16"/>
  <c r="O316" i="16"/>
  <c r="W61" i="16"/>
  <c r="X61" i="16"/>
  <c r="R61" i="16"/>
  <c r="W11" i="16"/>
  <c r="G5" i="16"/>
  <c r="F14" i="16"/>
  <c r="O14" i="16"/>
  <c r="F7" i="16"/>
  <c r="O7" i="16"/>
  <c r="R29" i="16"/>
  <c r="W29" i="16"/>
  <c r="X29" i="16"/>
  <c r="R72" i="16"/>
  <c r="W72" i="16"/>
  <c r="X72" i="16"/>
  <c r="R28" i="16"/>
  <c r="W28" i="16"/>
  <c r="X28" i="16"/>
  <c r="R59" i="16"/>
  <c r="W59" i="16"/>
  <c r="X59" i="16"/>
  <c r="E6" i="16"/>
  <c r="H6" i="16"/>
  <c r="F6" i="16"/>
  <c r="O6" i="16"/>
  <c r="O330" i="16"/>
  <c r="R330" i="16"/>
  <c r="E7" i="16"/>
  <c r="W316" i="16"/>
  <c r="H11" i="16"/>
  <c r="E11" i="16"/>
  <c r="W297" i="16"/>
  <c r="X297" i="16"/>
  <c r="R297" i="16"/>
  <c r="W332" i="16"/>
  <c r="X332" i="16"/>
  <c r="R332" i="16"/>
  <c r="W7" i="16"/>
  <c r="W12" i="16"/>
  <c r="X12" i="16"/>
  <c r="R206" i="16"/>
  <c r="W206" i="16"/>
  <c r="X206" i="16"/>
  <c r="R17" i="16"/>
  <c r="W17" i="16"/>
  <c r="X17" i="16"/>
  <c r="R34" i="16"/>
  <c r="W34" i="16"/>
  <c r="X34" i="16"/>
  <c r="W101" i="16"/>
  <c r="X101" i="16"/>
  <c r="R101" i="16"/>
  <c r="R86" i="16"/>
  <c r="W86" i="16"/>
  <c r="X86" i="16"/>
  <c r="R62" i="16"/>
  <c r="W62" i="16"/>
  <c r="X62" i="16"/>
  <c r="R256" i="16"/>
  <c r="W256" i="16"/>
  <c r="X256" i="16"/>
  <c r="W6" i="16"/>
  <c r="W88" i="16"/>
  <c r="X88" i="16"/>
  <c r="R88" i="16"/>
  <c r="R70" i="16"/>
  <c r="W70" i="16"/>
  <c r="X70" i="16"/>
  <c r="L9" i="16"/>
  <c r="L4" i="16"/>
  <c r="R63" i="16"/>
  <c r="W63" i="16"/>
  <c r="X63" i="16"/>
  <c r="R16" i="16"/>
  <c r="W16" i="16"/>
  <c r="X16" i="16"/>
  <c r="E12" i="16"/>
  <c r="H12" i="16"/>
  <c r="F12" i="16"/>
  <c r="O12" i="16"/>
  <c r="X6" i="16"/>
  <c r="R6" i="16"/>
  <c r="R316" i="16"/>
  <c r="X316" i="16"/>
  <c r="R12" i="16"/>
  <c r="R7" i="16"/>
  <c r="X7" i="16"/>
  <c r="P19" i="15"/>
  <c r="P20" i="15"/>
  <c r="F11" i="16"/>
  <c r="X11" i="16"/>
  <c r="H5" i="16"/>
  <c r="E5" i="16"/>
  <c r="H9" i="16"/>
  <c r="F5" i="16"/>
  <c r="O5" i="16"/>
  <c r="AO8" i="16"/>
  <c r="AQ8" i="16"/>
  <c r="O11" i="16"/>
  <c r="R11" i="16"/>
  <c r="F9" i="16"/>
  <c r="O9" i="16"/>
  <c r="H4" i="16"/>
  <c r="F4" i="16"/>
  <c r="O4" i="16"/>
  <c r="W97" i="16"/>
  <c r="X97" i="16"/>
  <c r="R97" i="16"/>
  <c r="W99" i="16"/>
  <c r="X99" i="16"/>
  <c r="R99" i="16"/>
  <c r="Q15" i="16"/>
  <c r="R15" i="16"/>
  <c r="S14" i="16"/>
  <c r="R95" i="16"/>
  <c r="W95" i="16"/>
  <c r="X95" i="16"/>
  <c r="W93" i="16"/>
  <c r="X93" i="16"/>
  <c r="R96" i="16"/>
  <c r="R92" i="16"/>
  <c r="G13" i="15"/>
  <c r="U4" i="16"/>
  <c r="W15" i="16"/>
  <c r="X15" i="16"/>
  <c r="G9" i="15"/>
  <c r="S5" i="16"/>
  <c r="Q14" i="16"/>
  <c r="I9" i="15"/>
  <c r="J9" i="15"/>
  <c r="G10" i="15"/>
  <c r="G11" i="15"/>
  <c r="H9" i="15"/>
  <c r="H13" i="15"/>
  <c r="I13" i="15"/>
  <c r="J13" i="15"/>
  <c r="W14" i="16"/>
  <c r="X14" i="16"/>
  <c r="R14" i="16"/>
  <c r="S9" i="16"/>
  <c r="Q5" i="16"/>
  <c r="H11" i="15"/>
  <c r="G14" i="15"/>
  <c r="G15" i="15"/>
  <c r="I11" i="15"/>
  <c r="J11" i="15"/>
  <c r="H10" i="15"/>
  <c r="I10" i="15"/>
  <c r="J10" i="15"/>
  <c r="R5" i="16"/>
  <c r="W5" i="16"/>
  <c r="X5" i="16"/>
  <c r="Q9" i="16"/>
  <c r="S4" i="16"/>
  <c r="Q4" i="16"/>
  <c r="G5" i="15"/>
  <c r="H15" i="15"/>
  <c r="I15" i="15"/>
  <c r="J15" i="15"/>
  <c r="H14" i="15"/>
  <c r="I14" i="15"/>
  <c r="J14" i="15"/>
  <c r="G8" i="15"/>
  <c r="I5" i="15"/>
  <c r="J5" i="15"/>
  <c r="H5" i="15"/>
  <c r="R4" i="16"/>
  <c r="W4" i="16"/>
  <c r="X4" i="16"/>
  <c r="R9" i="16"/>
  <c r="W9" i="16"/>
  <c r="X9" i="16"/>
  <c r="G23" i="15"/>
  <c r="H8" i="15"/>
  <c r="I8" i="15"/>
  <c r="J8" i="15"/>
  <c r="G25" i="15"/>
  <c r="H23" i="15"/>
  <c r="I23" i="15"/>
  <c r="J23" i="15"/>
  <c r="I25" i="15"/>
  <c r="J25" i="15"/>
  <c r="G26" i="15"/>
  <c r="H25" i="15"/>
  <c r="H26" i="15"/>
  <c r="I26" i="15"/>
  <c r="J26" i="15"/>
  <c r="G27" i="15"/>
  <c r="G28" i="15"/>
  <c r="I28" i="15"/>
  <c r="J28" i="15"/>
  <c r="H28" i="15"/>
  <c r="I27" i="15"/>
  <c r="J27" i="15"/>
  <c r="H27" i="15"/>
  <c r="G30" i="15"/>
  <c r="H30" i="15"/>
  <c r="I29" i="15"/>
  <c r="J29" i="15"/>
  <c r="H29" i="15"/>
  <c r="I30" i="15"/>
  <c r="J30" i="15"/>
  <c r="G31" i="15"/>
  <c r="G32" i="15"/>
  <c r="I32" i="15"/>
  <c r="J32" i="15"/>
  <c r="H13" i="29"/>
  <c r="H32" i="15"/>
  <c r="G36" i="15"/>
  <c r="I31" i="15"/>
  <c r="J31" i="15"/>
  <c r="H31" i="15"/>
  <c r="D13" i="29"/>
  <c r="H14" i="29"/>
  <c r="I36" i="15"/>
  <c r="J36" i="15"/>
  <c r="H36" i="15"/>
  <c r="D14" i="29"/>
  <c r="H15" i="29"/>
  <c r="D15" i="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4" authorId="0" shapeId="0" xr:uid="{BE482E6F-64D2-4100-A163-8064273437B4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J14" authorId="0" shapeId="0" xr:uid="{2A16E558-55C2-4B68-9CD7-C6D09DA48F51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L14" authorId="0" shapeId="0" xr:uid="{935D92A9-FC7F-4513-AC38-7422876EB7F7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Q14" authorId="0" shapeId="0" xr:uid="{687B9C97-CCFE-446A-AFFD-3F618EFF2177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S14" authorId="0" shapeId="0" xr:uid="{405CA2D9-1957-42A4-9242-82E6985D1C15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T14" authorId="0" shapeId="0" xr:uid="{37F6E1BB-1CF3-48A3-A7F5-D78F3190957A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U14" authorId="0" shapeId="0" xr:uid="{D213485D-C0F0-4737-979F-165EB24437AC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W14" authorId="0" shapeId="0" xr:uid="{5871E933-0A82-49C3-82E6-7EC513E8ED79}">
      <text>
        <r>
          <rPr>
            <sz val="8"/>
            <color indexed="8"/>
            <rFont val="Arial"/>
            <family val="2"/>
          </rPr>
          <t>Z열에 수식을 나누어 참조하였습니다.</t>
        </r>
      </text>
    </comment>
    <comment ref="H15" authorId="0" shapeId="0" xr:uid="{E28E336D-667E-4C1B-8217-EDA32D9CC6CA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J15" authorId="0" shapeId="0" xr:uid="{EE3BBE25-74F1-4CD9-AB23-0A4FB2063651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L15" authorId="0" shapeId="0" xr:uid="{623EA11B-768F-46F4-BACD-D5CAFF0E1FA9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Q15" authorId="0" shapeId="0" xr:uid="{776F7997-9BA7-4BED-943E-B41A17CEC681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S15" authorId="0" shapeId="0" xr:uid="{B27FEBD8-362C-4BDD-BE7B-E729DB337330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T15" authorId="0" shapeId="0" xr:uid="{5A72A275-FB31-4B18-8B3B-859DD10C2081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U15" authorId="0" shapeId="0" xr:uid="{1AE50021-3681-49B6-A291-A6BA94F01D8E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W15" authorId="0" shapeId="0" xr:uid="{C77F3FA0-6831-43A6-9F48-E54BD043C3AE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H101" authorId="0" shapeId="0" xr:uid="{5A989FFB-F563-4844-B8E9-40F06496E438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J101" authorId="0" shapeId="0" xr:uid="{61237CC6-2952-4CA2-82D3-B28710438D6A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L101" authorId="0" shapeId="0" xr:uid="{B0094627-6C2A-41E7-B761-12039F7360F5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Q101" authorId="0" shapeId="0" xr:uid="{83BD0F8A-0720-4510-97B7-DA9C4C3E5558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S101" authorId="0" shapeId="0" xr:uid="{4512103A-DBC2-4F4B-A6B1-1CA5CCD4B133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T101" authorId="0" shapeId="0" xr:uid="{1BC007BE-0F34-4E1C-B395-23409DC66824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U101" authorId="0" shapeId="0" xr:uid="{61CCD2D5-8A64-4B78-BA7D-A9DDCA64D135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  <comment ref="W101" authorId="0" shapeId="0" xr:uid="{3C8BB216-554E-4E0C-BC52-08BBC7A867B5}">
      <text>
        <r>
          <rPr>
            <sz val="8"/>
            <color indexed="8"/>
            <rFont val="Arial"/>
            <family val="2"/>
          </rPr>
          <t>AC열에 수식을 나누어 참조하였습니다.</t>
        </r>
      </text>
    </comment>
  </commentList>
</comments>
</file>

<file path=xl/sharedStrings.xml><?xml version="1.0" encoding="utf-8"?>
<sst xmlns="http://schemas.openxmlformats.org/spreadsheetml/2006/main" count="24919" uniqueCount="3319">
  <si>
    <t xml:space="preserve">   굴삭기(타이어)</t>
  </si>
  <si>
    <t>23355402</t>
  </si>
  <si>
    <t>1260</t>
  </si>
  <si>
    <t>No.252 굴취(근원/흉고경)</t>
  </si>
  <si>
    <t>No.47 참나무 제거</t>
  </si>
  <si>
    <t xml:space="preserve">   휴게데크A</t>
  </si>
  <si>
    <t xml:space="preserve">14_1_3+ = </t>
  </si>
  <si>
    <t>No.220 초화류식재</t>
  </si>
  <si>
    <t>M2145030</t>
  </si>
  <si>
    <t>QEQTY2</t>
  </si>
  <si>
    <t>No.142</t>
  </si>
  <si>
    <t>l</t>
  </si>
  <si>
    <t>(SANG + JUNG + KWAN)*10^-4</t>
  </si>
  <si>
    <t>휘발유</t>
  </si>
  <si>
    <t xml:space="preserve">   각관밴딩</t>
  </si>
  <si>
    <t>~L085~ * 0.11 * 0.1 = ?LA+</t>
  </si>
  <si>
    <t>HX0023</t>
  </si>
  <si>
    <t>No.114  자두나무 이식</t>
  </si>
  <si>
    <t>H3.0xW1.5</t>
  </si>
  <si>
    <t>M2538004</t>
  </si>
  <si>
    <t xml:space="preserve">   소생물서식공간</t>
  </si>
  <si>
    <t>H6.0xW4.0</t>
  </si>
  <si>
    <t>No.17  주목 제거</t>
  </si>
  <si>
    <t>W4000x14단, H150</t>
  </si>
  <si>
    <t>L087</t>
  </si>
  <si>
    <t>보통합판(1급)</t>
  </si>
  <si>
    <t>2040</t>
  </si>
  <si>
    <t xml:space="preserve">     .eq=lA(30,0,40)*0.01_x000D_
</t>
  </si>
  <si>
    <t>H3.5xR10</t>
  </si>
  <si>
    <t>No.35 산수유 제거</t>
  </si>
  <si>
    <t>N1030</t>
  </si>
  <si>
    <t>No.53  소나무 이식</t>
  </si>
  <si>
    <t>No.42</t>
  </si>
  <si>
    <t>T2.3x100x100, 6.95kg/m</t>
  </si>
  <si>
    <t>No.26 버드나무 제거</t>
  </si>
  <si>
    <t>마사토포장</t>
  </si>
  <si>
    <t xml:space="preserve">        '노 무 비 : '~L085~*0.2*0.1 =?LA+</t>
  </si>
  <si>
    <t>HP040</t>
  </si>
  <si>
    <t xml:space="preserve">    합계</t>
  </si>
  <si>
    <t>은사초</t>
  </si>
  <si>
    <t>부직포</t>
  </si>
  <si>
    <t>No.65 주목 이식</t>
  </si>
  <si>
    <t>No.196 벌목 및 제근</t>
  </si>
  <si>
    <t>1500</t>
  </si>
  <si>
    <t>25 TON</t>
  </si>
  <si>
    <t>No.70 감나무 이식</t>
  </si>
  <si>
    <t>275</t>
  </si>
  <si>
    <t xml:space="preserve">     .EQ = lA(10,0,20)*0.03</t>
  </si>
  <si>
    <t>No.96  살구나무 이식</t>
  </si>
  <si>
    <t>No.152 비비추</t>
  </si>
  <si>
    <t>No.11 전나무 제거</t>
  </si>
  <si>
    <t>E0072040055</t>
  </si>
  <si>
    <t>가정/21009595/</t>
  </si>
  <si>
    <t>H5.0xR25</t>
  </si>
  <si>
    <t xml:space="preserve">   레미콘타설</t>
  </si>
  <si>
    <t>HX0063</t>
  </si>
  <si>
    <t>도담플러스</t>
  </si>
  <si>
    <t>가정/24273355/</t>
  </si>
  <si>
    <t xml:space="preserve">   공원이용안내판</t>
  </si>
  <si>
    <t xml:space="preserve"> B35∼44(R42∼53)</t>
  </si>
  <si>
    <t>290</t>
  </si>
  <si>
    <t>No.192 벌목 및 제근</t>
  </si>
  <si>
    <t>No.241  목재데크설치</t>
  </si>
  <si>
    <t>NT1050</t>
  </si>
  <si>
    <t>No.102</t>
  </si>
  <si>
    <t>53500267001</t>
  </si>
  <si>
    <t>2000</t>
  </si>
  <si>
    <t>NT0824</t>
  </si>
  <si>
    <t>No.212 식재(흉고/근원경)</t>
  </si>
  <si>
    <t>N1070</t>
  </si>
  <si>
    <t>.sang=818 ,jung=636 ,kwan=659</t>
  </si>
  <si>
    <t>적용단위</t>
  </si>
  <si>
    <t>No.152  비비추</t>
  </si>
  <si>
    <t>-</t>
  </si>
  <si>
    <t>수 량</t>
  </si>
  <si>
    <t>녹화끈</t>
  </si>
  <si>
    <t>1540</t>
  </si>
  <si>
    <t>C02</t>
  </si>
  <si>
    <t>No.163  계단A</t>
  </si>
  <si>
    <t xml:space="preserve">&gt;LA = </t>
  </si>
  <si>
    <t xml:space="preserve">   등의자</t>
  </si>
  <si>
    <t xml:space="preserve">   형틀목공</t>
  </si>
  <si>
    <t>NS00701</t>
  </si>
  <si>
    <t>No.18 주목 제거</t>
  </si>
  <si>
    <t>14</t>
  </si>
  <si>
    <t>HT2111-R8</t>
  </si>
  <si>
    <t>23863472</t>
  </si>
  <si>
    <t>M25200083</t>
  </si>
  <si>
    <t>HX0046</t>
  </si>
  <si>
    <t>No.178 경관석B</t>
  </si>
  <si>
    <t>HW0111</t>
  </si>
  <si>
    <t xml:space="preserve">   철근현장가공</t>
  </si>
  <si>
    <t>No.127</t>
  </si>
  <si>
    <t>No.69</t>
  </si>
  <si>
    <t xml:space="preserve">   부자재비</t>
  </si>
  <si>
    <t>M2369310</t>
  </si>
  <si>
    <t>318</t>
  </si>
  <si>
    <t>2024-08-22 16:22:57</t>
  </si>
  <si>
    <t xml:space="preserve">   공구손료 및 잡재료비</t>
  </si>
  <si>
    <t>No.185  녹지경계석(곡선)</t>
  </si>
  <si>
    <t>No.10  스트로브잣나무 제거</t>
  </si>
  <si>
    <t xml:space="preserve">   인조화강석블럭포장</t>
  </si>
  <si>
    <t xml:space="preserve">   삼색조팝나무</t>
  </si>
  <si>
    <t>250</t>
  </si>
  <si>
    <t>공원이용안내판</t>
  </si>
  <si>
    <t>530</t>
  </si>
  <si>
    <t>No.124  산수유</t>
  </si>
  <si>
    <t>HW0017</t>
  </si>
  <si>
    <t>HT3220-03</t>
  </si>
  <si>
    <t>H8.0xR30</t>
  </si>
  <si>
    <t>HP025</t>
  </si>
  <si>
    <t>L007</t>
  </si>
  <si>
    <t>노임계금액소숫점</t>
  </si>
  <si>
    <t>MB-0114-1</t>
  </si>
  <si>
    <t>M070</t>
  </si>
  <si>
    <t xml:space="preserve">V = </t>
  </si>
  <si>
    <t>1580</t>
  </si>
  <si>
    <t>물정/318/</t>
  </si>
  <si>
    <t xml:space="preserve">   휴게쉼터</t>
  </si>
  <si>
    <t>HT54906</t>
  </si>
  <si>
    <t>No.12  전나무 제거</t>
  </si>
  <si>
    <t>No.27</t>
  </si>
  <si>
    <t>No.169</t>
  </si>
  <si>
    <t>가정/23372651/</t>
  </si>
  <si>
    <t>Q= 1000 * V * W * D *  E * f / N = ?'M3/HR'</t>
  </si>
  <si>
    <t xml:space="preserve">159_1_1+ = </t>
  </si>
  <si>
    <t xml:space="preserve">   잡재(재료비의 3%)</t>
  </si>
  <si>
    <t>T150,거친솔마감</t>
  </si>
  <si>
    <t>QEINC2</t>
  </si>
  <si>
    <t>인력</t>
  </si>
  <si>
    <t>600x150</t>
  </si>
  <si>
    <t>N6030-24</t>
  </si>
  <si>
    <t xml:space="preserve">67_1_2+ = </t>
  </si>
  <si>
    <t>No.204  수목이식</t>
  </si>
  <si>
    <t xml:space="preserve">   조경석놓기</t>
  </si>
  <si>
    <t>No.167</t>
  </si>
  <si>
    <t>No.29</t>
  </si>
  <si>
    <t>B8(R10)이하</t>
  </si>
  <si>
    <t>No.243 경량형강 철골조 조립설치</t>
  </si>
  <si>
    <t>특별인부</t>
  </si>
  <si>
    <t>210</t>
  </si>
  <si>
    <t>MB-244-0</t>
  </si>
  <si>
    <t>M2388004</t>
  </si>
  <si>
    <t>H16.0xW6.0xR44</t>
  </si>
  <si>
    <t>H8.0xW3.0xR8</t>
  </si>
  <si>
    <t>No.182</t>
  </si>
  <si>
    <t xml:space="preserve">CM = </t>
  </si>
  <si>
    <t>인조잔디</t>
  </si>
  <si>
    <t>No.16  전나무 제거</t>
  </si>
  <si>
    <t xml:space="preserve">장대터널할증                            </t>
  </si>
  <si>
    <t>H10.0xR30</t>
  </si>
  <si>
    <t>건축목공</t>
  </si>
  <si>
    <t xml:space="preserve">   일당 300주</t>
  </si>
  <si>
    <t>기계톱손료</t>
  </si>
  <si>
    <t>벌 목 부</t>
  </si>
  <si>
    <t xml:space="preserve">14_1_5 = </t>
  </si>
  <si>
    <t xml:space="preserve">37_1_4 = </t>
  </si>
  <si>
    <t>2080</t>
  </si>
  <si>
    <t>No.82</t>
  </si>
  <si>
    <t>570</t>
  </si>
  <si>
    <t>No.104  왕벚나무 이식</t>
  </si>
  <si>
    <t>HP065</t>
  </si>
  <si>
    <t>팽나무</t>
  </si>
  <si>
    <t>HX0048</t>
  </si>
  <si>
    <t>H3.5xW1.8</t>
  </si>
  <si>
    <t>HT3340-03</t>
  </si>
  <si>
    <t>No.151  붉은토끼풀</t>
  </si>
  <si>
    <t>No.67</t>
  </si>
  <si>
    <t>No.129</t>
  </si>
  <si>
    <t>LA</t>
  </si>
  <si>
    <t>N1385-24</t>
  </si>
  <si>
    <t>W2000xH150</t>
  </si>
  <si>
    <t>#4 되메우기및다짐</t>
  </si>
  <si>
    <t>No.26  버드나무 제거</t>
  </si>
  <si>
    <t>24318244</t>
  </si>
  <si>
    <t>패널</t>
  </si>
  <si>
    <t>MB-0107</t>
  </si>
  <si>
    <t>2455</t>
  </si>
  <si>
    <t>No.88</t>
  </si>
  <si>
    <t xml:space="preserve">14_1_4+ = </t>
  </si>
  <si>
    <t>No.130  팽나무</t>
  </si>
  <si>
    <t xml:space="preserve">   라벤더</t>
  </si>
  <si>
    <t>No.39  왕벚나무 제거</t>
  </si>
  <si>
    <t>ma=ma(20,0,50)/7_x000D_
la=la(20,0,50)/7_x000D_
eq=eq(20,0,50)/7</t>
  </si>
  <si>
    <t xml:space="preserve">161_1_1+ = </t>
  </si>
  <si>
    <t>보통인부</t>
  </si>
  <si>
    <t>경    비</t>
  </si>
  <si>
    <t>HX0042</t>
  </si>
  <si>
    <t>No.101  왕벚나무 이식</t>
  </si>
  <si>
    <t>140</t>
  </si>
  <si>
    <t>No.44 이팝나무 제거</t>
  </si>
  <si>
    <t>5-2-1 매트부설</t>
  </si>
  <si>
    <t xml:space="preserve">   유로폼설치및해체(간단)</t>
  </si>
  <si>
    <t xml:space="preserve">   세이지</t>
  </si>
  <si>
    <t>No.123</t>
  </si>
  <si>
    <t>ma=ma(10,0,60)/190_x000D_
la=la(10,0,60)/190_x000D_
eq=eq(10,0,60)/190</t>
  </si>
  <si>
    <t>간단구조</t>
  </si>
  <si>
    <t>No.14 전나무 제거</t>
  </si>
  <si>
    <t>H12.0xR36</t>
  </si>
  <si>
    <t>NT0100</t>
  </si>
  <si>
    <t>No.23</t>
  </si>
  <si>
    <t>시간당노임산출계수(해상장비:버켓준설선)</t>
  </si>
  <si>
    <t>철 근 공</t>
  </si>
  <si>
    <t>본</t>
  </si>
  <si>
    <t>트윈트위스트</t>
  </si>
  <si>
    <t>노무비의 2%</t>
  </si>
  <si>
    <t>620</t>
  </si>
  <si>
    <t>STL PLATE</t>
  </si>
  <si>
    <t>L003</t>
  </si>
  <si>
    <t>화물차운전사</t>
  </si>
  <si>
    <t xml:space="preserve">   벌목 및 제근</t>
  </si>
  <si>
    <t>노임금액소숫점</t>
  </si>
  <si>
    <t>MT-61</t>
  </si>
  <si>
    <t>35</t>
  </si>
  <si>
    <t>산수국</t>
  </si>
  <si>
    <t>No.188</t>
  </si>
  <si>
    <t>보조</t>
  </si>
  <si>
    <t>1690</t>
  </si>
  <si>
    <t xml:space="preserve"> 나. 인력 10 %</t>
  </si>
  <si>
    <t>M8916012</t>
  </si>
  <si>
    <t>HP021</t>
  </si>
  <si>
    <t>.sang=1071,jung=536, kwan=691</t>
  </si>
  <si>
    <t>HT4830</t>
  </si>
  <si>
    <t>잡    품</t>
  </si>
  <si>
    <t>No.160 통기관</t>
  </si>
  <si>
    <t>노임단가소숫점</t>
  </si>
  <si>
    <t>No.242  오일스테인</t>
  </si>
  <si>
    <t>백철쭉</t>
  </si>
  <si>
    <t>2회, 제물치장</t>
  </si>
  <si>
    <t>No.175 소생물서식공간</t>
  </si>
  <si>
    <t>철선(어닐링)</t>
  </si>
  <si>
    <t>No.186</t>
  </si>
  <si>
    <t>No.73 느티나무 이식</t>
  </si>
  <si>
    <t>No.94  산수유 이식</t>
  </si>
  <si>
    <t>No.90  백목련 이식</t>
  </si>
  <si>
    <t>M2031006</t>
  </si>
  <si>
    <t>HT050</t>
  </si>
  <si>
    <t>No.163</t>
  </si>
  <si>
    <t xml:space="preserve">   녹지경계석(곡선)</t>
  </si>
  <si>
    <t xml:space="preserve">   산철쭉</t>
  </si>
  <si>
    <t xml:space="preserve">   자산홍</t>
  </si>
  <si>
    <t>100</t>
  </si>
  <si>
    <t>No.46  참나무 제거</t>
  </si>
  <si>
    <t>B6∼7(R7∼8)</t>
  </si>
  <si>
    <t>H12.0xR38</t>
  </si>
  <si>
    <t>HT3480-04</t>
  </si>
  <si>
    <t>NP0410-60</t>
  </si>
  <si>
    <t>MA=MA(20,0,30)/18_x000D_
LA=LA(20,0,30)/18_x000D_
EQ=EQ(20,0,30)/18</t>
  </si>
  <si>
    <t>90</t>
  </si>
  <si>
    <t xml:space="preserve">44_1_1 = </t>
  </si>
  <si>
    <t>M20xL60</t>
  </si>
  <si>
    <t xml:space="preserve">EQ = TOT(10,0,200) * 0.54 /100 - 154  = ?_x000D_
</t>
  </si>
  <si>
    <t>No.63</t>
  </si>
  <si>
    <t>H6.0xR20</t>
  </si>
  <si>
    <t>350미만, 곡선, A-Type</t>
  </si>
  <si>
    <t>No.258  굴취(근원/흉고경)</t>
  </si>
  <si>
    <t>312</t>
  </si>
  <si>
    <t>QLINCZ</t>
  </si>
  <si>
    <t>No.251  보차도 및 도로경계블럭 설치</t>
  </si>
  <si>
    <t>QH21</t>
  </si>
  <si>
    <t>MB-0109</t>
  </si>
  <si>
    <t xml:space="preserve">   유기질비료</t>
  </si>
  <si>
    <t xml:space="preserve">  '재료비:' ~E0017300015.M~ / Q =?MA</t>
  </si>
  <si>
    <t>No.86</t>
  </si>
  <si>
    <t>HP061</t>
  </si>
  <si>
    <t xml:space="preserve">   일당 15주</t>
  </si>
  <si>
    <t xml:space="preserve">    총  계</t>
  </si>
  <si>
    <t>NP0517-24</t>
  </si>
  <si>
    <t xml:space="preserve">   H형강</t>
  </si>
  <si>
    <t>변 수 명</t>
  </si>
  <si>
    <t>No.174 레인가든</t>
  </si>
  <si>
    <t>가정/24273349/</t>
  </si>
  <si>
    <t xml:space="preserve">   철선(어닐링)</t>
  </si>
  <si>
    <t>1170</t>
  </si>
  <si>
    <t xml:space="preserve">   때죽나무</t>
  </si>
  <si>
    <t>No.146</t>
  </si>
  <si>
    <t>457</t>
  </si>
  <si>
    <t xml:space="preserve">   계류</t>
  </si>
  <si>
    <t>HX0027</t>
  </si>
  <si>
    <t>No.88 백목련 이식</t>
  </si>
  <si>
    <t>총   계</t>
  </si>
  <si>
    <t>MP-90G</t>
  </si>
  <si>
    <t>MP-2060</t>
  </si>
  <si>
    <t>300x1500</t>
  </si>
  <si>
    <t xml:space="preserve">   굴취(근원/흉고경)</t>
  </si>
  <si>
    <t>QUS2WON3</t>
  </si>
  <si>
    <t>50</t>
  </si>
  <si>
    <t>No.30  버드나무 제거</t>
  </si>
  <si>
    <t>거래103</t>
  </si>
  <si>
    <t>HP044</t>
  </si>
  <si>
    <t>H10.0xW4.0xR30</t>
  </si>
  <si>
    <t>유물/거래103/</t>
  </si>
  <si>
    <t>No.256  굴취(근원/흉고경)</t>
  </si>
  <si>
    <t>No.46</t>
  </si>
  <si>
    <t>No.108</t>
  </si>
  <si>
    <t>1610</t>
  </si>
  <si>
    <t xml:space="preserve">   혼합골재</t>
  </si>
  <si>
    <t>B10(R12)</t>
  </si>
  <si>
    <t xml:space="preserve">LA+ = </t>
  </si>
  <si>
    <t>No.42 은행나무 제거</t>
  </si>
  <si>
    <t xml:space="preserve">   지주목(삼발이중형)</t>
  </si>
  <si>
    <t>M2373612</t>
  </si>
  <si>
    <t>유물/거래402/</t>
  </si>
  <si>
    <t>N0800</t>
  </si>
  <si>
    <t>No.106</t>
  </si>
  <si>
    <t>No.48</t>
  </si>
  <si>
    <t>볼라드</t>
  </si>
  <si>
    <t>1130</t>
  </si>
  <si>
    <t xml:space="preserve">   * 관급자재대(관급자관급)</t>
  </si>
  <si>
    <t>외송 3.6m*30*30</t>
  </si>
  <si>
    <t>No.242 오일스테인</t>
  </si>
  <si>
    <t>No.174  레인가든</t>
  </si>
  <si>
    <t>MA=MA(20,0,60)/150_x000D_
LA=LA(20,0,60)/150_x000D_
EQ=EQ(20,0,60)/150</t>
  </si>
  <si>
    <t>165</t>
  </si>
  <si>
    <t>ma=ma(20,0,45)/5_x000D_
la=la(20,0,45)/5_x000D_
eq=eq(20,0,45)/5</t>
  </si>
  <si>
    <t>쥐방울덩쿨</t>
  </si>
  <si>
    <t>MTP-121</t>
  </si>
  <si>
    <t>180</t>
  </si>
  <si>
    <t>H13.0xW6.0xR44</t>
  </si>
  <si>
    <t>No.42  은행나무 제거</t>
  </si>
  <si>
    <t>산수유</t>
  </si>
  <si>
    <t>No.188  경계엣지</t>
  </si>
  <si>
    <t>조경블록(본체)</t>
  </si>
  <si>
    <t xml:space="preserve">   잡재료비</t>
  </si>
  <si>
    <t>No.201  벌목 및 제근</t>
  </si>
  <si>
    <t>왕벚나무</t>
  </si>
  <si>
    <t>QDECLA</t>
  </si>
  <si>
    <t>HP004</t>
  </si>
  <si>
    <t>B18∼24(R21∼29)</t>
  </si>
  <si>
    <t>No.183  디딤석</t>
  </si>
  <si>
    <t xml:space="preserve">   녹지경계석(직선)</t>
  </si>
  <si>
    <t xml:space="preserve">   아연도각관</t>
  </si>
  <si>
    <t xml:space="preserve">   잔디붙임</t>
  </si>
  <si>
    <t xml:space="preserve">EQ = TOT(0,0,200) * 0.54 /100 - 920 = ?_x000D_
</t>
  </si>
  <si>
    <t>10</t>
  </si>
  <si>
    <t xml:space="preserve">   일당 5주</t>
  </si>
  <si>
    <t>392</t>
  </si>
  <si>
    <t>QYEN2WON</t>
  </si>
  <si>
    <t xml:space="preserve">D = </t>
  </si>
  <si>
    <t>HT3330-03</t>
  </si>
  <si>
    <t>HX0029</t>
  </si>
  <si>
    <t xml:space="preserve">천원  </t>
  </si>
  <si>
    <t xml:space="preserve">   관목제거</t>
  </si>
  <si>
    <t>NT0820</t>
  </si>
  <si>
    <t>No.243  경량형강 철골조 조립설치</t>
  </si>
  <si>
    <t>No.148</t>
  </si>
  <si>
    <t>1650</t>
  </si>
  <si>
    <t>No.165</t>
  </si>
  <si>
    <t>2275</t>
  </si>
  <si>
    <t>ma=ma(10,0,30)/40_x000D_
la=la(10,0,30)/40_x000D_
eq=eq(10,0,30)/40</t>
  </si>
  <si>
    <t>No.197  벌목 및 제근</t>
  </si>
  <si>
    <t>No.76  느티나무 이식</t>
  </si>
  <si>
    <t>T75, 도담플러스</t>
  </si>
  <si>
    <t>레미콘</t>
  </si>
  <si>
    <t>QOPtimeDecOp</t>
  </si>
  <si>
    <t>No.180</t>
  </si>
  <si>
    <t>No.208  수목이식</t>
  </si>
  <si>
    <t>No.213 식재(흉고/근원경)</t>
  </si>
  <si>
    <t>HP029</t>
  </si>
  <si>
    <t>No.31 버드나무 제거</t>
  </si>
  <si>
    <t>금 액</t>
  </si>
  <si>
    <t>E0002010060</t>
  </si>
  <si>
    <t>A=49m2</t>
  </si>
  <si>
    <t xml:space="preserve">   하차비</t>
  </si>
  <si>
    <t>꽃이형</t>
  </si>
  <si>
    <t xml:space="preserve">   *표준품셈(공통)</t>
  </si>
  <si>
    <t>피라칸사스</t>
  </si>
  <si>
    <t>야외테이블</t>
  </si>
  <si>
    <t>EQ</t>
  </si>
  <si>
    <t>No.223  합판거푸집</t>
  </si>
  <si>
    <t xml:space="preserve">   그린라이트억새</t>
  </si>
  <si>
    <t>물가정보</t>
  </si>
  <si>
    <t>HP067</t>
  </si>
  <si>
    <t>No.82 당단풍 이식</t>
  </si>
  <si>
    <t>No.80</t>
  </si>
  <si>
    <t>인력품의 1%</t>
  </si>
  <si>
    <t>H6.0xR26</t>
  </si>
  <si>
    <t>자재조서</t>
  </si>
  <si>
    <t xml:space="preserve">   조경 유용석 쌓기 및 놓기</t>
  </si>
  <si>
    <t>No.244 억새</t>
  </si>
  <si>
    <t>No.65</t>
  </si>
  <si>
    <t xml:space="preserve">   일당 0.4ton</t>
  </si>
  <si>
    <t>No.157  쥐방울덩쿨</t>
  </si>
  <si>
    <t>No.179 콘크리트포장</t>
  </si>
  <si>
    <t>No.19 소나무묘목 제거</t>
  </si>
  <si>
    <t>어반스케이프</t>
  </si>
  <si>
    <t xml:space="preserve">   일당 18m2</t>
  </si>
  <si>
    <t>set</t>
  </si>
  <si>
    <t>No.125</t>
  </si>
  <si>
    <t>가정/24100403/</t>
  </si>
  <si>
    <t xml:space="preserve">44_1_1+ = </t>
  </si>
  <si>
    <t>HX0044</t>
  </si>
  <si>
    <t>최저단가</t>
  </si>
  <si>
    <t>No.210 수목이식</t>
  </si>
  <si>
    <t>토사, 인력</t>
  </si>
  <si>
    <t>H5.5xW2.5xR25</t>
  </si>
  <si>
    <t>HW0113</t>
  </si>
  <si>
    <t>98</t>
  </si>
  <si>
    <t>G13050007</t>
  </si>
  <si>
    <t>NS0061</t>
  </si>
  <si>
    <t>MTP-102</t>
  </si>
  <si>
    <t xml:space="preserve">131,000 천원  </t>
  </si>
  <si>
    <t>W2500x7단, H150</t>
  </si>
  <si>
    <t xml:space="preserve">   보도용블럭설치(대형)</t>
  </si>
  <si>
    <t>No.245  붓꽃</t>
  </si>
  <si>
    <t xml:space="preserve">91_1_1 = </t>
  </si>
  <si>
    <t>No.110 은행나무 이식</t>
  </si>
  <si>
    <t xml:space="preserve">         터파기(인력10%):M3</t>
  </si>
  <si>
    <t xml:space="preserve">   일당 10주</t>
  </si>
  <si>
    <t>2. 다짐(P.C 1.5TON)</t>
  </si>
  <si>
    <t>No.198  관목제거</t>
  </si>
  <si>
    <t>HP069</t>
  </si>
  <si>
    <t>No.184  녹지경계석(직선)</t>
  </si>
  <si>
    <t xml:space="preserve">   방향안내판</t>
  </si>
  <si>
    <t>벌목</t>
  </si>
  <si>
    <t>No.155  수크령</t>
  </si>
  <si>
    <t>HT3170</t>
  </si>
  <si>
    <t>No.98 왕벚나무 이식</t>
  </si>
  <si>
    <t>No.91 백목련 이식</t>
  </si>
  <si>
    <t>HP027</t>
  </si>
  <si>
    <t>QOPtimeDecCnt</t>
  </si>
  <si>
    <t>10063866</t>
  </si>
  <si>
    <t>2-3분얼,8cm</t>
  </si>
  <si>
    <t>4목</t>
  </si>
  <si>
    <t>HT54904</t>
  </si>
  <si>
    <t>1078x934x2007</t>
  </si>
  <si>
    <t>B25~34(R30∼41)</t>
  </si>
  <si>
    <t xml:space="preserve">   리아트리스</t>
  </si>
  <si>
    <t>No.83  당단풍 이식</t>
  </si>
  <si>
    <t>No.253 굴취(근원/흉고경)</t>
  </si>
  <si>
    <t>M2374112</t>
  </si>
  <si>
    <t>No.1 소나무 제거</t>
  </si>
  <si>
    <t>&gt; '소   계'</t>
  </si>
  <si>
    <t>내부코너패널</t>
  </si>
  <si>
    <t>No.25</t>
  </si>
  <si>
    <t>미송방부목</t>
  </si>
  <si>
    <t>NT0920</t>
  </si>
  <si>
    <t>No.134  낙상홍</t>
  </si>
  <si>
    <t xml:space="preserve">40_1_1+ = </t>
  </si>
  <si>
    <t>MB-4561</t>
  </si>
  <si>
    <t xml:space="preserve">   모래</t>
  </si>
  <si>
    <t>23526231</t>
  </si>
  <si>
    <t>굴삭기(무한궤도)   0.6 M3</t>
  </si>
  <si>
    <t xml:space="preserve">           EQ=la(10,0,30)*2/100_x000D_
</t>
  </si>
  <si>
    <t>58</t>
  </si>
  <si>
    <t>No.100</t>
  </si>
  <si>
    <t xml:space="preserve">   연식벤치</t>
  </si>
  <si>
    <t>No.221 잔디붙임</t>
  </si>
  <si>
    <t>HW0136</t>
  </si>
  <si>
    <t>No.112 이팝나무 이식</t>
  </si>
  <si>
    <t>No.63 전나무 이식</t>
  </si>
  <si>
    <t>HX0061</t>
  </si>
  <si>
    <t>공 종 명</t>
  </si>
  <si>
    <t>경비</t>
  </si>
  <si>
    <t>품의 1%</t>
  </si>
  <si>
    <t xml:space="preserve">   일당 40m2</t>
  </si>
  <si>
    <t>MP-T91</t>
  </si>
  <si>
    <t>경    유</t>
  </si>
  <si>
    <t xml:space="preserve">161_1_1 = </t>
  </si>
  <si>
    <t>H6.0xW3.0xR18</t>
  </si>
  <si>
    <t>56802787071</t>
  </si>
  <si>
    <t>No.168  목재계단B</t>
  </si>
  <si>
    <t>QECU2WON</t>
  </si>
  <si>
    <t>HP002</t>
  </si>
  <si>
    <t>1030</t>
  </si>
  <si>
    <t xml:space="preserve">   조형휴게데크</t>
  </si>
  <si>
    <t>가정/24273347/</t>
  </si>
  <si>
    <t xml:space="preserve">   보조기층 부설 및 다짐</t>
  </si>
  <si>
    <t>No.19  소나무묘목 제거</t>
  </si>
  <si>
    <t>A-Type</t>
  </si>
  <si>
    <t>노임할증계수(터널구간:야간)</t>
  </si>
  <si>
    <t>No.127 청단풍</t>
  </si>
  <si>
    <t>HT2114-R10</t>
  </si>
  <si>
    <t>H2.5xW1.5</t>
  </si>
  <si>
    <t>ea</t>
  </si>
  <si>
    <t>NT0960</t>
  </si>
  <si>
    <t>노임할증계수(장대터널:주야간)</t>
  </si>
  <si>
    <t xml:space="preserve">kg    </t>
  </si>
  <si>
    <t xml:space="preserve">   수크령</t>
  </si>
  <si>
    <t xml:space="preserve">21_1_1+ = </t>
  </si>
  <si>
    <t>1710</t>
  </si>
  <si>
    <t>No.65  주목 이식</t>
  </si>
  <si>
    <t xml:space="preserve">   원지반 다짐</t>
  </si>
  <si>
    <t>2250</t>
  </si>
  <si>
    <t>No.140</t>
  </si>
  <si>
    <t xml:space="preserve">   STL PLATE</t>
  </si>
  <si>
    <t>No.204 수목이식</t>
  </si>
  <si>
    <t>#8  φ4.0x150x150mm</t>
  </si>
  <si>
    <t>HX0021</t>
  </si>
  <si>
    <t>H7.0xR25</t>
  </si>
  <si>
    <t>H7.0xW2.0</t>
  </si>
  <si>
    <t xml:space="preserve">   값   </t>
  </si>
  <si>
    <t>워밍암</t>
  </si>
  <si>
    <t>MP-80G</t>
  </si>
  <si>
    <t>H3.5xR12</t>
  </si>
  <si>
    <t xml:space="preserve">        '노 무 비 : '~E0002010060.L~/{Q}*0.9 =?LA+</t>
  </si>
  <si>
    <t>경비계금액소숫점</t>
  </si>
  <si>
    <t>H0.8xW0.4</t>
  </si>
  <si>
    <t>L085</t>
  </si>
  <si>
    <t>No.29  버드나무 제거</t>
  </si>
  <si>
    <t>조 경 공</t>
  </si>
  <si>
    <t>그린라이트억새</t>
  </si>
  <si>
    <t>No.40</t>
  </si>
  <si>
    <t>고정용피스 등</t>
  </si>
  <si>
    <t>가정/25101119/</t>
  </si>
  <si>
    <t>1070</t>
  </si>
  <si>
    <t>No.248  보도용블럭설치(대형)</t>
  </si>
  <si>
    <t>No.126 참나무</t>
  </si>
  <si>
    <t>HP042</t>
  </si>
  <si>
    <t>기계:인력=9:1</t>
  </si>
  <si>
    <t>가정/23863472/</t>
  </si>
  <si>
    <t>21009598</t>
  </si>
  <si>
    <t>HX0065</t>
  </si>
  <si>
    <t>가정/23526231/</t>
  </si>
  <si>
    <t>1440</t>
  </si>
  <si>
    <t>HP056-2</t>
  </si>
  <si>
    <t>No.104</t>
  </si>
  <si>
    <t>R15~19(B13~16)</t>
  </si>
  <si>
    <t>비비추</t>
  </si>
  <si>
    <t>HW0132</t>
  </si>
  <si>
    <t>NT205-20</t>
  </si>
  <si>
    <t>No.96 살구나무 이식</t>
  </si>
  <si>
    <t xml:space="preserve">   석    공</t>
  </si>
  <si>
    <t>H3.5xR18</t>
  </si>
  <si>
    <t xml:space="preserve">Q+ = </t>
  </si>
  <si>
    <t>296</t>
  </si>
  <si>
    <t xml:space="preserve">  .EQ=(la(30)+la(40))*(9/100)</t>
  </si>
  <si>
    <t>H0.8xR3</t>
  </si>
  <si>
    <t xml:space="preserve">   퍼티</t>
  </si>
  <si>
    <t>No.229  철근가공조립</t>
  </si>
  <si>
    <t xml:space="preserve">   경관석B</t>
  </si>
  <si>
    <t xml:space="preserve">   포 장 공</t>
  </si>
  <si>
    <t xml:space="preserve">   크로스컨트리</t>
  </si>
  <si>
    <t>2100</t>
  </si>
  <si>
    <t>HP048</t>
  </si>
  <si>
    <t xml:space="preserve">        '경    비 : '~E0002010060.E~/{Q} =?EQ+</t>
  </si>
  <si>
    <t>크레인(타이어)</t>
  </si>
  <si>
    <t>물탱크(살수차)</t>
  </si>
  <si>
    <t>G21040015</t>
  </si>
  <si>
    <t xml:space="preserve">   목재계단B</t>
  </si>
  <si>
    <t>T30.0mm</t>
  </si>
  <si>
    <t xml:space="preserve">   팥배나무</t>
  </si>
  <si>
    <t>No.107 왕벚나무 이식</t>
  </si>
  <si>
    <t>HP006</t>
  </si>
  <si>
    <t xml:space="preserve">        '경    비 : '~E0002010060.E~/{Q}*0.9 =?EQ+</t>
  </si>
  <si>
    <t xml:space="preserve">주    </t>
  </si>
  <si>
    <t>87300057471</t>
  </si>
  <si>
    <t>No.159  잔디(평떼) 식재</t>
  </si>
  <si>
    <t>No.200 벌목 및 제근</t>
  </si>
  <si>
    <t>ma=ma(10,0,40)/125_x000D_
la=la(10,0,40)/125_x000D_
eq=eq(10,0,40)/125</t>
  </si>
  <si>
    <t>NT1150</t>
  </si>
  <si>
    <t>390</t>
  </si>
  <si>
    <t>R30~39(B25~32)</t>
  </si>
  <si>
    <t>No.182 인조잔디포장</t>
  </si>
  <si>
    <t>12</t>
  </si>
  <si>
    <t>QDECEQ</t>
  </si>
  <si>
    <t>주</t>
  </si>
  <si>
    <t>No.7  스트로브잣나무 제거</t>
  </si>
  <si>
    <t>NT0822</t>
  </si>
  <si>
    <t>No.127  청단풍</t>
  </si>
  <si>
    <t>129</t>
  </si>
  <si>
    <t>150x150x1000,직선</t>
  </si>
  <si>
    <t>1320</t>
  </si>
  <si>
    <t>M9366005</t>
  </si>
  <si>
    <t xml:space="preserve">ZT00010                                                                                             </t>
  </si>
  <si>
    <t>BH 0.6M3, P.C 1.5ton, 인력10%</t>
  </si>
  <si>
    <t>607</t>
  </si>
  <si>
    <t xml:space="preserve">   목재데크틀설치</t>
  </si>
  <si>
    <t>25101119</t>
  </si>
  <si>
    <t>D150</t>
  </si>
  <si>
    <t>가정/10063866/</t>
  </si>
  <si>
    <t>No.55 소나무 이식</t>
  </si>
  <si>
    <t>No.24 대추나무 제거</t>
  </si>
  <si>
    <t>No.169 화계</t>
  </si>
  <si>
    <t>No.144</t>
  </si>
  <si>
    <t>No.103 왕벚나무 이식</t>
  </si>
  <si>
    <t>BH 0.6M3, 인력10%</t>
  </si>
  <si>
    <t>W1500x18단, H180</t>
  </si>
  <si>
    <t>HX0025</t>
  </si>
  <si>
    <t>1400</t>
  </si>
  <si>
    <t>HP008</t>
  </si>
  <si>
    <t>R30~39</t>
  </si>
  <si>
    <t>HT5271</t>
  </si>
  <si>
    <t>No.50 금송 이식</t>
  </si>
  <si>
    <t>2140</t>
  </si>
  <si>
    <t>B7(R8)</t>
  </si>
  <si>
    <t>No.117  칠엽수 이식</t>
  </si>
  <si>
    <t>MB-0001-1</t>
  </si>
  <si>
    <t>%</t>
  </si>
  <si>
    <t>QUS2WON1</t>
  </si>
  <si>
    <t>10cm</t>
  </si>
  <si>
    <t>물자/338/</t>
  </si>
  <si>
    <t xml:space="preserve">   보차도용콘크리트블록</t>
  </si>
  <si>
    <t>목재덱</t>
  </si>
  <si>
    <t>No.94 산수유 이식</t>
  </si>
  <si>
    <t xml:space="preserve">   와이어메쉬</t>
  </si>
  <si>
    <t xml:space="preserve">   계단A</t>
  </si>
  <si>
    <t>HP046</t>
  </si>
  <si>
    <t>유물/거래71/</t>
  </si>
  <si>
    <t xml:space="preserve">   박태기나무</t>
  </si>
  <si>
    <t>1360</t>
  </si>
  <si>
    <t>물자/639/</t>
  </si>
  <si>
    <t xml:space="preserve"> 4. 다짐(진동롤러 핸드가드식 0.7TON)</t>
  </si>
  <si>
    <t>No.44</t>
  </si>
  <si>
    <t>가정/24273350/</t>
  </si>
  <si>
    <t xml:space="preserve">19_1_1+ = </t>
  </si>
  <si>
    <t>No.24  대추나무 제거</t>
  </si>
  <si>
    <t>HT3350-08</t>
  </si>
  <si>
    <t>NP0445-19</t>
  </si>
  <si>
    <t>MB-4500</t>
  </si>
  <si>
    <t>6회</t>
  </si>
  <si>
    <t xml:space="preserve">44,820 천원  </t>
  </si>
  <si>
    <t xml:space="preserve">   느티나무</t>
  </si>
  <si>
    <t xml:space="preserve">   플레이트 콤팩터</t>
  </si>
  <si>
    <t>N0211-24</t>
  </si>
  <si>
    <t xml:space="preserve">   디자인형휀스</t>
  </si>
  <si>
    <t>M2369530</t>
  </si>
  <si>
    <t>중기야간경비산출계수</t>
  </si>
  <si>
    <t>비교검토</t>
  </si>
  <si>
    <t>No.184</t>
  </si>
  <si>
    <t>No.77 단풍나무 이식</t>
  </si>
  <si>
    <t>No.161</t>
  </si>
  <si>
    <t>2180</t>
  </si>
  <si>
    <t>470</t>
  </si>
  <si>
    <t>N6010</t>
  </si>
  <si>
    <t>56900017059</t>
  </si>
  <si>
    <t>보조기층용</t>
  </si>
  <si>
    <t>MTP-040</t>
  </si>
  <si>
    <t xml:space="preserve">   잔디(평떼) 식재</t>
  </si>
  <si>
    <t>310</t>
  </si>
  <si>
    <t>N0081</t>
  </si>
  <si>
    <t>가정/24318244/</t>
  </si>
  <si>
    <t>M2439017</t>
  </si>
  <si>
    <t>엘브엣지</t>
  </si>
  <si>
    <t>E0021040025</t>
  </si>
  <si>
    <t xml:space="preserve">m3    </t>
  </si>
  <si>
    <t>단 가</t>
  </si>
  <si>
    <t>No.61</t>
  </si>
  <si>
    <t xml:space="preserve"> 3. 인력포설(10%)</t>
  </si>
  <si>
    <t>HP063</t>
  </si>
  <si>
    <t>QLINCX</t>
  </si>
  <si>
    <t xml:space="preserve">&gt;&gt;EQ = </t>
  </si>
  <si>
    <t>L041</t>
  </si>
  <si>
    <t>건설기계운전사</t>
  </si>
  <si>
    <t>No.84</t>
  </si>
  <si>
    <t>T19</t>
  </si>
  <si>
    <t>비    고</t>
  </si>
  <si>
    <t>No.18  주목 제거</t>
  </si>
  <si>
    <t>H10.0xR36</t>
  </si>
  <si>
    <t>MB-0115-1</t>
  </si>
  <si>
    <t>S</t>
  </si>
  <si>
    <t>No.57 스트로브잣나무 이식</t>
  </si>
  <si>
    <t>No.143 조팝나무</t>
  </si>
  <si>
    <t>물자/313/</t>
  </si>
  <si>
    <t>No.69 감나무 이식</t>
  </si>
  <si>
    <t xml:space="preserve">   초화류식재</t>
  </si>
  <si>
    <t>No.238 되메우기및다짐</t>
  </si>
  <si>
    <t>No.182  인조잔디포장</t>
  </si>
  <si>
    <t>M2369570</t>
  </si>
  <si>
    <t>1480</t>
  </si>
  <si>
    <t>No.181  마사토 포장</t>
  </si>
  <si>
    <t>배드민턴포스트(이동형)</t>
  </si>
  <si>
    <t xml:space="preserve">37_1_1 = </t>
  </si>
  <si>
    <t>HW0117</t>
  </si>
  <si>
    <t>H4.5XR15</t>
  </si>
  <si>
    <t>430</t>
  </si>
  <si>
    <t>MT-130</t>
  </si>
  <si>
    <t xml:space="preserve">&gt;&gt;&gt;MA = </t>
  </si>
  <si>
    <t>N1380-24</t>
  </si>
  <si>
    <t>N6050</t>
  </si>
  <si>
    <t>물탱크(살수차)   5500 L</t>
  </si>
  <si>
    <t>HX0040</t>
  </si>
  <si>
    <t>구)운전사(기계)</t>
  </si>
  <si>
    <t xml:space="preserve">※ 노란색 셀을 수정하고 툴바에서 수식 &gt; 시트계산을 하면 </t>
  </si>
  <si>
    <t xml:space="preserve">   철    공</t>
  </si>
  <si>
    <t>No.121</t>
  </si>
  <si>
    <t xml:space="preserve">   신너</t>
  </si>
  <si>
    <t>No.9  스트로브잣나무 제거</t>
  </si>
  <si>
    <t>수수꽃다리</t>
  </si>
  <si>
    <t>No.21</t>
  </si>
  <si>
    <t>No.154  수선화</t>
  </si>
  <si>
    <t>No.132 피라칸사스</t>
  </si>
  <si>
    <t>No.175  소생물서식공간</t>
  </si>
  <si>
    <t>350</t>
  </si>
  <si>
    <t xml:space="preserve">   부직포깔기</t>
  </si>
  <si>
    <t>노임할증계수(해상장비:주간)</t>
  </si>
  <si>
    <t>No.161  통석스탠드</t>
  </si>
  <si>
    <t>MS-057</t>
  </si>
  <si>
    <t xml:space="preserve">   H형강 밴딩</t>
  </si>
  <si>
    <t xml:space="preserve">   목구조체 설치</t>
  </si>
  <si>
    <t>No.192  벌목 및 제근</t>
  </si>
  <si>
    <t>No.73  느티나무 이식</t>
  </si>
  <si>
    <t>(굴취품의보통인부만적용)</t>
  </si>
  <si>
    <t>H4.0xR20</t>
  </si>
  <si>
    <t xml:space="preserve">   녹화마대</t>
  </si>
  <si>
    <t>56100047005</t>
  </si>
  <si>
    <t>M2140015</t>
  </si>
  <si>
    <t>M2369210</t>
  </si>
  <si>
    <t>No.150  모닝라이트억새</t>
  </si>
  <si>
    <t>MS-122</t>
  </si>
  <si>
    <t>No.152</t>
  </si>
  <si>
    <t>NT1000</t>
  </si>
  <si>
    <t>HX0033</t>
  </si>
  <si>
    <t>광명단 조합페인트</t>
  </si>
  <si>
    <t>No.141  영산홍</t>
  </si>
  <si>
    <t xml:space="preserve">   수수꽃다리</t>
  </si>
  <si>
    <t>2730</t>
  </si>
  <si>
    <t>M2375014</t>
  </si>
  <si>
    <t>평구조, 경사지</t>
  </si>
  <si>
    <t>40(2)</t>
  </si>
  <si>
    <t>QLINCB</t>
  </si>
  <si>
    <t>56900017122</t>
  </si>
  <si>
    <t>M25200013</t>
  </si>
  <si>
    <t xml:space="preserve">   계</t>
  </si>
  <si>
    <t>1270</t>
  </si>
  <si>
    <t>300x400x500,2목</t>
  </si>
  <si>
    <t>No.228 합판거푸집</t>
  </si>
  <si>
    <t>No.232 석재판붙임</t>
  </si>
  <si>
    <t>No.52 소나무 이식</t>
  </si>
  <si>
    <t xml:space="preserve">69_1_1 = </t>
  </si>
  <si>
    <t>No.80 당단풍 이식</t>
  </si>
  <si>
    <t xml:space="preserve">   석재판붙임</t>
  </si>
  <si>
    <t>내력식</t>
  </si>
  <si>
    <t xml:space="preserve">.sang=1800,jung=1200,kwan=708_x000D_
</t>
  </si>
  <si>
    <t>HP050</t>
  </si>
  <si>
    <t>No.205 수목이식</t>
  </si>
  <si>
    <t>비 고</t>
  </si>
  <si>
    <t>No.129 팽나무</t>
  </si>
  <si>
    <t>No.9 스트로브잣나무 제거</t>
  </si>
  <si>
    <t>No.8</t>
  </si>
  <si>
    <t>B28(R35)</t>
  </si>
  <si>
    <t>[EMPTY DB]</t>
  </si>
  <si>
    <t>No.266  유로폼설치및해체(간단)</t>
  </si>
  <si>
    <t>No.97  살구나무 이식</t>
  </si>
  <si>
    <t>HT2120-R10</t>
  </si>
  <si>
    <t>MB-0104-</t>
  </si>
  <si>
    <t>QDM2WON</t>
  </si>
  <si>
    <t>1510</t>
  </si>
  <si>
    <t>노임할증계수(터널구간:주간)</t>
  </si>
  <si>
    <t>4-1-1 잔디붙임</t>
  </si>
  <si>
    <t xml:space="preserve">HR    </t>
  </si>
  <si>
    <t>No.116 칠엽수 이식</t>
  </si>
  <si>
    <t>#2 터파기</t>
  </si>
  <si>
    <t>No.265 유로폼(자재)</t>
  </si>
  <si>
    <t>2050</t>
  </si>
  <si>
    <t xml:space="preserve">   왕벚나무</t>
  </si>
  <si>
    <t>No.34  버드나무 제거</t>
  </si>
  <si>
    <t>5~6분얼</t>
  </si>
  <si>
    <t>87300057241</t>
  </si>
  <si>
    <t>No.84  당단풍 이식</t>
  </si>
  <si>
    <t>MB-260-4</t>
  </si>
  <si>
    <t>No.93 산수유 이식</t>
  </si>
  <si>
    <t>크레인(타이어)   25 TON</t>
  </si>
  <si>
    <t xml:space="preserve">   영산홍</t>
  </si>
  <si>
    <t>No.32 버드나무 제거</t>
  </si>
  <si>
    <t>No.52</t>
  </si>
  <si>
    <t>HW0124</t>
  </si>
  <si>
    <t>물자/부37/</t>
  </si>
  <si>
    <t>No.146  꽃무릇</t>
  </si>
  <si>
    <t>eq=la(30)*2/100</t>
  </si>
  <si>
    <t>단</t>
  </si>
  <si>
    <t>NT1040</t>
  </si>
  <si>
    <t>280</t>
  </si>
  <si>
    <t>8cm</t>
  </si>
  <si>
    <t>No.112</t>
  </si>
  <si>
    <t>No.6</t>
  </si>
  <si>
    <t>265</t>
  </si>
  <si>
    <t>1230</t>
  </si>
  <si>
    <t>A00</t>
  </si>
  <si>
    <t>No.80  당단풍 이식</t>
  </si>
  <si>
    <t>혼합골재</t>
  </si>
  <si>
    <t>철선</t>
  </si>
  <si>
    <t>L032</t>
  </si>
  <si>
    <t>EA</t>
  </si>
  <si>
    <t xml:space="preserve">   포장경계석(곡선)</t>
  </si>
  <si>
    <t xml:space="preserve"> B18∼24(R21∼29)</t>
  </si>
  <si>
    <t>1550</t>
  </si>
  <si>
    <t>중기가격</t>
  </si>
  <si>
    <t>때죽나무</t>
  </si>
  <si>
    <t xml:space="preserve">      eq = la(10,0,50)*0.02</t>
  </si>
  <si>
    <t xml:space="preserve">    Q = (1000*V*W*E)/N =? '㎡/HR'</t>
  </si>
  <si>
    <t xml:space="preserve"> 별산</t>
  </si>
  <si>
    <t>N0303</t>
  </si>
  <si>
    <t>MTH05</t>
  </si>
  <si>
    <t>No.44  이팝나무 제거</t>
  </si>
  <si>
    <t>No.12</t>
  </si>
  <si>
    <t>N1060</t>
  </si>
  <si>
    <t>파고라</t>
  </si>
  <si>
    <t>No.261  합판거푸집</t>
  </si>
  <si>
    <t>환율(사용자 환율1)</t>
  </si>
  <si>
    <t>No.199  벌목 및 제근</t>
  </si>
  <si>
    <t>No.138  산철쭉</t>
  </si>
  <si>
    <t xml:space="preserve">   지주목(삼발이소형)</t>
  </si>
  <si>
    <t>23372651</t>
  </si>
  <si>
    <t>MTP-110</t>
  </si>
  <si>
    <t>와이어메쉬</t>
  </si>
  <si>
    <t>박태기나무</t>
  </si>
  <si>
    <t xml:space="preserve">37_1_2+ = </t>
  </si>
  <si>
    <t>No.170 휴게데크A</t>
  </si>
  <si>
    <t>N4665</t>
  </si>
  <si>
    <t>No.105  왕벚나무 이식</t>
  </si>
  <si>
    <t>NT1080</t>
  </si>
  <si>
    <t>NP0485-24</t>
  </si>
  <si>
    <t>240</t>
  </si>
  <si>
    <t>H5.0xR10</t>
  </si>
  <si>
    <t>1</t>
  </si>
  <si>
    <t xml:space="preserve">K = </t>
  </si>
  <si>
    <t>HX0056</t>
  </si>
  <si>
    <t>휘 발 유</t>
  </si>
  <si>
    <t>No.137</t>
  </si>
  <si>
    <t>No.79</t>
  </si>
  <si>
    <t>낙상홍</t>
  </si>
  <si>
    <t>No.86 모과나무 이식</t>
  </si>
  <si>
    <t xml:space="preserve">  '노무비:' ~E0017300015.L~ / Q =?LA</t>
  </si>
  <si>
    <t>No.27  버드나무 제거</t>
  </si>
  <si>
    <t>1590</t>
  </si>
  <si>
    <t>Ø70x2700x3</t>
  </si>
  <si>
    <t>2035</t>
  </si>
  <si>
    <t>No.37</t>
  </si>
  <si>
    <t>No.179</t>
  </si>
  <si>
    <t>No.61 전나무 이식</t>
  </si>
  <si>
    <t>56900017041</t>
  </si>
  <si>
    <t>산 출 근 거</t>
  </si>
  <si>
    <t>No.23 당단풍나무 제거</t>
  </si>
  <si>
    <t>H12.0xR22</t>
  </si>
  <si>
    <t>No.156  은사초</t>
  </si>
  <si>
    <t>500x600x700,6목</t>
  </si>
  <si>
    <t xml:space="preserve">   오일</t>
  </si>
  <si>
    <t>HP035</t>
  </si>
  <si>
    <t>촉지도</t>
  </si>
  <si>
    <t>520</t>
  </si>
  <si>
    <t>가정/25101118/</t>
  </si>
  <si>
    <t xml:space="preserve">   합판거푸집</t>
  </si>
  <si>
    <t>No.240 목재데크틀설치</t>
  </si>
  <si>
    <t xml:space="preserve">   지주목(삼발이대형)</t>
  </si>
  <si>
    <t>No.164  계단B</t>
  </si>
  <si>
    <t>스트레칭롤러</t>
  </si>
  <si>
    <t>H8.0xR20</t>
  </si>
  <si>
    <t>No.211 수목이식</t>
  </si>
  <si>
    <t>QDATE</t>
  </si>
  <si>
    <t>No.131 남천</t>
  </si>
  <si>
    <t>HT5242</t>
  </si>
  <si>
    <t>No.77  단풍나무 이식</t>
  </si>
  <si>
    <t>HW0009</t>
  </si>
  <si>
    <t xml:space="preserve">   조경블럭쌓기(본체)</t>
  </si>
  <si>
    <t xml:space="preserve">   조경석</t>
  </si>
  <si>
    <t>960x438x1200</t>
  </si>
  <si>
    <t>200</t>
  </si>
  <si>
    <t>87300057362</t>
  </si>
  <si>
    <t>시간당노임산출계수(터널구간)</t>
  </si>
  <si>
    <t>T2.3x50x50</t>
  </si>
  <si>
    <t>굴삭기(타이어)</t>
  </si>
  <si>
    <t xml:space="preserve">75_1_1 = </t>
  </si>
  <si>
    <t>No.156 은사초</t>
  </si>
  <si>
    <t xml:space="preserve">.sang=900, jung=700, kwan=485_x000D_
</t>
  </si>
  <si>
    <t>No.177</t>
  </si>
  <si>
    <t>No.39</t>
  </si>
  <si>
    <t>물자/384/</t>
  </si>
  <si>
    <t xml:space="preserve">   포장경계석(직선)</t>
  </si>
  <si>
    <t>87300088335</t>
  </si>
  <si>
    <t>M020</t>
  </si>
  <si>
    <t xml:space="preserve">   경계석 신규설치</t>
  </si>
  <si>
    <t>HX0058</t>
  </si>
  <si>
    <t>H0.3xW0.3</t>
  </si>
  <si>
    <t>E0017300015</t>
  </si>
  <si>
    <t>No.77</t>
  </si>
  <si>
    <t>No.139</t>
  </si>
  <si>
    <t xml:space="preserve">   남천</t>
  </si>
  <si>
    <t xml:space="preserve">69_1_1+ = </t>
  </si>
  <si>
    <t>2075</t>
  </si>
  <si>
    <t>No.70  감나무 이식</t>
  </si>
  <si>
    <t>MA</t>
  </si>
  <si>
    <t>No.158 참억새</t>
  </si>
  <si>
    <t>306</t>
  </si>
  <si>
    <t>No.259 식재(흉고/근원경)</t>
  </si>
  <si>
    <t xml:space="preserve">          계      :</t>
  </si>
  <si>
    <t>재료비할증계수(주야간)</t>
  </si>
  <si>
    <t>No.139 삼색조팝나무</t>
  </si>
  <si>
    <t xml:space="preserve">142_1_1 = </t>
  </si>
  <si>
    <t>MB-00120</t>
  </si>
  <si>
    <t xml:space="preserve">   보통합판(1급)</t>
  </si>
  <si>
    <t>H4.5xR20</t>
  </si>
  <si>
    <t>2090</t>
  </si>
  <si>
    <t xml:space="preserve">set   </t>
  </si>
  <si>
    <t>200x100x5.5x8T</t>
  </si>
  <si>
    <t>포 장 공</t>
  </si>
  <si>
    <t>No.248 보도용블럭설치(대형)</t>
  </si>
  <si>
    <t>MB002</t>
  </si>
  <si>
    <t xml:space="preserve">   보통인부</t>
  </si>
  <si>
    <t>G02110060</t>
  </si>
  <si>
    <t>560</t>
  </si>
  <si>
    <t>No.215  식재(흉고/근원경)</t>
  </si>
  <si>
    <t>No.92</t>
  </si>
  <si>
    <t>4600x4600x4600</t>
  </si>
  <si>
    <t>* 관급자재대(관급자관급)</t>
  </si>
  <si>
    <t>No.67  주목 이식</t>
  </si>
  <si>
    <t>굴삭기(무한궤도)</t>
  </si>
  <si>
    <t>W2000x14단, H150</t>
  </si>
  <si>
    <t>61</t>
  </si>
  <si>
    <t xml:space="preserve">   조 경 공</t>
  </si>
  <si>
    <t xml:space="preserve">   조경블록(본체)</t>
  </si>
  <si>
    <t>MS-1005</t>
  </si>
  <si>
    <t xml:space="preserve">   유로폼(자재)</t>
  </si>
  <si>
    <t>No.203 벌목 및 제근</t>
  </si>
  <si>
    <t>150</t>
  </si>
  <si>
    <t xml:space="preserve">   건축목공</t>
  </si>
  <si>
    <t>N5990</t>
  </si>
  <si>
    <t>No.133</t>
  </si>
  <si>
    <t>No.104 왕벚나무 이식</t>
  </si>
  <si>
    <t>합 계</t>
  </si>
  <si>
    <t>R40~49(B33~41)</t>
  </si>
  <si>
    <t>HX0052</t>
  </si>
  <si>
    <t>유물/거래167/</t>
  </si>
  <si>
    <t>w300</t>
  </si>
  <si>
    <t>No.98</t>
  </si>
  <si>
    <t>5</t>
  </si>
  <si>
    <t>ma=ma(20,0,30)/2700_x000D_
la=la(20,0,30)/2700_x000D_
eq=eq(20,0,30)/2700</t>
  </si>
  <si>
    <t xml:space="preserve">EQ+ = </t>
  </si>
  <si>
    <t>HW0211</t>
  </si>
  <si>
    <t>0.7 톤</t>
  </si>
  <si>
    <t>24100403</t>
  </si>
  <si>
    <t>No.253  굴취(근원/흉고경)</t>
  </si>
  <si>
    <t>할 증</t>
  </si>
  <si>
    <t>MB-0117-1</t>
  </si>
  <si>
    <t>150~300mm</t>
  </si>
  <si>
    <t>No.226  보조기층 부설 및 다짐</t>
  </si>
  <si>
    <t>L013</t>
  </si>
  <si>
    <t>HT4983</t>
  </si>
  <si>
    <t>25</t>
  </si>
  <si>
    <t>H8.0xW4.0xR24</t>
  </si>
  <si>
    <t>'2. 포설(기계BH0.6㎥,90%)'</t>
  </si>
  <si>
    <t>HP031</t>
  </si>
  <si>
    <t xml:space="preserve">   구역화물(14.0TON)아하</t>
  </si>
  <si>
    <t>1680</t>
  </si>
  <si>
    <t>No.166  계단D</t>
  </si>
  <si>
    <t>24429459</t>
  </si>
  <si>
    <t>MB-0011</t>
  </si>
  <si>
    <t xml:space="preserve">   특별인부</t>
  </si>
  <si>
    <t>20kg/포,바이오부숙비료</t>
  </si>
  <si>
    <t>No.264  부직포깔기품</t>
  </si>
  <si>
    <t>M00031</t>
  </si>
  <si>
    <t>디딤돌</t>
  </si>
  <si>
    <t>400x1800</t>
  </si>
  <si>
    <t>H1200xW1500</t>
  </si>
  <si>
    <t>No.33</t>
  </si>
  <si>
    <t>H7.0xR18</t>
  </si>
  <si>
    <t>No.63  전나무 이식</t>
  </si>
  <si>
    <t xml:space="preserve">160_1_1+ = </t>
  </si>
  <si>
    <t xml:space="preserve">   보강토연결핀</t>
  </si>
  <si>
    <t xml:space="preserve">   인조잔디</t>
  </si>
  <si>
    <t>B45∼50(R54∼60)</t>
  </si>
  <si>
    <t>ma=ma(10,0,30)/13_x000D_
la=la(10,0,30)/13_x000D_
eq=eq(10,0,30)/13</t>
  </si>
  <si>
    <t>No.173</t>
  </si>
  <si>
    <t>No.239  녹막이페인트칠</t>
  </si>
  <si>
    <t>110</t>
  </si>
  <si>
    <t>HT4820</t>
  </si>
  <si>
    <t>M2520009-2</t>
  </si>
  <si>
    <t>MI_MGL012</t>
  </si>
  <si>
    <t>문자</t>
  </si>
  <si>
    <t>붓꽃</t>
  </si>
  <si>
    <t>t=6~8</t>
  </si>
  <si>
    <t>MU-002</t>
  </si>
  <si>
    <t>굴삭기(무한궤도)   0.4 M3</t>
  </si>
  <si>
    <t>GS012</t>
  </si>
  <si>
    <t>평구조</t>
  </si>
  <si>
    <t>휴게쉼터</t>
  </si>
  <si>
    <t xml:space="preserve">어스앵커 공수                           </t>
  </si>
  <si>
    <t>No.187  포장경계석(곡선)</t>
  </si>
  <si>
    <t xml:space="preserve">          소계      :</t>
  </si>
  <si>
    <t>QH31</t>
  </si>
  <si>
    <t>MB-0119</t>
  </si>
  <si>
    <t>바닥</t>
  </si>
  <si>
    <t>No.100 왕벚나무 이식</t>
  </si>
  <si>
    <t>꽃사과</t>
  </si>
  <si>
    <t>No.96</t>
  </si>
  <si>
    <t>No.214 식재(흉고/근원경)</t>
  </si>
  <si>
    <t>65</t>
  </si>
  <si>
    <t xml:space="preserve">   미송방부목</t>
  </si>
  <si>
    <t>ton</t>
  </si>
  <si>
    <t>24273352</t>
  </si>
  <si>
    <t>No.85 당단풍 이식</t>
  </si>
  <si>
    <t>MB-2014</t>
  </si>
  <si>
    <t xml:space="preserve">   목재데크설치</t>
  </si>
  <si>
    <t>80</t>
  </si>
  <si>
    <t>No.100  왕벚나무 이식</t>
  </si>
  <si>
    <t>OP값</t>
  </si>
  <si>
    <t>0.6 M3</t>
  </si>
  <si>
    <t xml:space="preserve">S                                                                                                   </t>
  </si>
  <si>
    <t>H6.0xR30</t>
  </si>
  <si>
    <t>56900017005</t>
  </si>
  <si>
    <t>No.73</t>
  </si>
  <si>
    <t>노임할증계수(해상장비:야간)</t>
  </si>
  <si>
    <t>ma=ma(20,0,40)/15_x000D_
la=la(20,0,40)/15_x000D_
eq=eq(20,0,40)/15</t>
  </si>
  <si>
    <t>No.161 통석스탠드</t>
  </si>
  <si>
    <t>No.209  수목이식</t>
  </si>
  <si>
    <t>T60</t>
  </si>
  <si>
    <t>QLINCF</t>
  </si>
  <si>
    <t>M25080042</t>
  </si>
  <si>
    <t>MB-0119-1</t>
  </si>
  <si>
    <t>방향안내판</t>
  </si>
  <si>
    <t>No.68 주목 이식</t>
  </si>
  <si>
    <t xml:space="preserve">   횃대</t>
  </si>
  <si>
    <t>음수전</t>
  </si>
  <si>
    <t xml:space="preserve">        '폐기물상차(백호우0.6M3):M3'</t>
  </si>
  <si>
    <t>No.115  청단풍 이식</t>
  </si>
  <si>
    <t>No.232  석재판붙임</t>
  </si>
  <si>
    <t xml:space="preserve">37_1_5+ = </t>
  </si>
  <si>
    <t>No.264 부직포깔기품</t>
  </si>
  <si>
    <t>No.244  억새</t>
  </si>
  <si>
    <t>형틀목공</t>
  </si>
  <si>
    <t>T12.0mm</t>
  </si>
  <si>
    <t>MTP-039</t>
  </si>
  <si>
    <t>리아트리스</t>
  </si>
  <si>
    <t>N0850</t>
  </si>
  <si>
    <t>No.216 식재(흉고/근원경)</t>
  </si>
  <si>
    <t>&gt;&gt;&gt;'합계'</t>
  </si>
  <si>
    <t>HX0037</t>
  </si>
  <si>
    <t>1160</t>
  </si>
  <si>
    <t xml:space="preserve">   잔디</t>
  </si>
  <si>
    <t>M16 x 150㎜</t>
  </si>
  <si>
    <t>B20(R24)</t>
  </si>
  <si>
    <t xml:space="preserve">14_1_1 = </t>
  </si>
  <si>
    <t>No.156</t>
  </si>
  <si>
    <t>No.18</t>
  </si>
  <si>
    <t>No.259  식재(흉고/근원경)</t>
  </si>
  <si>
    <t>중기주야간할증계수</t>
  </si>
  <si>
    <t>No.118</t>
  </si>
  <si>
    <t>No.56</t>
  </si>
  <si>
    <t>1600</t>
  </si>
  <si>
    <t>ma=ma(10,0,40)/55_x000D_
la=la(10,0,40)/55_x000D_
eq=eq(10,0,40)/55</t>
  </si>
  <si>
    <t xml:space="preserve">159_1_1 = </t>
  </si>
  <si>
    <t>No.108 왕벚나무 이식</t>
  </si>
  <si>
    <t>부37</t>
  </si>
  <si>
    <t>QMINC3</t>
  </si>
  <si>
    <t>HP054</t>
  </si>
  <si>
    <t>주자재비의</t>
  </si>
  <si>
    <t>40</t>
  </si>
  <si>
    <t>No.146 꽃무릇</t>
  </si>
  <si>
    <t>#150   15㎝ x 20ｍ</t>
  </si>
  <si>
    <t xml:space="preserve">   수선화</t>
  </si>
  <si>
    <t>2632</t>
  </si>
  <si>
    <t>No.200  벌목 및 제근</t>
  </si>
  <si>
    <t>ma=ma(210)*0.06</t>
  </si>
  <si>
    <t>A04</t>
  </si>
  <si>
    <t xml:space="preserve">   야외테이블</t>
  </si>
  <si>
    <t>190</t>
  </si>
  <si>
    <t>MTP-131</t>
  </si>
  <si>
    <t>#6 혼합골재부설 및 다짐</t>
  </si>
  <si>
    <t>H5.0xW2.0xR10</t>
  </si>
  <si>
    <t>T150, 도담플러스</t>
  </si>
  <si>
    <t>No.31  버드나무 제거</t>
  </si>
  <si>
    <t>87300088040</t>
  </si>
  <si>
    <t xml:space="preserve">   참나무</t>
  </si>
  <si>
    <t>No.5  스트로브잣나무 제거</t>
  </si>
  <si>
    <t xml:space="preserve">   피라칸사스</t>
  </si>
  <si>
    <t>No.2</t>
  </si>
  <si>
    <t>'1. 혼합골재 (현장도착도)'</t>
  </si>
  <si>
    <t>철근구조물,장비사용</t>
  </si>
  <si>
    <t>N4550</t>
  </si>
  <si>
    <t>No.116</t>
  </si>
  <si>
    <t>단위</t>
  </si>
  <si>
    <t>No.58</t>
  </si>
  <si>
    <t>코    드</t>
  </si>
  <si>
    <t>1120</t>
  </si>
  <si>
    <t>B35∼44(R42∼53)</t>
  </si>
  <si>
    <t xml:space="preserve">   셋트앵커(STS)</t>
  </si>
  <si>
    <t>No.145  그린라이트억새</t>
  </si>
  <si>
    <t>QH1</t>
  </si>
  <si>
    <t>175</t>
  </si>
  <si>
    <t>회양목</t>
  </si>
  <si>
    <t>HX0039</t>
  </si>
  <si>
    <t>No.36 신갈나무 제거</t>
  </si>
  <si>
    <t>H3.0xR12</t>
  </si>
  <si>
    <t>No.143  조팝나무</t>
  </si>
  <si>
    <t xml:space="preserve">   에폭시접착제</t>
  </si>
  <si>
    <t>1640</t>
  </si>
  <si>
    <t>No.88  백목련 이식</t>
  </si>
  <si>
    <t>No.16</t>
  </si>
  <si>
    <t>No.115 청단풍 이식</t>
  </si>
  <si>
    <t xml:space="preserve">M     </t>
  </si>
  <si>
    <t>No.158</t>
  </si>
  <si>
    <t xml:space="preserve">   통기관</t>
  </si>
  <si>
    <t>HP014</t>
  </si>
  <si>
    <t>QDECMA</t>
  </si>
  <si>
    <t>No.21 감나무 제거</t>
  </si>
  <si>
    <t>1845x590x1917</t>
  </si>
  <si>
    <t>M</t>
  </si>
  <si>
    <t>규    격</t>
  </si>
  <si>
    <t>2300</t>
  </si>
  <si>
    <t>No.256 굴취(근원/흉고경)</t>
  </si>
  <si>
    <t xml:space="preserve">   3. 포장공</t>
  </si>
  <si>
    <t>No.48  금송 이식</t>
  </si>
  <si>
    <t>각관밴딩</t>
  </si>
  <si>
    <t>구역화물(14.0TON)아하</t>
  </si>
  <si>
    <t>'◈ 원지반다짐 (P.C 1.5TON,6회) : ㎡당'</t>
  </si>
  <si>
    <t xml:space="preserve">14_1_1+ = </t>
  </si>
  <si>
    <t>HT2141-R15</t>
  </si>
  <si>
    <t>HP039</t>
  </si>
  <si>
    <t>아연도각관</t>
  </si>
  <si>
    <t>No.175</t>
  </si>
  <si>
    <t>2265</t>
  </si>
  <si>
    <t>No.238  되메우기및다짐</t>
  </si>
  <si>
    <t>No.195 벌목 및 제근</t>
  </si>
  <si>
    <t>No.186 포장경계석(직선)</t>
  </si>
  <si>
    <t>H7.0xR10</t>
  </si>
  <si>
    <t>녹화마대</t>
  </si>
  <si>
    <t>25101128</t>
  </si>
  <si>
    <t>No.75</t>
  </si>
  <si>
    <t>' ◈ 잔토처리(잔토)  (굴삭기0.6㎥,덤프15T)/M3'</t>
  </si>
  <si>
    <t>No.246 조경석놓기</t>
  </si>
  <si>
    <t xml:space="preserve">&gt;&gt;&gt;EQ = </t>
  </si>
  <si>
    <t>MP05</t>
  </si>
  <si>
    <t xml:space="preserve">   잔토처리</t>
  </si>
  <si>
    <t>ma=ma(20,0,50)/4_x000D_
la=la(20,0,50)/4_x000D_
eq=eq(20,0,50)/4</t>
  </si>
  <si>
    <t>#6 혼합골재부설 및 다짐 | 기계:인력=9:1|m3</t>
  </si>
  <si>
    <t xml:space="preserve">139_4_1 = </t>
  </si>
  <si>
    <t>1940</t>
  </si>
  <si>
    <t xml:space="preserve">   쥐방울덩쿨</t>
  </si>
  <si>
    <t>(200+200)x1200mm</t>
  </si>
  <si>
    <t>No.45 참나무 제거</t>
  </si>
  <si>
    <t>No.90</t>
  </si>
  <si>
    <t xml:space="preserve">   콘크리트포장</t>
  </si>
  <si>
    <t>MB-0111</t>
  </si>
  <si>
    <t xml:space="preserve">LA = </t>
  </si>
  <si>
    <t>물자/457/</t>
  </si>
  <si>
    <t>H5.0xR12</t>
  </si>
  <si>
    <t>HT5200</t>
  </si>
  <si>
    <t xml:space="preserve">  ◈ 잔토처리(잔토)  (굴삭기0.6㎥,덤프15T)/M3</t>
  </si>
  <si>
    <t xml:space="preserve">75_1_1+ = </t>
  </si>
  <si>
    <t>중기기초자료</t>
  </si>
  <si>
    <t xml:space="preserve">   엘브엣지</t>
  </si>
  <si>
    <t>QSABUN</t>
  </si>
  <si>
    <t xml:space="preserve">&gt;&gt;MA = </t>
  </si>
  <si>
    <t>H6.0xR38</t>
  </si>
  <si>
    <t>No.135</t>
  </si>
  <si>
    <t xml:space="preserve">   맥문동</t>
  </si>
  <si>
    <t>No.8 스트로브잣나무 제거</t>
  </si>
  <si>
    <t>HX0054</t>
  </si>
  <si>
    <t xml:space="preserve">   일당 140주</t>
  </si>
  <si>
    <t>No.165  계단C</t>
  </si>
  <si>
    <t>가정/24416280/</t>
  </si>
  <si>
    <t>589</t>
  </si>
  <si>
    <t>' 노무비 :'~E0002010060.L~ / Q * 0.9 = ?LA+</t>
  </si>
  <si>
    <t>무연</t>
  </si>
  <si>
    <t>No.128 팥배나무</t>
  </si>
  <si>
    <t>No.54  소나무 이식</t>
  </si>
  <si>
    <t xml:space="preserve">   청단풍</t>
  </si>
  <si>
    <t>M2369110</t>
  </si>
  <si>
    <t>NT0813</t>
  </si>
  <si>
    <t>느티나무</t>
  </si>
  <si>
    <t>No.126  참나무</t>
  </si>
  <si>
    <t xml:space="preserve">   4. 부대공</t>
  </si>
  <si>
    <t>No.35</t>
  </si>
  <si>
    <t>일위대가_산근</t>
  </si>
  <si>
    <t>No.196  벌목 및 제근</t>
  </si>
  <si>
    <t>화강석, 계단부</t>
  </si>
  <si>
    <t>No.78 당단풍 이식</t>
  </si>
  <si>
    <t>H6.0xW4.0xR28</t>
  </si>
  <si>
    <t>노 무 비</t>
  </si>
  <si>
    <t>HP037</t>
  </si>
  <si>
    <t>경간</t>
  </si>
  <si>
    <t>HT3160</t>
  </si>
  <si>
    <t>NT0770</t>
  </si>
  <si>
    <t xml:space="preserve">   터파기</t>
  </si>
  <si>
    <t xml:space="preserve">   </t>
  </si>
  <si>
    <t>No.191 벌목 및 제근</t>
  </si>
  <si>
    <t>M2559003</t>
  </si>
  <si>
    <t>No.13 전나무 제거</t>
  </si>
  <si>
    <t xml:space="preserve">157_1_1 = </t>
  </si>
  <si>
    <t>G02010040</t>
  </si>
  <si>
    <t>2200</t>
  </si>
  <si>
    <t>MA=MA(30,0,50)/3.5_x000D_
LA=LA(30,0,50)/3.5_x000D_
EQ=EQ(30,0,50)/3.5</t>
  </si>
  <si>
    <t>T8.0mm</t>
  </si>
  <si>
    <t>No.28  버드나무 제거</t>
  </si>
  <si>
    <t>P.C 1.5ton 3회</t>
  </si>
  <si>
    <t xml:space="preserve">71_1_1+ = </t>
  </si>
  <si>
    <t>No.78  당단풍 이식</t>
  </si>
  <si>
    <t>MB-260-8</t>
  </si>
  <si>
    <t>HT3531</t>
  </si>
  <si>
    <t>No.110</t>
  </si>
  <si>
    <t xml:space="preserve">m     </t>
  </si>
  <si>
    <t>56801207241</t>
  </si>
  <si>
    <t xml:space="preserve">   일당 4.5TON</t>
  </si>
  <si>
    <t>H10.0xW4.0xR28</t>
  </si>
  <si>
    <t xml:space="preserve">     .eq=lA(5,0,10)*0.01</t>
  </si>
  <si>
    <t>No.230 바탕만들기</t>
  </si>
  <si>
    <t>NT0930</t>
  </si>
  <si>
    <t>H10.0xW5.0xR40</t>
  </si>
  <si>
    <t xml:space="preserve">   오일스테인</t>
  </si>
  <si>
    <t>No.4</t>
  </si>
  <si>
    <t>A02</t>
  </si>
  <si>
    <t>No.212  식재(흉고/근원경)</t>
  </si>
  <si>
    <t>ma=ma(20,0,30)/15_x000D_
la=la(20,0,30)/15_x000D_
eq=eq(20,0,30)/15</t>
  </si>
  <si>
    <t xml:space="preserve">%     </t>
  </si>
  <si>
    <t>No.11  전나무 제거</t>
  </si>
  <si>
    <t>유기질비료</t>
  </si>
  <si>
    <t>48</t>
  </si>
  <si>
    <t>1020</t>
  </si>
  <si>
    <t xml:space="preserve">      eq = la(10,0,20)*0.04</t>
  </si>
  <si>
    <t xml:space="preserve">   부직포깔기품</t>
  </si>
  <si>
    <t xml:space="preserve">   보차도 및 도로경계블럭 설치</t>
  </si>
  <si>
    <t>HP012</t>
  </si>
  <si>
    <t>m2</t>
  </si>
  <si>
    <t>384</t>
  </si>
  <si>
    <t>350x760x1000</t>
  </si>
  <si>
    <t>GS0001</t>
  </si>
  <si>
    <t>No.29 버드나무 제거</t>
  </si>
  <si>
    <t>No.10</t>
  </si>
  <si>
    <t xml:space="preserve">14_1_4 = </t>
  </si>
  <si>
    <t xml:space="preserve">37_1_5 = </t>
  </si>
  <si>
    <t>MTH07</t>
  </si>
  <si>
    <t>No.199 벌목 및 제근</t>
  </si>
  <si>
    <t>HX0031</t>
  </si>
  <si>
    <t xml:space="preserve">        '재 료 비 : '~E0002010060.M~/{Q}*0.9 =?MA+</t>
  </si>
  <si>
    <t>MT1020</t>
  </si>
  <si>
    <t>No.150</t>
  </si>
  <si>
    <t xml:space="preserve">   철 근 공</t>
  </si>
  <si>
    <t>환율(장비가격10만불이하)</t>
  </si>
  <si>
    <t>팥배나무</t>
  </si>
  <si>
    <t>시간당노임산출계수(해상장비:펌프준설선)</t>
  </si>
  <si>
    <t>2240</t>
  </si>
  <si>
    <t>441</t>
  </si>
  <si>
    <t>1863</t>
  </si>
  <si>
    <t>M25200011</t>
  </si>
  <si>
    <t>1700</t>
  </si>
  <si>
    <t>D13 0.995kg/m</t>
  </si>
  <si>
    <t>90x21T</t>
  </si>
  <si>
    <t>500x600x1000</t>
  </si>
  <si>
    <t xml:space="preserve">           eq = la(10,0,20)*2/100</t>
  </si>
  <si>
    <t>No.180  인조화강석블럭포장</t>
  </si>
  <si>
    <t>87300088006</t>
  </si>
  <si>
    <t>1060</t>
  </si>
  <si>
    <t xml:space="preserve">   공구손료 및 기계경비</t>
  </si>
  <si>
    <t xml:space="preserve">   화강석경계석</t>
  </si>
  <si>
    <t xml:space="preserve">W = </t>
  </si>
  <si>
    <t>HP052</t>
  </si>
  <si>
    <t>23372678</t>
  </si>
  <si>
    <t>MB-0118-1</t>
  </si>
  <si>
    <t>화강석장대석</t>
  </si>
  <si>
    <t>MP-81G</t>
  </si>
  <si>
    <t>물정/312/</t>
  </si>
  <si>
    <t>환율(유로화)</t>
  </si>
  <si>
    <t>No.15  전나무 제거</t>
  </si>
  <si>
    <t>No.50</t>
  </si>
  <si>
    <t xml:space="preserve">  Q = 3600 * q * K * f * E1 / Cm = {?}'M3/HR'</t>
  </si>
  <si>
    <t>MB-260-6</t>
  </si>
  <si>
    <t>2회</t>
  </si>
  <si>
    <t>NT9750</t>
  </si>
  <si>
    <t>No.60  스트로브잣나무 이식</t>
  </si>
  <si>
    <t>No.93  산수유 이식</t>
  </si>
  <si>
    <t xml:space="preserve">   연마지</t>
  </si>
  <si>
    <t xml:space="preserve"> ' 노무비 :'~E0017300015.L~ / Q  = ?LA+</t>
  </si>
  <si>
    <t xml:space="preserve">   기계톱손료</t>
  </si>
  <si>
    <t xml:space="preserve">14_1_6+ = </t>
  </si>
  <si>
    <t xml:space="preserve">   벌 목 부</t>
  </si>
  <si>
    <t>무근구조물,장비사용</t>
  </si>
  <si>
    <t>HP058</t>
  </si>
  <si>
    <t>2110</t>
  </si>
  <si>
    <t xml:space="preserve">   1. 식재공</t>
  </si>
  <si>
    <t>No.74 느티나무 이식</t>
  </si>
  <si>
    <t>1450</t>
  </si>
  <si>
    <t>No.16 전나무 제거</t>
  </si>
  <si>
    <t>No.57  스트로브잣나무 이식</t>
  </si>
  <si>
    <t>HW0122</t>
  </si>
  <si>
    <t>No.224  붙임몰탈</t>
  </si>
  <si>
    <t xml:space="preserve">   목교</t>
  </si>
  <si>
    <t>B10∼17(R12∼20)</t>
  </si>
  <si>
    <t>No.114</t>
  </si>
  <si>
    <t>NT205-30</t>
  </si>
  <si>
    <t>No.215 식재(흉고/근원경)</t>
  </si>
  <si>
    <t>가정/23912350/</t>
  </si>
  <si>
    <t>No.249  유로폼</t>
  </si>
  <si>
    <t>1330</t>
  </si>
  <si>
    <t>규 격</t>
  </si>
  <si>
    <t xml:space="preserve">   2. 시설물공</t>
  </si>
  <si>
    <t>No.14</t>
  </si>
  <si>
    <t>M2508003</t>
  </si>
  <si>
    <t>B16(R20~22)</t>
  </si>
  <si>
    <t>M2520006</t>
  </si>
  <si>
    <t>E0021040050</t>
  </si>
  <si>
    <t>139</t>
  </si>
  <si>
    <t>H4.0xR15</t>
  </si>
  <si>
    <t xml:space="preserve"> Q = 3600*SQ*K*F*E / CM = ?'M3/HR'</t>
  </si>
  <si>
    <t>KSM6020, 2종</t>
  </si>
  <si>
    <t>MS-062</t>
  </si>
  <si>
    <t>MP-T60</t>
  </si>
  <si>
    <t>HP016</t>
  </si>
  <si>
    <t xml:space="preserve">   계단D</t>
  </si>
  <si>
    <t xml:space="preserve">67_1_1 = </t>
  </si>
  <si>
    <t>380</t>
  </si>
  <si>
    <t>N0180-242</t>
  </si>
  <si>
    <t>QLINCD</t>
  </si>
  <si>
    <t>M25200015</t>
  </si>
  <si>
    <t>자재</t>
  </si>
  <si>
    <t>각재</t>
  </si>
  <si>
    <t>No.119  꽃사과</t>
  </si>
  <si>
    <t xml:space="preserve">%                                                                                                   </t>
  </si>
  <si>
    <t>HP018</t>
  </si>
  <si>
    <t>2150</t>
  </si>
  <si>
    <t>조경적산기준,표6.5-7</t>
  </si>
  <si>
    <t>MT-58</t>
  </si>
  <si>
    <t>R50~60</t>
  </si>
  <si>
    <t>조</t>
  </si>
  <si>
    <t>MS-124</t>
  </si>
  <si>
    <t xml:space="preserve">272,390 천원  </t>
  </si>
  <si>
    <t>No.118 계수나무</t>
  </si>
  <si>
    <t>재료비의</t>
  </si>
  <si>
    <t>No.43 이팝나무 제거</t>
  </si>
  <si>
    <t>No.64 주목 이식</t>
  </si>
  <si>
    <t xml:space="preserve">   잡재료 및 소모재료</t>
  </si>
  <si>
    <t>M2520008</t>
  </si>
  <si>
    <t>No.154</t>
  </si>
  <si>
    <t>N6077-24</t>
  </si>
  <si>
    <t>No.68  주목 이식</t>
  </si>
  <si>
    <t>'경    비 :'~E0002010060.E~ / Q * 0.9 = ?EQ+</t>
  </si>
  <si>
    <t>1410</t>
  </si>
  <si>
    <t>M249000C</t>
  </si>
  <si>
    <t>No.217  관목군식</t>
  </si>
  <si>
    <t>HX0035</t>
  </si>
  <si>
    <t>플레이트 콤팩터</t>
  </si>
  <si>
    <t>No.54</t>
  </si>
  <si>
    <t>1370</t>
  </si>
  <si>
    <t>1회(자재비)</t>
  </si>
  <si>
    <t>H2.0xR4</t>
  </si>
  <si>
    <t>E0021040010</t>
  </si>
  <si>
    <t xml:space="preserve">포    </t>
  </si>
  <si>
    <t>MB-260-2</t>
  </si>
  <si>
    <t>가격정보</t>
  </si>
  <si>
    <t>QSDR2WON</t>
  </si>
  <si>
    <t>어닝</t>
  </si>
  <si>
    <t>MP-T100</t>
  </si>
  <si>
    <t xml:space="preserve">   용 접 공(일 반)</t>
  </si>
  <si>
    <t>NT1100</t>
  </si>
  <si>
    <t>BH 0.6M3, 램머, 인력10%</t>
  </si>
  <si>
    <t>연식벤치</t>
  </si>
  <si>
    <t>B26(R30)</t>
  </si>
  <si>
    <t>HP056</t>
  </si>
  <si>
    <t>No.45  참나무 제거</t>
  </si>
  <si>
    <t>No.255 굴취(근원/흉고경)</t>
  </si>
  <si>
    <t>2190</t>
  </si>
  <si>
    <t>No.171</t>
  </si>
  <si>
    <t>물자/136/</t>
  </si>
  <si>
    <t>294x200x8x12</t>
  </si>
  <si>
    <t>No.257 굴취(근원/흉고경)</t>
  </si>
  <si>
    <t xml:space="preserve">493,239 천원  </t>
  </si>
  <si>
    <t>400x500x600,4목</t>
  </si>
  <si>
    <t>460</t>
  </si>
  <si>
    <t>NT0819</t>
  </si>
  <si>
    <t>No.193  벌목 및 제근</t>
  </si>
  <si>
    <t>No.176 계류</t>
  </si>
  <si>
    <t>56900017101</t>
  </si>
  <si>
    <t>No.72  느티나무 이식</t>
  </si>
  <si>
    <t>No.186  포장경계석(직선)</t>
  </si>
  <si>
    <t>No.41 은행나무 제거</t>
  </si>
  <si>
    <t>ma=ma(20,0,40)/12_x000D_
la=la(20,0,40)/12_x000D_
eq=eq(20,0,40)/12</t>
  </si>
  <si>
    <t>No.185 녹지경계석(곡선)</t>
  </si>
  <si>
    <t>No.188 경계엣지</t>
  </si>
  <si>
    <t>M2369520</t>
  </si>
  <si>
    <t>91400347001</t>
  </si>
  <si>
    <t>#20, (0.9㎜)</t>
  </si>
  <si>
    <t>가정/23754300/</t>
  </si>
  <si>
    <t>QH33</t>
  </si>
  <si>
    <t>L051</t>
  </si>
  <si>
    <t>M-TP-32</t>
  </si>
  <si>
    <t>No.94</t>
  </si>
  <si>
    <t>200g/㎡</t>
  </si>
  <si>
    <t>꽃무릇</t>
  </si>
  <si>
    <t xml:space="preserve">   호박돌</t>
  </si>
  <si>
    <t>NP0480-24</t>
  </si>
  <si>
    <t xml:space="preserve">         터파기(백호우0.6M3 90%):M3</t>
  </si>
  <si>
    <t>No.205  수목이식</t>
  </si>
  <si>
    <t xml:space="preserve">E = </t>
  </si>
  <si>
    <t>NP0516</t>
  </si>
  <si>
    <t>토목 Type-1, 1-1</t>
  </si>
  <si>
    <t>H10.0xR26</t>
  </si>
  <si>
    <t xml:space="preserve">   기계경비</t>
  </si>
  <si>
    <t>9</t>
  </si>
  <si>
    <t>H1.0x3가지</t>
  </si>
  <si>
    <t>NP0440-24</t>
  </si>
  <si>
    <t>24273350</t>
  </si>
  <si>
    <t>HW0109</t>
  </si>
  <si>
    <t xml:space="preserve">N = </t>
  </si>
  <si>
    <t>No.240  목재데크틀설치</t>
  </si>
  <si>
    <t>300</t>
  </si>
  <si>
    <t>No.149 맥문동</t>
  </si>
  <si>
    <t xml:space="preserve">   일당 4주</t>
  </si>
  <si>
    <t>No.71</t>
  </si>
  <si>
    <t>#1 폐기물집적 및 상차</t>
  </si>
  <si>
    <t>촉지도안내판</t>
  </si>
  <si>
    <t>420</t>
  </si>
  <si>
    <t>MS-1007</t>
  </si>
  <si>
    <t xml:space="preserve">   물탱크(살수차)</t>
  </si>
  <si>
    <t>No.59  스트로브잣나무 이식</t>
  </si>
  <si>
    <t>HX0050</t>
  </si>
  <si>
    <t xml:space="preserve">   크레인(타이어)</t>
  </si>
  <si>
    <t>물자/53/</t>
  </si>
  <si>
    <t xml:space="preserve">   화강석디딤석</t>
  </si>
  <si>
    <t>No.131</t>
  </si>
  <si>
    <t>1490</t>
  </si>
  <si>
    <t xml:space="preserve">   마사토포장</t>
  </si>
  <si>
    <t>규        격</t>
  </si>
  <si>
    <t>M2371008</t>
  </si>
  <si>
    <t>M2369560</t>
  </si>
  <si>
    <t>7</t>
  </si>
  <si>
    <t>QLINC2</t>
  </si>
  <si>
    <t>No.163 계단A</t>
  </si>
  <si>
    <t>MT-1182G</t>
  </si>
  <si>
    <t>H1.0xW0.3</t>
  </si>
  <si>
    <t>재료비계금액소숫점</t>
  </si>
  <si>
    <t xml:space="preserve">        '터파기(백호우0.6M3 90%):M3  '</t>
  </si>
  <si>
    <t xml:space="preserve">   유로폼</t>
  </si>
  <si>
    <t>2655</t>
  </si>
  <si>
    <t>HT4981</t>
  </si>
  <si>
    <t>2. 시설물공</t>
  </si>
  <si>
    <t>951</t>
  </si>
  <si>
    <t>HP033</t>
  </si>
  <si>
    <t xml:space="preserve">ℓ    </t>
  </si>
  <si>
    <t>27</t>
  </si>
  <si>
    <t>No.31</t>
  </si>
  <si>
    <t>340</t>
  </si>
  <si>
    <t xml:space="preserve"> B25~34(R30∼41)</t>
  </si>
  <si>
    <t>No.166 계단D</t>
  </si>
  <si>
    <t>MTP-010</t>
  </si>
  <si>
    <t>2060</t>
  </si>
  <si>
    <t>8cm(2-3분얼)</t>
  </si>
  <si>
    <t xml:space="preserve"> ◈ 원지반다짐 (P.C 1.5TON,6회) : ㎡당</t>
  </si>
  <si>
    <t>No.194 벌목 및 제근</t>
  </si>
  <si>
    <t>No.62</t>
  </si>
  <si>
    <t>QDECPEQ</t>
  </si>
  <si>
    <t>N1010</t>
  </si>
  <si>
    <t>313</t>
  </si>
  <si>
    <t>590</t>
  </si>
  <si>
    <t>적용방법</t>
  </si>
  <si>
    <t>L042</t>
  </si>
  <si>
    <t>MB-0108</t>
  </si>
  <si>
    <t>'노무비:'~E0013050007.L~ / {Q} =?LA+</t>
  </si>
  <si>
    <t>일반기계운전사</t>
  </si>
  <si>
    <t>No.251 보차도 및 도로경계블럭 설치</t>
  </si>
  <si>
    <t>HP060</t>
  </si>
  <si>
    <t>물정/311/</t>
  </si>
  <si>
    <t>Type-1</t>
  </si>
  <si>
    <t>No.51  소나무 이식</t>
  </si>
  <si>
    <t>No.87</t>
  </si>
  <si>
    <t>보차도용콘크리트블록</t>
  </si>
  <si>
    <t>1520</t>
  </si>
  <si>
    <t>횃대</t>
  </si>
  <si>
    <t>HW7051</t>
  </si>
  <si>
    <t>No.137  산수국</t>
  </si>
  <si>
    <t>No.106  왕벚나무 이식</t>
  </si>
  <si>
    <t>40kg/대</t>
  </si>
  <si>
    <t>1240</t>
  </si>
  <si>
    <t>셋트앵커(STS)</t>
  </si>
  <si>
    <t>No.123  산딸나무</t>
  </si>
  <si>
    <t>MA=MA(20,0,30)/0.4_x000D_
LA=LA(20,0,30)/0.4_x000D_
EQ=EQ(20,0,30)/0.4</t>
  </si>
  <si>
    <t xml:space="preserve">   비비추</t>
  </si>
  <si>
    <t>No.187</t>
  </si>
  <si>
    <t>No.250  보차도 및 도로경계블럭 설치</t>
  </si>
  <si>
    <t xml:space="preserve">155_2_1+ = </t>
  </si>
  <si>
    <t>N0180-24</t>
  </si>
  <si>
    <t>잔디</t>
  </si>
  <si>
    <t>No.15 전나무 제거</t>
  </si>
  <si>
    <t>No.162</t>
  </si>
  <si>
    <t xml:space="preserve">   콘크리트공</t>
  </si>
  <si>
    <t xml:space="preserve">   보통시멘트</t>
  </si>
  <si>
    <t>NT1030</t>
  </si>
  <si>
    <t>No.218  관목군식</t>
  </si>
  <si>
    <t>No.137 산수국</t>
  </si>
  <si>
    <t>H0.8~1.1</t>
  </si>
  <si>
    <t>No.4 스트로브잣나무 제거</t>
  </si>
  <si>
    <t>2020</t>
  </si>
  <si>
    <t xml:space="preserve">   목재덱</t>
  </si>
  <si>
    <t>'3. 인력포설(10%)'</t>
  </si>
  <si>
    <t>No.139  삼색조팝나무</t>
  </si>
  <si>
    <t>No.22</t>
  </si>
  <si>
    <t>유물/거래56/</t>
  </si>
  <si>
    <t>QDECCLA</t>
  </si>
  <si>
    <t>E0002110060</t>
  </si>
  <si>
    <t>G17300015</t>
  </si>
  <si>
    <t>NP0545</t>
  </si>
  <si>
    <t>R30이상 시공</t>
  </si>
  <si>
    <t>1560</t>
  </si>
  <si>
    <t>노임할증계수(일반구간:주간)</t>
  </si>
  <si>
    <t>BH0.6m3</t>
  </si>
  <si>
    <t>1433x1349x1917</t>
  </si>
  <si>
    <t>MT-60</t>
  </si>
  <si>
    <t>HP020</t>
  </si>
  <si>
    <t>M2373010</t>
  </si>
  <si>
    <t>체가름 제외</t>
  </si>
  <si>
    <t>No.189</t>
  </si>
  <si>
    <t xml:space="preserve">37_1_6 = </t>
  </si>
  <si>
    <t>(SANG + JUNG + int(KWAN/3))*10^-4</t>
  </si>
  <si>
    <t>MB-0106</t>
  </si>
  <si>
    <t>No.261 합판거푸집</t>
  </si>
  <si>
    <t>노무비의%</t>
  </si>
  <si>
    <t>No.89</t>
  </si>
  <si>
    <t>No.219 관목군식</t>
  </si>
  <si>
    <t>1200</t>
  </si>
  <si>
    <t>No.210  수목이식</t>
  </si>
  <si>
    <t>H13.0xW6.0xR60</t>
  </si>
  <si>
    <t>크로스컨트리</t>
  </si>
  <si>
    <t xml:space="preserve">   일당 63M3</t>
  </si>
  <si>
    <t>No.190 벌목 및 제근</t>
  </si>
  <si>
    <t xml:space="preserve">   엑셀 수식이 적용됩니다. (단축키 F9 키) </t>
  </si>
  <si>
    <t>4000x3600x2600</t>
  </si>
  <si>
    <t>HW0114</t>
  </si>
  <si>
    <t>No.265  유로폼(자재)</t>
  </si>
  <si>
    <t>꽂이형</t>
  </si>
  <si>
    <t>HX0043</t>
  </si>
  <si>
    <t>NT1070</t>
  </si>
  <si>
    <t xml:space="preserve">    Q = (1000*V*W*D*E)*f/N =? '㎥/HR'</t>
  </si>
  <si>
    <t>No.122</t>
  </si>
  <si>
    <t>M05460G9</t>
  </si>
  <si>
    <t>No.55  소나무 이식</t>
  </si>
  <si>
    <t>석    공</t>
  </si>
  <si>
    <t>HP005</t>
  </si>
  <si>
    <t>크레인(타이어)   50 TON</t>
  </si>
  <si>
    <t>No.254 식재(흉고/근원경)</t>
  </si>
  <si>
    <t>510</t>
  </si>
  <si>
    <t>No.234 부직포깔기</t>
  </si>
  <si>
    <t>No.89 백목련 이식</t>
  </si>
  <si>
    <t>No.157 쥐방울덩쿨</t>
  </si>
  <si>
    <t>H형강 밴딩</t>
  </si>
  <si>
    <t>N0201-24</t>
  </si>
  <si>
    <t xml:space="preserve">37_1_6+ = </t>
  </si>
  <si>
    <t xml:space="preserve">19_1_1 = </t>
  </si>
  <si>
    <t>단가</t>
  </si>
  <si>
    <t>NT0821</t>
  </si>
  <si>
    <t>3치포트</t>
  </si>
  <si>
    <t>HX0028</t>
  </si>
  <si>
    <t>물정/390/</t>
  </si>
  <si>
    <t>일반공사 직종</t>
  </si>
  <si>
    <t>No.79  당단풍 이식</t>
  </si>
  <si>
    <t>No.172  목교</t>
  </si>
  <si>
    <t xml:space="preserve">E1 = </t>
  </si>
  <si>
    <t>No.120  느티나무</t>
  </si>
  <si>
    <t>단    가</t>
  </si>
  <si>
    <t xml:space="preserve">           EQ=la(10,0,20)*2/100</t>
  </si>
  <si>
    <t>No.149</t>
  </si>
  <si>
    <t>No.107</t>
  </si>
  <si>
    <t>철    공</t>
  </si>
  <si>
    <t>No.49</t>
  </si>
  <si>
    <t>No.28 버드나무 제거</t>
  </si>
  <si>
    <t>HX0066</t>
  </si>
  <si>
    <t>HP056-1</t>
  </si>
  <si>
    <t>4-1-3 초화류식재</t>
  </si>
  <si>
    <t>침투성 오일도료</t>
  </si>
  <si>
    <t xml:space="preserve">EQ = </t>
  </si>
  <si>
    <t>HW0131</t>
  </si>
  <si>
    <t>가정/23372678/</t>
  </si>
  <si>
    <t xml:space="preserve">m2    </t>
  </si>
  <si>
    <t>338</t>
  </si>
  <si>
    <t>HT2115-30</t>
  </si>
  <si>
    <t>1646x780x1917</t>
  </si>
  <si>
    <t>H9.0xR36</t>
  </si>
  <si>
    <t>270</t>
  </si>
  <si>
    <t xml:space="preserve">  소계</t>
  </si>
  <si>
    <t xml:space="preserve"> 2. 포설(기계BH0.6㎥,90%)</t>
  </si>
  <si>
    <t>No.6 스트로브잣나무 제거</t>
  </si>
  <si>
    <t>H5.0xR20</t>
  </si>
  <si>
    <t>ma=ma(20,0,40)/10_x000D_
la=la(20,0,40)/10_x000D_
eq=eq(20,0,40)/10</t>
  </si>
  <si>
    <t>550</t>
  </si>
  <si>
    <t>No.257  굴취(근원/흉고경)</t>
  </si>
  <si>
    <t>No.122  매화나무</t>
  </si>
  <si>
    <t>HP045</t>
  </si>
  <si>
    <t>진동 롤러 (핸드가이드식)   0.7 톤</t>
  </si>
  <si>
    <t>진동 롤러 (핸드가이드식)</t>
  </si>
  <si>
    <t>QUS2WON2</t>
  </si>
  <si>
    <t>H3.5xR15</t>
  </si>
  <si>
    <t xml:space="preserve">&gt;&gt;&gt;LA = </t>
  </si>
  <si>
    <t xml:space="preserve">㎡    </t>
  </si>
  <si>
    <t>No.109</t>
  </si>
  <si>
    <t>2~3분얼x8cm</t>
  </si>
  <si>
    <t>No.260  굴취(근원/흉고경)</t>
  </si>
  <si>
    <t>M2369410</t>
  </si>
  <si>
    <t>No.47</t>
  </si>
  <si>
    <t>1280</t>
  </si>
  <si>
    <t>24416280</t>
  </si>
  <si>
    <t>' 재료비 :'~E0002010060.M~ / Q * 0.9 = ?MA+</t>
  </si>
  <si>
    <t>HX0026</t>
  </si>
  <si>
    <t>NT1015</t>
  </si>
  <si>
    <t>유물/61/</t>
  </si>
  <si>
    <t>H7.0xR22</t>
  </si>
  <si>
    <t>조팝나무</t>
  </si>
  <si>
    <t>B12(R14~15)</t>
  </si>
  <si>
    <t xml:space="preserve">   철근현장조립</t>
  </si>
  <si>
    <t>No.14  전나무 제거</t>
  </si>
  <si>
    <t>포</t>
  </si>
  <si>
    <t>No.147</t>
  </si>
  <si>
    <t>230</t>
  </si>
  <si>
    <t>HT3300</t>
  </si>
  <si>
    <t>디자인형휀스</t>
  </si>
  <si>
    <t xml:space="preserve">   붓꽃</t>
  </si>
  <si>
    <t>H2.5xW1.2</t>
  </si>
  <si>
    <t>56900017137</t>
  </si>
  <si>
    <t>M2373715</t>
  </si>
  <si>
    <t>No.118  계수나무</t>
  </si>
  <si>
    <t>MB-0001-2</t>
  </si>
  <si>
    <t>No.132  피라칸사스</t>
  </si>
  <si>
    <t>하차비</t>
  </si>
  <si>
    <t>H6.0xR40</t>
  </si>
  <si>
    <t>구)운전사(운반차)</t>
  </si>
  <si>
    <t>관급자재</t>
  </si>
  <si>
    <t xml:space="preserve">   일당 200주</t>
  </si>
  <si>
    <t>4치포트</t>
  </si>
  <si>
    <t>No.1  소나무 제거</t>
  </si>
  <si>
    <t>No.135  박태기나무</t>
  </si>
  <si>
    <t xml:space="preserve">   매화나무</t>
  </si>
  <si>
    <t>NT0825</t>
  </si>
  <si>
    <t>No.159 잔디(평떼) 식재</t>
  </si>
  <si>
    <t xml:space="preserve">   내부코너패널</t>
  </si>
  <si>
    <t>&gt;&gt;      ' 합계      : '</t>
  </si>
  <si>
    <t>600</t>
  </si>
  <si>
    <t>구)건설기계운전기사</t>
  </si>
  <si>
    <t xml:space="preserve">   굴삭기(무한궤도)</t>
  </si>
  <si>
    <t>No.235 조경블럭쌓기(본체)</t>
  </si>
  <si>
    <t>오일</t>
  </si>
  <si>
    <t>15</t>
  </si>
  <si>
    <t>물정/504/</t>
  </si>
  <si>
    <t>B22(R27)</t>
  </si>
  <si>
    <t>No.75 느티나무 이식</t>
  </si>
  <si>
    <t>No.46 참나무 제거</t>
  </si>
  <si>
    <t xml:space="preserve">42_1_1 = </t>
  </si>
  <si>
    <t xml:space="preserve">본    </t>
  </si>
  <si>
    <t>HP001</t>
  </si>
  <si>
    <t>NS00700</t>
  </si>
  <si>
    <t>No.40  은행나무 제거</t>
  </si>
  <si>
    <t>No.203  벌목 및 제근</t>
  </si>
  <si>
    <t>㎏</t>
  </si>
  <si>
    <t>21009595</t>
  </si>
  <si>
    <t xml:space="preserve"> ' 경  비 :'~E0017300015.E~ / Q  = ?EQ+</t>
  </si>
  <si>
    <t>No.120 느티나무</t>
  </si>
  <si>
    <t xml:space="preserve">   전체 합계</t>
  </si>
  <si>
    <t xml:space="preserve">   레미콘</t>
  </si>
  <si>
    <t>포 설 공</t>
  </si>
  <si>
    <t>No.48 금송 이식</t>
  </si>
  <si>
    <t>R8~9</t>
  </si>
  <si>
    <t>굴삭기(타이어)   0.6 M3</t>
  </si>
  <si>
    <t>185</t>
  </si>
  <si>
    <t>H14.0xW6.0xR44</t>
  </si>
  <si>
    <t>No.103</t>
  </si>
  <si>
    <t>160</t>
  </si>
  <si>
    <t>양호</t>
  </si>
  <si>
    <t>HX0062</t>
  </si>
  <si>
    <t>L088</t>
  </si>
  <si>
    <t>모닝라이트억새</t>
  </si>
  <si>
    <t>남천</t>
  </si>
  <si>
    <t>L086</t>
  </si>
  <si>
    <t xml:space="preserve">F = </t>
  </si>
  <si>
    <t>2533</t>
  </si>
  <si>
    <t>No.135 박태기나무</t>
  </si>
  <si>
    <t>No.222 레미콘타설</t>
  </si>
  <si>
    <t>No.140  수수꽃다리</t>
  </si>
  <si>
    <t>No.23  당단풍나무 제거</t>
  </si>
  <si>
    <t xml:space="preserve">   관목군식</t>
  </si>
  <si>
    <t>No.43</t>
  </si>
  <si>
    <t xml:space="preserve">   일당 7주</t>
  </si>
  <si>
    <t>No.177  경관석A</t>
  </si>
  <si>
    <t>수량</t>
  </si>
  <si>
    <t xml:space="preserve">  '경  비:' ~E0017300015.E~ / Q =?EQ</t>
  </si>
  <si>
    <t>HP041</t>
  </si>
  <si>
    <t>H7.0xW3.5</t>
  </si>
  <si>
    <t>55</t>
  </si>
  <si>
    <t>노임할증계수(해상장비:주야간)</t>
  </si>
  <si>
    <t>1190</t>
  </si>
  <si>
    <t>No.32  버드나무 제거</t>
  </si>
  <si>
    <t>HT4810</t>
  </si>
  <si>
    <t>HT2234-R12</t>
  </si>
  <si>
    <t>M-Z-2101</t>
  </si>
  <si>
    <t>QEQTY3</t>
  </si>
  <si>
    <t>HT2290-20</t>
  </si>
  <si>
    <t>m</t>
  </si>
  <si>
    <t>No.143</t>
  </si>
  <si>
    <t>MP-2080</t>
  </si>
  <si>
    <t>HX0022</t>
  </si>
  <si>
    <t>kg</t>
  </si>
  <si>
    <t>No.71 느티나무 이식</t>
  </si>
  <si>
    <t>M2114010</t>
  </si>
  <si>
    <t>120</t>
  </si>
  <si>
    <t xml:space="preserve">   잔디수로</t>
  </si>
  <si>
    <t xml:space="preserve">      eq = la(50,0,80)*0.03</t>
  </si>
  <si>
    <t>GS1000</t>
  </si>
  <si>
    <t>No.40 은행나무 제거</t>
  </si>
  <si>
    <t xml:space="preserve">인    </t>
  </si>
  <si>
    <t>No.247  보도용블럭설치(소형)</t>
  </si>
  <si>
    <t xml:space="preserve">37_1_1+ = </t>
  </si>
  <si>
    <t>환율(마르크화)</t>
  </si>
  <si>
    <t>70</t>
  </si>
  <si>
    <t>MB-250-2</t>
  </si>
  <si>
    <t>HP064</t>
  </si>
  <si>
    <t>No.217 관목군식</t>
  </si>
  <si>
    <t>No.83</t>
  </si>
  <si>
    <t xml:space="preserve">낙찰율                                  </t>
  </si>
  <si>
    <t>6T</t>
  </si>
  <si>
    <t>No.149  맥문동</t>
  </si>
  <si>
    <t>24273347</t>
  </si>
  <si>
    <t>NP0475-24</t>
  </si>
  <si>
    <t>HX0049</t>
  </si>
  <si>
    <t>#2 터파기 | BH 0.6M3, 인력10%|m3</t>
  </si>
  <si>
    <t>No.66</t>
  </si>
  <si>
    <t>No.128</t>
  </si>
  <si>
    <t>1630</t>
  </si>
  <si>
    <t xml:space="preserve">   폐기물집적 및 상차</t>
  </si>
  <si>
    <t>B14(R17~18)</t>
  </si>
  <si>
    <t xml:space="preserve">157_1_1+ = </t>
  </si>
  <si>
    <t>95</t>
  </si>
  <si>
    <t>N0860</t>
  </si>
  <si>
    <t>QEINC3</t>
  </si>
  <si>
    <t>#5 원지반 다짐 | P.C 1.5ton 3회|m2</t>
  </si>
  <si>
    <t>No.154 수선화</t>
  </si>
  <si>
    <t>No.162  전망스탠드</t>
  </si>
  <si>
    <t>No.176  계류</t>
  </si>
  <si>
    <t>No.166</t>
  </si>
  <si>
    <t>No.28</t>
  </si>
  <si>
    <t>No.231 석재판붙임</t>
  </si>
  <si>
    <t>견적단가</t>
  </si>
  <si>
    <t>ma=ma(20,0,30)/150_x000D_
la=la(20,0,30)/150_x000D_
eq=eq(20,0,30)/150</t>
  </si>
  <si>
    <t>1150</t>
  </si>
  <si>
    <t xml:space="preserve">    Q = 3600 * q * f * K * E / Cm = ?</t>
  </si>
  <si>
    <t>No.21  감나무 제거</t>
  </si>
  <si>
    <t>'재 료 비 :'~E0002010060.M~ / Q * 0.9 = ?MA+</t>
  </si>
  <si>
    <t xml:space="preserve">   플레이트</t>
  </si>
  <si>
    <t>H10.0xW5.0xR36</t>
  </si>
  <si>
    <t>L008</t>
  </si>
  <si>
    <t>HW0018</t>
  </si>
  <si>
    <t>No.183</t>
  </si>
  <si>
    <t>원지반 다짐</t>
  </si>
  <si>
    <t>H810xL15.0m</t>
  </si>
  <si>
    <t>350미만, 직선, A-Type</t>
  </si>
  <si>
    <t>MP-2040</t>
  </si>
  <si>
    <t>M2376012</t>
  </si>
  <si>
    <t xml:space="preserve">   워밍암</t>
  </si>
  <si>
    <t>HW0016</t>
  </si>
  <si>
    <t>걸이형</t>
  </si>
  <si>
    <t>HP024</t>
  </si>
  <si>
    <t xml:space="preserve">   철선</t>
  </si>
  <si>
    <t>벌근, 굴취품보통인부적용</t>
  </si>
  <si>
    <t>'4. 다짐(진동롤러 핸드가드식 0.7TON)'</t>
  </si>
  <si>
    <t>H3.5xB6</t>
  </si>
  <si>
    <t xml:space="preserve">   일당 17주</t>
  </si>
  <si>
    <t>거래71</t>
  </si>
  <si>
    <t>NT0763</t>
  </si>
  <si>
    <t>30</t>
  </si>
  <si>
    <t>56900017118</t>
  </si>
  <si>
    <t>조형휴게데크</t>
  </si>
  <si>
    <t>5500 L</t>
  </si>
  <si>
    <t>1670</t>
  </si>
  <si>
    <t>4-2-3 식재(군식)</t>
  </si>
  <si>
    <t>HT54907</t>
  </si>
  <si>
    <t xml:space="preserve">67_1_2 = </t>
  </si>
  <si>
    <t>No.103  왕벚나무 이식</t>
  </si>
  <si>
    <t>NT0800</t>
  </si>
  <si>
    <t>No.168</t>
  </si>
  <si>
    <t xml:space="preserve">    eq = la(20,0,30)*0.02_x000D_
</t>
  </si>
  <si>
    <t>No.26</t>
  </si>
  <si>
    <t>1110</t>
  </si>
  <si>
    <t>24273349</t>
  </si>
  <si>
    <t>HX0047</t>
  </si>
  <si>
    <t>고장력볼트</t>
  </si>
  <si>
    <t>No.160  통기관</t>
  </si>
  <si>
    <t>No.126</t>
  </si>
  <si>
    <t>No.68</t>
  </si>
  <si>
    <t>수크령</t>
  </si>
  <si>
    <t>재료비</t>
  </si>
  <si>
    <t>강모래,세사</t>
  </si>
  <si>
    <t>개</t>
  </si>
  <si>
    <t>유물407</t>
  </si>
  <si>
    <t xml:space="preserve">106_1_1+ = </t>
  </si>
  <si>
    <t>HW0110</t>
  </si>
  <si>
    <t>No.224 붙임몰탈</t>
  </si>
  <si>
    <t>145</t>
  </si>
  <si>
    <t>T100,설치도</t>
  </si>
  <si>
    <t>1815</t>
  </si>
  <si>
    <t>수목명찰</t>
  </si>
  <si>
    <t xml:space="preserve">   광명단 조합페인트</t>
  </si>
  <si>
    <t>No.228  합판거푸집</t>
  </si>
  <si>
    <t xml:space="preserve">   모닝라이트억새</t>
  </si>
  <si>
    <t>No.125  왕벚나무</t>
  </si>
  <si>
    <t>B4(R4)이하</t>
  </si>
  <si>
    <t>T</t>
  </si>
  <si>
    <t>M2369005</t>
  </si>
  <si>
    <t>QUS2WON</t>
  </si>
  <si>
    <t>No.178  경관석B</t>
  </si>
  <si>
    <t>레그프레스</t>
  </si>
  <si>
    <t>H4.0xB12</t>
  </si>
  <si>
    <t xml:space="preserve">14_1_5+ = </t>
  </si>
  <si>
    <t>No.173 잔디수로</t>
  </si>
  <si>
    <t>No.236 터파기</t>
  </si>
  <si>
    <t>No.37  아까시나무 제거</t>
  </si>
  <si>
    <t>가정/24273345/</t>
  </si>
  <si>
    <t>'재료비:'~E0013050007.M~ / {Q} =?MA+</t>
  </si>
  <si>
    <t>물자/326/</t>
  </si>
  <si>
    <t xml:space="preserve">   레인가든</t>
  </si>
  <si>
    <t>HP047</t>
  </si>
  <si>
    <t>1970</t>
  </si>
  <si>
    <t>53</t>
  </si>
  <si>
    <t>No.25  백목련 제거</t>
  </si>
  <si>
    <t>개소</t>
  </si>
  <si>
    <t>No.45</t>
  </si>
  <si>
    <t>품의 3%</t>
  </si>
  <si>
    <t>56900017033</t>
  </si>
  <si>
    <t xml:space="preserve">   산수국</t>
  </si>
  <si>
    <t>M0654029</t>
  </si>
  <si>
    <t>No.112  이팝나무 이식</t>
  </si>
  <si>
    <t>No.206  수목이식</t>
  </si>
  <si>
    <t>1090</t>
  </si>
  <si>
    <t>25101118</t>
  </si>
  <si>
    <t>No.110  은행나무 이식</t>
  </si>
  <si>
    <t>Ø55x1800x3</t>
  </si>
  <si>
    <t>No.85  당단풍 이식</t>
  </si>
  <si>
    <t>라벤더</t>
  </si>
  <si>
    <t>No.33 버드나무 제거</t>
  </si>
  <si>
    <t>개화구</t>
  </si>
  <si>
    <t>0.54%</t>
  </si>
  <si>
    <t>4-3-5 식재(흉고직경)</t>
  </si>
  <si>
    <t>No.181 마사토 포장</t>
  </si>
  <si>
    <t xml:space="preserve">F+ = </t>
  </si>
  <si>
    <t>H7.0xR20</t>
  </si>
  <si>
    <t>No.145</t>
  </si>
  <si>
    <t>HX0024</t>
  </si>
  <si>
    <t>HP009</t>
  </si>
  <si>
    <t>H2.5xW1.0</t>
  </si>
  <si>
    <t xml:space="preserve">177,785 천원  </t>
  </si>
  <si>
    <t>세이지</t>
  </si>
  <si>
    <t>E0002010040</t>
  </si>
  <si>
    <t>No.5 스트로브잣나무 제거</t>
  </si>
  <si>
    <t xml:space="preserve">   * 경계마감재 설치</t>
  </si>
  <si>
    <t>No.109  왕벚나무 이식</t>
  </si>
  <si>
    <t>23505419</t>
  </si>
  <si>
    <t>L025</t>
  </si>
  <si>
    <t>HP007</t>
  </si>
  <si>
    <t>가정/24587081/</t>
  </si>
  <si>
    <t>H5.0xW3.0xR25</t>
  </si>
  <si>
    <t>G_N</t>
  </si>
  <si>
    <t>NT0740</t>
  </si>
  <si>
    <t>계수나무</t>
  </si>
  <si>
    <t xml:space="preserve">   소   계</t>
  </si>
  <si>
    <t>No.6  스트로브잣나무 제거</t>
  </si>
  <si>
    <t xml:space="preserve">   억새모닝라이트</t>
  </si>
  <si>
    <t>D120x800, 이동식</t>
  </si>
  <si>
    <t>*</t>
  </si>
  <si>
    <t>No.81  당단풍 이식</t>
  </si>
  <si>
    <t xml:space="preserve">       '재 료 비 : '~E0002010060.M~/{Q} =?MA+</t>
  </si>
  <si>
    <t>NT0823</t>
  </si>
  <si>
    <t xml:space="preserve">   트윈트위스트</t>
  </si>
  <si>
    <t>ma=ma(10,0,40)/63_x000D_
la=la(10,0,40)/63_x000D_
eq=eq(10,0,40)/63</t>
  </si>
  <si>
    <t>ma=ma(20,0,40)/17_x000D_
la=la(20,0,40)/17_x000D_
eq=eq(20,0,40)/17</t>
  </si>
  <si>
    <t xml:space="preserve">17_1_1+ = </t>
  </si>
  <si>
    <t>No.122 매화나무</t>
  </si>
  <si>
    <t>B60(R70)</t>
  </si>
  <si>
    <t>No.180 인조화강석블럭포장</t>
  </si>
  <si>
    <t xml:space="preserve">   일당 150M2</t>
  </si>
  <si>
    <t>No.54 소나무 이식</t>
  </si>
  <si>
    <t>H형강</t>
  </si>
  <si>
    <t>HP056-3</t>
  </si>
  <si>
    <t>200g/㎡, 유공관맹암거용</t>
  </si>
  <si>
    <t>H13.0xR36</t>
  </si>
  <si>
    <t>종합안내판</t>
  </si>
  <si>
    <t>HX0064</t>
  </si>
  <si>
    <t xml:space="preserve">   백철쭉</t>
  </si>
  <si>
    <t>견단/썬쉐이드/</t>
  </si>
  <si>
    <t>No.198 관목제거</t>
  </si>
  <si>
    <t xml:space="preserve">   일당 9주</t>
  </si>
  <si>
    <t>No.105</t>
  </si>
  <si>
    <t>콘크리트면</t>
  </si>
  <si>
    <t>H9.0xR34</t>
  </si>
  <si>
    <t>산철쭉</t>
  </si>
  <si>
    <t>자산홍</t>
  </si>
  <si>
    <t>HP049</t>
  </si>
  <si>
    <t>H5.0xR22</t>
  </si>
  <si>
    <t xml:space="preserve">   수목이식</t>
  </si>
  <si>
    <t>No.169  화계</t>
  </si>
  <si>
    <t xml:space="preserve">   인조잔디포장</t>
  </si>
  <si>
    <t>No.220  초화류식재</t>
  </si>
  <si>
    <t>183</t>
  </si>
  <si>
    <t>No.95 산수유 이식</t>
  </si>
  <si>
    <t>No.20</t>
  </si>
  <si>
    <t>D110x850</t>
  </si>
  <si>
    <t xml:space="preserve">   녹막이페인트칠</t>
  </si>
  <si>
    <t xml:space="preserve">SQ = </t>
  </si>
  <si>
    <t>0~1m,인력</t>
  </si>
  <si>
    <t>56900017056</t>
  </si>
  <si>
    <t>노임할증계수(터널구간:주야간)</t>
  </si>
  <si>
    <t>경비단가소숫점</t>
  </si>
  <si>
    <t>No.141 영산홍</t>
  </si>
  <si>
    <t>No.8  스트로브잣나무 제거</t>
  </si>
  <si>
    <t>1010</t>
  </si>
  <si>
    <t>환율(사용자 환율2)</t>
  </si>
  <si>
    <t>일위대가목록</t>
  </si>
  <si>
    <t>No.153 세이지</t>
  </si>
  <si>
    <t>QDECCEQ</t>
  </si>
  <si>
    <t xml:space="preserve">   경량형강 철골조 조립설치</t>
  </si>
  <si>
    <t>노임할증계수(장대터널:주간)</t>
  </si>
  <si>
    <t>HW0010</t>
  </si>
  <si>
    <t>HP022</t>
  </si>
  <si>
    <t>QCODE</t>
  </si>
  <si>
    <t>No.231  석재판붙임</t>
  </si>
  <si>
    <t>No.187 포장경계석(곡선)</t>
  </si>
  <si>
    <t>물자/607/</t>
  </si>
  <si>
    <t>3~5분얼</t>
  </si>
  <si>
    <t>No.120</t>
  </si>
  <si>
    <t>2230</t>
  </si>
  <si>
    <t xml:space="preserve">   붉은토끼풀</t>
  </si>
  <si>
    <t>NP0470-24</t>
  </si>
  <si>
    <t>No.148 리아트리스</t>
  </si>
  <si>
    <t>HX0041</t>
  </si>
  <si>
    <t>물자/306/</t>
  </si>
  <si>
    <t>M25200084</t>
  </si>
  <si>
    <t>M2439016</t>
  </si>
  <si>
    <t>No.208 수목이식</t>
  </si>
  <si>
    <t>No.7 스트로브잣나무 제거</t>
  </si>
  <si>
    <t>0.3x0.3x0.03</t>
  </si>
  <si>
    <t>지주목(삼발이중형)</t>
  </si>
  <si>
    <t>No.195  벌목 및 제근</t>
  </si>
  <si>
    <t>No.223 합판거푸집</t>
  </si>
  <si>
    <t>No.60</t>
  </si>
  <si>
    <t>6목</t>
  </si>
  <si>
    <t>No.254  식재(흉고/근원경)</t>
  </si>
  <si>
    <t>311</t>
  </si>
  <si>
    <t>592</t>
  </si>
  <si>
    <t>No.74  느티나무 이식</t>
  </si>
  <si>
    <t>QLINCY</t>
  </si>
  <si>
    <t>F/M1</t>
  </si>
  <si>
    <t xml:space="preserve">   어닝</t>
  </si>
  <si>
    <t>No.85</t>
  </si>
  <si>
    <t>HP062</t>
  </si>
  <si>
    <t>B35(R45)</t>
  </si>
  <si>
    <t>1050</t>
  </si>
  <si>
    <t>QDECPLA</t>
  </si>
  <si>
    <t>15 TON</t>
  </si>
  <si>
    <t xml:space="preserve">ton   </t>
  </si>
  <si>
    <t>MI_MGL001</t>
  </si>
  <si>
    <t xml:space="preserve">42_1_1+ = </t>
  </si>
  <si>
    <t xml:space="preserve">   일당 12주</t>
  </si>
  <si>
    <t xml:space="preserve">   전망스탠드</t>
  </si>
  <si>
    <t>2295</t>
  </si>
  <si>
    <t>No.87 밤나무 이식</t>
  </si>
  <si>
    <t>8㎜x100(150)ｍ</t>
  </si>
  <si>
    <t>W1500xH150</t>
  </si>
  <si>
    <t xml:space="preserve">   각재</t>
  </si>
  <si>
    <t>No.239 녹막이페인트칠</t>
  </si>
  <si>
    <t>M2388003</t>
  </si>
  <si>
    <t>No.67 주목 이식</t>
  </si>
  <si>
    <t xml:space="preserve">   볼라드</t>
  </si>
  <si>
    <t>NT0940</t>
  </si>
  <si>
    <t>금액계상</t>
  </si>
  <si>
    <t>No.185</t>
  </si>
  <si>
    <t>38</t>
  </si>
  <si>
    <t xml:space="preserve">122_1_1+ = </t>
  </si>
  <si>
    <t xml:space="preserve">        '재 료 비 : '~E0002010060.M~/{Q} =?MA+</t>
  </si>
  <si>
    <t>No.160</t>
  </si>
  <si>
    <t xml:space="preserve">   산수유</t>
  </si>
  <si>
    <t xml:space="preserve">   지오그리드</t>
  </si>
  <si>
    <t>재 료 비</t>
  </si>
  <si>
    <t xml:space="preserve">        '터파기(인력10%):M3  '</t>
  </si>
  <si>
    <t>2270</t>
  </si>
  <si>
    <t>No.20 가중나무 제거</t>
  </si>
  <si>
    <t>화강석, 바닥</t>
  </si>
  <si>
    <t>경비금액소숫점</t>
  </si>
  <si>
    <t xml:space="preserve">   디딤석</t>
  </si>
  <si>
    <t>HT3320-03</t>
  </si>
  <si>
    <t>103</t>
  </si>
  <si>
    <t>56900017058</t>
  </si>
  <si>
    <t>썬쉐이드</t>
  </si>
  <si>
    <t>HP026</t>
  </si>
  <si>
    <t>L004</t>
  </si>
  <si>
    <t>시간당노임산출계수(장대터널)</t>
  </si>
  <si>
    <t xml:space="preserve">14_1_2+ = </t>
  </si>
  <si>
    <t>ma=ma(10,0,60)/300_x000D_
la=la(10,0,60)/300_x000D_
eq=eq(10,0,60)/300</t>
  </si>
  <si>
    <t>No.133  회양목</t>
  </si>
  <si>
    <t>No.258 굴취(근원/흉고경)</t>
  </si>
  <si>
    <t>평떼</t>
  </si>
  <si>
    <t xml:space="preserve">   SF 콘크리트</t>
  </si>
  <si>
    <t>HT54905</t>
  </si>
  <si>
    <t>No.105 왕벚나무 이식</t>
  </si>
  <si>
    <t xml:space="preserve">   부직포</t>
  </si>
  <si>
    <t xml:space="preserve">   은사초</t>
  </si>
  <si>
    <t xml:space="preserve">   도 장 공</t>
  </si>
  <si>
    <t>No.24</t>
  </si>
  <si>
    <t>1300</t>
  </si>
  <si>
    <t>No.202 벌목 및 제근</t>
  </si>
  <si>
    <t>109</t>
  </si>
  <si>
    <t>No.124</t>
  </si>
  <si>
    <t>No.184 녹지경계석(직선)</t>
  </si>
  <si>
    <t>1460</t>
  </si>
  <si>
    <t>조경블록(마감)</t>
  </si>
  <si>
    <t xml:space="preserve">Q = </t>
  </si>
  <si>
    <t>무근,장비사용</t>
  </si>
  <si>
    <t>No.123 산딸나무</t>
  </si>
  <si>
    <t>HX0045</t>
  </si>
  <si>
    <t>ma=ma(20,0,50)/5_x000D_
la=la(20,0,50)/5_x000D_
eq=eq(20,0,50)/5</t>
  </si>
  <si>
    <t xml:space="preserve">   혼합골재부설 및 다짐</t>
  </si>
  <si>
    <t>N6055</t>
  </si>
  <si>
    <t>No.62  전나무 이식</t>
  </si>
  <si>
    <t>No.206 수목이식</t>
  </si>
  <si>
    <t>HW0112</t>
  </si>
  <si>
    <t>R8~9(B7~8)</t>
  </si>
  <si>
    <t xml:space="preserve">   이형철근</t>
  </si>
  <si>
    <t>24587097</t>
  </si>
  <si>
    <t>N1150</t>
  </si>
  <si>
    <t>No.51 소나무 이식</t>
  </si>
  <si>
    <t>MTP-103</t>
  </si>
  <si>
    <t>물자/592/</t>
  </si>
  <si>
    <t>No.71  느티나무 이식</t>
  </si>
  <si>
    <t xml:space="preserve">          ma = ma(10,0,20)*0.05</t>
  </si>
  <si>
    <t>56801007002</t>
  </si>
  <si>
    <t xml:space="preserve">   휘발유</t>
  </si>
  <si>
    <t>No.190  벌목 및 제근</t>
  </si>
  <si>
    <t>No.83 당단풍 이식</t>
  </si>
  <si>
    <t>M0012006</t>
  </si>
  <si>
    <t>No.60 스트로브잣나무 이식</t>
  </si>
  <si>
    <t>인력식 소규모 장비 사용, 150m3/일</t>
  </si>
  <si>
    <t>HP068</t>
  </si>
  <si>
    <t>크레인(타이어)   15 TON</t>
  </si>
  <si>
    <t>2120</t>
  </si>
  <si>
    <t>HP066</t>
  </si>
  <si>
    <t>No.262  철근현장가공</t>
  </si>
  <si>
    <t xml:space="preserve">160_1_1 = </t>
  </si>
  <si>
    <t xml:space="preserve">   계단C</t>
  </si>
  <si>
    <t>명    칭</t>
  </si>
  <si>
    <t>H5.0xW3.5xR12</t>
  </si>
  <si>
    <t>No.133 회양목</t>
  </si>
  <si>
    <t>No.81</t>
  </si>
  <si>
    <t>#3 잔토처리</t>
  </si>
  <si>
    <t>No.64</t>
  </si>
  <si>
    <t>24273345</t>
  </si>
  <si>
    <t xml:space="preserve">   일당 13ton</t>
  </si>
  <si>
    <t>&gt;'소계'</t>
  </si>
  <si>
    <t>1340</t>
  </si>
  <si>
    <t>등의자</t>
  </si>
  <si>
    <t xml:space="preserve">   녹화끈</t>
  </si>
  <si>
    <t>No.128  팥배나무</t>
  </si>
  <si>
    <t>315</t>
  </si>
  <si>
    <t>97</t>
  </si>
  <si>
    <t>1420</t>
  </si>
  <si>
    <t>MB-0008</t>
  </si>
  <si>
    <t>107</t>
  </si>
  <si>
    <t>1. 되메우기(기계 90%, 인력 10%)</t>
  </si>
  <si>
    <t>NT205-40</t>
  </si>
  <si>
    <t>No.233 목구조체 설치</t>
  </si>
  <si>
    <t>물정1,부189</t>
  </si>
  <si>
    <t>H2.5xR10</t>
  </si>
  <si>
    <t>'경  비:'~E0013050007.E~ / {Q} =?EQ+</t>
  </si>
  <si>
    <t xml:space="preserve">   경계엣지</t>
  </si>
  <si>
    <t>산딸나무</t>
  </si>
  <si>
    <t>바디싣업</t>
  </si>
  <si>
    <t>M0720051</t>
  </si>
  <si>
    <t>No.164</t>
  </si>
  <si>
    <t>H450~2000, L113</t>
  </si>
  <si>
    <t>No.250 보차도 및 도로경계블럭 설치</t>
  </si>
  <si>
    <t>HP028</t>
  </si>
  <si>
    <t xml:space="preserve">37_1_3 = </t>
  </si>
  <si>
    <t>No.181</t>
  </si>
  <si>
    <t>2160</t>
  </si>
  <si>
    <t>No.216  식재(흉고/근원경)</t>
  </si>
  <si>
    <t>No.179  콘크리트포장</t>
  </si>
  <si>
    <t xml:space="preserve">14_1_2 = </t>
  </si>
  <si>
    <t xml:space="preserve">71_1_1 = </t>
  </si>
  <si>
    <t xml:space="preserve">&gt;MA = </t>
  </si>
  <si>
    <t>N1110</t>
  </si>
  <si>
    <t>물자/62/</t>
  </si>
  <si>
    <t>490</t>
  </si>
  <si>
    <t>No.101 왕벚나무 이식</t>
  </si>
  <si>
    <t>No.90 백목련 이식</t>
  </si>
  <si>
    <t>No.41</t>
  </si>
  <si>
    <t>330</t>
  </si>
  <si>
    <t>No.62 전나무 이식</t>
  </si>
  <si>
    <t>.sang=714 ,jung=357, kwan=666</t>
  </si>
  <si>
    <t xml:space="preserve">105,310 천원  </t>
  </si>
  <si>
    <t>L084</t>
  </si>
  <si>
    <t xml:space="preserve">매    </t>
  </si>
  <si>
    <t>중기주야간경비산출계수</t>
  </si>
  <si>
    <t>MB-0112-1</t>
  </si>
  <si>
    <t>G21040050</t>
  </si>
  <si>
    <t xml:space="preserve">   붙임몰탈</t>
  </si>
  <si>
    <t xml:space="preserve">   일당 25주</t>
  </si>
  <si>
    <t>HP043</t>
  </si>
  <si>
    <t xml:space="preserve">106_1_1 = </t>
  </si>
  <si>
    <t xml:space="preserve">A                                                                                                   </t>
  </si>
  <si>
    <t>No.22  단풍나무 제거</t>
  </si>
  <si>
    <t>H8.0xR18</t>
  </si>
  <si>
    <t>HT3230-03</t>
  </si>
  <si>
    <t>No.136 백철쭉</t>
  </si>
  <si>
    <t>HT2139-R12</t>
  </si>
  <si>
    <t>계단부</t>
  </si>
  <si>
    <t xml:space="preserve">17_1_1 = </t>
  </si>
  <si>
    <t xml:space="preserve">   철근가공조립</t>
  </si>
  <si>
    <t>M2369510</t>
  </si>
  <si>
    <t>㎥</t>
  </si>
  <si>
    <t>No.99  왕벚나무 이식</t>
  </si>
  <si>
    <t>No.138 산철쭉</t>
  </si>
  <si>
    <t>No.177 경관석A</t>
  </si>
  <si>
    <t>No.165 계단C</t>
  </si>
  <si>
    <t>QEQTY1</t>
  </si>
  <si>
    <t>No.87  밤나무 이식</t>
  </si>
  <si>
    <t>No.249 유로폼</t>
  </si>
  <si>
    <t>HX0020</t>
  </si>
  <si>
    <t>No.109 왕벚나무 이식</t>
  </si>
  <si>
    <t>H7.0xR24</t>
  </si>
  <si>
    <t xml:space="preserve">155_2_1 = </t>
  </si>
  <si>
    <t>No.141</t>
  </si>
  <si>
    <t>No.92  산딸나무 이식</t>
  </si>
  <si>
    <t>가정//</t>
  </si>
  <si>
    <t>No.221  잔디붙임</t>
  </si>
  <si>
    <t>450</t>
  </si>
  <si>
    <t>HT5160</t>
  </si>
  <si>
    <t xml:space="preserve">   1. 재료비</t>
  </si>
  <si>
    <t xml:space="preserve">   배드민턴포스트(이동형)</t>
  </si>
  <si>
    <t>370</t>
  </si>
  <si>
    <t>No.148  리아트리스</t>
  </si>
  <si>
    <t xml:space="preserve">   팽나무</t>
  </si>
  <si>
    <t>화폐변환</t>
  </si>
  <si>
    <t>가정/24273352/</t>
  </si>
  <si>
    <t xml:space="preserve">개소  </t>
  </si>
  <si>
    <t>G21040010</t>
  </si>
  <si>
    <t>SF 콘크리트</t>
  </si>
  <si>
    <t>C01</t>
  </si>
  <si>
    <t>H8.0xR16</t>
  </si>
  <si>
    <t>MT-1181G</t>
  </si>
  <si>
    <t xml:space="preserve">조    </t>
  </si>
  <si>
    <t>No.64  주목 이식</t>
  </si>
  <si>
    <t>NS00702</t>
  </si>
  <si>
    <t>HP003</t>
  </si>
  <si>
    <t>No.147 라벤더</t>
  </si>
  <si>
    <t>2665</t>
  </si>
  <si>
    <t>㎡</t>
  </si>
  <si>
    <t>QVER</t>
  </si>
  <si>
    <t xml:space="preserve">   쇄석자갈</t>
  </si>
  <si>
    <t xml:space="preserve">MA+ = </t>
  </si>
  <si>
    <t>삼색조팝나무</t>
  </si>
  <si>
    <t xml:space="preserve">   * 관급자재대(도급자관급)</t>
  </si>
  <si>
    <t>MB-4560</t>
  </si>
  <si>
    <t>No.230  바탕만들기</t>
  </si>
  <si>
    <t xml:space="preserve">   자연자갈(서울)</t>
  </si>
  <si>
    <t>H9.0xR30</t>
  </si>
  <si>
    <t>M2369550</t>
  </si>
  <si>
    <t>558</t>
  </si>
  <si>
    <t>화강석판석</t>
  </si>
  <si>
    <t>물정/183/</t>
  </si>
  <si>
    <t>410</t>
  </si>
  <si>
    <t>HX0060</t>
  </si>
  <si>
    <t>No.10 스트로브잣나무 제거</t>
  </si>
  <si>
    <t>NT205-25</t>
  </si>
  <si>
    <t>ma=ma(20,0,45)/7_x000D_
la=la(20,0,45)/7_x000D_
eq=eq(20,0,45)/7</t>
  </si>
  <si>
    <t>L형앵커</t>
  </si>
  <si>
    <t>No.101</t>
  </si>
  <si>
    <t>No.89  백목련 이식</t>
  </si>
  <si>
    <t>전역변수</t>
  </si>
  <si>
    <t>2024.08</t>
  </si>
  <si>
    <t>1.2~1.5</t>
  </si>
  <si>
    <t>No.37 아까시나무 제거</t>
  </si>
  <si>
    <t>No.97</t>
  </si>
  <si>
    <t>No.30 버드나무 제거</t>
  </si>
  <si>
    <t>64</t>
  </si>
  <si>
    <t>용 접 공(일 반)</t>
  </si>
  <si>
    <t>중기주간경비산출계수</t>
  </si>
  <si>
    <t>1530</t>
  </si>
  <si>
    <t>매</t>
  </si>
  <si>
    <t>노임할증계수(장대터널:야간)</t>
  </si>
  <si>
    <t>2070</t>
  </si>
  <si>
    <t>H3.5xR20</t>
  </si>
  <si>
    <t>No.72</t>
  </si>
  <si>
    <t>유통물가</t>
  </si>
  <si>
    <t xml:space="preserve">   화강석판석</t>
  </si>
  <si>
    <t>NT205-18</t>
  </si>
  <si>
    <t>580</t>
  </si>
  <si>
    <t xml:space="preserve">     .eq=lA(30,0,40)*0.01</t>
  </si>
  <si>
    <t>시간당노임산출계수(해상장비:GRAB준설선)</t>
  </si>
  <si>
    <t>NT1020</t>
  </si>
  <si>
    <t>연마지</t>
  </si>
  <si>
    <t>H6.0xW3.0xR24</t>
  </si>
  <si>
    <t>거래167</t>
  </si>
  <si>
    <t>No.172</t>
  </si>
  <si>
    <t xml:space="preserve">   일당 3주</t>
  </si>
  <si>
    <t xml:space="preserve">   식재(흉고/근원경)</t>
  </si>
  <si>
    <t>서울시단가</t>
  </si>
  <si>
    <t xml:space="preserve">ma=ma(20,0,45)/9_x000D_
la=la(20,0,45)/9_x000D_
eq=eq(20,0,45)/9_x000D_
</t>
  </si>
  <si>
    <t xml:space="preserve">   *서울시설계대가</t>
  </si>
  <si>
    <t xml:space="preserve">112,684 천원  </t>
  </si>
  <si>
    <t>No.237 잔토처리</t>
  </si>
  <si>
    <t xml:space="preserve">   소모자재</t>
  </si>
  <si>
    <t>1250</t>
  </si>
  <si>
    <t>No.209 수목이식</t>
  </si>
  <si>
    <t>No.234  부직포깔기</t>
  </si>
  <si>
    <t xml:space="preserve">   휴게데크B</t>
  </si>
  <si>
    <t>R10~14(B8~12)</t>
  </si>
  <si>
    <t>56900017102</t>
  </si>
  <si>
    <t xml:space="preserve"> ' 보통인부' ~L085~  * 0.1 * 0.1 = ?la+</t>
  </si>
  <si>
    <t>1570</t>
  </si>
  <si>
    <t xml:space="preserve">   .MA=MA(10,0,10)*0.11_x000D_
</t>
  </si>
  <si>
    <t>H8.0xR25</t>
  </si>
  <si>
    <t>형    식</t>
  </si>
  <si>
    <t>No.164 계단B</t>
  </si>
  <si>
    <t>R20~29</t>
  </si>
  <si>
    <t xml:space="preserve">   바탕만들기</t>
  </si>
  <si>
    <t>HP030</t>
  </si>
  <si>
    <t>No.107  왕벚나무 이식</t>
  </si>
  <si>
    <t>A=38.0m2</t>
  </si>
  <si>
    <t>No.111 은행나무 이식</t>
  </si>
  <si>
    <t>525</t>
  </si>
  <si>
    <t>2100x2100</t>
  </si>
  <si>
    <t xml:space="preserve">   마사토 포장</t>
  </si>
  <si>
    <t>명        칭</t>
  </si>
  <si>
    <t>A=34.0m2</t>
  </si>
  <si>
    <t>No.32</t>
  </si>
  <si>
    <t>No.252  굴취(근원/흉고경)</t>
  </si>
  <si>
    <t xml:space="preserve">122_1_1 = </t>
  </si>
  <si>
    <t>2030</t>
  </si>
  <si>
    <t>QDECCMA</t>
  </si>
  <si>
    <t>600x1200mm</t>
  </si>
  <si>
    <t>플레이트</t>
  </si>
  <si>
    <t>L114</t>
  </si>
  <si>
    <t>MS-1004</t>
  </si>
  <si>
    <t>150x150x1000,곡선</t>
  </si>
  <si>
    <t>No.82  당단풍 이식</t>
  </si>
  <si>
    <t>HT2152-B12</t>
  </si>
  <si>
    <t>H16.0xR46</t>
  </si>
  <si>
    <t>No.34 버드나무 제거</t>
  </si>
  <si>
    <t>No.84 당단풍 이식</t>
  </si>
  <si>
    <t>NT1060</t>
  </si>
  <si>
    <t>#5 원지반 다짐</t>
  </si>
  <si>
    <t>No.132</t>
  </si>
  <si>
    <t>.sang=900, jung=700, kwan=679</t>
  </si>
  <si>
    <t>HX0053</t>
  </si>
  <si>
    <t>No.56 소나무 이식</t>
  </si>
  <si>
    <t>QLINC1</t>
  </si>
  <si>
    <t>No.99 왕벚나무 이식</t>
  </si>
  <si>
    <t>W500xH400</t>
  </si>
  <si>
    <t>24587081</t>
  </si>
  <si>
    <t>H5.0xR15</t>
  </si>
  <si>
    <t>NT1085</t>
  </si>
  <si>
    <t>No.99</t>
  </si>
  <si>
    <t>1. 식재공</t>
  </si>
  <si>
    <t>경사지</t>
  </si>
  <si>
    <t>1210</t>
  </si>
  <si>
    <t>#4 되메우기및다짐 | BH 0.6M3, P.C 1.5ton, 인력10%|m3</t>
  </si>
  <si>
    <t xml:space="preserve">   침투성 오일도료</t>
  </si>
  <si>
    <t xml:space="preserve">   화계</t>
  </si>
  <si>
    <t>M040</t>
  </si>
  <si>
    <t xml:space="preserve"> ' 재료비 :'~E0017300015.M~ / Q  = ?MA+</t>
  </si>
  <si>
    <t>호박돌</t>
  </si>
  <si>
    <t xml:space="preserve">   일당145m</t>
  </si>
  <si>
    <t xml:space="preserve">   꽃무릇</t>
  </si>
  <si>
    <t>No.17</t>
  </si>
  <si>
    <t>No.159</t>
  </si>
  <si>
    <t>H3.0xR13</t>
  </si>
  <si>
    <t>No.113 이팝나무 이식</t>
  </si>
  <si>
    <t>HX0038</t>
  </si>
  <si>
    <t>500</t>
  </si>
  <si>
    <t>H100</t>
  </si>
  <si>
    <t>550x450</t>
  </si>
  <si>
    <t>L</t>
  </si>
  <si>
    <t>HP015</t>
  </si>
  <si>
    <t>N0180-241</t>
  </si>
  <si>
    <t>중기사용료목록</t>
  </si>
  <si>
    <t>B8∼9(R9∼11)</t>
  </si>
  <si>
    <t>No.263 철근현장조립</t>
  </si>
  <si>
    <t>H10.0xR40</t>
  </si>
  <si>
    <t xml:space="preserve">.sang=1286,jung=857,kwan=682_x000D_
</t>
  </si>
  <si>
    <t>No.3</t>
  </si>
  <si>
    <t xml:space="preserve">   패널</t>
  </si>
  <si>
    <t xml:space="preserve">           EQ=la(10,0,30)*2/100</t>
  </si>
  <si>
    <t>260</t>
  </si>
  <si>
    <t>No.131  남천</t>
  </si>
  <si>
    <t xml:space="preserve">73_1_1 = </t>
  </si>
  <si>
    <t>H5.0xR30</t>
  </si>
  <si>
    <t xml:space="preserve">R                                                                                                   </t>
  </si>
  <si>
    <t>No.117</t>
  </si>
  <si>
    <t>화강석디딤석</t>
  </si>
  <si>
    <t>No.59</t>
  </si>
  <si>
    <t>No.4  스트로브잣나무 제거</t>
  </si>
  <si>
    <t>50 TON</t>
  </si>
  <si>
    <t xml:space="preserve"> 가. 기계(백호우 0.6㎥, 90%)</t>
  </si>
  <si>
    <t>NT1045</t>
  </si>
  <si>
    <t>가정/24429459/</t>
  </si>
  <si>
    <t xml:space="preserve">   촉지도안내판</t>
  </si>
  <si>
    <t>HW0121</t>
  </si>
  <si>
    <t xml:space="preserve">$     </t>
  </si>
  <si>
    <t>No.57</t>
  </si>
  <si>
    <t>No.119</t>
  </si>
  <si>
    <t>25-18-8</t>
  </si>
  <si>
    <t>150x900</t>
  </si>
  <si>
    <t>.sang=918 ,jung=459, kwan=680</t>
  </si>
  <si>
    <t>56900017021</t>
  </si>
  <si>
    <t>0.8~1.1</t>
  </si>
  <si>
    <t>MB-260-1</t>
  </si>
  <si>
    <t xml:space="preserve">   억새</t>
  </si>
  <si>
    <t>ma=ma(20,0,45)/4_x000D_
la=la(20,0,45)/4_x000D_
eq=eq(20,0,45)/4</t>
  </si>
  <si>
    <t>ℓ</t>
  </si>
  <si>
    <t>M2439021</t>
  </si>
  <si>
    <t>326</t>
  </si>
  <si>
    <t>2055</t>
  </si>
  <si>
    <t>QMINC2</t>
  </si>
  <si>
    <t>R50~60(B42~50)</t>
  </si>
  <si>
    <t>4.수목제거</t>
  </si>
  <si>
    <t xml:space="preserve">l     </t>
  </si>
  <si>
    <t>중기사용료</t>
  </si>
  <si>
    <t xml:space="preserve"> 1. 혼합골재 (현장도착도)</t>
  </si>
  <si>
    <t>HP055</t>
  </si>
  <si>
    <t>가정/23355402/</t>
  </si>
  <si>
    <t>540</t>
  </si>
  <si>
    <t>41</t>
  </si>
  <si>
    <t>220</t>
  </si>
  <si>
    <t>No.49  금송 이식</t>
  </si>
  <si>
    <t>식</t>
  </si>
  <si>
    <t>물자/307/</t>
  </si>
  <si>
    <t xml:space="preserve">EA    </t>
  </si>
  <si>
    <t>매화나무</t>
  </si>
  <si>
    <t xml:space="preserve">주야간작업할증                          </t>
  </si>
  <si>
    <t>G72040055</t>
  </si>
  <si>
    <t>1290</t>
  </si>
  <si>
    <t>가정/23505419/</t>
  </si>
  <si>
    <t>도 장 공</t>
  </si>
  <si>
    <t>H1550</t>
  </si>
  <si>
    <t>No.157</t>
  </si>
  <si>
    <t>MTP-038</t>
  </si>
  <si>
    <t>HX0036</t>
  </si>
  <si>
    <t>No.19</t>
  </si>
  <si>
    <t>산림청기준적용</t>
  </si>
  <si>
    <t>No.61  전나무 이식</t>
  </si>
  <si>
    <t>20km</t>
  </si>
  <si>
    <t>No.53 소나무 이식</t>
  </si>
  <si>
    <t>No.81 당단풍 이식</t>
  </si>
  <si>
    <t>H4.0xR12</t>
  </si>
  <si>
    <t>거래56</t>
  </si>
  <si>
    <t>No.33  버드나무 제거</t>
  </si>
  <si>
    <t>No.92 산딸나무 이식</t>
  </si>
  <si>
    <t xml:space="preserve">   조팝나무</t>
  </si>
  <si>
    <t>504</t>
  </si>
  <si>
    <t>HP011</t>
  </si>
  <si>
    <t>No.13</t>
  </si>
  <si>
    <t>4. 부대공</t>
  </si>
  <si>
    <t>'별산'</t>
  </si>
  <si>
    <t>지오그리드</t>
  </si>
  <si>
    <t>견단//</t>
  </si>
  <si>
    <t>중기야간할증계수</t>
  </si>
  <si>
    <t>D900x730</t>
  </si>
  <si>
    <t>No.97 살구나무 이식</t>
  </si>
  <si>
    <t>610</t>
  </si>
  <si>
    <t>B6~7(R8)</t>
  </si>
  <si>
    <t xml:space="preserve">   경계거푸집</t>
  </si>
  <si>
    <t>170</t>
  </si>
  <si>
    <t>ma=ma(10,0,40)/145_x000D_
la=la(10,0,40)/145_x000D_
eq=eq(10,0,40)/145</t>
  </si>
  <si>
    <t>환율(엔화)</t>
  </si>
  <si>
    <t xml:space="preserve">14_1_3 = </t>
  </si>
  <si>
    <t xml:space="preserve">37_1_2 = </t>
  </si>
  <si>
    <t>No.59 스트로브잣나무 이식</t>
  </si>
  <si>
    <t xml:space="preserve">         폐기물상차(백호우0.6M3):M3</t>
  </si>
  <si>
    <t>No.189  경계거푸집</t>
  </si>
  <si>
    <t xml:space="preserve">          합계      :</t>
  </si>
  <si>
    <t>No.113</t>
  </si>
  <si>
    <t>적용단가</t>
  </si>
  <si>
    <t>M20xL500</t>
  </si>
  <si>
    <t>No.7</t>
  </si>
  <si>
    <t>No.201 벌목 및 제근</t>
  </si>
  <si>
    <t>No.117 칠엽수 이식</t>
  </si>
  <si>
    <t>No.263  철근현장조립</t>
  </si>
  <si>
    <t>No.155 수크령</t>
  </si>
  <si>
    <t>No.167  목재계단A</t>
  </si>
  <si>
    <t>HT4840</t>
  </si>
  <si>
    <t>No.39 왕벚나무 제거</t>
  </si>
  <si>
    <t>물자/14/</t>
  </si>
  <si>
    <t>No.106 왕벚나무 이식</t>
  </si>
  <si>
    <t>A01</t>
  </si>
  <si>
    <t>No.9</t>
  </si>
  <si>
    <t>H5.5xW3.0</t>
  </si>
  <si>
    <t>No.36  신갈나무 제거</t>
  </si>
  <si>
    <t>No.43  이팝나무 제거</t>
  </si>
  <si>
    <t>HP051</t>
  </si>
  <si>
    <t>No.116  칠엽수 이식</t>
  </si>
  <si>
    <t xml:space="preserve">MA = </t>
  </si>
  <si>
    <t>청단풍</t>
  </si>
  <si>
    <t xml:space="preserve">89_3_1+ = </t>
  </si>
  <si>
    <t>12㎜×1220×2440</t>
  </si>
  <si>
    <t>경 비</t>
  </si>
  <si>
    <t>45</t>
  </si>
  <si>
    <t>No.2 소나무 제거</t>
  </si>
  <si>
    <t xml:space="preserve">&gt;&gt;LA = </t>
  </si>
  <si>
    <t>HR</t>
  </si>
  <si>
    <t>붉은토끼풀</t>
  </si>
  <si>
    <t>No.102 왕벚나무 이식</t>
  </si>
  <si>
    <t xml:space="preserve">   공구손료</t>
  </si>
  <si>
    <t>No.144  화살나무</t>
  </si>
  <si>
    <t>No.53</t>
  </si>
  <si>
    <t>MB-260-5</t>
  </si>
  <si>
    <t xml:space="preserve">   일당125m</t>
  </si>
  <si>
    <t xml:space="preserve">105_6_1+ = </t>
  </si>
  <si>
    <t>322</t>
  </si>
  <si>
    <t>No.153</t>
  </si>
  <si>
    <t>정밀절단에 의한 시공 아닌 경우</t>
  </si>
  <si>
    <t>130</t>
  </si>
  <si>
    <t>HT2290-30</t>
  </si>
  <si>
    <t>HX0032</t>
  </si>
  <si>
    <t>M2375015</t>
  </si>
  <si>
    <t>H1.2xW0.4</t>
  </si>
  <si>
    <t>QLINCC</t>
  </si>
  <si>
    <t>적용일시</t>
  </si>
  <si>
    <t>56900017123</t>
  </si>
  <si>
    <t>가정/서울시단가/</t>
  </si>
  <si>
    <t>맥문동</t>
  </si>
  <si>
    <t>#1 폐기물집적 및 상차 | BH0.6m3|m3</t>
  </si>
  <si>
    <t>No.207  수목이식</t>
  </si>
  <si>
    <t>1180</t>
  </si>
  <si>
    <t>No.202  벌목 및 제근</t>
  </si>
  <si>
    <t>H3.0xW2.0</t>
  </si>
  <si>
    <t>No.41  은행나무 제거</t>
  </si>
  <si>
    <t>F</t>
  </si>
  <si>
    <t>No.229 철근가공조립</t>
  </si>
  <si>
    <t>HX0059</t>
  </si>
  <si>
    <t>No.214  식재(흉고/근원경)</t>
  </si>
  <si>
    <t xml:space="preserve">   화강석장대석</t>
  </si>
  <si>
    <t>1620</t>
  </si>
  <si>
    <t>No.66 주목 이식</t>
  </si>
  <si>
    <t>No.76</t>
  </si>
  <si>
    <t>No.138</t>
  </si>
  <si>
    <t>1.5 TON</t>
  </si>
  <si>
    <t xml:space="preserve">89_3_1 = </t>
  </si>
  <si>
    <t>재료비단가소숫점</t>
  </si>
  <si>
    <t>보강토옹벽 블록식 중용</t>
  </si>
  <si>
    <t xml:space="preserve">   종합안내판</t>
  </si>
  <si>
    <t>A=54.0m2</t>
  </si>
  <si>
    <t>307</t>
  </si>
  <si>
    <t>108(2)</t>
  </si>
  <si>
    <t>MB0014-24</t>
  </si>
  <si>
    <t>&gt;</t>
  </si>
  <si>
    <t>No.236  터파기</t>
  </si>
  <si>
    <t>M-TP-35</t>
  </si>
  <si>
    <t>화강석경계석</t>
  </si>
  <si>
    <t>No.247 보도용블럭설치(소형)</t>
  </si>
  <si>
    <t>60</t>
  </si>
  <si>
    <t>BH 0.6M3</t>
  </si>
  <si>
    <t>No.93</t>
  </si>
  <si>
    <t>노무비</t>
  </si>
  <si>
    <t>환율(장비가격10만불이상)</t>
  </si>
  <si>
    <t>가정/21009598/</t>
  </si>
  <si>
    <t>No.114 자두나무 이식</t>
  </si>
  <si>
    <t xml:space="preserve">      </t>
  </si>
  <si>
    <t>23754300</t>
  </si>
  <si>
    <t>20kg/포</t>
  </si>
  <si>
    <t>HT5243</t>
  </si>
  <si>
    <t>No.162 전망스탠드</t>
  </si>
  <si>
    <t>HT3210-03</t>
  </si>
  <si>
    <t>3~5분얼x8cm</t>
  </si>
  <si>
    <t>No.134 낙상홍</t>
  </si>
  <si>
    <t>M9360003</t>
  </si>
  <si>
    <t>T30, 포천석버너</t>
  </si>
  <si>
    <t>2목기준</t>
  </si>
  <si>
    <t>소   계</t>
  </si>
  <si>
    <t>H14.0xR40</t>
  </si>
  <si>
    <t>No.176</t>
  </si>
  <si>
    <t>No.38</t>
  </si>
  <si>
    <t>1140</t>
  </si>
  <si>
    <t xml:space="preserve">   되메우기및다짐</t>
  </si>
  <si>
    <t>No.102  왕벚나무 이식</t>
  </si>
  <si>
    <t xml:space="preserve">91_1_1+ = </t>
  </si>
  <si>
    <t>플레이트 콤팩터   1.5 TON</t>
  </si>
  <si>
    <t>가공</t>
  </si>
  <si>
    <t>1660</t>
  </si>
  <si>
    <t xml:space="preserve">67_1_1+ = </t>
  </si>
  <si>
    <t xml:space="preserve">                                                                                                    </t>
  </si>
  <si>
    <t>No.36</t>
  </si>
  <si>
    <t>No.178</t>
  </si>
  <si>
    <t>H8.0xW3.0xR24</t>
  </si>
  <si>
    <t>0.4 M3</t>
  </si>
  <si>
    <t>NT0810</t>
  </si>
  <si>
    <t>H1.0xW0.4</t>
  </si>
  <si>
    <t>15cm</t>
  </si>
  <si>
    <t>물정/40(2)/</t>
  </si>
  <si>
    <t>10 TON</t>
  </si>
  <si>
    <t>&gt;       ' 소계      : '</t>
  </si>
  <si>
    <t>HP034</t>
  </si>
  <si>
    <t>가정/24587097/</t>
  </si>
  <si>
    <t>20</t>
  </si>
  <si>
    <t>56900017108</t>
  </si>
  <si>
    <t>No.168 목재계단B</t>
  </si>
  <si>
    <t>No.207 수목이식</t>
  </si>
  <si>
    <t>M2373004</t>
  </si>
  <si>
    <t>No.121 때죽나무</t>
  </si>
  <si>
    <t>철도하역협정요금표,VAT제외</t>
  </si>
  <si>
    <t xml:space="preserve">   레그프레스</t>
  </si>
  <si>
    <t>No.66  주목 이식</t>
  </si>
  <si>
    <t xml:space="preserve"> 1) 상 차 (굴삭기 0.6㎥)</t>
  </si>
  <si>
    <t>No.262 철근현장가공</t>
  </si>
  <si>
    <t>0</t>
  </si>
  <si>
    <t>H5.0xW2.5</t>
  </si>
  <si>
    <t xml:space="preserve">   조달수수료 및 단수조정</t>
  </si>
  <si>
    <t>HX0057</t>
  </si>
  <si>
    <t>NT205-12</t>
  </si>
  <si>
    <t>1100</t>
  </si>
  <si>
    <t>No.136</t>
  </si>
  <si>
    <t>No.78</t>
  </si>
  <si>
    <t>재료비금액소숫점</t>
  </si>
  <si>
    <t>No.225 조경 유용석 쌓기 및 놓기</t>
  </si>
  <si>
    <t>철재면 2회</t>
  </si>
  <si>
    <t>155</t>
  </si>
  <si>
    <t>0.3~0.7</t>
  </si>
  <si>
    <t xml:space="preserve">   진동 롤러 (핸드가이드식)</t>
  </si>
  <si>
    <t xml:space="preserve">병렬터널 할증                           </t>
  </si>
  <si>
    <t>No.121  때죽나무</t>
  </si>
  <si>
    <t>No.38  아까시나무 제거</t>
  </si>
  <si>
    <t>H12.0xR40</t>
  </si>
  <si>
    <t>MB-260-3</t>
  </si>
  <si>
    <t>재료비할증계수(야간)</t>
  </si>
  <si>
    <t>No.55</t>
  </si>
  <si>
    <t xml:space="preserve">14_1_6 = </t>
  </si>
  <si>
    <t>NP0400-100</t>
  </si>
  <si>
    <t>2057</t>
  </si>
  <si>
    <t>No.189 경계거푸집</t>
  </si>
  <si>
    <t>쇄석자갈</t>
  </si>
  <si>
    <t xml:space="preserve">   고장력볼트</t>
  </si>
  <si>
    <t>0.6 ㎥</t>
  </si>
  <si>
    <t>Page</t>
  </si>
  <si>
    <t xml:space="preserve">   L형앵커</t>
  </si>
  <si>
    <t xml:space="preserve">   디딤돌</t>
  </si>
  <si>
    <t>No.38 아까시나무 제거</t>
  </si>
  <si>
    <t>No.237  잔토처리</t>
  </si>
  <si>
    <t>1600x580x700</t>
  </si>
  <si>
    <t>No.124 산수유</t>
  </si>
  <si>
    <t>HP057</t>
  </si>
  <si>
    <t>400x500x1000</t>
  </si>
  <si>
    <t>No.150 모닝라이트억새</t>
  </si>
  <si>
    <t>R12~14</t>
  </si>
  <si>
    <t>No.35  산수유 제거</t>
  </si>
  <si>
    <t>QLINCE</t>
  </si>
  <si>
    <t>M25200014</t>
  </si>
  <si>
    <t>MB-0119-2</t>
  </si>
  <si>
    <t>NT0975</t>
  </si>
  <si>
    <t>R40~49</t>
  </si>
  <si>
    <t xml:space="preserve">105_6_1 = </t>
  </si>
  <si>
    <t>HP019</t>
  </si>
  <si>
    <t>N6033-24</t>
  </si>
  <si>
    <t>MT-59</t>
  </si>
  <si>
    <t>중 기 명</t>
  </si>
  <si>
    <t>M2145027</t>
  </si>
  <si>
    <t>HT4780</t>
  </si>
  <si>
    <t>No.27 버드나무 제거</t>
  </si>
  <si>
    <t>환율(IMF특별인출권)</t>
  </si>
  <si>
    <t>No.197 벌목 및 제근</t>
  </si>
  <si>
    <t>2245</t>
  </si>
  <si>
    <t xml:space="preserve">   .MA=MA(10,0,10)*0.07</t>
  </si>
  <si>
    <t>&gt;&gt; '총  계'</t>
  </si>
  <si>
    <t>HX0034</t>
  </si>
  <si>
    <t>No.255  굴취(근원/흉고경)</t>
  </si>
  <si>
    <t>MA=MA(30,0,50)/4.5_x000D_
LA=LA(30,0,50)/4.5_x000D_
EQ=EQ(30,0,50)/4.5</t>
  </si>
  <si>
    <t>No.155</t>
  </si>
  <si>
    <t>No.52  소나무 이식</t>
  </si>
  <si>
    <t>ma=ma(20,0,30)/200_x000D_
la=la(20,0,30)/200_x000D_
eq=eq(20,0,30)/200</t>
  </si>
  <si>
    <t>136</t>
  </si>
  <si>
    <t>MB-190-24</t>
  </si>
  <si>
    <t>NT1300-08</t>
  </si>
  <si>
    <t>4. 수목제거</t>
  </si>
  <si>
    <t>No.193 벌목 및 제근</t>
  </si>
  <si>
    <t>물자/103/</t>
  </si>
  <si>
    <t>ma=ma(130)*0.06</t>
  </si>
  <si>
    <t>No.171  휴게데크B</t>
  </si>
  <si>
    <t>가정/25101123/</t>
  </si>
  <si>
    <t xml:space="preserve">   꽃사과</t>
  </si>
  <si>
    <t xml:space="preserve">   일당 150M3</t>
  </si>
  <si>
    <t>보강토연결핀</t>
  </si>
  <si>
    <t>No.49 금송 이식</t>
  </si>
  <si>
    <t>No.111  은행나무 이식</t>
  </si>
  <si>
    <t>No.15</t>
  </si>
  <si>
    <t>No.158  참억새</t>
  </si>
  <si>
    <t>No.25 백목련 제거</t>
  </si>
  <si>
    <t>HP017</t>
  </si>
  <si>
    <t>가정/25101128/</t>
  </si>
  <si>
    <t>No.56  소나무 이식</t>
  </si>
  <si>
    <t>No.69  감나무 이식</t>
  </si>
  <si>
    <t>No.108  왕벚나무 이식</t>
  </si>
  <si>
    <t>R15~19</t>
  </si>
  <si>
    <t>NT0750</t>
  </si>
  <si>
    <t>Ø40x1500x3</t>
  </si>
  <si>
    <t>MT-57</t>
  </si>
  <si>
    <t>R10~11</t>
  </si>
  <si>
    <t>No.1</t>
  </si>
  <si>
    <t>No.142  자산홍</t>
  </si>
  <si>
    <t>3~5분얼,8cm</t>
  </si>
  <si>
    <t>HP059</t>
  </si>
  <si>
    <t>H9.0xR24</t>
  </si>
  <si>
    <t>공원시설안내판</t>
  </si>
  <si>
    <t>중기전역변수</t>
  </si>
  <si>
    <t>HT3360-08</t>
  </si>
  <si>
    <t>신너</t>
  </si>
  <si>
    <t xml:space="preserve">   일당 3.5TON</t>
  </si>
  <si>
    <t>No.115</t>
  </si>
  <si>
    <t>HW0123</t>
  </si>
  <si>
    <t>No.130 팽나무</t>
  </si>
  <si>
    <t>H6.0xR18</t>
  </si>
  <si>
    <t xml:space="preserve">경간  </t>
  </si>
  <si>
    <t>No.113  이팝나무 이식</t>
  </si>
  <si>
    <t>QH2</t>
  </si>
  <si>
    <t>HT2205-R25</t>
  </si>
  <si>
    <t>No.167 목재계단A</t>
  </si>
  <si>
    <t>거래402</t>
  </si>
  <si>
    <t xml:space="preserve">   바디싣업</t>
  </si>
  <si>
    <t>1000</t>
  </si>
  <si>
    <t xml:space="preserve">37_1_4+ = </t>
  </si>
  <si>
    <t>HP032</t>
  </si>
  <si>
    <t xml:space="preserve">   산딸나무</t>
  </si>
  <si>
    <t>3. 포장공</t>
  </si>
  <si>
    <t>350미만 직선, A-Type</t>
  </si>
  <si>
    <t xml:space="preserve">142_1_1+ = </t>
  </si>
  <si>
    <t>25101123</t>
  </si>
  <si>
    <t>MTP-011</t>
  </si>
  <si>
    <t>No.30</t>
  </si>
  <si>
    <t>수선화</t>
  </si>
  <si>
    <t>에폭시접착제</t>
  </si>
  <si>
    <t>No.218 관목군식</t>
  </si>
  <si>
    <t xml:space="preserve">&gt;EQ = </t>
  </si>
  <si>
    <t>HT3180</t>
  </si>
  <si>
    <t xml:space="preserve">ZT605010                                                                                            </t>
  </si>
  <si>
    <t>G02010060</t>
  </si>
  <si>
    <t>NT205-14</t>
  </si>
  <si>
    <t xml:space="preserve">   공원시설안내판</t>
  </si>
  <si>
    <t>2220</t>
  </si>
  <si>
    <t>No.22 단풍나무 제거</t>
  </si>
  <si>
    <t>HX0051</t>
  </si>
  <si>
    <t>No.119 꽃사과</t>
  </si>
  <si>
    <t>No.172 목교</t>
  </si>
  <si>
    <t xml:space="preserve">   블럭포장</t>
  </si>
  <si>
    <t xml:space="preserve">   일당 190M2</t>
  </si>
  <si>
    <t xml:space="preserve">78,556 천원  </t>
  </si>
  <si>
    <t>No.194  벌목 및 제근</t>
  </si>
  <si>
    <t>No.75  느티나무 이식</t>
  </si>
  <si>
    <t>No.13  전나무 제거</t>
  </si>
  <si>
    <t xml:space="preserve">   음수전</t>
  </si>
  <si>
    <t>No.136  백철쭉</t>
  </si>
  <si>
    <t>No.130</t>
  </si>
  <si>
    <t xml:space="preserve">   잡재료</t>
  </si>
  <si>
    <t>QLINC3</t>
  </si>
  <si>
    <t>노임</t>
  </si>
  <si>
    <t>퍼티</t>
  </si>
  <si>
    <t xml:space="preserve">개    </t>
  </si>
  <si>
    <t>No.227  레미콘타설</t>
  </si>
  <si>
    <t>NX1510</t>
  </si>
  <si>
    <t>No.58  스트로브잣나무 이식</t>
  </si>
  <si>
    <t>No.173  잔디수로</t>
  </si>
  <si>
    <t xml:space="preserve">139_4_1+ = </t>
  </si>
  <si>
    <t>QH32</t>
  </si>
  <si>
    <t>L050</t>
  </si>
  <si>
    <t>No.95</t>
  </si>
  <si>
    <t>노임할증계수(일반구간:야간)</t>
  </si>
  <si>
    <t>1945</t>
  </si>
  <si>
    <t>12.3x133</t>
  </si>
  <si>
    <t xml:space="preserve">40_1_1 = </t>
  </si>
  <si>
    <t xml:space="preserve">   회양목</t>
  </si>
  <si>
    <t>1040</t>
  </si>
  <si>
    <t xml:space="preserve">   포 설 공</t>
  </si>
  <si>
    <t>QDECPMA</t>
  </si>
  <si>
    <t>MS-1008</t>
  </si>
  <si>
    <t>시간당노임산출계수(일반구간)</t>
  </si>
  <si>
    <t>83</t>
  </si>
  <si>
    <t>3600*90*90 이상, H4등급</t>
  </si>
  <si>
    <t>인</t>
  </si>
  <si>
    <t>통기관</t>
  </si>
  <si>
    <t>No.3  스트로브잣나무 제거</t>
  </si>
  <si>
    <t>이형철근</t>
  </si>
  <si>
    <t>H0.3xW0.4</t>
  </si>
  <si>
    <t>* 관급자재대(도급자관급)</t>
  </si>
  <si>
    <t>No.70</t>
  </si>
  <si>
    <t>H7.0xR15</t>
  </si>
  <si>
    <t>단 위</t>
  </si>
  <si>
    <t>No.170</t>
  </si>
  <si>
    <t xml:space="preserve">㎏    </t>
  </si>
  <si>
    <t>T100</t>
  </si>
  <si>
    <t>A=180.0m2</t>
  </si>
  <si>
    <t>참나무</t>
  </si>
  <si>
    <t>가솔린엔진유</t>
  </si>
  <si>
    <t>2260</t>
  </si>
  <si>
    <t xml:space="preserve">73_1_1+ = </t>
  </si>
  <si>
    <t>E0013050007</t>
  </si>
  <si>
    <t xml:space="preserve"> 나. 인력 10'%'</t>
  </si>
  <si>
    <t>2285</t>
  </si>
  <si>
    <t>1720</t>
  </si>
  <si>
    <t>'노 무 비 :'~E0002010060.L~ / Q * 0.9 = ?LA+</t>
  </si>
  <si>
    <t>' 경  비 :'~E0002010060.E~ / Q * 0.9 = ?EQ+</t>
  </si>
  <si>
    <t>No.226 보조기층 부설 및 다짐</t>
  </si>
  <si>
    <t>H13.0xW6.0xR32</t>
  </si>
  <si>
    <t>MU-001</t>
  </si>
  <si>
    <t>M9360005</t>
  </si>
  <si>
    <t xml:space="preserve">L = </t>
  </si>
  <si>
    <t>벌근</t>
  </si>
  <si>
    <t>150x150x1000, 모따기 10R</t>
  </si>
  <si>
    <t>2602x610x1917</t>
  </si>
  <si>
    <t>No.211  수목이식</t>
  </si>
  <si>
    <t>지주목(삼발이소형)</t>
  </si>
  <si>
    <t xml:space="preserve">        Q=(3600*{q}*{k}*{f}*{E})/{CM}=?'M3/HR'</t>
  </si>
  <si>
    <t>No.241 목재데크설치</t>
  </si>
  <si>
    <t>1310</t>
  </si>
  <si>
    <t>119</t>
  </si>
  <si>
    <t>No.34</t>
  </si>
  <si>
    <t xml:space="preserve">   목재계단A</t>
  </si>
  <si>
    <t>No.50  금송 이식</t>
  </si>
  <si>
    <t>HP036</t>
  </si>
  <si>
    <t>No.17 주목 제거</t>
  </si>
  <si>
    <t>G21040025</t>
  </si>
  <si>
    <t>견단/어반스케이프/</t>
  </si>
  <si>
    <t>영산홍</t>
  </si>
  <si>
    <t>100000000001</t>
  </si>
  <si>
    <t>2404x440x1917</t>
  </si>
  <si>
    <t xml:space="preserve">   경관석A</t>
  </si>
  <si>
    <t>1216</t>
  </si>
  <si>
    <t>모래</t>
  </si>
  <si>
    <t>MB-0110</t>
  </si>
  <si>
    <t>No.2  소나무 제거</t>
  </si>
  <si>
    <t>500x1000xT50</t>
  </si>
  <si>
    <t>#3 잔토처리 | BH 0.6M3|m3</t>
  </si>
  <si>
    <t>2130</t>
  </si>
  <si>
    <t>2</t>
  </si>
  <si>
    <t>자연자갈(서울)</t>
  </si>
  <si>
    <t xml:space="preserve">  .EQ=(la(30)+la(40))*(2/100)</t>
  </si>
  <si>
    <t>1000x500xT50</t>
  </si>
  <si>
    <t>23912350</t>
  </si>
  <si>
    <t>No.134</t>
  </si>
  <si>
    <t>MS-1002</t>
  </si>
  <si>
    <t>&gt;&gt;'계'</t>
  </si>
  <si>
    <t>HX0055</t>
  </si>
  <si>
    <t>1470</t>
  </si>
  <si>
    <t>No.147  라벤더</t>
  </si>
  <si>
    <t>No.20  가중나무 제거</t>
  </si>
  <si>
    <t>No.76 느티나무 이식</t>
  </si>
  <si>
    <t>89</t>
  </si>
  <si>
    <t>No.3 스트로브잣나무 제거</t>
  </si>
  <si>
    <t>ma = ma(10,0,20)*0.24</t>
  </si>
  <si>
    <t>24273355</t>
  </si>
  <si>
    <t xml:space="preserve">        Q=(3600*{q}*{K}*{F}*{E})/{CM}=?'M3/HR'</t>
  </si>
  <si>
    <t>1350</t>
  </si>
  <si>
    <t>No.74</t>
  </si>
  <si>
    <t>&gt;       ' 계      : '</t>
  </si>
  <si>
    <t>87300087307</t>
  </si>
  <si>
    <t>노임할증계수(일반구간:주야간)</t>
  </si>
  <si>
    <t>물가자료</t>
  </si>
  <si>
    <t>간단</t>
  </si>
  <si>
    <t>No.47  참나무 제거</t>
  </si>
  <si>
    <t>56900017002</t>
  </si>
  <si>
    <t>87</t>
  </si>
  <si>
    <t>NT9460</t>
  </si>
  <si>
    <t>MP-T80-1</t>
  </si>
  <si>
    <t>No.58 스트로브잣나무 이식</t>
  </si>
  <si>
    <t>62</t>
  </si>
  <si>
    <t>No.95  산수유 이식</t>
  </si>
  <si>
    <t>No.91  백목련 이식</t>
  </si>
  <si>
    <t>#8, 4.0mm</t>
  </si>
  <si>
    <t>No.191  벌목 및 제근</t>
  </si>
  <si>
    <t>No.72 느티나무 이식</t>
  </si>
  <si>
    <t>ma=ma(20,0,30)/140_x000D_
la=la(20,0,30)/140_x000D_
eq=eq(20,0,30)/140</t>
  </si>
  <si>
    <t>M2514006</t>
  </si>
  <si>
    <t>No.266 유로폼설치및해체(간단)</t>
  </si>
  <si>
    <t xml:space="preserve">   파고라</t>
  </si>
  <si>
    <t>2610</t>
  </si>
  <si>
    <t>No.219  관목군식</t>
  </si>
  <si>
    <t xml:space="preserve">   계단B</t>
  </si>
  <si>
    <t>No.91</t>
  </si>
  <si>
    <t>HP038</t>
  </si>
  <si>
    <t>2170</t>
  </si>
  <si>
    <t>No.151 붉은토끼풀</t>
  </si>
  <si>
    <t>No.246  조경석놓기</t>
  </si>
  <si>
    <t>H12.0xW4.0xR28</t>
  </si>
  <si>
    <t>R20~29(B17~24)</t>
  </si>
  <si>
    <t>No.12 전나무 제거</t>
  </si>
  <si>
    <t>480</t>
  </si>
  <si>
    <t>#467 40-5mm (시내도착도)</t>
  </si>
  <si>
    <t>합    계</t>
  </si>
  <si>
    <t>물자/322/</t>
  </si>
  <si>
    <t>MA = MA(10,0,20) * 0.03</t>
  </si>
  <si>
    <t>No.79 당단풍 이식</t>
  </si>
  <si>
    <t>견단/도담플러스/</t>
  </si>
  <si>
    <t>1430</t>
  </si>
  <si>
    <t>No.129  팽나무</t>
  </si>
  <si>
    <t>No.260 굴취(근원/흉고경)</t>
  </si>
  <si>
    <t>No.174</t>
  </si>
  <si>
    <t>크레인(타이어)   10 TON</t>
  </si>
  <si>
    <t>639</t>
  </si>
  <si>
    <t xml:space="preserve">㎥    </t>
  </si>
  <si>
    <t>HP053</t>
  </si>
  <si>
    <t>1390</t>
  </si>
  <si>
    <t xml:space="preserve">21_1_1 = </t>
  </si>
  <si>
    <t xml:space="preserve">37_1_3+ = </t>
  </si>
  <si>
    <t>No.144 화살나무</t>
  </si>
  <si>
    <t>600x1200</t>
  </si>
  <si>
    <t>M2556018</t>
  </si>
  <si>
    <t xml:space="preserve">   통석스탠드</t>
  </si>
  <si>
    <t>H3.0xR8</t>
  </si>
  <si>
    <t>No.183 디딤석</t>
  </si>
  <si>
    <t xml:space="preserve">   일당 2700본</t>
  </si>
  <si>
    <t xml:space="preserve">   촉지도</t>
  </si>
  <si>
    <t>No.51</t>
  </si>
  <si>
    <t>No.227 레미콘타설</t>
  </si>
  <si>
    <t>E0021040015</t>
  </si>
  <si>
    <t>No.125 왕벚나무</t>
  </si>
  <si>
    <t>MB-260-7</t>
  </si>
  <si>
    <t>H6.0xR12</t>
  </si>
  <si>
    <t>HX0030</t>
  </si>
  <si>
    <t>H16.0xW5.0xR58</t>
  </si>
  <si>
    <t>No.151</t>
  </si>
  <si>
    <t xml:space="preserve">   계수나무</t>
  </si>
  <si>
    <t>MS-121</t>
  </si>
  <si>
    <t>15cm포트</t>
  </si>
  <si>
    <t>H2.5xW2.0</t>
  </si>
  <si>
    <t>KSM-6030(1종,1류)</t>
  </si>
  <si>
    <t>440</t>
  </si>
  <si>
    <t>No.140 수수꽃다리</t>
  </si>
  <si>
    <t>N4960</t>
  </si>
  <si>
    <t>QLINCA</t>
  </si>
  <si>
    <t>1887</t>
  </si>
  <si>
    <t>숫자</t>
  </si>
  <si>
    <t>MB-4530</t>
  </si>
  <si>
    <t>No.235  조경블럭쌓기(본체)</t>
  </si>
  <si>
    <t>No.153  세이지</t>
  </si>
  <si>
    <t xml:space="preserve">L     </t>
  </si>
  <si>
    <t>(＃180*240)</t>
  </si>
  <si>
    <t>N1125</t>
  </si>
  <si>
    <t>No.86  모과나무 이식</t>
  </si>
  <si>
    <t xml:space="preserve">   낙상홍</t>
  </si>
  <si>
    <t>ma=ma(20,0,45)/3_x000D_
la=la(20,0,45)/3_x000D_
eq=eq(20,0,45)/3</t>
  </si>
  <si>
    <t>ma=ma(20,0,30)/300_x000D_
la=la(20,0,30)/300_x000D_
eq=eq(20,0,30)/300</t>
  </si>
  <si>
    <t xml:space="preserve">6,537 천원  </t>
  </si>
  <si>
    <t>H14.0xR69</t>
  </si>
  <si>
    <t xml:space="preserve">   스트레칭롤러</t>
  </si>
  <si>
    <t>No.142 자산홍</t>
  </si>
  <si>
    <t xml:space="preserve">ea    </t>
  </si>
  <si>
    <t xml:space="preserve">   일당 300M2</t>
  </si>
  <si>
    <t>지주목(삼발이대형)</t>
  </si>
  <si>
    <t xml:space="preserve">1,570 천원  </t>
  </si>
  <si>
    <t>56900017082</t>
  </si>
  <si>
    <t>HP013</t>
  </si>
  <si>
    <t>m3</t>
  </si>
  <si>
    <t>No.98  왕벚나무 이식</t>
  </si>
  <si>
    <t>2675</t>
  </si>
  <si>
    <t>B20(R24~25)</t>
  </si>
  <si>
    <t>No.145 그린라이트억새</t>
  </si>
  <si>
    <t>보통시멘트</t>
  </si>
  <si>
    <t>물자/296/</t>
  </si>
  <si>
    <t>M2520003</t>
  </si>
  <si>
    <t>N0300</t>
  </si>
  <si>
    <t>No.11</t>
  </si>
  <si>
    <t>콘크리트공</t>
  </si>
  <si>
    <t>No.233  목구조체 설치</t>
  </si>
  <si>
    <t>MTH06</t>
  </si>
  <si>
    <t>No.171 휴게데크B</t>
  </si>
  <si>
    <t xml:space="preserve">        '노 무 비 : '~E0002010060.L~/{Q} =?LA+</t>
  </si>
  <si>
    <t>360</t>
  </si>
  <si>
    <t>No.222  레미콘타설</t>
  </si>
  <si>
    <t>HT2210-R15</t>
  </si>
  <si>
    <t>400</t>
  </si>
  <si>
    <t>No.111</t>
  </si>
  <si>
    <t>NT205-35</t>
  </si>
  <si>
    <t>조경석</t>
  </si>
  <si>
    <t>N6075-24</t>
  </si>
  <si>
    <t>목재면 2회</t>
  </si>
  <si>
    <t>No.245 붓꽃</t>
  </si>
  <si>
    <t>172</t>
  </si>
  <si>
    <t>No.213  식재(흉고/근원경)</t>
  </si>
  <si>
    <t>No.5</t>
  </si>
  <si>
    <t>A03</t>
  </si>
  <si>
    <t>ma=ma(20,0,40)/25_x000D_
la=la(20,0,40)/25_x000D_
eq=eq(20,0,40)/25</t>
  </si>
  <si>
    <t xml:space="preserve">   조경블록(마감)</t>
  </si>
  <si>
    <t/>
  </si>
  <si>
    <t>비                     목</t>
    <phoneticPr fontId="9" type="noConversion"/>
  </si>
  <si>
    <t>구             성             비</t>
  </si>
  <si>
    <t>비             고</t>
  </si>
  <si>
    <t>재</t>
  </si>
  <si>
    <t>직  접  재  료  비</t>
  </si>
  <si>
    <t>순</t>
  </si>
  <si>
    <t>료</t>
  </si>
  <si>
    <t>간  접  재  료  비</t>
  </si>
  <si>
    <t>비</t>
    <phoneticPr fontId="9" type="noConversion"/>
  </si>
  <si>
    <t>작업설,부산물등(△)</t>
    <phoneticPr fontId="9" type="noConversion"/>
  </si>
  <si>
    <t>[  소            계  ]</t>
  </si>
  <si>
    <t>공</t>
  </si>
  <si>
    <t>노</t>
  </si>
  <si>
    <t>직  접  노  무  비</t>
  </si>
  <si>
    <t xml:space="preserve"> </t>
    <phoneticPr fontId="9" type="noConversion"/>
  </si>
  <si>
    <t xml:space="preserve">무 </t>
    <phoneticPr fontId="9" type="noConversion"/>
  </si>
  <si>
    <t>간  접  노  무  비</t>
  </si>
  <si>
    <t>직접노무비의 *14.3%</t>
    <phoneticPr fontId="9" type="noConversion"/>
  </si>
  <si>
    <t>운   반   비</t>
    <phoneticPr fontId="9" type="noConversion"/>
  </si>
  <si>
    <t>사</t>
    <phoneticPr fontId="9" type="noConversion"/>
  </si>
  <si>
    <t>기    계    경   비</t>
  </si>
  <si>
    <t>산  재  보  험  료</t>
    <phoneticPr fontId="9" type="noConversion"/>
  </si>
  <si>
    <t>노무비의 *3.56%</t>
    <phoneticPr fontId="9" type="noConversion"/>
  </si>
  <si>
    <t>경</t>
    <phoneticPr fontId="9" type="noConversion"/>
  </si>
  <si>
    <t>고  용  보  험  료</t>
    <phoneticPr fontId="9" type="noConversion"/>
  </si>
  <si>
    <t>노무비의 *1.01%</t>
    <phoneticPr fontId="9" type="noConversion"/>
  </si>
  <si>
    <t>건  강  보  험  료</t>
    <phoneticPr fontId="9" type="noConversion"/>
  </si>
  <si>
    <t>직접노무비의 *3.545%</t>
    <phoneticPr fontId="9" type="noConversion"/>
  </si>
  <si>
    <t>원</t>
  </si>
  <si>
    <t>연  금  보  험  료</t>
    <phoneticPr fontId="9" type="noConversion"/>
  </si>
  <si>
    <t>직접노무비의 *4.5%</t>
    <phoneticPr fontId="9" type="noConversion"/>
  </si>
  <si>
    <t>노인장기요양보험료</t>
    <phoneticPr fontId="9" type="noConversion"/>
  </si>
  <si>
    <t>건강보험료 *12.95%</t>
    <phoneticPr fontId="9" type="noConversion"/>
  </si>
  <si>
    <t xml:space="preserve"> </t>
  </si>
  <si>
    <t>퇴직공제부금비</t>
    <phoneticPr fontId="9" type="noConversion"/>
  </si>
  <si>
    <t>직접노무비의 * 2.3%</t>
    <phoneticPr fontId="9" type="noConversion"/>
  </si>
  <si>
    <t>도급자관급 자재비</t>
    <phoneticPr fontId="10" type="noConversion"/>
  </si>
  <si>
    <t>기계대여대금지급보증수수료</t>
    <phoneticPr fontId="9" type="noConversion"/>
  </si>
  <si>
    <t>(재료비+직노비+산경) *0.18%</t>
    <phoneticPr fontId="9" type="noConversion"/>
  </si>
  <si>
    <t>A</t>
    <phoneticPr fontId="9" type="noConversion"/>
  </si>
  <si>
    <t>가</t>
  </si>
  <si>
    <t>비</t>
  </si>
  <si>
    <t>(재료비+직노+도급자관급)*1.2%+3,250,000</t>
    <phoneticPr fontId="9" type="noConversion"/>
  </si>
  <si>
    <t>B</t>
    <phoneticPr fontId="9" type="noConversion"/>
  </si>
  <si>
    <t>환  경  보  전  비</t>
    <phoneticPr fontId="9" type="noConversion"/>
  </si>
  <si>
    <t>(재료비+직노비+산경) *0.3%</t>
    <phoneticPr fontId="9" type="noConversion"/>
  </si>
  <si>
    <t>기    타    경   비</t>
    <phoneticPr fontId="9" type="noConversion"/>
  </si>
  <si>
    <t>(재료비+노무비) *5.5%</t>
    <phoneticPr fontId="9" type="noConversion"/>
  </si>
  <si>
    <t>하도급지급보증수수료</t>
    <phoneticPr fontId="9" type="noConversion"/>
  </si>
  <si>
    <t>(재료비+직노비+산출경비) *0.081%</t>
    <phoneticPr fontId="9" type="noConversion"/>
  </si>
  <si>
    <t>계</t>
  </si>
  <si>
    <t>일      반     관     리     비</t>
  </si>
  <si>
    <t>계의 *6.0%</t>
    <phoneticPr fontId="9" type="noConversion"/>
  </si>
  <si>
    <t>합                             계</t>
    <phoneticPr fontId="9" type="noConversion"/>
  </si>
  <si>
    <t>이                              윤</t>
  </si>
  <si>
    <t>(노무비+경비+일반관리비) *15.0%</t>
    <phoneticPr fontId="9" type="noConversion"/>
  </si>
  <si>
    <t>공   급   가   액  (총  원  가)</t>
    <phoneticPr fontId="9" type="noConversion"/>
  </si>
  <si>
    <t>부      가     가     치     세</t>
    <phoneticPr fontId="9" type="noConversion"/>
  </si>
  <si>
    <t>공급가액의 *10.00%</t>
    <phoneticPr fontId="9" type="noConversion"/>
  </si>
  <si>
    <t>도              급             액</t>
  </si>
  <si>
    <t>관    급     자     재     비</t>
    <phoneticPr fontId="9" type="noConversion"/>
  </si>
  <si>
    <t>1) 도급자관급</t>
    <phoneticPr fontId="9" type="noConversion"/>
  </si>
  <si>
    <t>2) 관급자관급</t>
    <phoneticPr fontId="9" type="noConversion"/>
  </si>
  <si>
    <t>총        공        사        비</t>
  </si>
  <si>
    <t>205</t>
  </si>
  <si>
    <t>ma=ma(10,0,70)_x000D_
la=la(10,0,70)_x000D_
eq=eq(10,0,70)</t>
  </si>
  <si>
    <t>273</t>
  </si>
  <si>
    <t>323</t>
  </si>
  <si>
    <t xml:space="preserve">   .1)수목제거공사</t>
  </si>
  <si>
    <t xml:space="preserve">   ..소나무 제거</t>
  </si>
  <si>
    <t xml:space="preserve">   ..스트로브잣나무 제거</t>
  </si>
  <si>
    <t xml:space="preserve">   ..전나무 제거</t>
  </si>
  <si>
    <t xml:space="preserve">   ..주목 제거</t>
  </si>
  <si>
    <t xml:space="preserve">   ..소나무묘목 제거</t>
  </si>
  <si>
    <t xml:space="preserve">   ..가중나무 제거</t>
  </si>
  <si>
    <t xml:space="preserve">   ..감나무 제거</t>
  </si>
  <si>
    <t xml:space="preserve">   ..단풍나무 제거</t>
  </si>
  <si>
    <t xml:space="preserve">   ..당단풍나무 제거</t>
  </si>
  <si>
    <t xml:space="preserve">   ..대추나무 제거</t>
  </si>
  <si>
    <t xml:space="preserve">   ..백목련 제거</t>
  </si>
  <si>
    <t xml:space="preserve">   ..버드나무 제거</t>
  </si>
  <si>
    <t xml:space="preserve">   ..산수유 제거</t>
  </si>
  <si>
    <t xml:space="preserve">   ..신갈나무 제거</t>
  </si>
  <si>
    <t xml:space="preserve">   ..아까시나무 제거</t>
  </si>
  <si>
    <t xml:space="preserve">   ..왕벚나무 제거</t>
  </si>
  <si>
    <t xml:space="preserve">   ..은행나무 제거</t>
  </si>
  <si>
    <t xml:space="preserve">   ..이팝나무 제거</t>
  </si>
  <si>
    <t xml:space="preserve">   ..참나무 제거</t>
  </si>
  <si>
    <t xml:space="preserve">   .2) 이식공사</t>
  </si>
  <si>
    <t xml:space="preserve">   ..금송 이식</t>
  </si>
  <si>
    <t xml:space="preserve">   ..소나무 이식</t>
  </si>
  <si>
    <t xml:space="preserve">   ..스트로브잣나무 이식</t>
  </si>
  <si>
    <t xml:space="preserve">   ..전나무 이식</t>
  </si>
  <si>
    <t xml:space="preserve">   ..주목 이식</t>
  </si>
  <si>
    <t xml:space="preserve">   ..감나무 이식</t>
  </si>
  <si>
    <t xml:space="preserve">   ..느티나무 이식</t>
  </si>
  <si>
    <t xml:space="preserve">   ..단풍나무 이식</t>
  </si>
  <si>
    <t xml:space="preserve">   ..당단풍 이식</t>
  </si>
  <si>
    <t xml:space="preserve">   ..모과나무 이식</t>
  </si>
  <si>
    <t xml:space="preserve">   ..밤나무 이식</t>
  </si>
  <si>
    <t xml:space="preserve">   ..백목련 이식</t>
  </si>
  <si>
    <t xml:space="preserve">   ..산딸나무 이식</t>
  </si>
  <si>
    <t xml:space="preserve">   ..산수유 이식</t>
  </si>
  <si>
    <t xml:space="preserve">   ..살구나무 이식</t>
  </si>
  <si>
    <t xml:space="preserve">   ..왕벚나무 이식</t>
  </si>
  <si>
    <t xml:space="preserve">   ..은행나무 이식</t>
  </si>
  <si>
    <t xml:space="preserve">   ..이팝나무 이식</t>
  </si>
  <si>
    <t xml:space="preserve">   ..자두나무 이식</t>
  </si>
  <si>
    <t xml:space="preserve">   ..청단풍 이식</t>
  </si>
  <si>
    <t xml:space="preserve">   ..칠엽수 이식</t>
  </si>
  <si>
    <t xml:space="preserve">   .3) 교목식재</t>
  </si>
  <si>
    <t xml:space="preserve">   ..계수나무</t>
  </si>
  <si>
    <t xml:space="preserve">   ..꽃사과</t>
  </si>
  <si>
    <t xml:space="preserve">   ..느티나무</t>
  </si>
  <si>
    <t xml:space="preserve">   ..때죽나무</t>
  </si>
  <si>
    <t xml:space="preserve">   ..매화나무</t>
  </si>
  <si>
    <t xml:space="preserve">   ..산딸나무</t>
  </si>
  <si>
    <t xml:space="preserve">   ..산수유</t>
  </si>
  <si>
    <t xml:space="preserve">   ..왕벚나무</t>
  </si>
  <si>
    <t xml:space="preserve">   ..참나무</t>
  </si>
  <si>
    <t xml:space="preserve">   ..청단풍</t>
  </si>
  <si>
    <t xml:space="preserve">   ..팥배나무</t>
  </si>
  <si>
    <t xml:space="preserve">   ..팽나무</t>
  </si>
  <si>
    <t xml:space="preserve">   .4) 관목식재</t>
  </si>
  <si>
    <t xml:space="preserve">   ..남천</t>
  </si>
  <si>
    <t xml:space="preserve">   ..피라칸사스</t>
  </si>
  <si>
    <t xml:space="preserve">   ..회양목</t>
  </si>
  <si>
    <t xml:space="preserve">   ..낙상홍</t>
  </si>
  <si>
    <t xml:space="preserve">   ..박태기나무</t>
  </si>
  <si>
    <t xml:space="preserve">   ..백철쭉</t>
  </si>
  <si>
    <t xml:space="preserve">   ..산수국</t>
  </si>
  <si>
    <t xml:space="preserve">   ..산철쭉</t>
  </si>
  <si>
    <t xml:space="preserve">   ..삼색조팝나무</t>
  </si>
  <si>
    <t xml:space="preserve">   ..수수꽃다리</t>
  </si>
  <si>
    <t xml:space="preserve">   ..영산홍</t>
  </si>
  <si>
    <t xml:space="preserve">   ..자산홍</t>
  </si>
  <si>
    <t xml:space="preserve">   ..조팝나무</t>
  </si>
  <si>
    <t xml:space="preserve">   ..화살나무</t>
  </si>
  <si>
    <t xml:space="preserve">   .5) 지피,초화류</t>
  </si>
  <si>
    <t xml:space="preserve">   ..그린라이트억새</t>
  </si>
  <si>
    <t xml:space="preserve">   ..꽃무릇</t>
  </si>
  <si>
    <t xml:space="preserve">   ..라벤더</t>
  </si>
  <si>
    <t xml:space="preserve">   ..리아트리스</t>
  </si>
  <si>
    <t xml:space="preserve">   ..맥문동</t>
  </si>
  <si>
    <t xml:space="preserve">   ..모닝라이트억새</t>
  </si>
  <si>
    <t xml:space="preserve">   ..붉은토끼풀</t>
  </si>
  <si>
    <t xml:space="preserve">   ..비비추</t>
  </si>
  <si>
    <t xml:space="preserve">   ..세이지</t>
  </si>
  <si>
    <t xml:space="preserve">   ..수선화</t>
  </si>
  <si>
    <t xml:space="preserve">   ..수크령</t>
  </si>
  <si>
    <t xml:space="preserve">   ..은사초</t>
  </si>
  <si>
    <t xml:space="preserve">   ..쥐방울덩쿨</t>
  </si>
  <si>
    <t xml:space="preserve">   ..참억새</t>
  </si>
  <si>
    <t xml:space="preserve">   .6) 기타</t>
  </si>
  <si>
    <t xml:space="preserve">   ..잔디(평떼) 식재</t>
  </si>
  <si>
    <t xml:space="preserve">   ..수목명찰A</t>
  </si>
  <si>
    <t xml:space="preserve">   ..수목명찰B</t>
  </si>
  <si>
    <t xml:space="preserve">   ..통기관</t>
  </si>
  <si>
    <t xml:space="preserve">239_1_1+ = </t>
  </si>
  <si>
    <t xml:space="preserve">239_1_1 = </t>
  </si>
  <si>
    <t xml:space="preserve">258_1_1+ = </t>
  </si>
  <si>
    <t xml:space="preserve">258_1_1 = </t>
  </si>
  <si>
    <t xml:space="preserve">   .1)벌목</t>
  </si>
  <si>
    <t xml:space="preserve">   ..벌 목 부</t>
  </si>
  <si>
    <t xml:space="preserve">   ..보통인부</t>
  </si>
  <si>
    <t xml:space="preserve">   ..기계톱손료</t>
  </si>
  <si>
    <t xml:space="preserve">   ..휘발유</t>
  </si>
  <si>
    <t xml:space="preserve">   ..오일</t>
  </si>
  <si>
    <t xml:space="preserve">   .2)제근</t>
  </si>
  <si>
    <t>■  고기근린공원(사회공헌) 조성공사 (조경)</t>
    <phoneticPr fontId="6" type="noConversion"/>
  </si>
  <si>
    <t>낙찰율조정</t>
    <phoneticPr fontId="12" type="noConversion"/>
  </si>
  <si>
    <t>안  전  관  리  비</t>
    <phoneticPr fontId="9" type="noConversion"/>
  </si>
  <si>
    <t>금액</t>
    <phoneticPr fontId="6" type="noConversion"/>
  </si>
  <si>
    <t>H5.0xW3.0xR20</t>
    <phoneticPr fontId="6" type="noConversion"/>
  </si>
  <si>
    <t>H7.0xW3.5xR32</t>
    <phoneticPr fontId="6" type="noConversion"/>
  </si>
  <si>
    <t xml:space="preserve">   ..단풍나무 제거</t>
    <phoneticPr fontId="6" type="noConversion"/>
  </si>
  <si>
    <t>H5.0xR18</t>
    <phoneticPr fontId="6" type="noConversion"/>
  </si>
  <si>
    <t xml:space="preserve">   ..버드나무 제거</t>
    <phoneticPr fontId="6" type="noConversion"/>
  </si>
  <si>
    <t xml:space="preserve">   ..산수유 제거</t>
    <phoneticPr fontId="6" type="noConversion"/>
  </si>
  <si>
    <t xml:space="preserve">   ..아까시아 제거</t>
    <phoneticPr fontId="6" type="noConversion"/>
  </si>
  <si>
    <t>H9.0xR30</t>
    <phoneticPr fontId="6" type="noConversion"/>
  </si>
  <si>
    <t xml:space="preserve">   ..왕벚나무 제거</t>
    <phoneticPr fontId="6" type="noConversion"/>
  </si>
  <si>
    <t>H7.0xR20</t>
    <phoneticPr fontId="6" type="noConversion"/>
  </si>
  <si>
    <t>H7.0xR26</t>
    <phoneticPr fontId="6" type="noConversion"/>
  </si>
  <si>
    <t>H9.0xR36</t>
    <phoneticPr fontId="6" type="noConversion"/>
  </si>
  <si>
    <t>H11xR44</t>
    <phoneticPr fontId="6" type="noConversion"/>
  </si>
  <si>
    <t xml:space="preserve">   ..칠엽수 제거</t>
    <phoneticPr fontId="6" type="noConversion"/>
  </si>
  <si>
    <t xml:space="preserve">   ..향나무 제거</t>
    <phoneticPr fontId="6" type="noConversion"/>
  </si>
  <si>
    <t xml:space="preserve">   ..느티나무 제거</t>
    <phoneticPr fontId="6" type="noConversion"/>
  </si>
  <si>
    <t>낙찰율적용</t>
    <phoneticPr fontId="6" type="noConversion"/>
  </si>
  <si>
    <t>ton</t>
    <phoneticPr fontId="6" type="noConversion"/>
  </si>
  <si>
    <t>W3000x12단, H150</t>
  </si>
  <si>
    <t>W1500x18단, H150</t>
  </si>
  <si>
    <t>W2000x4단, H150</t>
  </si>
  <si>
    <t>W2000x11단, H150</t>
  </si>
  <si>
    <t>개소</t>
    <phoneticPr fontId="6" type="noConversion"/>
  </si>
  <si>
    <t>93</t>
  </si>
  <si>
    <t>117</t>
  </si>
  <si>
    <t xml:space="preserve">   화강석계단석</t>
  </si>
  <si>
    <t>180x300</t>
  </si>
  <si>
    <t>MP-2030</t>
  </si>
  <si>
    <t>225</t>
  </si>
  <si>
    <t>H1100</t>
  </si>
  <si>
    <t>235</t>
  </si>
  <si>
    <t>MTH04</t>
  </si>
  <si>
    <t>계단구조</t>
  </si>
  <si>
    <t>N0215-24</t>
  </si>
  <si>
    <t>HW0011</t>
  </si>
  <si>
    <t>HW0012</t>
  </si>
  <si>
    <t>HW0013</t>
  </si>
  <si>
    <t>HW0014</t>
  </si>
  <si>
    <t>HW0015</t>
  </si>
  <si>
    <t>화강석계단석</t>
  </si>
  <si>
    <t>안전난간</t>
  </si>
  <si>
    <t>No.238  목재데크틀설치</t>
  </si>
  <si>
    <t>MA=MA(20,0,30)/0.32_x000D_
LA=LA(20,0,30)/0.32_x000D_
EQ=EQ(20,0,30)/0.32</t>
  </si>
  <si>
    <t>No.267 목재데크틀 설치</t>
    <phoneticPr fontId="6" type="noConversion"/>
  </si>
  <si>
    <t>계단구조</t>
    <phoneticPr fontId="6" type="noConversion"/>
  </si>
  <si>
    <t>1</t>
    <phoneticPr fontId="6" type="noConversion"/>
  </si>
  <si>
    <t>75</t>
  </si>
  <si>
    <t xml:space="preserve">   시멘트액체방수</t>
  </si>
  <si>
    <t>85</t>
  </si>
  <si>
    <t>HI000.30000</t>
  </si>
  <si>
    <t>No.251  시멘트액체방수</t>
  </si>
  <si>
    <t xml:space="preserve">   방수재</t>
  </si>
  <si>
    <t>시멘트액체방수</t>
  </si>
  <si>
    <t>M-SS-BANG00100</t>
  </si>
  <si>
    <t xml:space="preserve">   시멘트 액체방수</t>
  </si>
  <si>
    <t>HCEMOLBOT1000</t>
  </si>
  <si>
    <t xml:space="preserve">   바탕처리</t>
  </si>
  <si>
    <t>M2</t>
  </si>
  <si>
    <t>ZR120100</t>
  </si>
  <si>
    <t>방수재</t>
  </si>
  <si>
    <t>12-503</t>
  </si>
  <si>
    <t>12-457</t>
  </si>
  <si>
    <t>No.270  시멘트 액체방수</t>
  </si>
  <si>
    <t>20건축6-4-1</t>
  </si>
  <si>
    <t xml:space="preserve">   방수공</t>
  </si>
  <si>
    <t>L026</t>
  </si>
  <si>
    <t>인건비의 3%</t>
  </si>
  <si>
    <t>.eq=LA(10,0,20)*0.030</t>
  </si>
  <si>
    <t>No.271  바탕처리</t>
  </si>
  <si>
    <t>22건축6-1-1</t>
  </si>
  <si>
    <t xml:space="preserve">   공구 손료 및 경장비의 기계경비</t>
  </si>
  <si>
    <t>인력품의6%</t>
  </si>
  <si>
    <t>eq=la(10,0,20)*6/100</t>
  </si>
  <si>
    <t>방수공</t>
  </si>
  <si>
    <t>L001010101000026</t>
  </si>
  <si>
    <t>No.268 시멘트백체방수</t>
    <phoneticPr fontId="6" type="noConversion"/>
  </si>
  <si>
    <t>No.269 바탕처리</t>
    <phoneticPr fontId="6" type="noConversion"/>
  </si>
  <si>
    <t>바닥</t>
    <phoneticPr fontId="6" type="noConversion"/>
  </si>
  <si>
    <t xml:space="preserve">   휴게데크C</t>
    <phoneticPr fontId="6" type="noConversion"/>
  </si>
  <si>
    <t>A=74.0m3</t>
    <phoneticPr fontId="6" type="noConversion"/>
  </si>
  <si>
    <t>A=38.0m3</t>
  </si>
  <si>
    <t xml:space="preserve">   휴게데크A-1</t>
    <phoneticPr fontId="6" type="noConversion"/>
  </si>
  <si>
    <t>디자인형휀스</t>
    <phoneticPr fontId="6" type="noConversion"/>
  </si>
  <si>
    <t>8</t>
    <phoneticPr fontId="6" type="noConversion"/>
  </si>
  <si>
    <t>경간</t>
    <phoneticPr fontId="6" type="noConversion"/>
  </si>
  <si>
    <t>12</t>
    <phoneticPr fontId="6" type="noConversion"/>
  </si>
  <si>
    <t>2</t>
    <phoneticPr fontId="6" type="noConversion"/>
  </si>
  <si>
    <t>6</t>
    <phoneticPr fontId="6" type="noConversion"/>
  </si>
  <si>
    <t xml:space="preserve">   목재난간</t>
  </si>
  <si>
    <t>W1500xH1200</t>
  </si>
  <si>
    <t>MB-0006</t>
  </si>
  <si>
    <t xml:space="preserve">   목재난간 설치</t>
  </si>
  <si>
    <t>N0216-24</t>
  </si>
  <si>
    <t>A=84.0m2</t>
  </si>
  <si>
    <t>HW0133</t>
  </si>
  <si>
    <t xml:space="preserve">ma=ma(130)*0.06_x000D_
</t>
  </si>
  <si>
    <t xml:space="preserve">   난간포스트</t>
  </si>
  <si>
    <t>100x100xH1200</t>
  </si>
  <si>
    <t>MB-0007</t>
  </si>
  <si>
    <t xml:space="preserve">   난간포스트 설치</t>
  </si>
  <si>
    <t>N0217-24</t>
  </si>
  <si>
    <t>셋트앵커(STS)</t>
    <phoneticPr fontId="6" type="noConversion"/>
  </si>
  <si>
    <t>경사지</t>
    <phoneticPr fontId="6" type="noConversion"/>
  </si>
  <si>
    <t>목재난간</t>
  </si>
  <si>
    <t>23698902</t>
  </si>
  <si>
    <t>No.40  목재난간 설치</t>
  </si>
  <si>
    <t>No.41  난간포스트 설치</t>
  </si>
  <si>
    <t>No.269 목재난간설치</t>
    <phoneticPr fontId="6" type="noConversion"/>
  </si>
  <si>
    <t>No.270 난간포스트설치</t>
    <phoneticPr fontId="6" type="noConversion"/>
  </si>
  <si>
    <t>EA</t>
    <phoneticPr fontId="6" type="noConversion"/>
  </si>
  <si>
    <t xml:space="preserve">   데크계단A</t>
    <phoneticPr fontId="6" type="noConversion"/>
  </si>
  <si>
    <t xml:space="preserve">   데크계단B</t>
    <phoneticPr fontId="6" type="noConversion"/>
  </si>
  <si>
    <t xml:space="preserve">   데크계단C</t>
    <phoneticPr fontId="6" type="noConversion"/>
  </si>
  <si>
    <t xml:space="preserve">   데크계단D</t>
    <phoneticPr fontId="6" type="noConversion"/>
  </si>
  <si>
    <t xml:space="preserve">   데크계단E</t>
    <phoneticPr fontId="6" type="noConversion"/>
  </si>
  <si>
    <t xml:space="preserve">   데크계단F</t>
    <phoneticPr fontId="6" type="noConversion"/>
  </si>
  <si>
    <t xml:space="preserve">   데크계단G</t>
    <phoneticPr fontId="6" type="noConversion"/>
  </si>
  <si>
    <t>게단구조</t>
    <phoneticPr fontId="6" type="noConversion"/>
  </si>
  <si>
    <t>NP0440-25</t>
  </si>
  <si>
    <t xml:space="preserve">   안전유도블럭</t>
  </si>
  <si>
    <t>300x300xT60, 점/선형</t>
  </si>
  <si>
    <t>135</t>
  </si>
  <si>
    <t>MP-06G</t>
  </si>
  <si>
    <t>NP0440-26</t>
  </si>
  <si>
    <t>안전유도블럭</t>
  </si>
  <si>
    <t>151</t>
  </si>
  <si>
    <t xml:space="preserve">   점자블럭(점형)</t>
  </si>
  <si>
    <t xml:space="preserve">   점자블럭(선형)</t>
  </si>
  <si>
    <t>난간포스트</t>
  </si>
  <si>
    <t>23761223</t>
  </si>
  <si>
    <t xml:space="preserve">  목재난간</t>
    <phoneticPr fontId="6" type="noConversion"/>
  </si>
  <si>
    <t xml:space="preserve">  난간포스트</t>
    <phoneticPr fontId="6" type="noConversion"/>
  </si>
  <si>
    <t>W1500×H1200mm</t>
  </si>
  <si>
    <t>100*100*H1200</t>
  </si>
  <si>
    <t>장애인주차안내판</t>
    <phoneticPr fontId="6" type="noConversion"/>
  </si>
  <si>
    <t>장애인주차 방향안내판</t>
    <phoneticPr fontId="6" type="noConversion"/>
  </si>
  <si>
    <t>H4.0xR12</t>
    <phoneticPr fontId="6" type="noConversion"/>
  </si>
  <si>
    <t xml:space="preserve">   ..계수나무 제거</t>
    <phoneticPr fontId="6" type="noConversion"/>
  </si>
  <si>
    <t>H6.0xR18</t>
    <phoneticPr fontId="6" type="noConversion"/>
  </si>
  <si>
    <t>H8.0xR36</t>
    <phoneticPr fontId="6" type="noConversion"/>
  </si>
  <si>
    <t>H7.0xR30</t>
    <phoneticPr fontId="6" type="noConversion"/>
  </si>
  <si>
    <t>H5.5xR24</t>
    <phoneticPr fontId="6" type="noConversion"/>
  </si>
  <si>
    <t>H5.0xR25</t>
    <phoneticPr fontId="6" type="noConversion"/>
  </si>
  <si>
    <t>H5.0xR30</t>
    <phoneticPr fontId="6" type="noConversion"/>
  </si>
  <si>
    <t>H12.0xR26</t>
    <phoneticPr fontId="6" type="noConversion"/>
  </si>
  <si>
    <t>H8.0xR15</t>
    <phoneticPr fontId="6" type="noConversion"/>
  </si>
  <si>
    <t>H8.0xR20</t>
    <phoneticPr fontId="6" type="noConversion"/>
  </si>
  <si>
    <t>H10.0xR30</t>
    <phoneticPr fontId="6" type="noConversion"/>
  </si>
  <si>
    <t>H3.5xR10</t>
    <phoneticPr fontId="6" type="noConversion"/>
  </si>
  <si>
    <t>H7.0xR25</t>
    <phoneticPr fontId="6" type="noConversion"/>
  </si>
  <si>
    <t>H5.0xR15</t>
    <phoneticPr fontId="6" type="noConversion"/>
  </si>
  <si>
    <t xml:space="preserve">   ..대왕참나무 제거</t>
    <phoneticPr fontId="6" type="noConversion"/>
  </si>
  <si>
    <t>H10.0xW4.0xR30</t>
    <phoneticPr fontId="6" type="noConversion"/>
  </si>
  <si>
    <t>H6.0xR28</t>
    <phoneticPr fontId="6" type="noConversion"/>
  </si>
  <si>
    <t>H6.0xR40</t>
    <phoneticPr fontId="6" type="noConversion"/>
  </si>
  <si>
    <t>H4.5xR28</t>
    <phoneticPr fontId="6" type="noConversion"/>
  </si>
  <si>
    <t>H4.0xR20</t>
    <phoneticPr fontId="6" type="noConversion"/>
  </si>
  <si>
    <t>H3.5xR15</t>
    <phoneticPr fontId="6" type="noConversion"/>
  </si>
  <si>
    <t>H3.5xR18</t>
    <phoneticPr fontId="6" type="noConversion"/>
  </si>
  <si>
    <t>H8.0xR28</t>
    <phoneticPr fontId="6" type="noConversion"/>
  </si>
  <si>
    <t>H8.0xR30</t>
    <phoneticPr fontId="6" type="noConversion"/>
  </si>
  <si>
    <t>H8.0xR34</t>
    <phoneticPr fontId="6" type="noConversion"/>
  </si>
  <si>
    <t xml:space="preserve">   ..느티나무 이식</t>
    <phoneticPr fontId="6" type="noConversion"/>
  </si>
  <si>
    <t>주</t>
    <phoneticPr fontId="6" type="noConversion"/>
  </si>
  <si>
    <t>H12.0xR38 (굴취,가식,정식)</t>
    <phoneticPr fontId="6" type="noConversion"/>
  </si>
  <si>
    <t>H9.0xR30 (굴취,가식,정식)</t>
    <phoneticPr fontId="6" type="noConversion"/>
  </si>
  <si>
    <t>H5.0xR20 (굴취,가식,정식)</t>
    <phoneticPr fontId="6" type="noConversion"/>
  </si>
  <si>
    <t>H5.0xR22 (굴취,가식,정식)</t>
    <phoneticPr fontId="6" type="noConversion"/>
  </si>
  <si>
    <t>H6.0xR30 (굴취,가식,정식)</t>
    <phoneticPr fontId="6" type="noConversion"/>
  </si>
  <si>
    <t>H4.0xR15 (굴취,가식,정식)</t>
    <phoneticPr fontId="6" type="noConversion"/>
  </si>
  <si>
    <t>H5.0xR20(굴취,가식,정식)</t>
    <phoneticPr fontId="6" type="noConversion"/>
  </si>
  <si>
    <t>H3.5xR20 (굴취,가식,정식)</t>
    <phoneticPr fontId="6" type="noConversion"/>
  </si>
  <si>
    <t>H7.0xR20 (굴취,가식,정식)</t>
    <phoneticPr fontId="6" type="noConversion"/>
  </si>
  <si>
    <t>H7.0xR30 (굴취,가식,정식)</t>
    <phoneticPr fontId="6" type="noConversion"/>
  </si>
  <si>
    <t>H8.0xR30 (굴취,가식,정식)</t>
    <phoneticPr fontId="6" type="noConversion"/>
  </si>
  <si>
    <t>R38</t>
    <phoneticPr fontId="6" type="noConversion"/>
  </si>
  <si>
    <t>R30~39</t>
    <phoneticPr fontId="6" type="noConversion"/>
  </si>
  <si>
    <t xml:space="preserve">   수목이식(굴취,가식)</t>
    <phoneticPr fontId="6" type="noConversion"/>
  </si>
  <si>
    <t xml:space="preserve">   수목이식(굴취,정식)</t>
    <phoneticPr fontId="6" type="noConversion"/>
  </si>
  <si>
    <t xml:space="preserve">   지주목(삼발이대형)</t>
    <phoneticPr fontId="6" type="noConversion"/>
  </si>
  <si>
    <t>Ø70x2700x3</t>
    <phoneticPr fontId="6" type="noConversion"/>
  </si>
  <si>
    <t>82.3</t>
    <phoneticPr fontId="6" type="noConversion"/>
  </si>
  <si>
    <t>33.9</t>
    <phoneticPr fontId="6" type="noConversion"/>
  </si>
  <si>
    <t>5.76</t>
    <phoneticPr fontId="6" type="noConversion"/>
  </si>
  <si>
    <t>R20~29</t>
    <phoneticPr fontId="6" type="noConversion"/>
  </si>
  <si>
    <t xml:space="preserve">   지주목(삼발이중형)</t>
    <phoneticPr fontId="6" type="noConversion"/>
  </si>
  <si>
    <t>Ø55x1800x3</t>
    <phoneticPr fontId="6" type="noConversion"/>
  </si>
  <si>
    <t>29</t>
    <phoneticPr fontId="6" type="noConversion"/>
  </si>
  <si>
    <t>8.5</t>
    <phoneticPr fontId="6" type="noConversion"/>
  </si>
  <si>
    <t>1.44</t>
    <phoneticPr fontId="6" type="noConversion"/>
  </si>
  <si>
    <t>52</t>
    <phoneticPr fontId="6" type="noConversion"/>
  </si>
  <si>
    <t>19.1</t>
    <phoneticPr fontId="6" type="noConversion"/>
  </si>
  <si>
    <t>3.24</t>
    <phoneticPr fontId="6" type="noConversion"/>
  </si>
  <si>
    <t>R30</t>
    <phoneticPr fontId="6" type="noConversion"/>
  </si>
  <si>
    <t>R20</t>
    <phoneticPr fontId="6" type="noConversion"/>
  </si>
  <si>
    <t>R22</t>
    <phoneticPr fontId="6" type="noConversion"/>
  </si>
  <si>
    <t>33.3</t>
    <phoneticPr fontId="6" type="noConversion"/>
  </si>
  <si>
    <t>10.3</t>
    <phoneticPr fontId="6" type="noConversion"/>
  </si>
  <si>
    <t>1.74</t>
    <phoneticPr fontId="6" type="noConversion"/>
  </si>
  <si>
    <t>R15</t>
    <phoneticPr fontId="6" type="noConversion"/>
  </si>
  <si>
    <t>R15~19</t>
    <phoneticPr fontId="6" type="noConversion"/>
  </si>
  <si>
    <t>22</t>
    <phoneticPr fontId="6" type="noConversion"/>
  </si>
  <si>
    <t>4.8</t>
    <phoneticPr fontId="6" type="noConversion"/>
  </si>
  <si>
    <t>0.81</t>
    <phoneticPr fontId="6" type="noConversion"/>
  </si>
  <si>
    <t>H6.0xR20</t>
    <phoneticPr fontId="6" type="noConversion"/>
  </si>
  <si>
    <t>정산보험료증감분 산출</t>
    <phoneticPr fontId="6" type="noConversion"/>
  </si>
  <si>
    <r>
      <t>[공사명]</t>
    </r>
    <r>
      <rPr>
        <b/>
        <sz val="10"/>
        <rFont val="굴림"/>
        <family val="3"/>
        <charset val="129"/>
      </rPr>
      <t>고기근린공원(사회공헌)</t>
    </r>
    <r>
      <rPr>
        <b/>
        <sz val="10"/>
        <color indexed="8"/>
        <rFont val="굴림"/>
        <family val="3"/>
        <charset val="129"/>
      </rPr>
      <t xml:space="preserve"> </t>
    </r>
    <r>
      <rPr>
        <b/>
        <sz val="10"/>
        <rFont val="굴림"/>
        <family val="3"/>
        <charset val="129"/>
      </rPr>
      <t>조성공사</t>
    </r>
    <r>
      <rPr>
        <b/>
        <sz val="10"/>
        <color indexed="8"/>
        <rFont val="굴림"/>
        <family val="3"/>
        <charset val="129"/>
      </rPr>
      <t>(</t>
    </r>
    <r>
      <rPr>
        <b/>
        <sz val="10"/>
        <rFont val="굴림"/>
        <family val="3"/>
        <charset val="129"/>
      </rPr>
      <t>조경</t>
    </r>
    <r>
      <rPr>
        <b/>
        <sz val="10"/>
        <color indexed="8"/>
        <rFont val="굴림"/>
        <family val="3"/>
        <charset val="129"/>
      </rPr>
      <t>)</t>
    </r>
    <phoneticPr fontId="9" type="noConversion"/>
  </si>
  <si>
    <t>단위</t>
    <phoneticPr fontId="6" type="noConversion"/>
  </si>
  <si>
    <t>공 사 원 가 계 산 서( 조  경)</t>
    <phoneticPr fontId="6" type="noConversion"/>
  </si>
  <si>
    <t>신규 일위대가_호표</t>
    <phoneticPr fontId="6" type="noConversion"/>
  </si>
  <si>
    <t>No.1 수목이식(굴취,가식,정식)</t>
    <phoneticPr fontId="6" type="noConversion"/>
  </si>
  <si>
    <t>No.3  수목이식(굴취,가식,정식)</t>
    <phoneticPr fontId="6" type="noConversion"/>
  </si>
  <si>
    <t>No.4  수목이식(굴취,가식,정식)</t>
    <phoneticPr fontId="6" type="noConversion"/>
  </si>
  <si>
    <t>일위대가목록(신규)</t>
    <phoneticPr fontId="6" type="noConversion"/>
  </si>
  <si>
    <t xml:space="preserve">   유용석 쌓기</t>
    <phoneticPr fontId="6" type="noConversion"/>
  </si>
  <si>
    <t>87.295%</t>
    <phoneticPr fontId="6" type="noConversion"/>
  </si>
  <si>
    <t>No.2 수목이식(굴취,가식,정식)</t>
    <phoneticPr fontId="6" type="noConversion"/>
  </si>
  <si>
    <t>No.5  수목이식(굴취,가식,정식)</t>
    <phoneticPr fontId="6" type="noConversion"/>
  </si>
  <si>
    <t>No.6  휴게데크A-1</t>
    <phoneticPr fontId="6" type="noConversion"/>
  </si>
  <si>
    <t>No.7  조경 유용석 쌓기 및 놓기</t>
    <phoneticPr fontId="6" type="noConversion"/>
  </si>
  <si>
    <t>No.8  계단A</t>
    <phoneticPr fontId="6" type="noConversion"/>
  </si>
  <si>
    <t>No.9  계단B</t>
    <phoneticPr fontId="6" type="noConversion"/>
  </si>
  <si>
    <t>No.10  계단C</t>
    <phoneticPr fontId="6" type="noConversion"/>
  </si>
  <si>
    <t>No.11  계단D</t>
    <phoneticPr fontId="6" type="noConversion"/>
  </si>
  <si>
    <t>No.12  데크계단A</t>
    <phoneticPr fontId="6" type="noConversion"/>
  </si>
  <si>
    <t>No.13  데크계단B</t>
    <phoneticPr fontId="6" type="noConversion"/>
  </si>
  <si>
    <t>No.14  데크계단C</t>
    <phoneticPr fontId="6" type="noConversion"/>
  </si>
  <si>
    <t>No.15  데크계단D</t>
    <phoneticPr fontId="6" type="noConversion"/>
  </si>
  <si>
    <t>No.16  데크계단E</t>
    <phoneticPr fontId="6" type="noConversion"/>
  </si>
  <si>
    <t>No.17  데크계단F</t>
    <phoneticPr fontId="6" type="noConversion"/>
  </si>
  <si>
    <t>No.18  데크계단G</t>
    <phoneticPr fontId="6" type="noConversion"/>
  </si>
  <si>
    <t>No.19  계류</t>
    <phoneticPr fontId="6" type="noConversion"/>
  </si>
  <si>
    <t>No.20  휴게데크C</t>
    <phoneticPr fontId="6" type="noConversion"/>
  </si>
  <si>
    <t>No.21  점자블럭(점형)</t>
    <phoneticPr fontId="6" type="noConversion"/>
  </si>
  <si>
    <t>No.22  점자블럭(선형)</t>
    <phoneticPr fontId="6" type="noConversion"/>
  </si>
  <si>
    <t>No.23 낙엽수 조형전정(1회)</t>
    <phoneticPr fontId="6" type="noConversion"/>
  </si>
  <si>
    <t>조경공</t>
  </si>
  <si>
    <t>공구손료(인건비의 2%)</t>
  </si>
  <si>
    <t xml:space="preserve">B11~21미만(R13~25미만) </t>
  </si>
  <si>
    <t>트럭탑재형 크레인</t>
  </si>
  <si>
    <t>3TON</t>
  </si>
  <si>
    <t>시간</t>
  </si>
  <si>
    <t>B21~31미만(R25~37미만)</t>
  </si>
  <si>
    <t xml:space="preserve">B31~41미만(R37~49미만) </t>
  </si>
  <si>
    <t xml:space="preserve">B41~51미만(R49~61미만) </t>
  </si>
  <si>
    <t xml:space="preserve">B11(R13)미만 </t>
  </si>
  <si>
    <t>공구손료(인건비의 0%)</t>
  </si>
  <si>
    <t>No.24 낙엽수 조형전정(1회)</t>
    <phoneticPr fontId="6" type="noConversion"/>
  </si>
  <si>
    <t>No.25 낙엽수 조형전정(1회)</t>
    <phoneticPr fontId="6" type="noConversion"/>
  </si>
  <si>
    <t>No.26 낙엽수 조형전정(1회)</t>
    <phoneticPr fontId="6" type="noConversion"/>
  </si>
  <si>
    <t>No.27 낙엽수 조형전정(1회)</t>
    <phoneticPr fontId="6" type="noConversion"/>
  </si>
  <si>
    <t>No.28 상록수  조형전정(1회)</t>
    <phoneticPr fontId="6" type="noConversion"/>
  </si>
  <si>
    <t>No.29 상록수  조형전정(1회)</t>
    <phoneticPr fontId="6" type="noConversion"/>
  </si>
  <si>
    <t>No.30 상록수  조형전정(1회)</t>
    <phoneticPr fontId="6" type="noConversion"/>
  </si>
  <si>
    <t>No.31 상록수  조형전정(1회)</t>
    <phoneticPr fontId="6" type="noConversion"/>
  </si>
  <si>
    <t xml:space="preserve">  ..낙엽수 조형전정(1회)</t>
    <phoneticPr fontId="6" type="noConversion"/>
  </si>
  <si>
    <t xml:space="preserve">  ..상록수 조형전정(1회)</t>
    <phoneticPr fontId="6" type="noConversion"/>
  </si>
  <si>
    <t>제1회 기성내역서</t>
    <phoneticPr fontId="6" type="noConversion"/>
  </si>
  <si>
    <t>비 고</t>
    <phoneticPr fontId="6" type="noConversion"/>
  </si>
  <si>
    <t>도급금액</t>
    <phoneticPr fontId="6" type="noConversion"/>
  </si>
  <si>
    <t>재료비</t>
    <phoneticPr fontId="6" type="noConversion"/>
  </si>
  <si>
    <t>도급단가</t>
    <phoneticPr fontId="6" type="noConversion"/>
  </si>
  <si>
    <t>재료비금액</t>
    <phoneticPr fontId="6" type="noConversion"/>
  </si>
  <si>
    <t>노무비</t>
    <phoneticPr fontId="6" type="noConversion"/>
  </si>
  <si>
    <t>노무비금액</t>
    <phoneticPr fontId="6" type="noConversion"/>
  </si>
  <si>
    <t>경비</t>
    <phoneticPr fontId="6" type="noConversion"/>
  </si>
  <si>
    <t>경비금액</t>
    <phoneticPr fontId="6" type="noConversion"/>
  </si>
  <si>
    <t>수량</t>
    <phoneticPr fontId="6" type="noConversion"/>
  </si>
  <si>
    <t>비율(%)</t>
    <phoneticPr fontId="6" type="noConversion"/>
  </si>
  <si>
    <t>전회기성</t>
    <phoneticPr fontId="6" type="noConversion"/>
  </si>
  <si>
    <t>금회기성</t>
    <phoneticPr fontId="6" type="noConversion"/>
  </si>
  <si>
    <t>누계기성</t>
    <phoneticPr fontId="6" type="noConversion"/>
  </si>
  <si>
    <t xml:space="preserve">   직접공사비</t>
    <phoneticPr fontId="6" type="noConversion"/>
  </si>
  <si>
    <t>공사명 : 고기근린공원(사회공헌)조성공사</t>
    <phoneticPr fontId="9" type="noConversion"/>
  </si>
  <si>
    <t>▣ 도 급 금 액 :</t>
    <phoneticPr fontId="9" type="noConversion"/>
  </si>
  <si>
    <t>일금</t>
    <phoneticPr fontId="34" type="noConversion"/>
  </si>
  <si>
    <t>원정</t>
    <phoneticPr fontId="34" type="noConversion"/>
  </si>
  <si>
    <t>(</t>
    <phoneticPr fontId="9" type="noConversion"/>
  </si>
  <si>
    <t>)</t>
    <phoneticPr fontId="9" type="noConversion"/>
  </si>
  <si>
    <t>▣ 전 회 기 성 :</t>
    <phoneticPr fontId="9" type="noConversion"/>
  </si>
  <si>
    <t>▣ 금 회 기 성 :</t>
    <phoneticPr fontId="9" type="noConversion"/>
  </si>
  <si>
    <t>▣ 누 계 기 성 :</t>
    <phoneticPr fontId="9" type="noConversion"/>
  </si>
  <si>
    <t>▣ 미  기  성 :</t>
    <phoneticPr fontId="9" type="noConversion"/>
  </si>
  <si>
    <t>3700x3700x2700</t>
    <phoneticPr fontId="6" type="noConversion"/>
  </si>
  <si>
    <t>1600x590x841</t>
    <phoneticPr fontId="6" type="noConversion"/>
  </si>
  <si>
    <t>1800x1200</t>
    <phoneticPr fontId="6" type="noConversion"/>
  </si>
  <si>
    <t>800x2000</t>
    <phoneticPr fontId="6" type="noConversion"/>
  </si>
  <si>
    <t>350x1500</t>
    <phoneticPr fontId="6" type="noConversion"/>
  </si>
  <si>
    <t>8600x200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</si>
</sst>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-&quot;₩&quot;* #,##0_-;\-&quot;₩&quot;* #,##0_-;_-&quot;₩&quot;* &quot;-&quot;_-;_-@_-"/>
    <numFmt numFmtId="41" formatCode="_-* #,##0_-;\-* #,##0_-;_-* &quot;-&quot;_-;_-@_-"/>
    <numFmt numFmtId="177" formatCode="_(* #,##0.00_);_(* \(#,##0.00\);_(* &quot;-&quot;??_);_(@_)"/>
    <numFmt numFmtId="179" formatCode="General;\-General\,&quot;&quot;;@"/>
    <numFmt numFmtId="180" formatCode="#,##0.00####;\-#,##0.00####;@"/>
    <numFmt numFmtId="181" formatCode="#,###.000;\-#,###.000;&quot;&quot;;@"/>
    <numFmt numFmtId="182" formatCode="#,###.00;\-#,###.00;&quot;&quot;;@"/>
    <numFmt numFmtId="183" formatCode="#,###.0;\-#,###.0;&quot;&quot;;@"/>
    <numFmt numFmtId="184" formatCode="#,###;\-#,###;&quot;&quot;;@"/>
    <numFmt numFmtId="185" formatCode="0.000%"/>
    <numFmt numFmtId="186" formatCode="_(* #,##0_);_(* \(#,##0\);_(* &quot;-&quot;??_);_(@_)"/>
    <numFmt numFmtId="190" formatCode="0.0000%"/>
    <numFmt numFmtId="192" formatCode="#,##0_ ;[Red]\-#,##0\ "/>
    <numFmt numFmtId="194" formatCode="#,##0.0_ ;[Red]\-#,##0.0\ "/>
    <numFmt numFmtId="196" formatCode="#,##0.000_ ;[Red]\-#,##0.000\ "/>
    <numFmt numFmtId="197" formatCode="#,##0.0_ "/>
    <numFmt numFmtId="199" formatCode="&quot;₩&quot;#,##0"/>
  </numFmts>
  <fonts count="47" x14ac:knownFonts="1">
    <font>
      <sz val="8"/>
      <color indexed="8"/>
      <name val="굴림"/>
      <family val="3"/>
      <charset val="129"/>
    </font>
    <font>
      <u/>
      <sz val="8"/>
      <color indexed="12"/>
      <name val="굴림"/>
      <family val="3"/>
      <charset val="129"/>
    </font>
    <font>
      <sz val="8"/>
      <color indexed="30"/>
      <name val="굴림"/>
      <family val="3"/>
      <charset val="129"/>
    </font>
    <font>
      <sz val="8"/>
      <color indexed="22"/>
      <name val="굴림"/>
      <family val="3"/>
      <charset val="129"/>
    </font>
    <font>
      <sz val="8"/>
      <color indexed="8"/>
      <name val="Arial"/>
      <family val="2"/>
    </font>
    <font>
      <sz val="8"/>
      <color indexed="8"/>
      <name val="굴림"/>
      <family val="3"/>
      <charset val="129"/>
    </font>
    <font>
      <sz val="8"/>
      <name val="굴림"/>
      <family val="3"/>
      <charset val="129"/>
    </font>
    <font>
      <sz val="8"/>
      <color indexed="8"/>
      <name val="굴림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  <font>
      <sz val="9"/>
      <color indexed="22"/>
      <name val="굴림체"/>
      <family val="3"/>
      <charset val="129"/>
    </font>
    <font>
      <sz val="9"/>
      <color indexed="22"/>
      <name val="굴림체"/>
      <family val="3"/>
      <charset val="129"/>
    </font>
    <font>
      <u/>
      <sz val="18"/>
      <name val="굴림"/>
      <family val="3"/>
      <charset val="129"/>
    </font>
    <font>
      <sz val="11"/>
      <name val="굴림"/>
      <family val="3"/>
      <charset val="129"/>
    </font>
    <font>
      <u/>
      <sz val="11"/>
      <name val="굴림"/>
      <family val="3"/>
      <charset val="129"/>
    </font>
    <font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12"/>
      <name val="굴림"/>
      <family val="3"/>
      <charset val="129"/>
    </font>
    <font>
      <sz val="22"/>
      <color indexed="8"/>
      <name val="굴림"/>
      <family val="3"/>
      <charset val="129"/>
    </font>
    <font>
      <sz val="24"/>
      <color indexed="8"/>
      <name val="굴림"/>
      <family val="3"/>
      <charset val="129"/>
    </font>
    <font>
      <u/>
      <sz val="24"/>
      <name val="굴림"/>
      <family val="3"/>
      <charset val="129"/>
    </font>
    <font>
      <sz val="11"/>
      <color indexed="30"/>
      <name val="굴림"/>
      <family val="3"/>
      <charset val="129"/>
    </font>
    <font>
      <sz val="11"/>
      <color indexed="8"/>
      <name val="굴림"/>
      <family val="3"/>
      <charset val="129"/>
    </font>
    <font>
      <u/>
      <sz val="11"/>
      <color indexed="30"/>
      <name val="굴림"/>
      <family val="3"/>
      <charset val="129"/>
    </font>
    <font>
      <sz val="11"/>
      <color indexed="22"/>
      <name val="굴림"/>
      <family val="3"/>
      <charset val="129"/>
    </font>
    <font>
      <b/>
      <sz val="11"/>
      <color indexed="8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indexed="22"/>
      <name val="굴림"/>
      <family val="3"/>
      <charset val="129"/>
    </font>
    <font>
      <b/>
      <sz val="13"/>
      <name val="굴림"/>
      <family val="3"/>
      <charset val="129"/>
    </font>
    <font>
      <sz val="10"/>
      <name val="Arial"/>
      <family val="2"/>
    </font>
    <font>
      <sz val="8"/>
      <name val="돋움체"/>
      <family val="3"/>
      <charset val="129"/>
    </font>
    <font>
      <b/>
      <sz val="8"/>
      <color rgb="FFFF0000"/>
      <name val="굴림"/>
      <family val="3"/>
      <charset val="129"/>
    </font>
    <font>
      <sz val="8"/>
      <color rgb="FFFF0000"/>
      <name val="굴림"/>
      <family val="3"/>
      <charset val="129"/>
    </font>
    <font>
      <u/>
      <sz val="18"/>
      <color rgb="FF0070C0"/>
      <name val="굴림"/>
      <family val="3"/>
      <charset val="129"/>
    </font>
    <font>
      <sz val="11"/>
      <color rgb="FF0070C0"/>
      <name val="굴림"/>
      <family val="3"/>
      <charset val="129"/>
    </font>
    <font>
      <sz val="10"/>
      <color rgb="FF0070C0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12"/>
      <color rgb="FFEE0000"/>
      <name val="굴림"/>
      <family val="3"/>
      <charset val="129"/>
    </font>
    <font>
      <b/>
      <sz val="12"/>
      <color rgb="FFEE0000"/>
      <name val="굴림"/>
      <family val="3"/>
      <charset val="129"/>
    </font>
    <font>
      <sz val="11"/>
      <color rgb="FFFF0000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2"/>
      <color rgb="FF0070C0"/>
      <name val="굴림"/>
      <family val="3"/>
      <charset val="129"/>
    </font>
    <font>
      <b/>
      <sz val="10"/>
      <color rgb="FF0070C0"/>
      <name val="굴림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9"/>
      </patternFill>
    </fill>
    <fill>
      <patternFill patternType="solid">
        <fgColor indexed="22"/>
        <bgColor indexed="9"/>
      </patternFill>
    </fill>
    <fill>
      <patternFill patternType="solid">
        <fgColor indexed="44"/>
        <bgColor indexed="9"/>
      </patternFill>
    </fill>
    <fill>
      <patternFill patternType="solid">
        <fgColor indexed="27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9"/>
      </patternFill>
    </fill>
    <fill>
      <patternFill patternType="solid">
        <fgColor theme="0" tint="-0.14999847407452621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9"/>
      </patternFill>
    </fill>
    <fill>
      <patternFill patternType="solid">
        <fgColor rgb="FFFFFF00"/>
        <bgColor indexed="9"/>
      </patternFill>
    </fill>
    <fill>
      <patternFill patternType="solid">
        <fgColor theme="9" tint="0.7999816888943144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/>
      <diagonal/>
    </border>
    <border>
      <left/>
      <right style="mediumDashed">
        <color rgb="FFEE0000"/>
      </right>
      <top style="thin">
        <color indexed="64"/>
      </top>
      <bottom/>
      <diagonal/>
    </border>
    <border>
      <left style="mediumDashed">
        <color rgb="FFEE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Dashed">
        <color rgb="FFEE0000"/>
      </right>
      <top style="hair">
        <color indexed="64"/>
      </top>
      <bottom style="hair">
        <color indexed="64"/>
      </bottom>
      <diagonal/>
    </border>
    <border>
      <left style="mediumDashed">
        <color rgb="FFEE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Dashed">
        <color rgb="FFEE0000"/>
      </right>
      <top style="hair">
        <color indexed="64"/>
      </top>
      <bottom style="thin">
        <color indexed="64"/>
      </bottom>
      <diagonal/>
    </border>
    <border>
      <left style="mediumDashed">
        <color rgb="FFEE0000"/>
      </left>
      <right style="thin">
        <color indexed="64"/>
      </right>
      <top/>
      <bottom/>
      <diagonal/>
    </border>
    <border>
      <left/>
      <right style="mediumDashed">
        <color rgb="FFEE0000"/>
      </right>
      <top/>
      <bottom/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Dashed">
        <color rgb="FFEE0000"/>
      </right>
      <top style="thin">
        <color indexed="64"/>
      </top>
      <bottom style="hair">
        <color indexed="64"/>
      </bottom>
      <diagonal/>
    </border>
    <border>
      <left style="mediumDashed">
        <color rgb="FFEE0000"/>
      </left>
      <right style="thin">
        <color indexed="64"/>
      </right>
      <top/>
      <bottom style="thin">
        <color indexed="64"/>
      </bottom>
      <diagonal/>
    </border>
    <border>
      <left/>
      <right style="mediumDashed">
        <color rgb="FFEE0000"/>
      </right>
      <top/>
      <bottom style="thin">
        <color indexed="64"/>
      </bottom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rgb="FFEE0000"/>
      </right>
      <top style="thin">
        <color indexed="64"/>
      </top>
      <bottom style="thin">
        <color indexed="64"/>
      </bottom>
      <diagonal/>
    </border>
    <border>
      <left style="mediumDashed">
        <color rgb="FFEE0000"/>
      </left>
      <right style="thin">
        <color indexed="64"/>
      </right>
      <top style="thin">
        <color indexed="64"/>
      </top>
      <bottom style="mediumDashed">
        <color rgb="FFEE0000"/>
      </bottom>
      <diagonal/>
    </border>
    <border>
      <left style="thin">
        <color indexed="64"/>
      </left>
      <right style="mediumDashed">
        <color rgb="FFEE0000"/>
      </right>
      <top style="thin">
        <color indexed="64"/>
      </top>
      <bottom style="mediumDashed">
        <color rgb="FFEE0000"/>
      </bottom>
      <diagonal/>
    </border>
    <border>
      <left style="thin">
        <color indexed="64"/>
      </left>
      <right style="mediumDashed">
        <color rgb="FFEE0000"/>
      </right>
      <top/>
      <bottom style="thin">
        <color indexed="64"/>
      </bottom>
      <diagonal/>
    </border>
    <border>
      <left style="thin">
        <color indexed="64"/>
      </left>
      <right style="mediumDashed">
        <color rgb="FFEE0000"/>
      </right>
      <top style="mediumDashed">
        <color rgb="FFEE0000"/>
      </top>
      <bottom/>
      <diagonal/>
    </border>
    <border>
      <left style="mediumDashed">
        <color rgb="FFEE0000"/>
      </left>
      <right style="thin">
        <color indexed="64"/>
      </right>
      <top style="mediumDashed">
        <color rgb="FFEE0000"/>
      </top>
      <bottom/>
      <diagonal/>
    </border>
  </borders>
  <cellStyleXfs count="9">
    <xf numFmtId="0" fontId="0" fillId="0" borderId="0"/>
    <xf numFmtId="9" fontId="5" fillId="0" borderId="0"/>
    <xf numFmtId="9" fontId="8" fillId="0" borderId="0" applyFont="0" applyFill="0" applyBorder="0" applyAlignment="0" applyProtection="0">
      <alignment vertical="center"/>
    </xf>
    <xf numFmtId="177" fontId="5" fillId="0" borderId="0"/>
    <xf numFmtId="41" fontId="8" fillId="0" borderId="0" applyFont="0" applyFill="0" applyBorder="0" applyAlignment="0" applyProtection="0">
      <alignment vertical="center"/>
    </xf>
    <xf numFmtId="177" fontId="7" fillId="0" borderId="0"/>
    <xf numFmtId="0" fontId="8" fillId="0" borderId="0">
      <alignment vertical="center"/>
    </xf>
    <xf numFmtId="0" fontId="33" fillId="0" borderId="0"/>
    <xf numFmtId="0" fontId="8" fillId="0" borderId="0"/>
  </cellStyleXfs>
  <cellXfs count="462">
    <xf numFmtId="0" fontId="0" fillId="0" borderId="0" xfId="0"/>
    <xf numFmtId="179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vertical="center"/>
    </xf>
    <xf numFmtId="179" fontId="0" fillId="0" borderId="2" xfId="0" applyNumberFormat="1" applyBorder="1" applyAlignment="1">
      <alignment vertical="center"/>
    </xf>
    <xf numFmtId="179" fontId="0" fillId="0" borderId="3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80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79" fontId="0" fillId="0" borderId="4" xfId="0" applyNumberFormat="1" applyBorder="1" applyAlignment="1">
      <alignment vertical="center"/>
    </xf>
    <xf numFmtId="179" fontId="0" fillId="0" borderId="5" xfId="0" applyNumberFormat="1" applyBorder="1" applyAlignment="1">
      <alignment vertical="center"/>
    </xf>
    <xf numFmtId="179" fontId="0" fillId="0" borderId="6" xfId="0" applyNumberFormat="1" applyBorder="1" applyAlignment="1">
      <alignment vertical="center"/>
    </xf>
    <xf numFmtId="179" fontId="0" fillId="0" borderId="7" xfId="0" applyNumberFormat="1" applyBorder="1" applyAlignment="1">
      <alignment vertical="center"/>
    </xf>
    <xf numFmtId="179" fontId="0" fillId="0" borderId="8" xfId="0" applyNumberFormat="1" applyBorder="1" applyAlignment="1">
      <alignment vertical="center"/>
    </xf>
    <xf numFmtId="179" fontId="0" fillId="5" borderId="9" xfId="0" applyNumberFormat="1" applyFill="1" applyBorder="1" applyAlignment="1">
      <alignment horizontal="center" vertical="center"/>
    </xf>
    <xf numFmtId="179" fontId="0" fillId="5" borderId="10" xfId="0" applyNumberFormat="1" applyFill="1" applyBorder="1" applyAlignment="1">
      <alignment horizontal="center" vertical="center"/>
    </xf>
    <xf numFmtId="179" fontId="0" fillId="5" borderId="11" xfId="0" applyNumberFormat="1" applyFill="1" applyBorder="1" applyAlignment="1">
      <alignment horizontal="center" vertical="center"/>
    </xf>
    <xf numFmtId="179" fontId="0" fillId="5" borderId="11" xfId="0" applyNumberFormat="1" applyFill="1" applyBorder="1" applyAlignment="1">
      <alignment horizontal="center" vertical="center" wrapText="1"/>
    </xf>
    <xf numFmtId="179" fontId="0" fillId="0" borderId="5" xfId="0" applyNumberFormat="1" applyBorder="1" applyAlignment="1">
      <alignment vertical="center" wrapText="1"/>
    </xf>
    <xf numFmtId="179" fontId="0" fillId="0" borderId="8" xfId="0" applyNumberFormat="1" applyBorder="1" applyAlignment="1">
      <alignment vertical="center" wrapText="1"/>
    </xf>
    <xf numFmtId="179" fontId="0" fillId="5" borderId="10" xfId="0" applyNumberFormat="1" applyFill="1" applyBorder="1" applyAlignment="1">
      <alignment horizontal="center" vertical="center" wrapText="1"/>
    </xf>
    <xf numFmtId="179" fontId="0" fillId="0" borderId="1" xfId="0" applyNumberFormat="1" applyBorder="1" applyAlignment="1">
      <alignment vertical="center" wrapText="1"/>
    </xf>
    <xf numFmtId="179" fontId="0" fillId="0" borderId="7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/>
    </xf>
    <xf numFmtId="181" fontId="0" fillId="0" borderId="7" xfId="0" applyNumberFormat="1" applyBorder="1" applyAlignment="1">
      <alignment vertical="center"/>
    </xf>
    <xf numFmtId="182" fontId="0" fillId="0" borderId="1" xfId="0" applyNumberFormat="1" applyBorder="1" applyAlignment="1">
      <alignment vertical="center"/>
    </xf>
    <xf numFmtId="183" fontId="0" fillId="0" borderId="1" xfId="0" applyNumberFormat="1" applyBorder="1" applyAlignment="1">
      <alignment vertical="center"/>
    </xf>
    <xf numFmtId="184" fontId="0" fillId="0" borderId="1" xfId="0" applyNumberFormat="1" applyBorder="1" applyAlignment="1">
      <alignment vertical="center"/>
    </xf>
    <xf numFmtId="183" fontId="0" fillId="0" borderId="7" xfId="0" applyNumberFormat="1" applyBorder="1" applyAlignment="1">
      <alignment vertical="center"/>
    </xf>
    <xf numFmtId="184" fontId="0" fillId="0" borderId="7" xfId="0" applyNumberFormat="1" applyBorder="1" applyAlignment="1">
      <alignment vertical="center"/>
    </xf>
    <xf numFmtId="179" fontId="0" fillId="5" borderId="12" xfId="0" applyNumberFormat="1" applyFill="1" applyBorder="1" applyAlignment="1">
      <alignment horizontal="center" vertical="center"/>
    </xf>
    <xf numFmtId="18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83" fontId="0" fillId="0" borderId="0" xfId="0" applyNumberFormat="1" applyAlignment="1">
      <alignment vertical="center"/>
    </xf>
    <xf numFmtId="182" fontId="0" fillId="0" borderId="0" xfId="0" applyNumberFormat="1" applyAlignment="1">
      <alignment vertical="center"/>
    </xf>
    <xf numFmtId="184" fontId="0" fillId="0" borderId="2" xfId="0" applyNumberFormat="1" applyBorder="1" applyAlignment="1">
      <alignment vertical="center"/>
    </xf>
    <xf numFmtId="183" fontId="0" fillId="0" borderId="2" xfId="0" applyNumberFormat="1" applyBorder="1" applyAlignment="1">
      <alignment vertical="center"/>
    </xf>
    <xf numFmtId="183" fontId="0" fillId="0" borderId="13" xfId="0" applyNumberFormat="1" applyBorder="1" applyAlignment="1">
      <alignment vertical="center"/>
    </xf>
    <xf numFmtId="184" fontId="0" fillId="0" borderId="14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83" fontId="0" fillId="0" borderId="15" xfId="0" applyNumberFormat="1" applyBorder="1" applyAlignment="1">
      <alignment vertical="center"/>
    </xf>
    <xf numFmtId="183" fontId="0" fillId="0" borderId="14" xfId="0" applyNumberFormat="1" applyBorder="1" applyAlignment="1">
      <alignment vertical="center"/>
    </xf>
    <xf numFmtId="179" fontId="0" fillId="0" borderId="16" xfId="0" applyNumberFormat="1" applyBorder="1" applyAlignment="1">
      <alignment vertical="center"/>
    </xf>
    <xf numFmtId="0" fontId="0" fillId="0" borderId="17" xfId="0" applyBorder="1"/>
    <xf numFmtId="0" fontId="0" fillId="0" borderId="16" xfId="0" applyBorder="1" applyAlignment="1">
      <alignment vertical="center"/>
    </xf>
    <xf numFmtId="179" fontId="0" fillId="0" borderId="18" xfId="0" applyNumberFormat="1" applyBorder="1" applyAlignment="1">
      <alignment vertical="center"/>
    </xf>
    <xf numFmtId="179" fontId="0" fillId="0" borderId="19" xfId="0" applyNumberFormat="1" applyBorder="1" applyAlignment="1">
      <alignment vertical="center" wrapText="1"/>
    </xf>
    <xf numFmtId="183" fontId="0" fillId="0" borderId="19" xfId="0" applyNumberFormat="1" applyBorder="1" applyAlignment="1">
      <alignment vertical="center" wrapText="1"/>
    </xf>
    <xf numFmtId="183" fontId="0" fillId="0" borderId="20" xfId="0" applyNumberFormat="1" applyBorder="1" applyAlignment="1">
      <alignment vertical="center" wrapText="1"/>
    </xf>
    <xf numFmtId="179" fontId="0" fillId="0" borderId="21" xfId="0" applyNumberFormat="1" applyBorder="1" applyAlignment="1">
      <alignment vertical="center" wrapText="1"/>
    </xf>
    <xf numFmtId="183" fontId="0" fillId="0" borderId="22" xfId="0" applyNumberFormat="1" applyBorder="1" applyAlignment="1">
      <alignment vertical="center" wrapText="1"/>
    </xf>
    <xf numFmtId="183" fontId="0" fillId="0" borderId="21" xfId="0" applyNumberFormat="1" applyBorder="1" applyAlignment="1">
      <alignment vertical="center" wrapText="1"/>
    </xf>
    <xf numFmtId="179" fontId="0" fillId="5" borderId="7" xfId="0" applyNumberFormat="1" applyFill="1" applyBorder="1" applyAlignment="1">
      <alignment horizontal="center" vertical="center"/>
    </xf>
    <xf numFmtId="179" fontId="0" fillId="0" borderId="7" xfId="0" applyNumberFormat="1" applyBorder="1" applyAlignment="1">
      <alignment horizontal="center" vertical="center"/>
    </xf>
    <xf numFmtId="182" fontId="0" fillId="0" borderId="7" xfId="0" applyNumberFormat="1" applyBorder="1" applyAlignment="1">
      <alignment vertical="center"/>
    </xf>
    <xf numFmtId="186" fontId="5" fillId="0" borderId="0" xfId="3" applyNumberFormat="1"/>
    <xf numFmtId="0" fontId="35" fillId="0" borderId="0" xfId="0" applyFont="1" applyAlignment="1">
      <alignment horizontal="center" vertical="center"/>
    </xf>
    <xf numFmtId="190" fontId="35" fillId="0" borderId="0" xfId="1" applyNumberFormat="1" applyFont="1" applyAlignment="1">
      <alignment horizontal="center" vertical="center"/>
    </xf>
    <xf numFmtId="192" fontId="0" fillId="0" borderId="0" xfId="0" applyNumberFormat="1"/>
    <xf numFmtId="192" fontId="0" fillId="0" borderId="1" xfId="0" applyNumberFormat="1" applyBorder="1" applyAlignment="1">
      <alignment vertical="center"/>
    </xf>
    <xf numFmtId="179" fontId="36" fillId="0" borderId="1" xfId="0" applyNumberFormat="1" applyFont="1" applyBorder="1" applyAlignment="1">
      <alignment vertical="center"/>
    </xf>
    <xf numFmtId="182" fontId="36" fillId="0" borderId="1" xfId="0" applyNumberFormat="1" applyFont="1" applyBorder="1" applyAlignment="1">
      <alignment vertical="center"/>
    </xf>
    <xf numFmtId="183" fontId="36" fillId="0" borderId="1" xfId="0" applyNumberFormat="1" applyFont="1" applyBorder="1" applyAlignment="1">
      <alignment vertical="center"/>
    </xf>
    <xf numFmtId="179" fontId="36" fillId="0" borderId="1" xfId="0" applyNumberFormat="1" applyFont="1" applyBorder="1" applyAlignment="1">
      <alignment horizontal="center" vertical="center"/>
    </xf>
    <xf numFmtId="184" fontId="0" fillId="7" borderId="1" xfId="0" applyNumberFormat="1" applyFill="1" applyBorder="1" applyAlignment="1">
      <alignment vertical="center"/>
    </xf>
    <xf numFmtId="184" fontId="0" fillId="0" borderId="1" xfId="0" applyNumberFormat="1" applyFill="1" applyBorder="1" applyAlignment="1">
      <alignment vertical="center"/>
    </xf>
    <xf numFmtId="179" fontId="0" fillId="8" borderId="1" xfId="0" applyNumberFormat="1" applyFill="1" applyBorder="1" applyAlignment="1">
      <alignment vertical="center"/>
    </xf>
    <xf numFmtId="184" fontId="0" fillId="8" borderId="1" xfId="0" applyNumberFormat="1" applyFill="1" applyBorder="1" applyAlignment="1">
      <alignment vertical="center"/>
    </xf>
    <xf numFmtId="0" fontId="13" fillId="0" borderId="1" xfId="0" applyFont="1" applyBorder="1"/>
    <xf numFmtId="0" fontId="0" fillId="4" borderId="1" xfId="0" applyFill="1" applyBorder="1"/>
    <xf numFmtId="0" fontId="0" fillId="3" borderId="1" xfId="0" applyFill="1" applyBorder="1"/>
    <xf numFmtId="179" fontId="0" fillId="0" borderId="23" xfId="0" applyNumberFormat="1" applyBorder="1" applyAlignment="1">
      <alignment vertical="center"/>
    </xf>
    <xf numFmtId="179" fontId="0" fillId="0" borderId="24" xfId="0" applyNumberFormat="1" applyBorder="1" applyAlignment="1">
      <alignment vertical="center"/>
    </xf>
    <xf numFmtId="184" fontId="0" fillId="0" borderId="24" xfId="0" applyNumberFormat="1" applyBorder="1" applyAlignment="1">
      <alignment vertical="center"/>
    </xf>
    <xf numFmtId="184" fontId="0" fillId="7" borderId="24" xfId="0" applyNumberFormat="1" applyFill="1" applyBorder="1" applyAlignment="1">
      <alignment vertical="center"/>
    </xf>
    <xf numFmtId="179" fontId="0" fillId="0" borderId="25" xfId="0" applyNumberFormat="1" applyBorder="1" applyAlignment="1">
      <alignment vertical="center" wrapText="1"/>
    </xf>
    <xf numFmtId="179" fontId="0" fillId="0" borderId="1" xfId="0" applyNumberFormat="1" applyFill="1" applyBorder="1" applyAlignment="1">
      <alignment vertical="center"/>
    </xf>
    <xf numFmtId="179" fontId="36" fillId="0" borderId="1" xfId="0" applyNumberFormat="1" applyFont="1" applyBorder="1" applyAlignment="1">
      <alignment horizontal="right" vertical="center"/>
    </xf>
    <xf numFmtId="179" fontId="0" fillId="0" borderId="1" xfId="0" applyNumberFormat="1" applyFill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0" fontId="14" fillId="0" borderId="1" xfId="0" applyFont="1" applyBorder="1"/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179" fontId="0" fillId="0" borderId="1" xfId="0" applyNumberFormat="1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 shrinkToFit="1"/>
    </xf>
    <xf numFmtId="179" fontId="0" fillId="0" borderId="15" xfId="0" applyNumberFormat="1" applyBorder="1" applyAlignment="1">
      <alignment vertical="center"/>
    </xf>
    <xf numFmtId="184" fontId="0" fillId="0" borderId="15" xfId="0" applyNumberFormat="1" applyBorder="1" applyAlignment="1">
      <alignment vertical="center"/>
    </xf>
    <xf numFmtId="182" fontId="0" fillId="0" borderId="12" xfId="0" applyNumberForma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182" fontId="36" fillId="0" borderId="12" xfId="0" applyNumberFormat="1" applyFont="1" applyBorder="1" applyAlignment="1">
      <alignment vertical="center"/>
    </xf>
    <xf numFmtId="179" fontId="36" fillId="0" borderId="12" xfId="0" applyNumberFormat="1" applyFont="1" applyBorder="1" applyAlignment="1">
      <alignment horizontal="center" vertical="center"/>
    </xf>
    <xf numFmtId="179" fontId="0" fillId="8" borderId="15" xfId="0" applyNumberFormat="1" applyFill="1" applyBorder="1" applyAlignment="1">
      <alignment vertical="center"/>
    </xf>
    <xf numFmtId="184" fontId="0" fillId="8" borderId="15" xfId="0" applyNumberFormat="1" applyFill="1" applyBorder="1" applyAlignment="1">
      <alignment vertical="center"/>
    </xf>
    <xf numFmtId="0" fontId="36" fillId="0" borderId="4" xfId="0" applyNumberFormat="1" applyFont="1" applyBorder="1" applyAlignment="1">
      <alignment vertical="center"/>
    </xf>
    <xf numFmtId="0" fontId="36" fillId="0" borderId="1" xfId="0" applyNumberFormat="1" applyFont="1" applyBorder="1" applyAlignment="1">
      <alignment vertical="center"/>
    </xf>
    <xf numFmtId="184" fontId="36" fillId="0" borderId="1" xfId="0" applyNumberFormat="1" applyFont="1" applyBorder="1" applyAlignment="1">
      <alignment vertical="center"/>
    </xf>
    <xf numFmtId="192" fontId="36" fillId="0" borderId="1" xfId="0" applyNumberFormat="1" applyFont="1" applyBorder="1" applyAlignment="1">
      <alignment vertical="center"/>
    </xf>
    <xf numFmtId="192" fontId="36" fillId="0" borderId="5" xfId="0" applyNumberFormat="1" applyFont="1" applyBorder="1" applyAlignment="1">
      <alignment vertical="center" wrapText="1"/>
    </xf>
    <xf numFmtId="0" fontId="15" fillId="0" borderId="0" xfId="8" applyFont="1" applyAlignment="1">
      <alignment horizontal="centerContinuous" vertical="center"/>
    </xf>
    <xf numFmtId="0" fontId="37" fillId="0" borderId="0" xfId="8" applyFont="1" applyAlignment="1">
      <alignment horizontal="centerContinuous" vertical="center"/>
    </xf>
    <xf numFmtId="0" fontId="16" fillId="0" borderId="0" xfId="8" applyFont="1"/>
    <xf numFmtId="0" fontId="16" fillId="0" borderId="0" xfId="8" applyFont="1" applyAlignment="1">
      <alignment vertical="center"/>
    </xf>
    <xf numFmtId="0" fontId="17" fillId="0" borderId="0" xfId="8" applyFont="1" applyAlignment="1">
      <alignment horizontal="centerContinuous" vertical="center"/>
    </xf>
    <xf numFmtId="0" fontId="38" fillId="0" borderId="0" xfId="8" applyFont="1" applyAlignment="1">
      <alignment vertical="center"/>
    </xf>
    <xf numFmtId="192" fontId="11" fillId="6" borderId="0" xfId="8" applyNumberFormat="1" applyFont="1" applyFill="1" applyBorder="1" applyAlignment="1">
      <alignment vertical="center"/>
    </xf>
    <xf numFmtId="0" fontId="39" fillId="6" borderId="0" xfId="8" applyFont="1" applyFill="1" applyBorder="1" applyAlignment="1">
      <alignment vertical="center"/>
    </xf>
    <xf numFmtId="0" fontId="39" fillId="6" borderId="26" xfId="8" applyFont="1" applyFill="1" applyBorder="1" applyAlignment="1">
      <alignment vertical="center"/>
    </xf>
    <xf numFmtId="192" fontId="11" fillId="6" borderId="27" xfId="8" applyNumberFormat="1" applyFont="1" applyFill="1" applyBorder="1" applyAlignment="1">
      <alignment vertical="center"/>
    </xf>
    <xf numFmtId="0" fontId="39" fillId="6" borderId="27" xfId="8" applyFont="1" applyFill="1" applyBorder="1" applyAlignment="1">
      <alignment vertical="center"/>
    </xf>
    <xf numFmtId="185" fontId="39" fillId="6" borderId="0" xfId="2" applyNumberFormat="1" applyFont="1" applyFill="1" applyBorder="1" applyAlignment="1">
      <alignment vertical="center"/>
    </xf>
    <xf numFmtId="0" fontId="16" fillId="0" borderId="0" xfId="8" applyFont="1" applyAlignment="1">
      <alignment horizontal="center"/>
    </xf>
    <xf numFmtId="192" fontId="11" fillId="6" borderId="26" xfId="8" applyNumberFormat="1" applyFont="1" applyFill="1" applyBorder="1" applyAlignment="1">
      <alignment vertical="center"/>
    </xf>
    <xf numFmtId="186" fontId="5" fillId="0" borderId="0" xfId="5" applyNumberFormat="1" applyFont="1"/>
    <xf numFmtId="41" fontId="16" fillId="0" borderId="0" xfId="4" applyFont="1" applyAlignment="1"/>
    <xf numFmtId="185" fontId="39" fillId="6" borderId="28" xfId="2" applyNumberFormat="1" applyFont="1" applyFill="1" applyBorder="1" applyAlignment="1">
      <alignment vertical="center"/>
    </xf>
    <xf numFmtId="185" fontId="39" fillId="6" borderId="29" xfId="2" applyNumberFormat="1" applyFont="1" applyFill="1" applyBorder="1" applyAlignment="1">
      <alignment vertical="center"/>
    </xf>
    <xf numFmtId="0" fontId="39" fillId="6" borderId="29" xfId="8" applyFont="1" applyFill="1" applyBorder="1" applyAlignment="1">
      <alignment vertical="center"/>
    </xf>
    <xf numFmtId="192" fontId="19" fillId="0" borderId="0" xfId="8" applyNumberFormat="1" applyFont="1" applyFill="1" applyBorder="1" applyAlignment="1">
      <alignment vertical="center"/>
    </xf>
    <xf numFmtId="185" fontId="39" fillId="6" borderId="30" xfId="2" applyNumberFormat="1" applyFont="1" applyFill="1" applyBorder="1" applyAlignment="1">
      <alignment vertical="center"/>
    </xf>
    <xf numFmtId="192" fontId="11" fillId="6" borderId="31" xfId="8" applyNumberFormat="1" applyFont="1" applyFill="1" applyBorder="1" applyAlignment="1">
      <alignment vertical="center"/>
    </xf>
    <xf numFmtId="0" fontId="39" fillId="6" borderId="32" xfId="8" applyFont="1" applyFill="1" applyBorder="1" applyAlignment="1">
      <alignment vertical="center"/>
    </xf>
    <xf numFmtId="0" fontId="20" fillId="0" borderId="0" xfId="8" applyFont="1" applyAlignment="1">
      <alignment vertical="center"/>
    </xf>
    <xf numFmtId="0" fontId="0" fillId="0" borderId="0" xfId="0" applyAlignment="1">
      <alignment horizontal="center" shrinkToFit="1"/>
    </xf>
    <xf numFmtId="0" fontId="18" fillId="0" borderId="23" xfId="8" applyFont="1" applyFill="1" applyBorder="1" applyAlignment="1">
      <alignment horizontal="center" vertical="center"/>
    </xf>
    <xf numFmtId="0" fontId="18" fillId="0" borderId="27" xfId="8" applyFont="1" applyFill="1" applyBorder="1" applyAlignment="1">
      <alignment horizontal="center" vertical="center"/>
    </xf>
    <xf numFmtId="0" fontId="18" fillId="0" borderId="24" xfId="8" applyFont="1" applyFill="1" applyBorder="1" applyAlignment="1">
      <alignment horizontal="center" vertical="center"/>
    </xf>
    <xf numFmtId="41" fontId="18" fillId="0" borderId="33" xfId="4" applyFont="1" applyFill="1" applyBorder="1" applyAlignment="1">
      <alignment vertical="center"/>
    </xf>
    <xf numFmtId="0" fontId="18" fillId="0" borderId="0" xfId="8" applyFont="1" applyFill="1" applyBorder="1" applyAlignment="1">
      <alignment vertical="center"/>
    </xf>
    <xf numFmtId="0" fontId="18" fillId="0" borderId="25" xfId="8" applyFont="1" applyFill="1" applyBorder="1" applyAlignment="1">
      <alignment vertical="center"/>
    </xf>
    <xf numFmtId="0" fontId="18" fillId="0" borderId="16" xfId="8" applyFont="1" applyFill="1" applyBorder="1" applyAlignment="1">
      <alignment horizontal="center" vertical="center"/>
    </xf>
    <xf numFmtId="0" fontId="18" fillId="0" borderId="0" xfId="8" applyFont="1" applyFill="1" applyBorder="1" applyAlignment="1">
      <alignment horizontal="center" vertical="center"/>
    </xf>
    <xf numFmtId="0" fontId="18" fillId="0" borderId="34" xfId="8" applyFont="1" applyFill="1" applyBorder="1" applyAlignment="1">
      <alignment horizontal="center" vertical="center"/>
    </xf>
    <xf numFmtId="41" fontId="18" fillId="0" borderId="35" xfId="4" applyFont="1" applyFill="1" applyBorder="1" applyAlignment="1">
      <alignment vertical="center"/>
    </xf>
    <xf numFmtId="0" fontId="18" fillId="0" borderId="36" xfId="8" applyFont="1" applyFill="1" applyBorder="1" applyAlignment="1">
      <alignment vertical="center"/>
    </xf>
    <xf numFmtId="0" fontId="18" fillId="0" borderId="37" xfId="8" applyFont="1" applyFill="1" applyBorder="1" applyAlignment="1">
      <alignment vertical="center"/>
    </xf>
    <xf numFmtId="0" fontId="18" fillId="0" borderId="38" xfId="8" applyFont="1" applyFill="1" applyBorder="1" applyAlignment="1">
      <alignment horizontal="center" vertical="center"/>
    </xf>
    <xf numFmtId="41" fontId="18" fillId="0" borderId="39" xfId="4" applyFont="1" applyFill="1" applyBorder="1" applyAlignment="1">
      <alignment vertical="center"/>
    </xf>
    <xf numFmtId="0" fontId="18" fillId="0" borderId="40" xfId="8" applyFont="1" applyFill="1" applyBorder="1" applyAlignment="1">
      <alignment vertical="center"/>
    </xf>
    <xf numFmtId="0" fontId="18" fillId="0" borderId="41" xfId="8" applyFont="1" applyFill="1" applyBorder="1" applyAlignment="1">
      <alignment vertical="center"/>
    </xf>
    <xf numFmtId="0" fontId="18" fillId="0" borderId="2" xfId="8" applyFont="1" applyFill="1" applyBorder="1" applyAlignment="1">
      <alignment horizontal="center" vertical="center"/>
    </xf>
    <xf numFmtId="41" fontId="21" fillId="0" borderId="42" xfId="4" applyFont="1" applyFill="1" applyBorder="1" applyAlignment="1">
      <alignment vertical="center"/>
    </xf>
    <xf numFmtId="0" fontId="18" fillId="0" borderId="26" xfId="8" applyFont="1" applyFill="1" applyBorder="1" applyAlignment="1">
      <alignment vertical="center"/>
    </xf>
    <xf numFmtId="0" fontId="18" fillId="0" borderId="19" xfId="8" applyFont="1" applyFill="1" applyBorder="1" applyAlignment="1">
      <alignment vertical="center"/>
    </xf>
    <xf numFmtId="0" fontId="18" fillId="0" borderId="43" xfId="8" applyFont="1" applyFill="1" applyBorder="1" applyAlignment="1">
      <alignment horizontal="center" vertical="center"/>
    </xf>
    <xf numFmtId="41" fontId="18" fillId="0" borderId="44" xfId="4" applyFont="1" applyFill="1" applyBorder="1" applyAlignment="1">
      <alignment vertical="center"/>
    </xf>
    <xf numFmtId="0" fontId="18" fillId="0" borderId="45" xfId="8" applyFont="1" applyFill="1" applyBorder="1" applyAlignment="1">
      <alignment vertical="center"/>
    </xf>
    <xf numFmtId="0" fontId="18" fillId="0" borderId="46" xfId="8" applyFont="1" applyFill="1" applyBorder="1" applyAlignment="1">
      <alignment vertical="center"/>
    </xf>
    <xf numFmtId="0" fontId="18" fillId="0" borderId="15" xfId="8" applyFont="1" applyFill="1" applyBorder="1" applyAlignment="1">
      <alignment horizontal="center" vertical="center"/>
    </xf>
    <xf numFmtId="41" fontId="21" fillId="0" borderId="47" xfId="4" applyFont="1" applyFill="1" applyBorder="1" applyAlignment="1">
      <alignment vertical="center"/>
    </xf>
    <xf numFmtId="0" fontId="18" fillId="0" borderId="22" xfId="8" applyFont="1" applyFill="1" applyBorder="1" applyAlignment="1">
      <alignment vertical="center"/>
    </xf>
    <xf numFmtId="0" fontId="18" fillId="0" borderId="17" xfId="8" applyFont="1" applyFill="1" applyBorder="1" applyAlignment="1">
      <alignment horizontal="center" vertical="center"/>
    </xf>
    <xf numFmtId="0" fontId="18" fillId="0" borderId="45" xfId="8" applyFont="1" applyFill="1" applyBorder="1" applyAlignment="1">
      <alignment vertical="center" shrinkToFit="1"/>
    </xf>
    <xf numFmtId="0" fontId="18" fillId="0" borderId="36" xfId="8" applyFont="1" applyFill="1" applyBorder="1" applyAlignment="1">
      <alignment vertical="center" shrinkToFit="1"/>
    </xf>
    <xf numFmtId="0" fontId="18" fillId="0" borderId="40" xfId="8" applyFont="1" applyFill="1" applyBorder="1" applyAlignment="1">
      <alignment vertical="center" shrinkToFit="1"/>
    </xf>
    <xf numFmtId="0" fontId="18" fillId="0" borderId="48" xfId="8" applyFont="1" applyFill="1" applyBorder="1" applyAlignment="1">
      <alignment horizontal="center" vertical="center"/>
    </xf>
    <xf numFmtId="0" fontId="18" fillId="0" borderId="26" xfId="8" applyFont="1" applyFill="1" applyBorder="1" applyAlignment="1">
      <alignment vertical="center" shrinkToFit="1"/>
    </xf>
    <xf numFmtId="0" fontId="18" fillId="0" borderId="4" xfId="8" applyFont="1" applyFill="1" applyBorder="1" applyAlignment="1">
      <alignment horizontal="centerContinuous" vertical="center"/>
    </xf>
    <xf numFmtId="0" fontId="18" fillId="0" borderId="1" xfId="8" applyFont="1" applyFill="1" applyBorder="1" applyAlignment="1">
      <alignment horizontal="centerContinuous" vertical="center"/>
    </xf>
    <xf numFmtId="41" fontId="21" fillId="0" borderId="1" xfId="4" applyFont="1" applyFill="1" applyBorder="1" applyAlignment="1">
      <alignment vertical="center"/>
    </xf>
    <xf numFmtId="0" fontId="18" fillId="0" borderId="1" xfId="8" applyFont="1" applyFill="1" applyBorder="1" applyAlignment="1">
      <alignment vertical="center"/>
    </xf>
    <xf numFmtId="0" fontId="18" fillId="0" borderId="5" xfId="8" applyFont="1" applyFill="1" applyBorder="1" applyAlignment="1">
      <alignment vertical="center"/>
    </xf>
    <xf numFmtId="41" fontId="18" fillId="0" borderId="1" xfId="4" applyFont="1" applyFill="1" applyBorder="1" applyAlignment="1">
      <alignment vertical="center"/>
    </xf>
    <xf numFmtId="41" fontId="18" fillId="0" borderId="1" xfId="4" applyNumberFormat="1" applyFont="1" applyFill="1" applyBorder="1" applyAlignment="1">
      <alignment vertical="center"/>
    </xf>
    <xf numFmtId="0" fontId="21" fillId="0" borderId="4" xfId="8" applyFont="1" applyFill="1" applyBorder="1" applyAlignment="1">
      <alignment horizontal="centerContinuous" vertical="center"/>
    </xf>
    <xf numFmtId="0" fontId="21" fillId="0" borderId="1" xfId="8" applyFont="1" applyFill="1" applyBorder="1" applyAlignment="1">
      <alignment horizontal="centerContinuous" vertical="center"/>
    </xf>
    <xf numFmtId="0" fontId="21" fillId="0" borderId="1" xfId="8" applyFont="1" applyFill="1" applyBorder="1" applyAlignment="1">
      <alignment vertical="center"/>
    </xf>
    <xf numFmtId="0" fontId="21" fillId="0" borderId="5" xfId="8" applyFont="1" applyFill="1" applyBorder="1" applyAlignment="1">
      <alignment vertical="center"/>
    </xf>
    <xf numFmtId="0" fontId="0" fillId="8" borderId="15" xfId="0" applyFill="1" applyBorder="1"/>
    <xf numFmtId="0" fontId="0" fillId="0" borderId="1" xfId="0" applyBorder="1"/>
    <xf numFmtId="179" fontId="0" fillId="8" borderId="1" xfId="0" applyNumberFormat="1" applyFill="1" applyBorder="1" applyAlignment="1">
      <alignment horizontal="center" vertical="center" shrinkToFit="1"/>
    </xf>
    <xf numFmtId="179" fontId="36" fillId="0" borderId="1" xfId="0" applyNumberFormat="1" applyFont="1" applyBorder="1" applyAlignment="1">
      <alignment horizontal="center" vertical="center" shrinkToFit="1"/>
    </xf>
    <xf numFmtId="179" fontId="0" fillId="8" borderId="15" xfId="0" applyNumberFormat="1" applyFill="1" applyBorder="1" applyAlignment="1">
      <alignment horizontal="center" vertical="center" shrinkToFit="1"/>
    </xf>
    <xf numFmtId="179" fontId="0" fillId="0" borderId="15" xfId="0" applyNumberFormat="1" applyBorder="1" applyAlignment="1">
      <alignment horizontal="center" vertical="center" shrinkToFit="1"/>
    </xf>
    <xf numFmtId="179" fontId="0" fillId="0" borderId="7" xfId="0" applyNumberFormat="1" applyBorder="1" applyAlignment="1">
      <alignment horizontal="center" vertical="center" shrinkToFit="1"/>
    </xf>
    <xf numFmtId="179" fontId="0" fillId="0" borderId="1" xfId="0" applyNumberForma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179" fontId="0" fillId="8" borderId="1" xfId="0" applyNumberFormat="1" applyFill="1" applyBorder="1" applyAlignment="1">
      <alignment vertical="center" shrinkToFit="1"/>
    </xf>
    <xf numFmtId="179" fontId="0" fillId="8" borderId="15" xfId="0" applyNumberFormat="1" applyFill="1" applyBorder="1" applyAlignment="1">
      <alignment vertical="center" shrinkToFit="1"/>
    </xf>
    <xf numFmtId="179" fontId="0" fillId="9" borderId="7" xfId="0" applyNumberFormat="1" applyFill="1" applyBorder="1" applyAlignment="1">
      <alignment horizontal="center" vertical="center"/>
    </xf>
    <xf numFmtId="0" fontId="0" fillId="0" borderId="0" xfId="0" applyBorder="1"/>
    <xf numFmtId="0" fontId="0" fillId="8" borderId="0" xfId="0" applyFill="1" applyBorder="1"/>
    <xf numFmtId="179" fontId="36" fillId="0" borderId="1" xfId="0" applyNumberFormat="1" applyFont="1" applyBorder="1" applyAlignment="1">
      <alignment vertical="center" shrinkToFit="1"/>
    </xf>
    <xf numFmtId="179" fontId="0" fillId="0" borderId="15" xfId="0" applyNumberFormat="1" applyBorder="1" applyAlignment="1">
      <alignment vertical="center" shrinkToFit="1"/>
    </xf>
    <xf numFmtId="0" fontId="0" fillId="0" borderId="1" xfId="0" applyBorder="1" applyAlignment="1">
      <alignment shrinkToFit="1"/>
    </xf>
    <xf numFmtId="0" fontId="0" fillId="0" borderId="4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/>
    <xf numFmtId="0" fontId="0" fillId="0" borderId="49" xfId="0" applyNumberFormat="1" applyBorder="1" applyAlignment="1">
      <alignment vertical="center"/>
    </xf>
    <xf numFmtId="0" fontId="0" fillId="0" borderId="50" xfId="0" applyNumberFormat="1" applyBorder="1" applyAlignment="1">
      <alignment vertical="center"/>
    </xf>
    <xf numFmtId="192" fontId="0" fillId="0" borderId="50" xfId="0" applyNumberFormat="1" applyBorder="1" applyAlignment="1">
      <alignment vertical="center"/>
    </xf>
    <xf numFmtId="179" fontId="0" fillId="0" borderId="51" xfId="0" applyNumberFormat="1" applyBorder="1" applyAlignment="1">
      <alignment vertical="center" wrapText="1"/>
    </xf>
    <xf numFmtId="179" fontId="0" fillId="10" borderId="9" xfId="0" applyNumberFormat="1" applyFill="1" applyBorder="1" applyAlignment="1">
      <alignment horizontal="center" vertical="center"/>
    </xf>
    <xf numFmtId="179" fontId="0" fillId="10" borderId="10" xfId="0" applyNumberFormat="1" applyFill="1" applyBorder="1" applyAlignment="1">
      <alignment horizontal="center" vertical="center"/>
    </xf>
    <xf numFmtId="192" fontId="0" fillId="10" borderId="10" xfId="0" applyNumberFormat="1" applyFill="1" applyBorder="1" applyAlignment="1">
      <alignment horizontal="center" vertical="center"/>
    </xf>
    <xf numFmtId="0" fontId="0" fillId="10" borderId="10" xfId="0" applyNumberFormat="1" applyFill="1" applyBorder="1" applyAlignment="1">
      <alignment horizontal="center" vertical="center"/>
    </xf>
    <xf numFmtId="179" fontId="0" fillId="10" borderId="11" xfId="0" applyNumberFormat="1" applyFill="1" applyBorder="1" applyAlignment="1">
      <alignment horizontal="center" vertical="center" wrapText="1"/>
    </xf>
    <xf numFmtId="0" fontId="0" fillId="0" borderId="52" xfId="0" applyNumberFormat="1" applyBorder="1" applyAlignment="1">
      <alignment vertical="center"/>
    </xf>
    <xf numFmtId="0" fontId="0" fillId="0" borderId="15" xfId="0" applyNumberFormat="1" applyBorder="1" applyAlignment="1">
      <alignment vertical="center"/>
    </xf>
    <xf numFmtId="192" fontId="0" fillId="0" borderId="15" xfId="0" applyNumberFormat="1" applyBorder="1" applyAlignment="1">
      <alignment vertical="center"/>
    </xf>
    <xf numFmtId="179" fontId="0" fillId="0" borderId="22" xfId="0" applyNumberFormat="1" applyBorder="1" applyAlignment="1">
      <alignment vertical="center" wrapText="1"/>
    </xf>
    <xf numFmtId="49" fontId="0" fillId="8" borderId="1" xfId="0" applyNumberFormat="1" applyFill="1" applyBorder="1" applyAlignment="1">
      <alignment vertical="center"/>
    </xf>
    <xf numFmtId="0" fontId="0" fillId="0" borderId="1" xfId="0" applyNumberFormat="1" applyBorder="1" applyAlignment="1">
      <alignment horizontal="center" vertical="center" shrinkToFit="1"/>
    </xf>
    <xf numFmtId="0" fontId="36" fillId="0" borderId="1" xfId="0" applyNumberFormat="1" applyFont="1" applyBorder="1" applyAlignment="1">
      <alignment horizontal="center" vertical="center"/>
    </xf>
    <xf numFmtId="0" fontId="36" fillId="0" borderId="1" xfId="0" applyNumberFormat="1" applyFont="1" applyBorder="1" applyAlignment="1">
      <alignment horizontal="center" vertical="center" shrinkToFit="1"/>
    </xf>
    <xf numFmtId="49" fontId="0" fillId="0" borderId="1" xfId="0" applyNumberFormat="1" applyBorder="1" applyAlignment="1">
      <alignment vertical="center"/>
    </xf>
    <xf numFmtId="196" fontId="0" fillId="0" borderId="1" xfId="0" applyNumberFormat="1" applyBorder="1" applyAlignment="1">
      <alignment vertical="center"/>
    </xf>
    <xf numFmtId="49" fontId="0" fillId="8" borderId="15" xfId="0" applyNumberFormat="1" applyFill="1" applyBorder="1" applyAlignment="1">
      <alignment vertical="center"/>
    </xf>
    <xf numFmtId="49" fontId="0" fillId="8" borderId="15" xfId="0" applyNumberFormat="1" applyFill="1" applyBorder="1" applyAlignment="1">
      <alignment horizontal="center" vertical="center" shrinkToFit="1"/>
    </xf>
    <xf numFmtId="49" fontId="0" fillId="8" borderId="1" xfId="0" applyNumberFormat="1" applyFill="1" applyBorder="1" applyAlignment="1">
      <alignment horizontal="center" vertical="center"/>
    </xf>
    <xf numFmtId="196" fontId="0" fillId="8" borderId="1" xfId="0" applyNumberFormat="1" applyFill="1" applyBorder="1" applyAlignment="1">
      <alignment vertical="center"/>
    </xf>
    <xf numFmtId="182" fontId="0" fillId="8" borderId="1" xfId="0" applyNumberFormat="1" applyFill="1" applyBorder="1" applyAlignment="1">
      <alignment vertical="center"/>
    </xf>
    <xf numFmtId="183" fontId="0" fillId="8" borderId="1" xfId="0" applyNumberFormat="1" applyFill="1" applyBorder="1" applyAlignment="1">
      <alignment vertical="center"/>
    </xf>
    <xf numFmtId="49" fontId="0" fillId="0" borderId="4" xfId="0" applyNumberFormat="1" applyBorder="1" applyAlignment="1">
      <alignment vertical="center"/>
    </xf>
    <xf numFmtId="179" fontId="0" fillId="10" borderId="10" xfId="0" applyNumberFormat="1" applyFill="1" applyBorder="1" applyAlignment="1">
      <alignment horizontal="center" vertical="center" shrinkToFit="1"/>
    </xf>
    <xf numFmtId="0" fontId="0" fillId="0" borderId="50" xfId="0" applyNumberFormat="1" applyBorder="1" applyAlignment="1">
      <alignment vertical="center" shrinkToFit="1"/>
    </xf>
    <xf numFmtId="0" fontId="0" fillId="0" borderId="15" xfId="0" applyNumberFormat="1" applyBorder="1" applyAlignment="1">
      <alignment vertical="center" shrinkToFit="1"/>
    </xf>
    <xf numFmtId="0" fontId="0" fillId="0" borderId="1" xfId="0" applyNumberFormat="1" applyBorder="1" applyAlignment="1">
      <alignment vertical="center" shrinkToFit="1"/>
    </xf>
    <xf numFmtId="49" fontId="0" fillId="0" borderId="53" xfId="0" applyNumberFormat="1" applyBorder="1" applyAlignment="1">
      <alignment vertical="center" shrinkToFit="1"/>
    </xf>
    <xf numFmtId="179" fontId="26" fillId="11" borderId="1" xfId="0" applyNumberFormat="1" applyFont="1" applyFill="1" applyBorder="1" applyAlignment="1">
      <alignment horizontal="center" vertical="center"/>
    </xf>
    <xf numFmtId="0" fontId="26" fillId="11" borderId="1" xfId="0" applyFont="1" applyFill="1" applyBorder="1" applyAlignment="1">
      <alignment shrinkToFit="1"/>
    </xf>
    <xf numFmtId="184" fontId="26" fillId="11" borderId="1" xfId="0" applyNumberFormat="1" applyFont="1" applyFill="1" applyBorder="1" applyAlignment="1">
      <alignment vertical="center"/>
    </xf>
    <xf numFmtId="192" fontId="26" fillId="11" borderId="1" xfId="0" applyNumberFormat="1" applyFont="1" applyFill="1" applyBorder="1" applyAlignment="1">
      <alignment vertical="center"/>
    </xf>
    <xf numFmtId="179" fontId="26" fillId="11" borderId="1" xfId="0" applyNumberFormat="1" applyFont="1" applyFill="1" applyBorder="1" applyAlignment="1">
      <alignment vertical="center" wrapText="1"/>
    </xf>
    <xf numFmtId="0" fontId="26" fillId="11" borderId="0" xfId="0" applyFont="1" applyFill="1"/>
    <xf numFmtId="179" fontId="26" fillId="0" borderId="1" xfId="0" applyNumberFormat="1" applyFont="1" applyBorder="1" applyAlignment="1">
      <alignment vertical="center" shrinkToFit="1"/>
    </xf>
    <xf numFmtId="179" fontId="26" fillId="0" borderId="1" xfId="0" applyNumberFormat="1" applyFont="1" applyBorder="1" applyAlignment="1">
      <alignment horizontal="center" vertical="center"/>
    </xf>
    <xf numFmtId="184" fontId="26" fillId="0" borderId="1" xfId="0" applyNumberFormat="1" applyFont="1" applyBorder="1" applyAlignment="1">
      <alignment vertical="center" shrinkToFit="1"/>
    </xf>
    <xf numFmtId="184" fontId="26" fillId="0" borderId="1" xfId="0" applyNumberFormat="1" applyFont="1" applyBorder="1" applyAlignment="1">
      <alignment vertical="center"/>
    </xf>
    <xf numFmtId="192" fontId="26" fillId="0" borderId="1" xfId="0" applyNumberFormat="1" applyFont="1" applyBorder="1" applyAlignment="1">
      <alignment vertical="center"/>
    </xf>
    <xf numFmtId="179" fontId="26" fillId="0" borderId="1" xfId="0" applyNumberFormat="1" applyFont="1" applyBorder="1" applyAlignment="1">
      <alignment vertical="center" wrapText="1"/>
    </xf>
    <xf numFmtId="0" fontId="26" fillId="0" borderId="0" xfId="0" applyFont="1"/>
    <xf numFmtId="0" fontId="27" fillId="0" borderId="0" xfId="0" applyFont="1" applyAlignment="1">
      <alignment vertical="center"/>
    </xf>
    <xf numFmtId="0" fontId="28" fillId="0" borderId="1" xfId="0" applyFont="1" applyBorder="1" applyAlignment="1">
      <alignment vertical="center"/>
    </xf>
    <xf numFmtId="0" fontId="26" fillId="4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vertical="center"/>
    </xf>
    <xf numFmtId="179" fontId="26" fillId="0" borderId="1" xfId="0" applyNumberFormat="1" applyFont="1" applyBorder="1" applyAlignment="1">
      <alignment horizontal="center" vertical="center" shrinkToFit="1"/>
    </xf>
    <xf numFmtId="179" fontId="26" fillId="11" borderId="1" xfId="0" applyNumberFormat="1" applyFont="1" applyFill="1" applyBorder="1" applyAlignment="1">
      <alignment vertical="center" shrinkToFit="1"/>
    </xf>
    <xf numFmtId="179" fontId="26" fillId="11" borderId="1" xfId="0" applyNumberFormat="1" applyFont="1" applyFill="1" applyBorder="1" applyAlignment="1">
      <alignment horizontal="center" vertical="center" shrinkToFit="1"/>
    </xf>
    <xf numFmtId="179" fontId="26" fillId="12" borderId="1" xfId="0" applyNumberFormat="1" applyFont="1" applyFill="1" applyBorder="1" applyAlignment="1">
      <alignment vertical="center" shrinkToFit="1"/>
    </xf>
    <xf numFmtId="179" fontId="26" fillId="12" borderId="1" xfId="0" applyNumberFormat="1" applyFont="1" applyFill="1" applyBorder="1" applyAlignment="1">
      <alignment horizontal="center" vertical="center"/>
    </xf>
    <xf numFmtId="184" fontId="26" fillId="12" borderId="1" xfId="0" applyNumberFormat="1" applyFont="1" applyFill="1" applyBorder="1" applyAlignment="1">
      <alignment vertical="center" shrinkToFit="1"/>
    </xf>
    <xf numFmtId="184" fontId="26" fillId="12" borderId="1" xfId="0" applyNumberFormat="1" applyFont="1" applyFill="1" applyBorder="1" applyAlignment="1">
      <alignment vertical="center"/>
    </xf>
    <xf numFmtId="179" fontId="26" fillId="12" borderId="1" xfId="0" applyNumberFormat="1" applyFont="1" applyFill="1" applyBorder="1" applyAlignment="1">
      <alignment horizontal="center" vertical="center" shrinkToFit="1"/>
    </xf>
    <xf numFmtId="192" fontId="26" fillId="12" borderId="1" xfId="0" applyNumberFormat="1" applyFont="1" applyFill="1" applyBorder="1" applyAlignment="1">
      <alignment vertical="center"/>
    </xf>
    <xf numFmtId="179" fontId="26" fillId="12" borderId="1" xfId="0" applyNumberFormat="1" applyFont="1" applyFill="1" applyBorder="1" applyAlignment="1">
      <alignment vertical="center" wrapText="1"/>
    </xf>
    <xf numFmtId="0" fontId="26" fillId="12" borderId="0" xfId="0" applyFont="1" applyFill="1"/>
    <xf numFmtId="192" fontId="26" fillId="0" borderId="1" xfId="0" applyNumberFormat="1" applyFont="1" applyFill="1" applyBorder="1" applyAlignment="1">
      <alignment vertical="center"/>
    </xf>
    <xf numFmtId="184" fontId="26" fillId="0" borderId="0" xfId="0" applyNumberFormat="1" applyFont="1"/>
    <xf numFmtId="0" fontId="26" fillId="0" borderId="1" xfId="0" applyNumberFormat="1" applyFont="1" applyBorder="1" applyAlignment="1">
      <alignment vertical="center" shrinkToFit="1"/>
    </xf>
    <xf numFmtId="49" fontId="26" fillId="0" borderId="1" xfId="0" applyNumberFormat="1" applyFont="1" applyBorder="1" applyAlignment="1">
      <alignment vertical="center" shrinkToFit="1"/>
    </xf>
    <xf numFmtId="179" fontId="26" fillId="0" borderId="1" xfId="0" applyNumberFormat="1" applyFont="1" applyFill="1" applyBorder="1" applyAlignment="1">
      <alignment vertical="center" shrinkToFit="1"/>
    </xf>
    <xf numFmtId="184" fontId="26" fillId="0" borderId="1" xfId="0" applyNumberFormat="1" applyFont="1" applyFill="1" applyBorder="1" applyAlignment="1">
      <alignment vertical="center"/>
    </xf>
    <xf numFmtId="184" fontId="26" fillId="0" borderId="1" xfId="0" applyNumberFormat="1" applyFont="1" applyFill="1" applyBorder="1" applyAlignment="1">
      <alignment vertical="center" shrinkToFit="1"/>
    </xf>
    <xf numFmtId="192" fontId="26" fillId="0" borderId="1" xfId="0" applyNumberFormat="1" applyFont="1" applyBorder="1" applyAlignment="1">
      <alignment horizontal="right" vertical="center"/>
    </xf>
    <xf numFmtId="194" fontId="26" fillId="0" borderId="1" xfId="0" applyNumberFormat="1" applyFont="1" applyBorder="1" applyAlignment="1">
      <alignment vertical="center"/>
    </xf>
    <xf numFmtId="179" fontId="26" fillId="0" borderId="1" xfId="0" applyNumberFormat="1" applyFont="1" applyBorder="1" applyAlignment="1">
      <alignment horizontal="left" vertical="center" shrinkToFit="1"/>
    </xf>
    <xf numFmtId="196" fontId="26" fillId="0" borderId="1" xfId="0" applyNumberFormat="1" applyFont="1" applyBorder="1" applyAlignment="1">
      <alignment vertical="center"/>
    </xf>
    <xf numFmtId="0" fontId="25" fillId="0" borderId="1" xfId="0" applyFont="1" applyBorder="1" applyAlignment="1">
      <alignment vertical="center"/>
    </xf>
    <xf numFmtId="0" fontId="29" fillId="0" borderId="0" xfId="0" applyFont="1"/>
    <xf numFmtId="179" fontId="29" fillId="0" borderId="1" xfId="0" applyNumberFormat="1" applyFont="1" applyBorder="1" applyAlignment="1">
      <alignment horizontal="center" vertical="center"/>
    </xf>
    <xf numFmtId="179" fontId="29" fillId="13" borderId="1" xfId="0" applyNumberFormat="1" applyFont="1" applyFill="1" applyBorder="1" applyAlignment="1">
      <alignment horizontal="center" vertical="center" shrinkToFit="1"/>
    </xf>
    <xf numFmtId="179" fontId="29" fillId="13" borderId="1" xfId="0" applyNumberFormat="1" applyFont="1" applyFill="1" applyBorder="1" applyAlignment="1">
      <alignment horizontal="center" vertical="center"/>
    </xf>
    <xf numFmtId="179" fontId="29" fillId="14" borderId="1" xfId="0" applyNumberFormat="1" applyFont="1" applyFill="1" applyBorder="1" applyAlignment="1">
      <alignment horizontal="center" vertical="center" shrinkToFit="1"/>
    </xf>
    <xf numFmtId="179" fontId="29" fillId="14" borderId="1" xfId="0" applyNumberFormat="1" applyFont="1" applyFill="1" applyBorder="1" applyAlignment="1">
      <alignment horizontal="center" vertical="center"/>
    </xf>
    <xf numFmtId="10" fontId="26" fillId="11" borderId="1" xfId="0" applyNumberFormat="1" applyFont="1" applyFill="1" applyBorder="1" applyAlignment="1">
      <alignment vertical="center"/>
    </xf>
    <xf numFmtId="10" fontId="26" fillId="0" borderId="1" xfId="0" applyNumberFormat="1" applyFont="1" applyBorder="1" applyAlignment="1">
      <alignment vertical="center"/>
    </xf>
    <xf numFmtId="10" fontId="26" fillId="12" borderId="1" xfId="0" applyNumberFormat="1" applyFont="1" applyFill="1" applyBorder="1" applyAlignment="1">
      <alignment vertical="center"/>
    </xf>
    <xf numFmtId="10" fontId="26" fillId="0" borderId="1" xfId="0" applyNumberFormat="1" applyFont="1" applyFill="1" applyBorder="1" applyAlignment="1">
      <alignment vertical="center"/>
    </xf>
    <xf numFmtId="179" fontId="40" fillId="13" borderId="1" xfId="0" applyNumberFormat="1" applyFont="1" applyFill="1" applyBorder="1" applyAlignment="1">
      <alignment horizontal="center" vertical="center"/>
    </xf>
    <xf numFmtId="179" fontId="40" fillId="14" borderId="1" xfId="0" applyNumberFormat="1" applyFont="1" applyFill="1" applyBorder="1" applyAlignment="1">
      <alignment horizontal="center" vertical="center"/>
    </xf>
    <xf numFmtId="179" fontId="30" fillId="13" borderId="1" xfId="0" applyNumberFormat="1" applyFont="1" applyFill="1" applyBorder="1" applyAlignment="1">
      <alignment horizontal="center" vertical="center"/>
    </xf>
    <xf numFmtId="179" fontId="29" fillId="0" borderId="1" xfId="0" applyNumberFormat="1" applyFont="1" applyBorder="1" applyAlignment="1">
      <alignment vertical="center" shrinkToFit="1"/>
    </xf>
    <xf numFmtId="192" fontId="29" fillId="0" borderId="1" xfId="0" applyNumberFormat="1" applyFont="1" applyBorder="1" applyAlignment="1">
      <alignment vertical="center"/>
    </xf>
    <xf numFmtId="184" fontId="29" fillId="0" borderId="1" xfId="0" applyNumberFormat="1" applyFont="1" applyBorder="1" applyAlignment="1">
      <alignment vertical="center" shrinkToFit="1"/>
    </xf>
    <xf numFmtId="184" fontId="29" fillId="0" borderId="1" xfId="0" applyNumberFormat="1" applyFont="1" applyBorder="1" applyAlignment="1">
      <alignment vertical="center"/>
    </xf>
    <xf numFmtId="179" fontId="29" fillId="0" borderId="1" xfId="0" applyNumberFormat="1" applyFont="1" applyBorder="1" applyAlignment="1">
      <alignment horizontal="center" vertical="center" shrinkToFit="1"/>
    </xf>
    <xf numFmtId="10" fontId="29" fillId="0" borderId="1" xfId="0" applyNumberFormat="1" applyFont="1" applyBorder="1" applyAlignment="1">
      <alignment vertical="center"/>
    </xf>
    <xf numFmtId="179" fontId="29" fillId="0" borderId="1" xfId="0" applyNumberFormat="1" applyFont="1" applyBorder="1" applyAlignment="1">
      <alignment vertical="center" wrapText="1"/>
    </xf>
    <xf numFmtId="0" fontId="31" fillId="0" borderId="1" xfId="0" applyFont="1" applyBorder="1" applyAlignment="1">
      <alignment vertical="center"/>
    </xf>
    <xf numFmtId="0" fontId="29" fillId="4" borderId="1" xfId="0" applyFont="1" applyFill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41" fontId="18" fillId="6" borderId="54" xfId="8" applyNumberFormat="1" applyFont="1" applyFill="1" applyBorder="1" applyAlignment="1">
      <alignment horizontal="centerContinuous" vertical="center"/>
    </xf>
    <xf numFmtId="10" fontId="18" fillId="0" borderId="33" xfId="4" applyNumberFormat="1" applyFont="1" applyFill="1" applyBorder="1" applyAlignment="1">
      <alignment vertical="center"/>
    </xf>
    <xf numFmtId="10" fontId="18" fillId="0" borderId="35" xfId="4" applyNumberFormat="1" applyFont="1" applyFill="1" applyBorder="1" applyAlignment="1">
      <alignment vertical="center"/>
    </xf>
    <xf numFmtId="10" fontId="18" fillId="0" borderId="39" xfId="4" applyNumberFormat="1" applyFont="1" applyFill="1" applyBorder="1" applyAlignment="1">
      <alignment vertical="center"/>
    </xf>
    <xf numFmtId="10" fontId="21" fillId="0" borderId="42" xfId="4" applyNumberFormat="1" applyFont="1" applyFill="1" applyBorder="1" applyAlignment="1">
      <alignment vertical="center"/>
    </xf>
    <xf numFmtId="10" fontId="18" fillId="0" borderId="44" xfId="4" applyNumberFormat="1" applyFont="1" applyFill="1" applyBorder="1" applyAlignment="1">
      <alignment vertical="center"/>
    </xf>
    <xf numFmtId="10" fontId="21" fillId="0" borderId="47" xfId="4" applyNumberFormat="1" applyFont="1" applyFill="1" applyBorder="1" applyAlignment="1">
      <alignment vertical="center"/>
    </xf>
    <xf numFmtId="10" fontId="21" fillId="0" borderId="1" xfId="4" applyNumberFormat="1" applyFont="1" applyFill="1" applyBorder="1" applyAlignment="1">
      <alignment vertical="center"/>
    </xf>
    <xf numFmtId="10" fontId="18" fillId="0" borderId="1" xfId="4" applyNumberFormat="1" applyFont="1" applyFill="1" applyBorder="1" applyAlignment="1">
      <alignment vertical="center"/>
    </xf>
    <xf numFmtId="10" fontId="18" fillId="0" borderId="27" xfId="4" applyNumberFormat="1" applyFont="1" applyFill="1" applyBorder="1" applyAlignment="1">
      <alignment vertical="center"/>
    </xf>
    <xf numFmtId="10" fontId="18" fillId="0" borderId="36" xfId="4" applyNumberFormat="1" applyFont="1" applyFill="1" applyBorder="1" applyAlignment="1">
      <alignment vertical="center"/>
    </xf>
    <xf numFmtId="10" fontId="18" fillId="0" borderId="40" xfId="4" applyNumberFormat="1" applyFont="1" applyFill="1" applyBorder="1" applyAlignment="1">
      <alignment vertical="center"/>
    </xf>
    <xf numFmtId="10" fontId="21" fillId="0" borderId="0" xfId="4" applyNumberFormat="1" applyFont="1" applyFill="1" applyBorder="1" applyAlignment="1">
      <alignment vertical="center"/>
    </xf>
    <xf numFmtId="10" fontId="18" fillId="0" borderId="45" xfId="4" applyNumberFormat="1" applyFont="1" applyFill="1" applyBorder="1" applyAlignment="1">
      <alignment vertical="center"/>
    </xf>
    <xf numFmtId="10" fontId="21" fillId="0" borderId="26" xfId="4" applyNumberFormat="1" applyFont="1" applyFill="1" applyBorder="1" applyAlignment="1">
      <alignment vertical="center"/>
    </xf>
    <xf numFmtId="10" fontId="21" fillId="0" borderId="55" xfId="4" applyNumberFormat="1" applyFont="1" applyFill="1" applyBorder="1" applyAlignment="1">
      <alignment vertical="center"/>
    </xf>
    <xf numFmtId="10" fontId="18" fillId="0" borderId="55" xfId="4" applyNumberFormat="1" applyFont="1" applyFill="1" applyBorder="1" applyAlignment="1">
      <alignment vertical="center"/>
    </xf>
    <xf numFmtId="41" fontId="21" fillId="0" borderId="53" xfId="4" applyFont="1" applyFill="1" applyBorder="1" applyAlignment="1">
      <alignment vertical="center"/>
    </xf>
    <xf numFmtId="41" fontId="18" fillId="0" borderId="53" xfId="4" applyFont="1" applyFill="1" applyBorder="1" applyAlignment="1">
      <alignment vertical="center"/>
    </xf>
    <xf numFmtId="41" fontId="18" fillId="0" borderId="53" xfId="4" applyNumberFormat="1" applyFont="1" applyFill="1" applyBorder="1" applyAlignment="1">
      <alignment vertical="center"/>
    </xf>
    <xf numFmtId="41" fontId="41" fillId="0" borderId="69" xfId="4" applyFont="1" applyFill="1" applyBorder="1" applyAlignment="1">
      <alignment vertical="center"/>
    </xf>
    <xf numFmtId="10" fontId="18" fillId="0" borderId="70" xfId="4" applyNumberFormat="1" applyFont="1" applyFill="1" applyBorder="1" applyAlignment="1">
      <alignment vertical="center"/>
    </xf>
    <xf numFmtId="41" fontId="41" fillId="0" borderId="71" xfId="4" applyFont="1" applyFill="1" applyBorder="1" applyAlignment="1">
      <alignment vertical="center"/>
    </xf>
    <xf numFmtId="10" fontId="18" fillId="0" borderId="72" xfId="4" applyNumberFormat="1" applyFont="1" applyFill="1" applyBorder="1" applyAlignment="1">
      <alignment vertical="center"/>
    </xf>
    <xf numFmtId="41" fontId="41" fillId="0" borderId="73" xfId="4" applyFont="1" applyFill="1" applyBorder="1" applyAlignment="1">
      <alignment vertical="center"/>
    </xf>
    <xf numFmtId="10" fontId="18" fillId="0" borderId="74" xfId="4" applyNumberFormat="1" applyFont="1" applyFill="1" applyBorder="1" applyAlignment="1">
      <alignment vertical="center"/>
    </xf>
    <xf numFmtId="41" fontId="42" fillId="0" borderId="75" xfId="4" applyFont="1" applyFill="1" applyBorder="1" applyAlignment="1">
      <alignment vertical="center"/>
    </xf>
    <xf numFmtId="10" fontId="21" fillId="0" borderId="76" xfId="4" applyNumberFormat="1" applyFont="1" applyFill="1" applyBorder="1" applyAlignment="1">
      <alignment vertical="center"/>
    </xf>
    <xf numFmtId="41" fontId="41" fillId="0" borderId="77" xfId="4" applyFont="1" applyFill="1" applyBorder="1" applyAlignment="1">
      <alignment vertical="center"/>
    </xf>
    <xf numFmtId="10" fontId="18" fillId="0" borderId="78" xfId="4" applyNumberFormat="1" applyFont="1" applyFill="1" applyBorder="1" applyAlignment="1">
      <alignment vertical="center"/>
    </xf>
    <xf numFmtId="41" fontId="42" fillId="0" borderId="79" xfId="4" applyFont="1" applyFill="1" applyBorder="1" applyAlignment="1">
      <alignment vertical="center"/>
    </xf>
    <xf numFmtId="10" fontId="21" fillId="0" borderId="80" xfId="4" applyNumberFormat="1" applyFont="1" applyFill="1" applyBorder="1" applyAlignment="1">
      <alignment vertical="center"/>
    </xf>
    <xf numFmtId="41" fontId="42" fillId="0" borderId="81" xfId="4" applyFont="1" applyFill="1" applyBorder="1" applyAlignment="1">
      <alignment vertical="center"/>
    </xf>
    <xf numFmtId="10" fontId="21" fillId="0" borderId="82" xfId="4" applyNumberFormat="1" applyFont="1" applyFill="1" applyBorder="1" applyAlignment="1">
      <alignment vertical="center"/>
    </xf>
    <xf numFmtId="41" fontId="41" fillId="0" borderId="81" xfId="4" applyFont="1" applyFill="1" applyBorder="1" applyAlignment="1">
      <alignment vertical="center"/>
    </xf>
    <xf numFmtId="10" fontId="18" fillId="0" borderId="82" xfId="4" applyNumberFormat="1" applyFont="1" applyFill="1" applyBorder="1" applyAlignment="1">
      <alignment vertical="center"/>
    </xf>
    <xf numFmtId="41" fontId="41" fillId="0" borderId="81" xfId="4" applyNumberFormat="1" applyFont="1" applyFill="1" applyBorder="1" applyAlignment="1">
      <alignment vertical="center"/>
    </xf>
    <xf numFmtId="41" fontId="42" fillId="0" borderId="83" xfId="4" applyFont="1" applyFill="1" applyBorder="1" applyAlignment="1">
      <alignment vertical="center"/>
    </xf>
    <xf numFmtId="10" fontId="21" fillId="0" borderId="84" xfId="4" applyNumberFormat="1" applyFont="1" applyFill="1" applyBorder="1" applyAlignment="1">
      <alignment vertical="center"/>
    </xf>
    <xf numFmtId="0" fontId="18" fillId="0" borderId="52" xfId="8" applyFont="1" applyFill="1" applyBorder="1" applyAlignment="1">
      <alignment horizontal="centerContinuous" vertical="center"/>
    </xf>
    <xf numFmtId="0" fontId="18" fillId="0" borderId="15" xfId="8" applyFont="1" applyFill="1" applyBorder="1" applyAlignment="1">
      <alignment horizontal="centerContinuous" vertical="center"/>
    </xf>
    <xf numFmtId="41" fontId="21" fillId="0" borderId="15" xfId="4" applyFont="1" applyFill="1" applyBorder="1" applyAlignment="1">
      <alignment vertical="center"/>
    </xf>
    <xf numFmtId="10" fontId="21" fillId="0" borderId="56" xfId="4" applyNumberFormat="1" applyFont="1" applyFill="1" applyBorder="1" applyAlignment="1">
      <alignment vertical="center"/>
    </xf>
    <xf numFmtId="10" fontId="21" fillId="0" borderId="85" xfId="4" applyNumberFormat="1" applyFont="1" applyFill="1" applyBorder="1" applyAlignment="1">
      <alignment vertical="center"/>
    </xf>
    <xf numFmtId="10" fontId="21" fillId="0" borderId="15" xfId="4" applyNumberFormat="1" applyFont="1" applyFill="1" applyBorder="1" applyAlignment="1">
      <alignment vertical="center"/>
    </xf>
    <xf numFmtId="0" fontId="18" fillId="0" borderId="15" xfId="8" applyFont="1" applyFill="1" applyBorder="1" applyAlignment="1">
      <alignment vertical="center"/>
    </xf>
    <xf numFmtId="0" fontId="21" fillId="0" borderId="6" xfId="8" applyFont="1" applyFill="1" applyBorder="1" applyAlignment="1">
      <alignment horizontal="centerContinuous" vertical="center"/>
    </xf>
    <xf numFmtId="0" fontId="21" fillId="0" borderId="7" xfId="8" applyFont="1" applyFill="1" applyBorder="1" applyAlignment="1">
      <alignment horizontal="centerContinuous" vertical="center"/>
    </xf>
    <xf numFmtId="0" fontId="16" fillId="0" borderId="57" xfId="6" applyFont="1" applyBorder="1">
      <alignment vertical="center"/>
    </xf>
    <xf numFmtId="0" fontId="16" fillId="0" borderId="58" xfId="6" applyFont="1" applyBorder="1">
      <alignment vertical="center"/>
    </xf>
    <xf numFmtId="0" fontId="16" fillId="0" borderId="59" xfId="6" applyFont="1" applyBorder="1">
      <alignment vertical="center"/>
    </xf>
    <xf numFmtId="0" fontId="16" fillId="0" borderId="0" xfId="6" applyFont="1">
      <alignment vertical="center"/>
    </xf>
    <xf numFmtId="0" fontId="16" fillId="0" borderId="17" xfId="6" applyFont="1" applyBorder="1">
      <alignment vertical="center"/>
    </xf>
    <xf numFmtId="0" fontId="16" fillId="0" borderId="60" xfId="6" applyFont="1" applyBorder="1">
      <alignment vertical="center"/>
    </xf>
    <xf numFmtId="0" fontId="32" fillId="0" borderId="17" xfId="6" applyFont="1" applyBorder="1" applyAlignment="1">
      <alignment horizontal="center" vertical="center"/>
    </xf>
    <xf numFmtId="0" fontId="32" fillId="0" borderId="0" xfId="6" applyFont="1" applyAlignment="1">
      <alignment horizontal="center" vertical="center"/>
    </xf>
    <xf numFmtId="0" fontId="32" fillId="0" borderId="60" xfId="6" applyFont="1" applyBorder="1" applyAlignment="1">
      <alignment horizontal="center" vertical="center"/>
    </xf>
    <xf numFmtId="0" fontId="43" fillId="0" borderId="17" xfId="6" applyFont="1" applyBorder="1">
      <alignment vertical="center"/>
    </xf>
    <xf numFmtId="0" fontId="21" fillId="0" borderId="0" xfId="7" applyFont="1" applyAlignment="1">
      <alignment horizontal="distributed" vertical="center"/>
    </xf>
    <xf numFmtId="0" fontId="21" fillId="0" borderId="0" xfId="7" applyFont="1" applyAlignment="1">
      <alignment horizontal="left" vertical="center"/>
    </xf>
    <xf numFmtId="0" fontId="21" fillId="0" borderId="0" xfId="7" applyFont="1" applyAlignment="1">
      <alignment horizontal="right" vertical="center"/>
    </xf>
    <xf numFmtId="199" fontId="21" fillId="0" borderId="0" xfId="7" applyNumberFormat="1" applyFont="1" applyAlignment="1">
      <alignment horizontal="right" vertical="center" shrinkToFit="1"/>
    </xf>
    <xf numFmtId="42" fontId="21" fillId="0" borderId="0" xfId="7" applyNumberFormat="1" applyFont="1" applyAlignment="1">
      <alignment horizontal="center" vertical="center"/>
    </xf>
    <xf numFmtId="0" fontId="21" fillId="0" borderId="60" xfId="7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43" fillId="0" borderId="0" xfId="6" applyFont="1">
      <alignment vertical="center"/>
    </xf>
    <xf numFmtId="0" fontId="45" fillId="0" borderId="0" xfId="6" applyFont="1" applyAlignment="1">
      <alignment horizontal="distributed" vertical="distributed"/>
    </xf>
    <xf numFmtId="0" fontId="45" fillId="0" borderId="0" xfId="6" applyFont="1" applyAlignment="1">
      <alignment horizontal="left" vertical="center"/>
    </xf>
    <xf numFmtId="0" fontId="45" fillId="0" borderId="0" xfId="6" applyFont="1" applyAlignment="1">
      <alignment horizontal="right" vertical="center"/>
    </xf>
    <xf numFmtId="199" fontId="45" fillId="0" borderId="0" xfId="6" applyNumberFormat="1" applyFont="1" applyAlignment="1">
      <alignment horizontal="right" vertical="center" shrinkToFit="1"/>
    </xf>
    <xf numFmtId="42" fontId="45" fillId="0" borderId="0" xfId="6" applyNumberFormat="1" applyFont="1" applyAlignment="1">
      <alignment horizontal="center" vertical="center"/>
    </xf>
    <xf numFmtId="0" fontId="45" fillId="0" borderId="60" xfId="6" applyFont="1" applyBorder="1" applyAlignment="1">
      <alignment horizontal="left" vertical="center"/>
    </xf>
    <xf numFmtId="0" fontId="38" fillId="0" borderId="17" xfId="6" applyFont="1" applyBorder="1">
      <alignment vertical="center"/>
    </xf>
    <xf numFmtId="0" fontId="44" fillId="0" borderId="0" xfId="6" applyFont="1" applyAlignment="1">
      <alignment horizontal="distributed" vertical="distributed"/>
    </xf>
    <xf numFmtId="0" fontId="44" fillId="0" borderId="0" xfId="6" applyFont="1" applyAlignment="1">
      <alignment horizontal="right" vertical="center"/>
    </xf>
    <xf numFmtId="199" fontId="44" fillId="0" borderId="0" xfId="6" applyNumberFormat="1" applyFont="1" applyAlignment="1">
      <alignment horizontal="right" vertical="center" shrinkToFit="1"/>
    </xf>
    <xf numFmtId="42" fontId="44" fillId="0" borderId="0" xfId="6" applyNumberFormat="1" applyFont="1" applyAlignment="1">
      <alignment horizontal="center" vertical="center"/>
    </xf>
    <xf numFmtId="0" fontId="44" fillId="0" borderId="60" xfId="6" applyFont="1" applyBorder="1" applyAlignment="1">
      <alignment horizontal="left" vertical="center"/>
    </xf>
    <xf numFmtId="0" fontId="38" fillId="0" borderId="0" xfId="6" applyFont="1">
      <alignment vertical="center"/>
    </xf>
    <xf numFmtId="0" fontId="30" fillId="0" borderId="0" xfId="6" applyFont="1">
      <alignment vertical="center"/>
    </xf>
    <xf numFmtId="0" fontId="30" fillId="0" borderId="60" xfId="6" applyFont="1" applyBorder="1">
      <alignment vertical="center"/>
    </xf>
    <xf numFmtId="0" fontId="16" fillId="0" borderId="61" xfId="6" applyFont="1" applyBorder="1">
      <alignment vertical="center"/>
    </xf>
    <xf numFmtId="0" fontId="16" fillId="0" borderId="31" xfId="6" applyFont="1" applyBorder="1">
      <alignment vertical="center"/>
    </xf>
    <xf numFmtId="199" fontId="16" fillId="0" borderId="0" xfId="6" applyNumberFormat="1" applyFont="1">
      <alignment vertical="center"/>
    </xf>
    <xf numFmtId="197" fontId="26" fillId="0" borderId="1" xfId="0" applyNumberFormat="1" applyFont="1" applyBorder="1" applyAlignment="1">
      <alignment vertical="center"/>
    </xf>
    <xf numFmtId="41" fontId="21" fillId="0" borderId="7" xfId="4" applyFont="1" applyFill="1" applyBorder="1" applyAlignment="1">
      <alignment vertical="center"/>
    </xf>
    <xf numFmtId="10" fontId="21" fillId="0" borderId="62" xfId="4" applyNumberFormat="1" applyFont="1" applyFill="1" applyBorder="1" applyAlignment="1">
      <alignment vertical="center"/>
    </xf>
    <xf numFmtId="41" fontId="21" fillId="0" borderId="63" xfId="4" applyFont="1" applyFill="1" applyBorder="1" applyAlignment="1">
      <alignment vertical="center"/>
    </xf>
    <xf numFmtId="10" fontId="21" fillId="0" borderId="7" xfId="4" applyNumberFormat="1" applyFont="1" applyFill="1" applyBorder="1" applyAlignment="1">
      <alignment vertical="center"/>
    </xf>
    <xf numFmtId="0" fontId="21" fillId="0" borderId="7" xfId="8" applyFont="1" applyFill="1" applyBorder="1" applyAlignment="1">
      <alignment vertical="center"/>
    </xf>
    <xf numFmtId="0" fontId="21" fillId="0" borderId="8" xfId="8" applyFont="1" applyFill="1" applyBorder="1" applyAlignment="1">
      <alignment vertical="center"/>
    </xf>
    <xf numFmtId="185" fontId="46" fillId="6" borderId="29" xfId="2" applyNumberFormat="1" applyFont="1" applyFill="1" applyBorder="1" applyAlignment="1">
      <alignment vertical="center"/>
    </xf>
    <xf numFmtId="0" fontId="30" fillId="0" borderId="0" xfId="8" applyFont="1"/>
    <xf numFmtId="41" fontId="18" fillId="0" borderId="42" xfId="4" applyFont="1" applyFill="1" applyBorder="1" applyAlignment="1">
      <alignment vertical="center"/>
    </xf>
    <xf numFmtId="41" fontId="18" fillId="0" borderId="47" xfId="4" applyFont="1" applyFill="1" applyBorder="1" applyAlignment="1">
      <alignment vertical="center"/>
    </xf>
    <xf numFmtId="179" fontId="29" fillId="13" borderId="0" xfId="0" applyNumberFormat="1" applyFont="1" applyFill="1" applyBorder="1" applyAlignment="1">
      <alignment horizontal="center" vertical="center" wrapText="1"/>
    </xf>
    <xf numFmtId="179" fontId="26" fillId="11" borderId="0" xfId="0" applyNumberFormat="1" applyFont="1" applyFill="1" applyBorder="1" applyAlignment="1">
      <alignment vertical="center" wrapText="1"/>
    </xf>
    <xf numFmtId="179" fontId="26" fillId="0" borderId="0" xfId="0" applyNumberFormat="1" applyFont="1" applyBorder="1" applyAlignment="1">
      <alignment vertical="center" wrapText="1"/>
    </xf>
    <xf numFmtId="179" fontId="29" fillId="0" borderId="0" xfId="0" applyNumberFormat="1" applyFont="1" applyBorder="1" applyAlignment="1">
      <alignment vertical="center" wrapText="1"/>
    </xf>
    <xf numFmtId="179" fontId="26" fillId="12" borderId="0" xfId="0" applyNumberFormat="1" applyFont="1" applyFill="1" applyBorder="1" applyAlignment="1">
      <alignment vertical="center" wrapText="1"/>
    </xf>
    <xf numFmtId="0" fontId="23" fillId="0" borderId="0" xfId="0" applyFont="1" applyAlignment="1">
      <alignment vertical="center"/>
    </xf>
    <xf numFmtId="179" fontId="26" fillId="0" borderId="1" xfId="0" applyNumberFormat="1" applyFont="1" applyFill="1" applyBorder="1" applyAlignment="1">
      <alignment horizontal="center" vertical="center"/>
    </xf>
    <xf numFmtId="179" fontId="26" fillId="0" borderId="1" xfId="0" applyNumberFormat="1" applyFont="1" applyFill="1" applyBorder="1" applyAlignment="1">
      <alignment vertical="center" wrapText="1"/>
    </xf>
    <xf numFmtId="179" fontId="26" fillId="0" borderId="0" xfId="0" applyNumberFormat="1" applyFont="1" applyFill="1" applyBorder="1" applyAlignment="1">
      <alignment vertical="center" wrapText="1"/>
    </xf>
    <xf numFmtId="184" fontId="26" fillId="0" borderId="0" xfId="0" applyNumberFormat="1" applyFont="1" applyFill="1"/>
    <xf numFmtId="0" fontId="26" fillId="0" borderId="0" xfId="0" applyFont="1" applyFill="1"/>
    <xf numFmtId="0" fontId="27" fillId="0" borderId="0" xfId="0" applyFont="1" applyFill="1" applyAlignment="1">
      <alignment vertical="center"/>
    </xf>
    <xf numFmtId="0" fontId="21" fillId="0" borderId="31" xfId="6" applyFont="1" applyBorder="1" applyAlignment="1">
      <alignment horizontal="left" vertical="center"/>
    </xf>
    <xf numFmtId="0" fontId="21" fillId="0" borderId="64" xfId="6" applyFont="1" applyBorder="1" applyAlignment="1">
      <alignment horizontal="left" vertical="center"/>
    </xf>
    <xf numFmtId="0" fontId="32" fillId="0" borderId="17" xfId="6" applyFont="1" applyBorder="1" applyAlignment="1">
      <alignment horizontal="center" vertical="center"/>
    </xf>
    <xf numFmtId="0" fontId="32" fillId="0" borderId="0" xfId="6" applyFont="1" applyAlignment="1">
      <alignment horizontal="center" vertical="center"/>
    </xf>
    <xf numFmtId="0" fontId="32" fillId="0" borderId="60" xfId="6" applyFont="1" applyBorder="1" applyAlignment="1">
      <alignment horizontal="center" vertical="center"/>
    </xf>
    <xf numFmtId="0" fontId="21" fillId="0" borderId="0" xfId="7" applyFont="1" applyAlignment="1">
      <alignment vertical="center"/>
    </xf>
    <xf numFmtId="0" fontId="45" fillId="0" borderId="0" xfId="6" applyFont="1">
      <alignment vertical="center"/>
    </xf>
    <xf numFmtId="0" fontId="44" fillId="0" borderId="0" xfId="6" applyFont="1">
      <alignment vertical="center"/>
    </xf>
    <xf numFmtId="0" fontId="30" fillId="15" borderId="66" xfId="8" applyFont="1" applyFill="1" applyBorder="1" applyAlignment="1">
      <alignment horizontal="center" vertical="center"/>
    </xf>
    <xf numFmtId="0" fontId="30" fillId="15" borderId="15" xfId="8" applyFont="1" applyFill="1" applyBorder="1" applyAlignment="1">
      <alignment horizontal="center" vertical="center"/>
    </xf>
    <xf numFmtId="0" fontId="24" fillId="0" borderId="0" xfId="8" applyFont="1" applyAlignment="1">
      <alignment horizontal="center" vertical="center"/>
    </xf>
    <xf numFmtId="0" fontId="21" fillId="15" borderId="66" xfId="8" applyFont="1" applyFill="1" applyBorder="1" applyAlignment="1">
      <alignment horizontal="center" vertical="center"/>
    </xf>
    <xf numFmtId="0" fontId="21" fillId="15" borderId="15" xfId="8" applyFont="1" applyFill="1" applyBorder="1" applyAlignment="1">
      <alignment horizontal="center" vertical="center"/>
    </xf>
    <xf numFmtId="0" fontId="42" fillId="15" borderId="87" xfId="8" applyFont="1" applyFill="1" applyBorder="1" applyAlignment="1">
      <alignment horizontal="center" vertical="center"/>
    </xf>
    <xf numFmtId="0" fontId="42" fillId="15" borderId="79" xfId="8" applyFont="1" applyFill="1" applyBorder="1" applyAlignment="1">
      <alignment horizontal="center" vertical="center"/>
    </xf>
    <xf numFmtId="0" fontId="18" fillId="6" borderId="57" xfId="8" applyFont="1" applyFill="1" applyBorder="1" applyAlignment="1">
      <alignment horizontal="center" vertical="center"/>
    </xf>
    <xf numFmtId="0" fontId="18" fillId="6" borderId="48" xfId="8" applyFont="1" applyFill="1" applyBorder="1" applyAlignment="1">
      <alignment horizontal="center" vertical="center"/>
    </xf>
    <xf numFmtId="0" fontId="18" fillId="0" borderId="4" xfId="8" applyFont="1" applyFill="1" applyBorder="1" applyAlignment="1">
      <alignment horizontal="center" vertical="center"/>
    </xf>
    <xf numFmtId="0" fontId="18" fillId="0" borderId="1" xfId="8" applyFont="1" applyFill="1" applyBorder="1" applyAlignment="1">
      <alignment horizontal="center" vertical="center"/>
    </xf>
    <xf numFmtId="0" fontId="21" fillId="15" borderId="57" xfId="8" applyFont="1" applyFill="1" applyBorder="1" applyAlignment="1">
      <alignment horizontal="center" vertical="center"/>
    </xf>
    <xf numFmtId="0" fontId="21" fillId="15" borderId="58" xfId="8" applyFont="1" applyFill="1" applyBorder="1" applyAlignment="1">
      <alignment horizontal="center" vertical="center"/>
    </xf>
    <xf numFmtId="0" fontId="21" fillId="15" borderId="65" xfId="8" applyFont="1" applyFill="1" applyBorder="1" applyAlignment="1">
      <alignment horizontal="center" vertical="center"/>
    </xf>
    <xf numFmtId="0" fontId="21" fillId="15" borderId="48" xfId="8" applyFont="1" applyFill="1" applyBorder="1" applyAlignment="1">
      <alignment horizontal="center" vertical="center"/>
    </xf>
    <xf numFmtId="0" fontId="21" fillId="15" borderId="26" xfId="8" applyFont="1" applyFill="1" applyBorder="1" applyAlignment="1">
      <alignment horizontal="center" vertical="center"/>
    </xf>
    <xf numFmtId="0" fontId="21" fillId="15" borderId="47" xfId="8" applyFont="1" applyFill="1" applyBorder="1" applyAlignment="1">
      <alignment horizontal="center" vertical="center"/>
    </xf>
    <xf numFmtId="0" fontId="21" fillId="15" borderId="67" xfId="8" applyFont="1" applyFill="1" applyBorder="1" applyAlignment="1">
      <alignment horizontal="center" vertical="center"/>
    </xf>
    <xf numFmtId="0" fontId="21" fillId="15" borderId="22" xfId="8" applyFont="1" applyFill="1" applyBorder="1" applyAlignment="1">
      <alignment horizontal="center" vertical="center"/>
    </xf>
    <xf numFmtId="0" fontId="30" fillId="15" borderId="86" xfId="8" applyFont="1" applyFill="1" applyBorder="1" applyAlignment="1">
      <alignment horizontal="center" vertical="center"/>
    </xf>
    <xf numFmtId="0" fontId="30" fillId="15" borderId="85" xfId="8" applyFont="1" applyFill="1" applyBorder="1" applyAlignment="1">
      <alignment horizontal="center" vertical="center"/>
    </xf>
    <xf numFmtId="0" fontId="30" fillId="15" borderId="68" xfId="8" applyFont="1" applyFill="1" applyBorder="1" applyAlignment="1">
      <alignment horizontal="center" vertical="center"/>
    </xf>
    <xf numFmtId="0" fontId="30" fillId="15" borderId="56" xfId="8" applyFont="1" applyFill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179" fontId="29" fillId="14" borderId="55" xfId="0" applyNumberFormat="1" applyFont="1" applyFill="1" applyBorder="1" applyAlignment="1">
      <alignment horizontal="center" vertical="center"/>
    </xf>
    <xf numFmtId="179" fontId="29" fillId="14" borderId="12" xfId="0" applyNumberFormat="1" applyFont="1" applyFill="1" applyBorder="1" applyAlignment="1">
      <alignment horizontal="center" vertical="center"/>
    </xf>
    <xf numFmtId="179" fontId="29" fillId="14" borderId="53" xfId="0" applyNumberFormat="1" applyFont="1" applyFill="1" applyBorder="1" applyAlignment="1">
      <alignment horizontal="center" vertical="center"/>
    </xf>
    <xf numFmtId="179" fontId="29" fillId="13" borderId="55" xfId="0" applyNumberFormat="1" applyFont="1" applyFill="1" applyBorder="1" applyAlignment="1">
      <alignment horizontal="center" vertical="center"/>
    </xf>
    <xf numFmtId="179" fontId="29" fillId="13" borderId="12" xfId="0" applyNumberFormat="1" applyFont="1" applyFill="1" applyBorder="1" applyAlignment="1">
      <alignment horizontal="center" vertical="center"/>
    </xf>
    <xf numFmtId="179" fontId="29" fillId="13" borderId="53" xfId="0" applyNumberFormat="1" applyFont="1" applyFill="1" applyBorder="1" applyAlignment="1">
      <alignment horizontal="center" vertical="center"/>
    </xf>
    <xf numFmtId="179" fontId="40" fillId="13" borderId="55" xfId="0" applyNumberFormat="1" applyFont="1" applyFill="1" applyBorder="1" applyAlignment="1">
      <alignment horizontal="center" vertical="center"/>
    </xf>
    <xf numFmtId="179" fontId="40" fillId="13" borderId="12" xfId="0" applyNumberFormat="1" applyFont="1" applyFill="1" applyBorder="1" applyAlignment="1">
      <alignment horizontal="center" vertical="center"/>
    </xf>
    <xf numFmtId="179" fontId="40" fillId="13" borderId="53" xfId="0" applyNumberFormat="1" applyFont="1" applyFill="1" applyBorder="1" applyAlignment="1">
      <alignment horizontal="center" vertical="center"/>
    </xf>
    <xf numFmtId="179" fontId="40" fillId="14" borderId="55" xfId="0" applyNumberFormat="1" applyFont="1" applyFill="1" applyBorder="1" applyAlignment="1">
      <alignment horizontal="center" vertical="center"/>
    </xf>
    <xf numFmtId="179" fontId="40" fillId="14" borderId="12" xfId="0" applyNumberFormat="1" applyFont="1" applyFill="1" applyBorder="1" applyAlignment="1">
      <alignment horizontal="center" vertical="center"/>
    </xf>
    <xf numFmtId="179" fontId="40" fillId="14" borderId="53" xfId="0" applyNumberFormat="1" applyFont="1" applyFill="1" applyBorder="1" applyAlignment="1">
      <alignment horizontal="center" vertical="center"/>
    </xf>
    <xf numFmtId="179" fontId="30" fillId="13" borderId="55" xfId="0" applyNumberFormat="1" applyFont="1" applyFill="1" applyBorder="1" applyAlignment="1">
      <alignment horizontal="center" vertical="center"/>
    </xf>
    <xf numFmtId="179" fontId="30" fillId="13" borderId="12" xfId="0" applyNumberFormat="1" applyFont="1" applyFill="1" applyBorder="1" applyAlignment="1">
      <alignment horizontal="center" vertical="center"/>
    </xf>
    <xf numFmtId="179" fontId="30" fillId="13" borderId="53" xfId="0" applyNumberFormat="1" applyFont="1" applyFill="1" applyBorder="1" applyAlignment="1">
      <alignment horizontal="center" vertical="center"/>
    </xf>
    <xf numFmtId="179" fontId="29" fillId="13" borderId="1" xfId="0" applyNumberFormat="1" applyFont="1" applyFill="1" applyBorder="1" applyAlignment="1">
      <alignment horizontal="center" vertical="center" wrapText="1"/>
    </xf>
    <xf numFmtId="179" fontId="26" fillId="11" borderId="55" xfId="0" applyNumberFormat="1" applyFont="1" applyFill="1" applyBorder="1" applyAlignment="1">
      <alignment horizontal="left" vertical="center"/>
    </xf>
    <xf numFmtId="179" fontId="26" fillId="11" borderId="53" xfId="0" applyNumberFormat="1" applyFont="1" applyFill="1" applyBorder="1" applyAlignment="1">
      <alignment horizontal="left" vertical="center"/>
    </xf>
    <xf numFmtId="179" fontId="26" fillId="11" borderId="55" xfId="0" applyNumberFormat="1" applyFont="1" applyFill="1" applyBorder="1" applyAlignment="1">
      <alignment horizontal="left" vertical="center" shrinkToFit="1"/>
    </xf>
    <xf numFmtId="179" fontId="26" fillId="11" borderId="53" xfId="0" applyNumberFormat="1" applyFont="1" applyFill="1" applyBorder="1" applyAlignment="1">
      <alignment horizontal="left" vertical="center" shrinkToFit="1"/>
    </xf>
    <xf numFmtId="179" fontId="26" fillId="11" borderId="1" xfId="0" applyNumberFormat="1" applyFont="1" applyFill="1" applyBorder="1" applyAlignment="1">
      <alignment vertical="center"/>
    </xf>
    <xf numFmtId="179" fontId="29" fillId="13" borderId="1" xfId="0" applyNumberFormat="1" applyFont="1" applyFill="1" applyBorder="1" applyAlignment="1">
      <alignment horizontal="center" vertical="center"/>
    </xf>
    <xf numFmtId="179" fontId="29" fillId="13" borderId="24" xfId="0" applyNumberFormat="1" applyFont="1" applyFill="1" applyBorder="1" applyAlignment="1">
      <alignment horizontal="center" vertical="center" shrinkToFit="1"/>
    </xf>
    <xf numFmtId="179" fontId="29" fillId="13" borderId="15" xfId="0" applyNumberFormat="1" applyFont="1" applyFill="1" applyBorder="1" applyAlignment="1">
      <alignment horizontal="center" vertical="center" shrinkToFit="1"/>
    </xf>
    <xf numFmtId="192" fontId="29" fillId="13" borderId="1" xfId="0" applyNumberFormat="1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179" fontId="0" fillId="9" borderId="1" xfId="0" applyNumberFormat="1" applyFill="1" applyBorder="1" applyAlignment="1">
      <alignment horizontal="center" vertical="center"/>
    </xf>
    <xf numFmtId="179" fontId="0" fillId="9" borderId="1" xfId="0" applyNumberFormat="1" applyFill="1" applyBorder="1" applyAlignment="1">
      <alignment horizontal="center" vertical="center" shrinkToFit="1"/>
    </xf>
    <xf numFmtId="179" fontId="0" fillId="9" borderId="7" xfId="0" applyNumberFormat="1" applyFill="1" applyBorder="1" applyAlignment="1">
      <alignment horizontal="center" vertical="center" shrinkToFit="1"/>
    </xf>
    <xf numFmtId="179" fontId="0" fillId="9" borderId="7" xfId="0" applyNumberFormat="1" applyFill="1" applyBorder="1" applyAlignment="1">
      <alignment horizontal="center" vertical="center"/>
    </xf>
    <xf numFmtId="0" fontId="0" fillId="0" borderId="0" xfId="0"/>
    <xf numFmtId="179" fontId="0" fillId="5" borderId="50" xfId="0" applyNumberFormat="1" applyFill="1" applyBorder="1" applyAlignment="1">
      <alignment horizontal="center" vertical="center"/>
    </xf>
    <xf numFmtId="179" fontId="0" fillId="5" borderId="7" xfId="0" applyNumberFormat="1" applyFill="1" applyBorder="1" applyAlignment="1">
      <alignment horizontal="center" vertical="center"/>
    </xf>
    <xf numFmtId="179" fontId="0" fillId="5" borderId="51" xfId="0" applyNumberFormat="1" applyFill="1" applyBorder="1" applyAlignment="1">
      <alignment horizontal="center" vertical="center"/>
    </xf>
    <xf numFmtId="179" fontId="0" fillId="5" borderId="8" xfId="0" applyNumberFormat="1" applyFill="1" applyBorder="1" applyAlignment="1">
      <alignment horizontal="center" vertical="center"/>
    </xf>
    <xf numFmtId="179" fontId="0" fillId="5" borderId="49" xfId="0" applyNumberFormat="1" applyFill="1" applyBorder="1" applyAlignment="1">
      <alignment horizontal="center" vertical="center"/>
    </xf>
    <xf numFmtId="179" fontId="0" fillId="5" borderId="6" xfId="0" applyNumberFormat="1" applyFill="1" applyBorder="1" applyAlignment="1">
      <alignment horizontal="center" vertical="center"/>
    </xf>
  </cellXfs>
  <cellStyles count="9">
    <cellStyle name="백분율" xfId="1" builtinId="5"/>
    <cellStyle name="백분율 2 2" xfId="2" xr:uid="{5ADAE98D-98F2-42D8-9DCD-6ED447F35E95}"/>
    <cellStyle name="쉼표 [0]" xfId="3" builtinId="6"/>
    <cellStyle name="쉼표 [0] 2" xfId="4" xr:uid="{FA4D2832-D893-4C11-ACE3-DB5CD4A3F6E0}"/>
    <cellStyle name="쉼표 [0] 3" xfId="5" xr:uid="{B39535F3-DCCC-4224-8BCD-2AAEEBD13136}"/>
    <cellStyle name="표준" xfId="0" builtinId="0"/>
    <cellStyle name="표준 2 2 2" xfId="6" xr:uid="{162B4AD6-CE93-46C4-A67C-66F480433BDD}"/>
    <cellStyle name="표준 2 2 2 7" xfId="7" xr:uid="{E0AE6934-E266-4BD9-BA10-BC5C3BBAC07D}"/>
    <cellStyle name="표준_원가계산서130129" xfId="8" xr:uid="{D41DF813-E099-406F-8BCB-D42EA7F66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1.xml"/><Relationship Id="rId299" Type="http://schemas.openxmlformats.org/officeDocument/2006/relationships/externalLink" Target="externalLinks/externalLink283.xml"/><Relationship Id="rId303" Type="http://schemas.openxmlformats.org/officeDocument/2006/relationships/externalLink" Target="externalLinks/externalLink287.xml"/><Relationship Id="rId21" Type="http://schemas.openxmlformats.org/officeDocument/2006/relationships/externalLink" Target="externalLinks/externalLink5.xml"/><Relationship Id="rId42" Type="http://schemas.openxmlformats.org/officeDocument/2006/relationships/externalLink" Target="externalLinks/externalLink26.xml"/><Relationship Id="rId63" Type="http://schemas.openxmlformats.org/officeDocument/2006/relationships/externalLink" Target="externalLinks/externalLink47.xml"/><Relationship Id="rId84" Type="http://schemas.openxmlformats.org/officeDocument/2006/relationships/externalLink" Target="externalLinks/externalLink68.xml"/><Relationship Id="rId138" Type="http://schemas.openxmlformats.org/officeDocument/2006/relationships/externalLink" Target="externalLinks/externalLink122.xml"/><Relationship Id="rId159" Type="http://schemas.openxmlformats.org/officeDocument/2006/relationships/externalLink" Target="externalLinks/externalLink143.xml"/><Relationship Id="rId324" Type="http://schemas.openxmlformats.org/officeDocument/2006/relationships/externalLink" Target="externalLinks/externalLink308.xml"/><Relationship Id="rId170" Type="http://schemas.openxmlformats.org/officeDocument/2006/relationships/externalLink" Target="externalLinks/externalLink154.xml"/><Relationship Id="rId191" Type="http://schemas.openxmlformats.org/officeDocument/2006/relationships/externalLink" Target="externalLinks/externalLink175.xml"/><Relationship Id="rId205" Type="http://schemas.openxmlformats.org/officeDocument/2006/relationships/externalLink" Target="externalLinks/externalLink189.xml"/><Relationship Id="rId226" Type="http://schemas.openxmlformats.org/officeDocument/2006/relationships/externalLink" Target="externalLinks/externalLink210.xml"/><Relationship Id="rId247" Type="http://schemas.openxmlformats.org/officeDocument/2006/relationships/externalLink" Target="externalLinks/externalLink231.xml"/><Relationship Id="rId107" Type="http://schemas.openxmlformats.org/officeDocument/2006/relationships/externalLink" Target="externalLinks/externalLink91.xml"/><Relationship Id="rId268" Type="http://schemas.openxmlformats.org/officeDocument/2006/relationships/externalLink" Target="externalLinks/externalLink252.xml"/><Relationship Id="rId289" Type="http://schemas.openxmlformats.org/officeDocument/2006/relationships/externalLink" Target="externalLinks/externalLink273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37.xml"/><Relationship Id="rId74" Type="http://schemas.openxmlformats.org/officeDocument/2006/relationships/externalLink" Target="externalLinks/externalLink58.xml"/><Relationship Id="rId128" Type="http://schemas.openxmlformats.org/officeDocument/2006/relationships/externalLink" Target="externalLinks/externalLink112.xml"/><Relationship Id="rId149" Type="http://schemas.openxmlformats.org/officeDocument/2006/relationships/externalLink" Target="externalLinks/externalLink133.xml"/><Relationship Id="rId314" Type="http://schemas.openxmlformats.org/officeDocument/2006/relationships/externalLink" Target="externalLinks/externalLink298.xml"/><Relationship Id="rId335" Type="http://schemas.openxmlformats.org/officeDocument/2006/relationships/externalLink" Target="externalLinks/externalLink319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9.xml"/><Relationship Id="rId160" Type="http://schemas.openxmlformats.org/officeDocument/2006/relationships/externalLink" Target="externalLinks/externalLink144.xml"/><Relationship Id="rId181" Type="http://schemas.openxmlformats.org/officeDocument/2006/relationships/externalLink" Target="externalLinks/externalLink165.xml"/><Relationship Id="rId216" Type="http://schemas.openxmlformats.org/officeDocument/2006/relationships/externalLink" Target="externalLinks/externalLink200.xml"/><Relationship Id="rId237" Type="http://schemas.openxmlformats.org/officeDocument/2006/relationships/externalLink" Target="externalLinks/externalLink221.xml"/><Relationship Id="rId258" Type="http://schemas.openxmlformats.org/officeDocument/2006/relationships/externalLink" Target="externalLinks/externalLink242.xml"/><Relationship Id="rId279" Type="http://schemas.openxmlformats.org/officeDocument/2006/relationships/externalLink" Target="externalLinks/externalLink263.xml"/><Relationship Id="rId22" Type="http://schemas.openxmlformats.org/officeDocument/2006/relationships/externalLink" Target="externalLinks/externalLink6.xml"/><Relationship Id="rId43" Type="http://schemas.openxmlformats.org/officeDocument/2006/relationships/externalLink" Target="externalLinks/externalLink27.xml"/><Relationship Id="rId64" Type="http://schemas.openxmlformats.org/officeDocument/2006/relationships/externalLink" Target="externalLinks/externalLink48.xml"/><Relationship Id="rId118" Type="http://schemas.openxmlformats.org/officeDocument/2006/relationships/externalLink" Target="externalLinks/externalLink102.xml"/><Relationship Id="rId139" Type="http://schemas.openxmlformats.org/officeDocument/2006/relationships/externalLink" Target="externalLinks/externalLink123.xml"/><Relationship Id="rId290" Type="http://schemas.openxmlformats.org/officeDocument/2006/relationships/externalLink" Target="externalLinks/externalLink274.xml"/><Relationship Id="rId304" Type="http://schemas.openxmlformats.org/officeDocument/2006/relationships/externalLink" Target="externalLinks/externalLink288.xml"/><Relationship Id="rId325" Type="http://schemas.openxmlformats.org/officeDocument/2006/relationships/externalLink" Target="externalLinks/externalLink309.xml"/><Relationship Id="rId85" Type="http://schemas.openxmlformats.org/officeDocument/2006/relationships/externalLink" Target="externalLinks/externalLink69.xml"/><Relationship Id="rId150" Type="http://schemas.openxmlformats.org/officeDocument/2006/relationships/externalLink" Target="externalLinks/externalLink134.xml"/><Relationship Id="rId171" Type="http://schemas.openxmlformats.org/officeDocument/2006/relationships/externalLink" Target="externalLinks/externalLink155.xml"/><Relationship Id="rId192" Type="http://schemas.openxmlformats.org/officeDocument/2006/relationships/externalLink" Target="externalLinks/externalLink176.xml"/><Relationship Id="rId206" Type="http://schemas.openxmlformats.org/officeDocument/2006/relationships/externalLink" Target="externalLinks/externalLink190.xml"/><Relationship Id="rId227" Type="http://schemas.openxmlformats.org/officeDocument/2006/relationships/externalLink" Target="externalLinks/externalLink211.xml"/><Relationship Id="rId248" Type="http://schemas.openxmlformats.org/officeDocument/2006/relationships/externalLink" Target="externalLinks/externalLink232.xml"/><Relationship Id="rId269" Type="http://schemas.openxmlformats.org/officeDocument/2006/relationships/externalLink" Target="externalLinks/externalLink253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7.xml"/><Relationship Id="rId108" Type="http://schemas.openxmlformats.org/officeDocument/2006/relationships/externalLink" Target="externalLinks/externalLink92.xml"/><Relationship Id="rId129" Type="http://schemas.openxmlformats.org/officeDocument/2006/relationships/externalLink" Target="externalLinks/externalLink113.xml"/><Relationship Id="rId280" Type="http://schemas.openxmlformats.org/officeDocument/2006/relationships/externalLink" Target="externalLinks/externalLink264.xml"/><Relationship Id="rId315" Type="http://schemas.openxmlformats.org/officeDocument/2006/relationships/externalLink" Target="externalLinks/externalLink299.xml"/><Relationship Id="rId336" Type="http://schemas.openxmlformats.org/officeDocument/2006/relationships/externalLink" Target="externalLinks/externalLink320.xml"/><Relationship Id="rId54" Type="http://schemas.openxmlformats.org/officeDocument/2006/relationships/externalLink" Target="externalLinks/externalLink38.xml"/><Relationship Id="rId75" Type="http://schemas.openxmlformats.org/officeDocument/2006/relationships/externalLink" Target="externalLinks/externalLink59.xml"/><Relationship Id="rId96" Type="http://schemas.openxmlformats.org/officeDocument/2006/relationships/externalLink" Target="externalLinks/externalLink80.xml"/><Relationship Id="rId140" Type="http://schemas.openxmlformats.org/officeDocument/2006/relationships/externalLink" Target="externalLinks/externalLink124.xml"/><Relationship Id="rId161" Type="http://schemas.openxmlformats.org/officeDocument/2006/relationships/externalLink" Target="externalLinks/externalLink145.xml"/><Relationship Id="rId182" Type="http://schemas.openxmlformats.org/officeDocument/2006/relationships/externalLink" Target="externalLinks/externalLink166.xml"/><Relationship Id="rId217" Type="http://schemas.openxmlformats.org/officeDocument/2006/relationships/externalLink" Target="externalLinks/externalLink20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2.xml"/><Relationship Id="rId259" Type="http://schemas.openxmlformats.org/officeDocument/2006/relationships/externalLink" Target="externalLinks/externalLink243.xml"/><Relationship Id="rId23" Type="http://schemas.openxmlformats.org/officeDocument/2006/relationships/externalLink" Target="externalLinks/externalLink7.xml"/><Relationship Id="rId119" Type="http://schemas.openxmlformats.org/officeDocument/2006/relationships/externalLink" Target="externalLinks/externalLink103.xml"/><Relationship Id="rId270" Type="http://schemas.openxmlformats.org/officeDocument/2006/relationships/externalLink" Target="externalLinks/externalLink254.xml"/><Relationship Id="rId291" Type="http://schemas.openxmlformats.org/officeDocument/2006/relationships/externalLink" Target="externalLinks/externalLink275.xml"/><Relationship Id="rId305" Type="http://schemas.openxmlformats.org/officeDocument/2006/relationships/externalLink" Target="externalLinks/externalLink289.xml"/><Relationship Id="rId326" Type="http://schemas.openxmlformats.org/officeDocument/2006/relationships/externalLink" Target="externalLinks/externalLink310.xml"/><Relationship Id="rId44" Type="http://schemas.openxmlformats.org/officeDocument/2006/relationships/externalLink" Target="externalLinks/externalLink28.xml"/><Relationship Id="rId65" Type="http://schemas.openxmlformats.org/officeDocument/2006/relationships/externalLink" Target="externalLinks/externalLink49.xml"/><Relationship Id="rId86" Type="http://schemas.openxmlformats.org/officeDocument/2006/relationships/externalLink" Target="externalLinks/externalLink70.xml"/><Relationship Id="rId130" Type="http://schemas.openxmlformats.org/officeDocument/2006/relationships/externalLink" Target="externalLinks/externalLink114.xml"/><Relationship Id="rId151" Type="http://schemas.openxmlformats.org/officeDocument/2006/relationships/externalLink" Target="externalLinks/externalLink135.xml"/><Relationship Id="rId172" Type="http://schemas.openxmlformats.org/officeDocument/2006/relationships/externalLink" Target="externalLinks/externalLink156.xml"/><Relationship Id="rId193" Type="http://schemas.openxmlformats.org/officeDocument/2006/relationships/externalLink" Target="externalLinks/externalLink177.xml"/><Relationship Id="rId207" Type="http://schemas.openxmlformats.org/officeDocument/2006/relationships/externalLink" Target="externalLinks/externalLink191.xml"/><Relationship Id="rId228" Type="http://schemas.openxmlformats.org/officeDocument/2006/relationships/externalLink" Target="externalLinks/externalLink212.xml"/><Relationship Id="rId249" Type="http://schemas.openxmlformats.org/officeDocument/2006/relationships/externalLink" Target="externalLinks/externalLink233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3.xml"/><Relationship Id="rId260" Type="http://schemas.openxmlformats.org/officeDocument/2006/relationships/externalLink" Target="externalLinks/externalLink244.xml"/><Relationship Id="rId281" Type="http://schemas.openxmlformats.org/officeDocument/2006/relationships/externalLink" Target="externalLinks/externalLink265.xml"/><Relationship Id="rId316" Type="http://schemas.openxmlformats.org/officeDocument/2006/relationships/externalLink" Target="externalLinks/externalLink300.xml"/><Relationship Id="rId337" Type="http://schemas.openxmlformats.org/officeDocument/2006/relationships/externalLink" Target="externalLinks/externalLink321.xml"/><Relationship Id="rId34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39.xml"/><Relationship Id="rId76" Type="http://schemas.openxmlformats.org/officeDocument/2006/relationships/externalLink" Target="externalLinks/externalLink60.xml"/><Relationship Id="rId97" Type="http://schemas.openxmlformats.org/officeDocument/2006/relationships/externalLink" Target="externalLinks/externalLink81.xml"/><Relationship Id="rId120" Type="http://schemas.openxmlformats.org/officeDocument/2006/relationships/externalLink" Target="externalLinks/externalLink104.xml"/><Relationship Id="rId141" Type="http://schemas.openxmlformats.org/officeDocument/2006/relationships/externalLink" Target="externalLinks/externalLink125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146.xml"/><Relationship Id="rId183" Type="http://schemas.openxmlformats.org/officeDocument/2006/relationships/externalLink" Target="externalLinks/externalLink167.xml"/><Relationship Id="rId218" Type="http://schemas.openxmlformats.org/officeDocument/2006/relationships/externalLink" Target="externalLinks/externalLink202.xml"/><Relationship Id="rId239" Type="http://schemas.openxmlformats.org/officeDocument/2006/relationships/externalLink" Target="externalLinks/externalLink223.xml"/><Relationship Id="rId250" Type="http://schemas.openxmlformats.org/officeDocument/2006/relationships/externalLink" Target="externalLinks/externalLink234.xml"/><Relationship Id="rId271" Type="http://schemas.openxmlformats.org/officeDocument/2006/relationships/externalLink" Target="externalLinks/externalLink255.xml"/><Relationship Id="rId292" Type="http://schemas.openxmlformats.org/officeDocument/2006/relationships/externalLink" Target="externalLinks/externalLink276.xml"/><Relationship Id="rId306" Type="http://schemas.openxmlformats.org/officeDocument/2006/relationships/externalLink" Target="externalLinks/externalLink290.xml"/><Relationship Id="rId24" Type="http://schemas.openxmlformats.org/officeDocument/2006/relationships/externalLink" Target="externalLinks/externalLink8.xml"/><Relationship Id="rId45" Type="http://schemas.openxmlformats.org/officeDocument/2006/relationships/externalLink" Target="externalLinks/externalLink29.xml"/><Relationship Id="rId66" Type="http://schemas.openxmlformats.org/officeDocument/2006/relationships/externalLink" Target="externalLinks/externalLink50.xml"/><Relationship Id="rId87" Type="http://schemas.openxmlformats.org/officeDocument/2006/relationships/externalLink" Target="externalLinks/externalLink71.xml"/><Relationship Id="rId110" Type="http://schemas.openxmlformats.org/officeDocument/2006/relationships/externalLink" Target="externalLinks/externalLink94.xml"/><Relationship Id="rId131" Type="http://schemas.openxmlformats.org/officeDocument/2006/relationships/externalLink" Target="externalLinks/externalLink115.xml"/><Relationship Id="rId327" Type="http://schemas.openxmlformats.org/officeDocument/2006/relationships/externalLink" Target="externalLinks/externalLink311.xml"/><Relationship Id="rId152" Type="http://schemas.openxmlformats.org/officeDocument/2006/relationships/externalLink" Target="externalLinks/externalLink136.xml"/><Relationship Id="rId173" Type="http://schemas.openxmlformats.org/officeDocument/2006/relationships/externalLink" Target="externalLinks/externalLink157.xml"/><Relationship Id="rId194" Type="http://schemas.openxmlformats.org/officeDocument/2006/relationships/externalLink" Target="externalLinks/externalLink178.xml"/><Relationship Id="rId208" Type="http://schemas.openxmlformats.org/officeDocument/2006/relationships/externalLink" Target="externalLinks/externalLink192.xml"/><Relationship Id="rId229" Type="http://schemas.openxmlformats.org/officeDocument/2006/relationships/externalLink" Target="externalLinks/externalLink213.xml"/><Relationship Id="rId240" Type="http://schemas.openxmlformats.org/officeDocument/2006/relationships/externalLink" Target="externalLinks/externalLink224.xml"/><Relationship Id="rId261" Type="http://schemas.openxmlformats.org/officeDocument/2006/relationships/externalLink" Target="externalLinks/externalLink245.xml"/><Relationship Id="rId14" Type="http://schemas.openxmlformats.org/officeDocument/2006/relationships/worksheet" Target="worksheets/sheet14.xml"/><Relationship Id="rId35" Type="http://schemas.openxmlformats.org/officeDocument/2006/relationships/externalLink" Target="externalLinks/externalLink19.xml"/><Relationship Id="rId56" Type="http://schemas.openxmlformats.org/officeDocument/2006/relationships/externalLink" Target="externalLinks/externalLink40.xml"/><Relationship Id="rId77" Type="http://schemas.openxmlformats.org/officeDocument/2006/relationships/externalLink" Target="externalLinks/externalLink61.xml"/><Relationship Id="rId100" Type="http://schemas.openxmlformats.org/officeDocument/2006/relationships/externalLink" Target="externalLinks/externalLink84.xml"/><Relationship Id="rId282" Type="http://schemas.openxmlformats.org/officeDocument/2006/relationships/externalLink" Target="externalLinks/externalLink266.xml"/><Relationship Id="rId317" Type="http://schemas.openxmlformats.org/officeDocument/2006/relationships/externalLink" Target="externalLinks/externalLink301.xml"/><Relationship Id="rId338" Type="http://schemas.openxmlformats.org/officeDocument/2006/relationships/externalLink" Target="externalLinks/externalLink322.xml"/><Relationship Id="rId8" Type="http://schemas.openxmlformats.org/officeDocument/2006/relationships/worksheet" Target="worksheets/sheet8.xml"/><Relationship Id="rId98" Type="http://schemas.openxmlformats.org/officeDocument/2006/relationships/externalLink" Target="externalLinks/externalLink82.xml"/><Relationship Id="rId121" Type="http://schemas.openxmlformats.org/officeDocument/2006/relationships/externalLink" Target="externalLinks/externalLink105.xml"/><Relationship Id="rId142" Type="http://schemas.openxmlformats.org/officeDocument/2006/relationships/externalLink" Target="externalLinks/externalLink126.xml"/><Relationship Id="rId163" Type="http://schemas.openxmlformats.org/officeDocument/2006/relationships/externalLink" Target="externalLinks/externalLink147.xml"/><Relationship Id="rId184" Type="http://schemas.openxmlformats.org/officeDocument/2006/relationships/externalLink" Target="externalLinks/externalLink168.xml"/><Relationship Id="rId219" Type="http://schemas.openxmlformats.org/officeDocument/2006/relationships/externalLink" Target="externalLinks/externalLink203.xml"/><Relationship Id="rId230" Type="http://schemas.openxmlformats.org/officeDocument/2006/relationships/externalLink" Target="externalLinks/externalLink214.xml"/><Relationship Id="rId251" Type="http://schemas.openxmlformats.org/officeDocument/2006/relationships/externalLink" Target="externalLinks/externalLink235.xml"/><Relationship Id="rId25" Type="http://schemas.openxmlformats.org/officeDocument/2006/relationships/externalLink" Target="externalLinks/externalLink9.xml"/><Relationship Id="rId46" Type="http://schemas.openxmlformats.org/officeDocument/2006/relationships/externalLink" Target="externalLinks/externalLink30.xml"/><Relationship Id="rId67" Type="http://schemas.openxmlformats.org/officeDocument/2006/relationships/externalLink" Target="externalLinks/externalLink51.xml"/><Relationship Id="rId116" Type="http://schemas.openxmlformats.org/officeDocument/2006/relationships/externalLink" Target="externalLinks/externalLink100.xml"/><Relationship Id="rId137" Type="http://schemas.openxmlformats.org/officeDocument/2006/relationships/externalLink" Target="externalLinks/externalLink121.xml"/><Relationship Id="rId158" Type="http://schemas.openxmlformats.org/officeDocument/2006/relationships/externalLink" Target="externalLinks/externalLink142.xml"/><Relationship Id="rId272" Type="http://schemas.openxmlformats.org/officeDocument/2006/relationships/externalLink" Target="externalLinks/externalLink256.xml"/><Relationship Id="rId293" Type="http://schemas.openxmlformats.org/officeDocument/2006/relationships/externalLink" Target="externalLinks/externalLink277.xml"/><Relationship Id="rId302" Type="http://schemas.openxmlformats.org/officeDocument/2006/relationships/externalLink" Target="externalLinks/externalLink286.xml"/><Relationship Id="rId307" Type="http://schemas.openxmlformats.org/officeDocument/2006/relationships/externalLink" Target="externalLinks/externalLink291.xml"/><Relationship Id="rId323" Type="http://schemas.openxmlformats.org/officeDocument/2006/relationships/externalLink" Target="externalLinks/externalLink307.xml"/><Relationship Id="rId328" Type="http://schemas.openxmlformats.org/officeDocument/2006/relationships/externalLink" Target="externalLinks/externalLink312.xml"/><Relationship Id="rId20" Type="http://schemas.openxmlformats.org/officeDocument/2006/relationships/externalLink" Target="externalLinks/externalLink4.xml"/><Relationship Id="rId41" Type="http://schemas.openxmlformats.org/officeDocument/2006/relationships/externalLink" Target="externalLinks/externalLink25.xml"/><Relationship Id="rId62" Type="http://schemas.openxmlformats.org/officeDocument/2006/relationships/externalLink" Target="externalLinks/externalLink46.xml"/><Relationship Id="rId83" Type="http://schemas.openxmlformats.org/officeDocument/2006/relationships/externalLink" Target="externalLinks/externalLink67.xml"/><Relationship Id="rId88" Type="http://schemas.openxmlformats.org/officeDocument/2006/relationships/externalLink" Target="externalLinks/externalLink72.xml"/><Relationship Id="rId111" Type="http://schemas.openxmlformats.org/officeDocument/2006/relationships/externalLink" Target="externalLinks/externalLink95.xml"/><Relationship Id="rId132" Type="http://schemas.openxmlformats.org/officeDocument/2006/relationships/externalLink" Target="externalLinks/externalLink116.xml"/><Relationship Id="rId153" Type="http://schemas.openxmlformats.org/officeDocument/2006/relationships/externalLink" Target="externalLinks/externalLink137.xml"/><Relationship Id="rId174" Type="http://schemas.openxmlformats.org/officeDocument/2006/relationships/externalLink" Target="externalLinks/externalLink158.xml"/><Relationship Id="rId179" Type="http://schemas.openxmlformats.org/officeDocument/2006/relationships/externalLink" Target="externalLinks/externalLink163.xml"/><Relationship Id="rId195" Type="http://schemas.openxmlformats.org/officeDocument/2006/relationships/externalLink" Target="externalLinks/externalLink179.xml"/><Relationship Id="rId209" Type="http://schemas.openxmlformats.org/officeDocument/2006/relationships/externalLink" Target="externalLinks/externalLink193.xml"/><Relationship Id="rId190" Type="http://schemas.openxmlformats.org/officeDocument/2006/relationships/externalLink" Target="externalLinks/externalLink174.xml"/><Relationship Id="rId204" Type="http://schemas.openxmlformats.org/officeDocument/2006/relationships/externalLink" Target="externalLinks/externalLink188.xml"/><Relationship Id="rId220" Type="http://schemas.openxmlformats.org/officeDocument/2006/relationships/externalLink" Target="externalLinks/externalLink204.xml"/><Relationship Id="rId225" Type="http://schemas.openxmlformats.org/officeDocument/2006/relationships/externalLink" Target="externalLinks/externalLink209.xml"/><Relationship Id="rId241" Type="http://schemas.openxmlformats.org/officeDocument/2006/relationships/externalLink" Target="externalLinks/externalLink225.xml"/><Relationship Id="rId246" Type="http://schemas.openxmlformats.org/officeDocument/2006/relationships/externalLink" Target="externalLinks/externalLink230.xml"/><Relationship Id="rId267" Type="http://schemas.openxmlformats.org/officeDocument/2006/relationships/externalLink" Target="externalLinks/externalLink251.xml"/><Relationship Id="rId288" Type="http://schemas.openxmlformats.org/officeDocument/2006/relationships/externalLink" Target="externalLinks/externalLink272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20.xml"/><Relationship Id="rId57" Type="http://schemas.openxmlformats.org/officeDocument/2006/relationships/externalLink" Target="externalLinks/externalLink41.xml"/><Relationship Id="rId106" Type="http://schemas.openxmlformats.org/officeDocument/2006/relationships/externalLink" Target="externalLinks/externalLink90.xml"/><Relationship Id="rId127" Type="http://schemas.openxmlformats.org/officeDocument/2006/relationships/externalLink" Target="externalLinks/externalLink111.xml"/><Relationship Id="rId262" Type="http://schemas.openxmlformats.org/officeDocument/2006/relationships/externalLink" Target="externalLinks/externalLink246.xml"/><Relationship Id="rId283" Type="http://schemas.openxmlformats.org/officeDocument/2006/relationships/externalLink" Target="externalLinks/externalLink267.xml"/><Relationship Id="rId313" Type="http://schemas.openxmlformats.org/officeDocument/2006/relationships/externalLink" Target="externalLinks/externalLink297.xml"/><Relationship Id="rId318" Type="http://schemas.openxmlformats.org/officeDocument/2006/relationships/externalLink" Target="externalLinks/externalLink302.xml"/><Relationship Id="rId339" Type="http://schemas.openxmlformats.org/officeDocument/2006/relationships/externalLink" Target="externalLinks/externalLink32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36.xml"/><Relationship Id="rId73" Type="http://schemas.openxmlformats.org/officeDocument/2006/relationships/externalLink" Target="externalLinks/externalLink57.xml"/><Relationship Id="rId78" Type="http://schemas.openxmlformats.org/officeDocument/2006/relationships/externalLink" Target="externalLinks/externalLink62.xml"/><Relationship Id="rId94" Type="http://schemas.openxmlformats.org/officeDocument/2006/relationships/externalLink" Target="externalLinks/externalLink78.xml"/><Relationship Id="rId99" Type="http://schemas.openxmlformats.org/officeDocument/2006/relationships/externalLink" Target="externalLinks/externalLink83.xml"/><Relationship Id="rId101" Type="http://schemas.openxmlformats.org/officeDocument/2006/relationships/externalLink" Target="externalLinks/externalLink85.xml"/><Relationship Id="rId122" Type="http://schemas.openxmlformats.org/officeDocument/2006/relationships/externalLink" Target="externalLinks/externalLink106.xml"/><Relationship Id="rId143" Type="http://schemas.openxmlformats.org/officeDocument/2006/relationships/externalLink" Target="externalLinks/externalLink127.xml"/><Relationship Id="rId148" Type="http://schemas.openxmlformats.org/officeDocument/2006/relationships/externalLink" Target="externalLinks/externalLink132.xml"/><Relationship Id="rId164" Type="http://schemas.openxmlformats.org/officeDocument/2006/relationships/externalLink" Target="externalLinks/externalLink148.xml"/><Relationship Id="rId169" Type="http://schemas.openxmlformats.org/officeDocument/2006/relationships/externalLink" Target="externalLinks/externalLink153.xml"/><Relationship Id="rId185" Type="http://schemas.openxmlformats.org/officeDocument/2006/relationships/externalLink" Target="externalLinks/externalLink169.xml"/><Relationship Id="rId334" Type="http://schemas.openxmlformats.org/officeDocument/2006/relationships/externalLink" Target="externalLinks/externalLink3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164.xml"/><Relationship Id="rId210" Type="http://schemas.openxmlformats.org/officeDocument/2006/relationships/externalLink" Target="externalLinks/externalLink194.xml"/><Relationship Id="rId215" Type="http://schemas.openxmlformats.org/officeDocument/2006/relationships/externalLink" Target="externalLinks/externalLink199.xml"/><Relationship Id="rId236" Type="http://schemas.openxmlformats.org/officeDocument/2006/relationships/externalLink" Target="externalLinks/externalLink220.xml"/><Relationship Id="rId257" Type="http://schemas.openxmlformats.org/officeDocument/2006/relationships/externalLink" Target="externalLinks/externalLink241.xml"/><Relationship Id="rId278" Type="http://schemas.openxmlformats.org/officeDocument/2006/relationships/externalLink" Target="externalLinks/externalLink262.xml"/><Relationship Id="rId26" Type="http://schemas.openxmlformats.org/officeDocument/2006/relationships/externalLink" Target="externalLinks/externalLink10.xml"/><Relationship Id="rId231" Type="http://schemas.openxmlformats.org/officeDocument/2006/relationships/externalLink" Target="externalLinks/externalLink215.xml"/><Relationship Id="rId252" Type="http://schemas.openxmlformats.org/officeDocument/2006/relationships/externalLink" Target="externalLinks/externalLink236.xml"/><Relationship Id="rId273" Type="http://schemas.openxmlformats.org/officeDocument/2006/relationships/externalLink" Target="externalLinks/externalLink257.xml"/><Relationship Id="rId294" Type="http://schemas.openxmlformats.org/officeDocument/2006/relationships/externalLink" Target="externalLinks/externalLink278.xml"/><Relationship Id="rId308" Type="http://schemas.openxmlformats.org/officeDocument/2006/relationships/externalLink" Target="externalLinks/externalLink292.xml"/><Relationship Id="rId329" Type="http://schemas.openxmlformats.org/officeDocument/2006/relationships/externalLink" Target="externalLinks/externalLink313.xml"/><Relationship Id="rId47" Type="http://schemas.openxmlformats.org/officeDocument/2006/relationships/externalLink" Target="externalLinks/externalLink31.xml"/><Relationship Id="rId68" Type="http://schemas.openxmlformats.org/officeDocument/2006/relationships/externalLink" Target="externalLinks/externalLink52.xml"/><Relationship Id="rId89" Type="http://schemas.openxmlformats.org/officeDocument/2006/relationships/externalLink" Target="externalLinks/externalLink73.xml"/><Relationship Id="rId112" Type="http://schemas.openxmlformats.org/officeDocument/2006/relationships/externalLink" Target="externalLinks/externalLink96.xml"/><Relationship Id="rId133" Type="http://schemas.openxmlformats.org/officeDocument/2006/relationships/externalLink" Target="externalLinks/externalLink117.xml"/><Relationship Id="rId154" Type="http://schemas.openxmlformats.org/officeDocument/2006/relationships/externalLink" Target="externalLinks/externalLink138.xml"/><Relationship Id="rId175" Type="http://schemas.openxmlformats.org/officeDocument/2006/relationships/externalLink" Target="externalLinks/externalLink159.xml"/><Relationship Id="rId340" Type="http://schemas.openxmlformats.org/officeDocument/2006/relationships/theme" Target="theme/theme1.xml"/><Relationship Id="rId196" Type="http://schemas.openxmlformats.org/officeDocument/2006/relationships/externalLink" Target="externalLinks/externalLink180.xml"/><Relationship Id="rId200" Type="http://schemas.openxmlformats.org/officeDocument/2006/relationships/externalLink" Target="externalLinks/externalLink184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205.xml"/><Relationship Id="rId242" Type="http://schemas.openxmlformats.org/officeDocument/2006/relationships/externalLink" Target="externalLinks/externalLink226.xml"/><Relationship Id="rId263" Type="http://schemas.openxmlformats.org/officeDocument/2006/relationships/externalLink" Target="externalLinks/externalLink247.xml"/><Relationship Id="rId284" Type="http://schemas.openxmlformats.org/officeDocument/2006/relationships/externalLink" Target="externalLinks/externalLink268.xml"/><Relationship Id="rId319" Type="http://schemas.openxmlformats.org/officeDocument/2006/relationships/externalLink" Target="externalLinks/externalLink303.xml"/><Relationship Id="rId37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42.xml"/><Relationship Id="rId79" Type="http://schemas.openxmlformats.org/officeDocument/2006/relationships/externalLink" Target="externalLinks/externalLink63.xml"/><Relationship Id="rId102" Type="http://schemas.openxmlformats.org/officeDocument/2006/relationships/externalLink" Target="externalLinks/externalLink86.xml"/><Relationship Id="rId123" Type="http://schemas.openxmlformats.org/officeDocument/2006/relationships/externalLink" Target="externalLinks/externalLink107.xml"/><Relationship Id="rId144" Type="http://schemas.openxmlformats.org/officeDocument/2006/relationships/externalLink" Target="externalLinks/externalLink128.xml"/><Relationship Id="rId330" Type="http://schemas.openxmlformats.org/officeDocument/2006/relationships/externalLink" Target="externalLinks/externalLink314.xml"/><Relationship Id="rId90" Type="http://schemas.openxmlformats.org/officeDocument/2006/relationships/externalLink" Target="externalLinks/externalLink74.xml"/><Relationship Id="rId165" Type="http://schemas.openxmlformats.org/officeDocument/2006/relationships/externalLink" Target="externalLinks/externalLink149.xml"/><Relationship Id="rId186" Type="http://schemas.openxmlformats.org/officeDocument/2006/relationships/externalLink" Target="externalLinks/externalLink170.xml"/><Relationship Id="rId211" Type="http://schemas.openxmlformats.org/officeDocument/2006/relationships/externalLink" Target="externalLinks/externalLink195.xml"/><Relationship Id="rId232" Type="http://schemas.openxmlformats.org/officeDocument/2006/relationships/externalLink" Target="externalLinks/externalLink216.xml"/><Relationship Id="rId253" Type="http://schemas.openxmlformats.org/officeDocument/2006/relationships/externalLink" Target="externalLinks/externalLink237.xml"/><Relationship Id="rId274" Type="http://schemas.openxmlformats.org/officeDocument/2006/relationships/externalLink" Target="externalLinks/externalLink258.xml"/><Relationship Id="rId295" Type="http://schemas.openxmlformats.org/officeDocument/2006/relationships/externalLink" Target="externalLinks/externalLink279.xml"/><Relationship Id="rId309" Type="http://schemas.openxmlformats.org/officeDocument/2006/relationships/externalLink" Target="externalLinks/externalLink293.xml"/><Relationship Id="rId27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32.xml"/><Relationship Id="rId69" Type="http://schemas.openxmlformats.org/officeDocument/2006/relationships/externalLink" Target="externalLinks/externalLink53.xml"/><Relationship Id="rId113" Type="http://schemas.openxmlformats.org/officeDocument/2006/relationships/externalLink" Target="externalLinks/externalLink97.xml"/><Relationship Id="rId134" Type="http://schemas.openxmlformats.org/officeDocument/2006/relationships/externalLink" Target="externalLinks/externalLink118.xml"/><Relationship Id="rId320" Type="http://schemas.openxmlformats.org/officeDocument/2006/relationships/externalLink" Target="externalLinks/externalLink304.xml"/><Relationship Id="rId80" Type="http://schemas.openxmlformats.org/officeDocument/2006/relationships/externalLink" Target="externalLinks/externalLink64.xml"/><Relationship Id="rId155" Type="http://schemas.openxmlformats.org/officeDocument/2006/relationships/externalLink" Target="externalLinks/externalLink139.xml"/><Relationship Id="rId176" Type="http://schemas.openxmlformats.org/officeDocument/2006/relationships/externalLink" Target="externalLinks/externalLink160.xml"/><Relationship Id="rId197" Type="http://schemas.openxmlformats.org/officeDocument/2006/relationships/externalLink" Target="externalLinks/externalLink181.xml"/><Relationship Id="rId341" Type="http://schemas.openxmlformats.org/officeDocument/2006/relationships/styles" Target="styles.xml"/><Relationship Id="rId201" Type="http://schemas.openxmlformats.org/officeDocument/2006/relationships/externalLink" Target="externalLinks/externalLink185.xml"/><Relationship Id="rId222" Type="http://schemas.openxmlformats.org/officeDocument/2006/relationships/externalLink" Target="externalLinks/externalLink206.xml"/><Relationship Id="rId243" Type="http://schemas.openxmlformats.org/officeDocument/2006/relationships/externalLink" Target="externalLinks/externalLink227.xml"/><Relationship Id="rId264" Type="http://schemas.openxmlformats.org/officeDocument/2006/relationships/externalLink" Target="externalLinks/externalLink248.xml"/><Relationship Id="rId285" Type="http://schemas.openxmlformats.org/officeDocument/2006/relationships/externalLink" Target="externalLinks/externalLink269.xml"/><Relationship Id="rId17" Type="http://schemas.openxmlformats.org/officeDocument/2006/relationships/externalLink" Target="externalLinks/externalLink1.xml"/><Relationship Id="rId38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43.xml"/><Relationship Id="rId103" Type="http://schemas.openxmlformats.org/officeDocument/2006/relationships/externalLink" Target="externalLinks/externalLink87.xml"/><Relationship Id="rId124" Type="http://schemas.openxmlformats.org/officeDocument/2006/relationships/externalLink" Target="externalLinks/externalLink108.xml"/><Relationship Id="rId310" Type="http://schemas.openxmlformats.org/officeDocument/2006/relationships/externalLink" Target="externalLinks/externalLink294.xml"/><Relationship Id="rId70" Type="http://schemas.openxmlformats.org/officeDocument/2006/relationships/externalLink" Target="externalLinks/externalLink54.xml"/><Relationship Id="rId91" Type="http://schemas.openxmlformats.org/officeDocument/2006/relationships/externalLink" Target="externalLinks/externalLink75.xml"/><Relationship Id="rId145" Type="http://schemas.openxmlformats.org/officeDocument/2006/relationships/externalLink" Target="externalLinks/externalLink129.xml"/><Relationship Id="rId166" Type="http://schemas.openxmlformats.org/officeDocument/2006/relationships/externalLink" Target="externalLinks/externalLink150.xml"/><Relationship Id="rId187" Type="http://schemas.openxmlformats.org/officeDocument/2006/relationships/externalLink" Target="externalLinks/externalLink171.xml"/><Relationship Id="rId331" Type="http://schemas.openxmlformats.org/officeDocument/2006/relationships/externalLink" Target="externalLinks/externalLink31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196.xml"/><Relationship Id="rId233" Type="http://schemas.openxmlformats.org/officeDocument/2006/relationships/externalLink" Target="externalLinks/externalLink217.xml"/><Relationship Id="rId254" Type="http://schemas.openxmlformats.org/officeDocument/2006/relationships/externalLink" Target="externalLinks/externalLink238.xml"/><Relationship Id="rId28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33.xml"/><Relationship Id="rId114" Type="http://schemas.openxmlformats.org/officeDocument/2006/relationships/externalLink" Target="externalLinks/externalLink98.xml"/><Relationship Id="rId275" Type="http://schemas.openxmlformats.org/officeDocument/2006/relationships/externalLink" Target="externalLinks/externalLink259.xml"/><Relationship Id="rId296" Type="http://schemas.openxmlformats.org/officeDocument/2006/relationships/externalLink" Target="externalLinks/externalLink280.xml"/><Relationship Id="rId300" Type="http://schemas.openxmlformats.org/officeDocument/2006/relationships/externalLink" Target="externalLinks/externalLink284.xml"/><Relationship Id="rId60" Type="http://schemas.openxmlformats.org/officeDocument/2006/relationships/externalLink" Target="externalLinks/externalLink44.xml"/><Relationship Id="rId81" Type="http://schemas.openxmlformats.org/officeDocument/2006/relationships/externalLink" Target="externalLinks/externalLink65.xml"/><Relationship Id="rId135" Type="http://schemas.openxmlformats.org/officeDocument/2006/relationships/externalLink" Target="externalLinks/externalLink119.xml"/><Relationship Id="rId156" Type="http://schemas.openxmlformats.org/officeDocument/2006/relationships/externalLink" Target="externalLinks/externalLink140.xml"/><Relationship Id="rId177" Type="http://schemas.openxmlformats.org/officeDocument/2006/relationships/externalLink" Target="externalLinks/externalLink161.xml"/><Relationship Id="rId198" Type="http://schemas.openxmlformats.org/officeDocument/2006/relationships/externalLink" Target="externalLinks/externalLink182.xml"/><Relationship Id="rId321" Type="http://schemas.openxmlformats.org/officeDocument/2006/relationships/externalLink" Target="externalLinks/externalLink305.xml"/><Relationship Id="rId342" Type="http://schemas.openxmlformats.org/officeDocument/2006/relationships/sharedStrings" Target="sharedStrings.xml"/><Relationship Id="rId202" Type="http://schemas.openxmlformats.org/officeDocument/2006/relationships/externalLink" Target="externalLinks/externalLink186.xml"/><Relationship Id="rId223" Type="http://schemas.openxmlformats.org/officeDocument/2006/relationships/externalLink" Target="externalLinks/externalLink207.xml"/><Relationship Id="rId244" Type="http://schemas.openxmlformats.org/officeDocument/2006/relationships/externalLink" Target="externalLinks/externalLink228.xml"/><Relationship Id="rId18" Type="http://schemas.openxmlformats.org/officeDocument/2006/relationships/externalLink" Target="externalLinks/externalLink2.xml"/><Relationship Id="rId39" Type="http://schemas.openxmlformats.org/officeDocument/2006/relationships/externalLink" Target="externalLinks/externalLink23.xml"/><Relationship Id="rId265" Type="http://schemas.openxmlformats.org/officeDocument/2006/relationships/externalLink" Target="externalLinks/externalLink249.xml"/><Relationship Id="rId286" Type="http://schemas.openxmlformats.org/officeDocument/2006/relationships/externalLink" Target="externalLinks/externalLink270.xml"/><Relationship Id="rId50" Type="http://schemas.openxmlformats.org/officeDocument/2006/relationships/externalLink" Target="externalLinks/externalLink34.xml"/><Relationship Id="rId104" Type="http://schemas.openxmlformats.org/officeDocument/2006/relationships/externalLink" Target="externalLinks/externalLink88.xml"/><Relationship Id="rId125" Type="http://schemas.openxmlformats.org/officeDocument/2006/relationships/externalLink" Target="externalLinks/externalLink109.xml"/><Relationship Id="rId146" Type="http://schemas.openxmlformats.org/officeDocument/2006/relationships/externalLink" Target="externalLinks/externalLink130.xml"/><Relationship Id="rId167" Type="http://schemas.openxmlformats.org/officeDocument/2006/relationships/externalLink" Target="externalLinks/externalLink151.xml"/><Relationship Id="rId188" Type="http://schemas.openxmlformats.org/officeDocument/2006/relationships/externalLink" Target="externalLinks/externalLink172.xml"/><Relationship Id="rId311" Type="http://schemas.openxmlformats.org/officeDocument/2006/relationships/externalLink" Target="externalLinks/externalLink295.xml"/><Relationship Id="rId332" Type="http://schemas.openxmlformats.org/officeDocument/2006/relationships/externalLink" Target="externalLinks/externalLink316.xml"/><Relationship Id="rId71" Type="http://schemas.openxmlformats.org/officeDocument/2006/relationships/externalLink" Target="externalLinks/externalLink55.xml"/><Relationship Id="rId92" Type="http://schemas.openxmlformats.org/officeDocument/2006/relationships/externalLink" Target="externalLinks/externalLink76.xml"/><Relationship Id="rId213" Type="http://schemas.openxmlformats.org/officeDocument/2006/relationships/externalLink" Target="externalLinks/externalLink197.xml"/><Relationship Id="rId234" Type="http://schemas.openxmlformats.org/officeDocument/2006/relationships/externalLink" Target="externalLinks/externalLink21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3.xml"/><Relationship Id="rId255" Type="http://schemas.openxmlformats.org/officeDocument/2006/relationships/externalLink" Target="externalLinks/externalLink239.xml"/><Relationship Id="rId276" Type="http://schemas.openxmlformats.org/officeDocument/2006/relationships/externalLink" Target="externalLinks/externalLink260.xml"/><Relationship Id="rId297" Type="http://schemas.openxmlformats.org/officeDocument/2006/relationships/externalLink" Target="externalLinks/externalLink281.xml"/><Relationship Id="rId40" Type="http://schemas.openxmlformats.org/officeDocument/2006/relationships/externalLink" Target="externalLinks/externalLink24.xml"/><Relationship Id="rId115" Type="http://schemas.openxmlformats.org/officeDocument/2006/relationships/externalLink" Target="externalLinks/externalLink99.xml"/><Relationship Id="rId136" Type="http://schemas.openxmlformats.org/officeDocument/2006/relationships/externalLink" Target="externalLinks/externalLink120.xml"/><Relationship Id="rId157" Type="http://schemas.openxmlformats.org/officeDocument/2006/relationships/externalLink" Target="externalLinks/externalLink141.xml"/><Relationship Id="rId178" Type="http://schemas.openxmlformats.org/officeDocument/2006/relationships/externalLink" Target="externalLinks/externalLink162.xml"/><Relationship Id="rId301" Type="http://schemas.openxmlformats.org/officeDocument/2006/relationships/externalLink" Target="externalLinks/externalLink285.xml"/><Relationship Id="rId322" Type="http://schemas.openxmlformats.org/officeDocument/2006/relationships/externalLink" Target="externalLinks/externalLink306.xml"/><Relationship Id="rId343" Type="http://schemas.openxmlformats.org/officeDocument/2006/relationships/calcChain" Target="calcChain.xml"/><Relationship Id="rId61" Type="http://schemas.openxmlformats.org/officeDocument/2006/relationships/externalLink" Target="externalLinks/externalLink45.xml"/><Relationship Id="rId82" Type="http://schemas.openxmlformats.org/officeDocument/2006/relationships/externalLink" Target="externalLinks/externalLink66.xml"/><Relationship Id="rId199" Type="http://schemas.openxmlformats.org/officeDocument/2006/relationships/externalLink" Target="externalLinks/externalLink183.xml"/><Relationship Id="rId203" Type="http://schemas.openxmlformats.org/officeDocument/2006/relationships/externalLink" Target="externalLinks/externalLink187.xml"/><Relationship Id="rId19" Type="http://schemas.openxmlformats.org/officeDocument/2006/relationships/externalLink" Target="externalLinks/externalLink3.xml"/><Relationship Id="rId224" Type="http://schemas.openxmlformats.org/officeDocument/2006/relationships/externalLink" Target="externalLinks/externalLink208.xml"/><Relationship Id="rId245" Type="http://schemas.openxmlformats.org/officeDocument/2006/relationships/externalLink" Target="externalLinks/externalLink229.xml"/><Relationship Id="rId266" Type="http://schemas.openxmlformats.org/officeDocument/2006/relationships/externalLink" Target="externalLinks/externalLink250.xml"/><Relationship Id="rId287" Type="http://schemas.openxmlformats.org/officeDocument/2006/relationships/externalLink" Target="externalLinks/externalLink271.xml"/><Relationship Id="rId30" Type="http://schemas.openxmlformats.org/officeDocument/2006/relationships/externalLink" Target="externalLinks/externalLink14.xml"/><Relationship Id="rId105" Type="http://schemas.openxmlformats.org/officeDocument/2006/relationships/externalLink" Target="externalLinks/externalLink89.xml"/><Relationship Id="rId126" Type="http://schemas.openxmlformats.org/officeDocument/2006/relationships/externalLink" Target="externalLinks/externalLink110.xml"/><Relationship Id="rId147" Type="http://schemas.openxmlformats.org/officeDocument/2006/relationships/externalLink" Target="externalLinks/externalLink131.xml"/><Relationship Id="rId168" Type="http://schemas.openxmlformats.org/officeDocument/2006/relationships/externalLink" Target="externalLinks/externalLink152.xml"/><Relationship Id="rId312" Type="http://schemas.openxmlformats.org/officeDocument/2006/relationships/externalLink" Target="externalLinks/externalLink296.xml"/><Relationship Id="rId333" Type="http://schemas.openxmlformats.org/officeDocument/2006/relationships/externalLink" Target="externalLinks/externalLink317.xml"/><Relationship Id="rId51" Type="http://schemas.openxmlformats.org/officeDocument/2006/relationships/externalLink" Target="externalLinks/externalLink35.xml"/><Relationship Id="rId72" Type="http://schemas.openxmlformats.org/officeDocument/2006/relationships/externalLink" Target="externalLinks/externalLink56.xml"/><Relationship Id="rId93" Type="http://schemas.openxmlformats.org/officeDocument/2006/relationships/externalLink" Target="externalLinks/externalLink77.xml"/><Relationship Id="rId189" Type="http://schemas.openxmlformats.org/officeDocument/2006/relationships/externalLink" Target="externalLinks/externalLink17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98.xml"/><Relationship Id="rId235" Type="http://schemas.openxmlformats.org/officeDocument/2006/relationships/externalLink" Target="externalLinks/externalLink219.xml"/><Relationship Id="rId256" Type="http://schemas.openxmlformats.org/officeDocument/2006/relationships/externalLink" Target="externalLinks/externalLink240.xml"/><Relationship Id="rId277" Type="http://schemas.openxmlformats.org/officeDocument/2006/relationships/externalLink" Target="externalLinks/externalLink261.xml"/><Relationship Id="rId298" Type="http://schemas.openxmlformats.org/officeDocument/2006/relationships/externalLink" Target="externalLinks/externalLink28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885264</xdr:colOff>
      <xdr:row>2</xdr:row>
      <xdr:rowOff>378963</xdr:rowOff>
    </xdr:from>
    <xdr:to>
      <xdr:col>7</xdr:col>
      <xdr:colOff>1403521</xdr:colOff>
      <xdr:row>4</xdr:row>
      <xdr:rowOff>324073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CFAF23F-30C8-015B-A3AF-996C0359B4FA}"/>
            </a:ext>
          </a:extLst>
        </xdr:cNvPr>
        <xdr:cNvSpPr>
          <a:spLocks noChangeArrowheads="1"/>
        </xdr:cNvSpPr>
      </xdr:nvSpPr>
      <xdr:spPr bwMode="auto">
        <a:xfrm>
          <a:off x="1848970" y="1589198"/>
          <a:ext cx="6748862" cy="807238"/>
        </a:xfrm>
        <a:prstGeom prst="roundRect">
          <a:avLst>
            <a:gd name="adj" fmla="val 16667"/>
          </a:avLst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1148" rIns="64008" bIns="41148" anchor="ctr" upright="1"/>
        <a:lstStyle/>
        <a:p>
          <a:pPr algn="ctr" rtl="0">
            <a:defRPr sz="1000"/>
          </a:pPr>
          <a:r>
            <a:rPr lang="ko-KR" altLang="en-US" sz="2800" b="1" i="0" strike="noStrike">
              <a:solidFill>
                <a:srgbClr val="000000"/>
              </a:solidFill>
              <a:latin typeface="굴림"/>
              <a:ea typeface="굴림"/>
            </a:rPr>
            <a:t>제</a:t>
          </a:r>
          <a:r>
            <a:rPr lang="en-US" altLang="ko-KR" sz="2800" b="1" i="0" strike="noStrike">
              <a:solidFill>
                <a:srgbClr val="000000"/>
              </a:solidFill>
              <a:latin typeface="굴림"/>
              <a:ea typeface="굴림"/>
            </a:rPr>
            <a:t>1</a:t>
          </a:r>
          <a:r>
            <a:rPr lang="ko-KR" altLang="en-US" sz="2800" b="1" i="0" strike="noStrike">
              <a:solidFill>
                <a:srgbClr val="000000"/>
              </a:solidFill>
              <a:latin typeface="굴림"/>
              <a:ea typeface="굴림"/>
            </a:rPr>
            <a:t>회 기성내역서</a:t>
          </a:r>
          <a:r>
            <a:rPr lang="en-US" altLang="ko-KR" sz="2800" b="1" i="0" strike="noStrike">
              <a:solidFill>
                <a:srgbClr val="000000"/>
              </a:solidFill>
              <a:latin typeface="굴림"/>
              <a:ea typeface="굴림"/>
            </a:rPr>
            <a:t>(</a:t>
          </a:r>
          <a:r>
            <a:rPr lang="ko-KR" altLang="en-US" sz="2800" b="1" i="0" strike="noStrike">
              <a:solidFill>
                <a:srgbClr val="000000"/>
              </a:solidFill>
              <a:latin typeface="굴림"/>
              <a:ea typeface="굴림"/>
            </a:rPr>
            <a:t>조경</a:t>
          </a:r>
          <a:r>
            <a:rPr lang="en-US" altLang="ko-KR" sz="2800" b="1" i="0" strike="noStrike">
              <a:solidFill>
                <a:srgbClr val="000000"/>
              </a:solidFill>
              <a:latin typeface="굴림"/>
              <a:ea typeface="굴림"/>
            </a:rPr>
            <a:t>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48176;\C\WORK\&#52649;&#51452;\&#50896;&#44032;&#44228;&#49328;&#494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d\2014&#45380;%20&#54532;&#47196;&#51229;&#53944;\@9.%20&#44592;&#53440;\4.%20&#54364;&#48276;,&#50668;&#50864;,&#45713;&#45824;&#49324;%20&#51204;&#49884;&#51109;%20&#47532;&#45684;&#50620;&#44277;&#49324;%20&#44592;&#48376;%20&#48143;%20&#49892;&#49884;&#49444;&#44228;\2.%20&#47928;&#49436;\&#45236;&#50669;\141118\&#50896;&#44032;&#44228;&#49328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s\HRS-2017project\%23&#52376;&#51064;&#44396;&#52397;\7.&#50976;&#50896;-2017&#45380;%2042&#48264;%20&#44397;&#46020;&#48320;%20&#44032;&#47196;&#49688;%20&#51116;&#51221;&#48708;&#44277;&#49324;\%23&#45225;&#54408;-&#44277;&#49324;&#51473;%20&#48320;&#44221;&#49324;&#54637;%20&#49688;&#51221;&#45225;&#54408;-170725\01.%20&#51312;&#44221;\&#45236;&#50669;\&#49688;&#47049;&#49328;&#52636;&#49436;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4;&#51652;2\&#47196;&#52972;%20&#46356;&#49828;&#53356;%20(d)\Documents%20and%20Settings\&#47924;&#51652;&#54872;&#44221;&#46356;&#51088;&#51064;\My%20Documents\&#44305;&#44368;&#49328;%20&#46321;&#49328;&#47196;%20&#49444;&#44228;&#49436;%20&#44049;&#5164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(00)&#54217;&#53469;(&#44277;&#50896;)&#44277;&#50896;&#45433;&#51648;&#54633;&#46041;&#49444;&#44228;_&#51201;&#49328;&#44592;&#51456;&#48143;&#44592;&#52488;&#45800;&#44032;&#49444;&#44228;&#49436;(2014&#52572;&#51333;_&#44208;&#51116;)2015&#49688;&#51221;&#51473;-&#52572;&#51333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28;&#51333;&#50676;\project(&#51068;&#48169;)\&#44277;&#50976;&#54260;&#45908;\twotwo-note\Fyb\&#50516;&#54032;&#51221;(2001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d\2013&#45380;%20&#54532;&#47196;&#51229;&#53944;\@&#44592;&#53440;\4.%20&#54620;&#44305;&#44256;&#46321;&#54617;&#44368;%20&#54617;&#44368;&#49714;%20&#51312;&#49457;&#44277;&#49324;\%23&#45225;&#54408;-0805\&#51312;&#44221;\&#45236;&#50669;\&#48376;&#44277;&#49324;\&#54620;&#44305;&#44256;&#46321;&#54617;&#44368;%20&#51312;&#44221;&#44277;&#49324;-072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O-&#45800;&#44032;&#51312;&#49324;&#49436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4;&#51652;5\&#48177;&#50629;&#46356;&#49828;&#53356;%20(d)\2004\&#50577;&#47896;&#51109;\&#45236;&#50669;\&#50577;&#47896;&#51109;&#49444;&#44228;&#4943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45236;&#50669;&#49368;&#54540;\&#54036;&#45804;&#47928;&#45236;&#50669;(&#51312;&#44221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\d\0-&#52572;&#51333;&#44368;&#47049;\&#50689;&#50577;-&#51452;&#49892;&#47560;&#51012;\&#51452;&#49892;&#47560;&#51012;&#51652;&#51077;&#46020;&#47196;\&#49688;&#47049;\Book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9713090\&#51109;&#54637;&#49440;\EXCEL\BYP6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y%20Documents\&#46041;&#54644;&#44368;&#45824;\&#50745;&#48317;\&#49888;&#44600;(h-pile400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49692;\&#45824;&#51204;%20EXPO\hb\&#49340;&#49328;1&#51648;&#44396;(&#49892;&#49884;)\&#51452;&#44277;&#49688;&#47049;\&#51068;&#50948;&#45824;&#44032;980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2005&#45380;&#46020;&#47732;&#51089;&#50629;\050727-(TLAkorea)&#48512;&#54217;&#49328;&#44257;&#46041;%20&#54620;&#50577;1&#45800;&#51648;-&#51060;&#49688;&#44148;&#49444;\&#47928;&#49436;\&#51068;&#50948;&#45824;&#44032;&#44277;&#49885;200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5;&#48372;&#51221;\D\data2000\&#44256;&#52285;&#49548;&#54616;&#52380;\&#50857;&#44592;\&#51116;&#47308;&#51665;&#44228;(&#50857;&#44592;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-pc2\&#51088;&#47308;(&#54788;&#51116;)\&#45236;&#51089;&#50629;&#54868;&#51068;\&#44592;&#53440;&#46321;&#46321;\&#50977;&#47161;&#50724;&#49373;\&#49892;&#51221;&#48372;&#44256;\&#49888;&#45817;1&#44396;\&#49892;&#51221;&#48372;&#44256;\9901&#45800;&#44032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K\&#51088;&#47308;&#48372;&#44288;\0-&#52572;&#51333;&#44368;&#47049;\00-&#51473;&#49328;-&#49328;&#49688;&#44036;\&#49688;&#47049;\&#44396;&#51312;&#47932;&#4427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YUNCH\PLOT\SD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WG\ILOT-MI\SUNGNAM\TAL\SUNGNAM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73;&#49692;\DATA\Excel\&#51068;&#48152;&#49436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48260;\&#54532;&#47196;&#51229;&#53944;\&#51089;&#50629;&#44277;&#44036;\&#49888;&#44592;&#50808;2&#44368;\&#50612;&#51020;&#44368;\&#49688;&#47049;&#49328;&#52636;\&#48176;&#49688;&#49688;&#47049;\&#48376;&#49440;&#49688;&#47049;\&#50976;&#46041;&#52572;&#51333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jec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S2\HRS2-2019project\&#50857;&#51064;&#49884;&#54392;&#47480;&#44277;&#50896;&#49324;&#50629;&#49548;\02.%20&#46041;&#48512;&#44277;&#50896;&#44288;&#47532;&#44284;\06.%20SK-(&#46041;&#48512;&#44277;&#50896;&#44288;&#47532;&#44284;)2019&#45380;%20&#44221;&#44288;&#45433;&#51648;%20&#46020;&#49884;&#49714;%20&#47532;&#47784;&#45944;&#47553;&#44277;&#49324;\04.%20&#48155;&#51008;&#54028;&#51068;\190430_&#44221;&#44592;&#46020;%20&#44228;&#50557;&#49900;&#49324;%20&#54801;&#51032;&#49324;&#54637;\&#49900;&#49324;&#44208;&#44284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TR-R222.XLW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7;&#50629;&#54616;&#46300;\&#47700;&#51064;1\&#51088;&#47308;\WORK\&#51060;&#51452;&#54861;%20DATA\ADBAK\&#50641;&#49472;\&#44368;&#50977;&#52397;\&#49324;&#47549;&#54617;&#44368;\2002\&#52572;&#51333;\&#47581;&#50868;&#51473;&#54617;&#44368;(&#52572;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37;&#54788;\E\DWG1\&#51204;&#44592;&#49328;&#52636;&#44540;&#4414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sung1\&#51204;&#44592;&#49328;&#52636;&#44540;&#4414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ject\&#50896;&#51452;&#44428;\&#51221;&#49688;&#51109;\&#45236;&#50669;&#49436;\99&#45380;01&#50900;&#48156;&#51452;\PI-ILW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&#44592;&#53440;\&#49688;&#47785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data%20(D)\My%20Documents\2003pro\&#50857;&#49328;&#44396;\&#48317;&#47732;&#45433;&#54868;\&#45236;&#50669;\&#50857;&#49328;&#44396;&#54224;&#44592;&#47932;&#45236;&#50669;-&#49688;&#5122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&#52264;&#47049;&#44592;&#5164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CADATA/YANGPYUN/FINEL0/CALC/K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project\project1\&#50976;&#47785;&#44368;\&#52572;&#51333;\&#49688;&#47049;\&#48512;&#45824;&#4427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&#49688;&#47049;&#49368;&#54540;\CHUNJU\&#50577;&#52492;&#49688;&#47049;\PKIDS\SURYANG\DONGC\TOP-BS\D-CHSOIL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s\&#54532;&#47196;&#51117;&#53552;\PROJECT\ELLWORD\&#54408;&#49480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45236;&#50669;\&#44305;&#51652;&#44305;&#51109;&#54252;&#51109;&#49688;&#47049;021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s\&#54532;&#47196;&#51117;&#53552;\PROJECT\ELLWORD\98HABAN\518\NEAYUK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&#49688;&#47049;&#49368;&#54540;\CHUNJU\&#50577;&#52492;&#49688;&#47049;\PKIDS\SURYANG\DONGC\TOP-BS\D-CHPI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4;&#51652;2\&#47196;&#52972;%20&#46356;&#49828;&#53356;%20(d)\%23%23&#54532;&#47196;&#51229;&#53944;-2003\01&#54616;&#49688;,&#52629;&#49328;\&#50857;&#51064;&#52629;&#49328;&#51312;&#44221;-&#49688;&#47049;&#49328;&#52636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&#46020;&#47732;/W-&#44396;&#47168;&#54616;&#49688;/&#44228;&#49328;&#49436;/5&#50900;8&#51068;%20&#51456;&#44277;/LOA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47532;\&#50668;&#47532;D\My%20Documents\SURAENG\&#48149;&#44592;&#49324;-&#48512;&#45824;&#44277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y%20Documents\&#46041;&#54644;&#44368;&#45824;\&#50745;&#48317;\&#48152;&#51473;&#47141;&#49885;(h=4.0m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749;&#51116;\D\project-lmj\2114&#49345;&#47749;&#45824;&#54617;&#44368;\&#49345;&#47749;XLS\&#49457;&#45224;&#51068;&#5094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1068;1\D\cad-wok\2002&#45380;\&#50668;&#49688;&#50668;&#47928;&#51452;&#52264;&#51109;\&#51204;&#44592;&#49444;&#48708;\&#45236;&#50669;&amp;&#44228;&#49328;&#49436;\&#44204;&#51201;-&#48156;&#51204;&#44592;&#49444;&#4870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&#49688;&#47049;&#49368;&#54540;\CHUNJU\&#50577;&#52492;&#49688;&#47049;\EXABUT\HAILABUT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0896;\C\DATA-1\&#49328;&#52397;-&#49688;&#46041;\EXCEL\&#52384;&#44540;&#49688;&#47049;&#51665;&#4422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4508;&#50885;\2009&#54532;&#47196;&#51229;&#53944;\PROJECT\program\&#44228;&#49328;&#49436;\&#44368;&#45824;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&#49457;&#54788;&#51116;\&#49352;%20&#54260;&#45908;\&#46041;&#54644;&#51649;&#51217;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1008;&#44221;\&#49444;&#44228;&#44288;&#47144;&#49436;&#47448;\&#51060;&#47928;&#55148;\&#44396;&#52397;&#44305;&#51109;&#54252;&#51109;\&#44592;&#53440;&#49444;&#44228;(&#47592;&#54848;,&#49688;&#47049;&#49328;&#52636;&#49436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y%20Documents\&#46041;&#54644;&#44368;&#45824;\&#44368;&#44033;\&#46041;&#54644;sam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47532;\&#50668;&#47532;D\My%20Documents\SURAENG\BUDAE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ki\c\Office\&#48149;&#44592;&#49324;%20&#51089;&#50629;&#50857;\DATA\MR-BAB\&#50641;&#49472;DATA\3.&#48176;&#49688;&#44277;\BUDAE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ki\c\My%20Documents\&#49688;&#47049;&#49328;&#52636;\&#48149;&#44592;&#49324;-&#48512;&#45824;&#44277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4;&#51652;2\&#47196;&#52972;%20&#46356;&#49828;&#53356;%20(d)\2004&#49444;&#44228;\&#50857;&#51064;&#49688;&#51648;&#52636;&#51109;&#49548;\&#54392;&#47480;&#49688;&#51648;&#51312;&#49457;&#49324;&#50629;&#49892;&#49884;&#49444;&#44228;&#50857;&#50669;\&#46021;&#44264;&#44277;&#50896;%20&#49688;&#47785;&#48372;&#44053;%20&#48143;%20&#49884;&#49444;&#47932;&#48372;&#44053;&#44277;&#4932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51312;&#46020;&#44228;&#49328;&#49436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q-data\&#49340;&#54840;&#44148;&#49444;\1&#44277;&#44396;\98NAEYUK\98&#51204;&#52404;ny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98pro\SONGI\2X2_BOX\EXCEL\BOX2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EXCEL\MONEY\YES2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XLS\98\&#45432;&#51076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uments/&#44592;&#53440;/projct/ANSAN/EXL/GONG1818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y%20Documents\&#46041;&#54644;&#44368;&#45824;\&#46041;&#54644;P(PILE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2\c\&#50896;&#51452;-&#44060;&#48393;&#44368;\&#49688;&#47049;\&#44368;&#44033;&#51068;&#48152;&#49688;&#47049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d\&#47560;&#51012;&#47560;&#45817;\1.&#50725;&#49688;&#46041;\&#45236;&#50669;\&#51312;&#44221;\&#50725;&#49688;&#4604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s\&#54532;&#47196;&#51117;&#53552;\PROJECT\ELLWORD\98HABAN\KW-LL\518\NEAYUK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57;&#52384;\&#54252;&#52380;&#49569;&#50864;&#49688;&#47049;\hb\&#49340;&#49328;1&#51648;&#44396;(&#49892;&#49884;)\&#51452;&#44277;&#49688;&#47049;\&#51068;&#50948;&#45824;&#44032;9803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53;&#49457;&#52488;&#50808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s\&#54532;&#47196;&#51117;&#53552;\PROJECT\ELLWORD\98HABAN\WONJU-BO\&#50896;&#51452;&#48373;~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&#54532;&#47196;&#51229;&#53944;\&#51109;&#54637;&#49440;\&#44396;&#51312;\&#44368;&#45824;\ABUT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8120;\&#51089;&#50629;\DWG\ILOT-MI\YUNCH\PLOT\SD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ps\&#45236;&#44032;&#54620;&#44144;\&#50577;&#51452;&#45224;&#47732;&#54616;&#49688;\&#45224;&#47732;&#44592;&#44228;\&#45236;&#50669;&#49436;\YANGGU\douc\YG-NEWNY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945;&#49688;&#49324;&#50629;\&#50672;&#44396;-DATA\&#50672;&#44396;-Data\&#45236;&#50669;\&#44032;&#47196;&#44277;&#50896;\Book2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SOffice\Excel\USER\B-WALL\B98P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-csm\c\P-Iso\Calc-St2\ILLU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y%20Documents\DDC5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053;&#50980;\&#44600;&#46972;&#51105;&#51060;\&#49345;&#46041;&#49688;&#47049;\&#52509;&#44292;\TF&#49345;&#48512;&#49688;&#47049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50577;&#49885;\&#51068;&#50948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&#47196;&#52972;%20&#46356;&#49828;&#53356;%20(e)\&#44592;&#51316;\HWACH\JUKCHON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Startup" Target="1DATAFILE/3&#49688;&#47049;&#49328;&#52636;&#49436;/&#50669;T&#54805;&#50745;&#48317;/&#51116;&#47308;&#51665;&#44228;&#54364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-12d76d098a33\&#45936;&#51060;&#53440;(d)\&#44053;&#50896;&#45824;&#54617;&#44368;%20&#54693;&#53664;&#54617;&#49324;-99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s\&#54532;&#47196;&#51117;&#53552;\2003&#45380;-&#54616;&#48152;&#44592;\&#44144;&#52285;&#46020;&#49436;&#44288;\&#51228;&#52636;&#49436;&#47448;\&#44144;&#52285;-&#44204;&#51201;&#49436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Startup" Target="My%20Documents/&#44592;&#53440;/projct/ANSAN/EXL/gongsu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99-05-10-&#49436;&#50872;&#45824;&#44288;&#47144;(&#45236;&#50669;&#49436;-1&#49688;&#51221;&#51473;)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DATA/SGH/NAMGWANG/REP-NG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8120;\&#51089;&#50629;\DWG\ILOT-MI\SUNGNAM\TAL\SUNGNAM1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0PROJECT/BEOMHAN/ANSEONG/ELEC/CAL/CAL-AS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97BUN\DANGA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ILWIDAG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2000\R-&#44305;&#51452;&#50948;&#49373;%20&#51652;&#51077;&#47196;\&#50696;&#49328;&#49436;\&#50696;&#49328;\&#44032;&#47196;&#46321;&#44277;&#49324;\YE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5224;&#53468;_PC\D\1Kdm\DWG-FILE\1999\&#52380;&#50504;-&#45436;&#49328;(&#49457;&#48372;&#44060;&#48156;)\excel\&#48512;&#49328;&#52397;\&#51064;&#52380;&#54617;&#51061;&#46041;%20&#46041;&#50500;&#54413;&#47548;&#50500;&#54028;&#53944;&#54788;&#51109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DOWS\9605G\DS-LOA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008;&#49892;\&#54788;&#51109;&#48324;\E\Romee\program\&#44368;&#45824;&#44228;&#49328;(Excel)\abutxls\djdg_A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\d\PROJECT\ELLWORD\01sang\&#51204;&#53685;&#54617;&#44368;\PROJECT\ELLWORD\98HABAN\KW-LL\518\NEAYUK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PROJECT\&#51109;&#54637;&#49440;\&#44396;&#51312;\&#44368;&#45824;\IM\dh-a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KHS\&#54617;&#44368;&#48324;\&#47564;&#45909;&#44256;\&#53685;&#49888;&#45236;&#50669;&#49436;(&#52488;.&#51473;.&#44256;.99.11)&#48376;&#52397;&#50857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s\&#54532;&#47196;&#51117;&#53552;\PROJECT\ELLWORD\99SANG\&#51109;&#49457;&#44400;\pipe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DATA/0YEONGI/REPT-NG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2000\R-6&#54840;&#49440;&#46020;&#47196;\Fin-5-4\&#50696;&#49328;&#49436;\&#45800;&#50948;&#49688;&#47049;\R-&#44305;&#51452;&#50948;&#49373;%20&#51652;&#51077;&#47196;\&#50696;&#49328;&#49436;\&#45800;&#50948;&#49688;&#47049;\UNIT-Q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ook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8120;\&#44204;&#51201;&#49436;\Chol2000\DOWN\My%20Documents\2000&#44204;&#51201;\4&#50900;\0413&#51204;&#49328;&#48376;&#48512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857;\&#52572;&#44221;&#49688;\YOUNGDOC\CIVIL\EXCLE\DAT\&#44256;&#50577;&#44288;&#51116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6020;1\C\CIVIL\EXCLE\DAT\&#44256;&#50577;&#44288;&#51116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you\c\PJT-97\R-SUWONJ\REP\P7-5-31\LX-CAL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5148;&#49464;\PROJECT%20&#52572;&#51333;\&#44592;&#53440;\&#54617;&#50857;-&#46164;&#45909;\&#44592;&#53440;\ILWIPOH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864;\E\BAKUP\OLD-E\1760\1766\1766-1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2011&#45380;%20&#54532;&#47196;&#51229;&#53944;\%23&#54532;&#47196;&#51229;&#53944;-2004\%23%23&#45225;&#54408;\29-&#50857;&#49888;&#51473;&#54617;&#44368;\&#49552;&#44257;&#52488;&#46321;&#54617;&#44368;&#49444;&#44228;&#49436;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SOffice\Excel\PIER\stboxp1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y%20Documents\&#46041;&#54644;&#44368;&#45824;\&#50745;&#48317;\&#48512;&#48317;&#49885;(h=6.50m)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89;&#50629;&#49892;\&#46020;&#47196;&#54364;&#51648;&#54032;\&#51089;&#50629;&#49892;\&#44036;&#54032;&#47448;\&#44592;&#53440;\&#51089;&#50629;&#54028;&#51068;\&#51648;&#51656;&#54364;&#48376;&#44288;&#51204;&#49884;&#47932;\&#50577;&#49885;\&#51068;&#50948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hdd4\My%20Documents\PERSONAL\Q-ty-1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3469;\C\&#49436;&#47448;&#47784;&#51020;\&#45909;&#52380;&#51473;&#54617;&#44368;\&#44540;&#47196;&#51088;&#48373;&#51648;&#44288;\song\SONG\&#49324;&#49345;&#44396;&#52397;\&#52572;&#51333;&#45236;~1\&#49328;&#52636;&#51312;&#49436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45380;\C\HNC\My%20Documents\&#50577;&#49885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668;&#47532;\&#50668;&#47532;D\Office\&#48149;&#44592;&#49324;%20&#51089;&#50629;&#50857;\DATA\MR-BAB\&#50641;&#49472;DATA\2.&#53664;&#44277;\&#48149;&#44592;&#49324;-&#45800;&#50948;&#49688;&#47049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2011&#45380;%20&#54532;&#47196;&#51229;&#53944;\&#48513;&#54620;&#49328;&#49884;&#54000;\&#49444;&#44228;&#48320;&#44221;1\&#45236;&#50669;\&#49885;&#51116;&#48320;&#44221;&#51089;&#50629;321\&#45800;&#44032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98pro\BOX\&#48512;&#49328;&#51204;&#47141;&#44396;\GUJO-SU\2LANE\SU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4397;&#54620;\&#54532;&#47196;&#51229;&#53944;\&#44608;&#53468;&#51456;%20&#51076;&#49884;&#54028;&#51068;\imsi\&#50641;&#49472;&#50696;&#49328;&#49436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9ORDER\WB99\WB990503\&#53685;&#54633;&#45800;&#44032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yd\&#45225;&#54408;&#48169;(&#51208;&#45824;&#49688;&#51221;&#44552;&#51648;)\My%20Documents\&#46041;&#54644;&#44368;&#45824;\&#50745;&#48317;\&#48376;&#49440;&#48149;~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49688;\&#51060;&#46041;&#49688;\excel\&#45824;&#44305;APT&#51077;&#44396;3&#44144;&#47532;&#44368;&#53685;&#49888;&#54840;&#46321;\&#54217;&#46041;&#49328;&#45800;&#51652;&#51077;&#46020;&#47196;&#44060;&#49444;(2&#52264;&#44396;&#44036;)&#44032;&#47196;&#46321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7924;&#50857;\&#44277;&#50976;&#48169;\&#50857;&#51064;~&#54252;&#44257;\&#49688;&#47049;\&#50689;&#47928;&#44368;\&#50689;&#47928;&#44368;&#49345;&#48512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68;&#50948;&#45824;&#44032;\&#51068;&#50948;&#45824;&#44032;(&#50896;&#51452;&#47924;&#49892;)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&#47196;&#52972;%20&#46356;&#49828;&#53356;%20(e)\zrDAE97\97kdRoad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788;&#51109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ki\c\Office\&#48149;&#44592;&#49324;%20&#51089;&#50629;&#50857;\DATA\MR-BAB\&#50641;&#49472;DATA\2.&#53664;&#44277;\&#48149;&#44592;&#49324;-&#45800;&#50948;&#49688;&#47049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SI\4GONGGU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CIVIL\EXCLE\DAT\&#44256;&#50577;&#44288;&#51116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4788;\D\&#51333;&#49440;&#51060;&#44732;\AHN\&#51453;&#51204;&#47532;%20&#51473;&#50521;&#50500;&#54028;&#53944;\&#50641;&#49472;\&#51453;&#51204;&#47532;&#49688;&#47049;&#49328;&#52636;&#49436;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ki\c\My%20Documents\&#49688;&#47049;&#49328;&#52636;\&#48149;&#44592;&#49324;-&#51665;&#49688;&#51221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s\HRS-2017project\%23&#50857;&#51064;&#49884;&#52397;\31.%20&#50612;&#48152;-&#44592;&#55141;&#53580;&#45768;&#49828;&#51109;%20&#51613;&#49444;&#44277;&#49324;\%23%20&#45225;&#54408;\3.%20&#49688;&#47049;&#49328;&#52636;&#49436;\&#51076;&#47785;&#54224;&#44592;&#47932;&#51665;&#44228;&#54364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\d\PROJECT\ELLWORD\&#54408;&#49480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_1\SYS\My%20Documents\&#48376;&#49324;&#49324;&#50725;\4&#49444;&#48320;\&#49444;&#48320;&#45236;&#50669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01A\OUT\YES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park\c\My%20Documents\esco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EX~1\&#54644;&#44400;5APT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EX~1\&#54644;&#44400;APT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1008;&#44221;\&#49444;&#44228;&#44288;&#47144;&#49436;&#47448;\&#54620;&#45224;&#47196;&#51088;&#51204;&#44144;&#46020;&#47196;\&#51089;&#50629;&#50857;\&#49444;&#44228;&#48320;&#44221;\805\&#54620;&#45224;&#47196;&#51088;&#51204;&#44144;&#46020;&#47196;-&#49444;&#44228;&#48320;&#44221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SI\1&#44277;&#44396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EX~1\&#48152;&#50900;&#51312;&#44221;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1068;1\D\CAD-WORK\&#49888;&#54840;&#46321;\&#44288;&#44592;&#52488;&#44368;&#50808;2\&#45236;&#50669;&#49436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EX\&#53664;&#47785;&#51068;&#50948;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swcom\&#47196;&#52972;%20&#46356;&#49828;&#53356;%20(E)\KIM\ILWIDAGA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2384;&#45432;\C\&#53664;&#52712;&#51109;\&#51228;3&#53664;&#52712;&#51109;\20010416&#52572;&#51333;&#54869;&#51221;\&#54788;&#54889;&#48372;&#51316;(2001&#45380;02&#50900;)84.508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IWOOK\&#50641;&#49828;&#54252;\hb\&#49340;&#49328;1&#51648;&#44396;(&#49892;&#49884;)\&#51452;&#44277;&#49688;&#47049;\&#51068;&#50948;&#45824;&#44032;9803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849;&#48276;\MY%20DOCUMENTS\&#54596;&#49345;&#54532;&#47196;&#51229;&#53944;\&#51060;&#52380;\&#49800;&#54169;&#49828;&#54848;\&#49800;&#54169;&#49828;&#54848;&#51204;&#47732;&#48512;\&#49444;&#44228;&#48708;0509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452;&#55148;\DATA\&#45236;&#50669;&#51089;&#50629;\&#51221;&#51088;&#51648;&#44396;\&#45236;&#50669;&#49436;\&#51221;&#51088;&#51648;&#44396;\&#45236;&#50669;(~2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&#45236;&#50669;&#51089;&#50629;\&#51221;&#51088;&#51648;&#44396;\&#45236;&#50669;&#49436;\&#51221;&#51088;&#51648;&#44396;\&#45236;&#50669;(~2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2\d\exceldata\LJK-LAST\BYN\JUNKIDAN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4508;&#50672;\@&#44396;&#52824;&#52380;%20&#52572;&#51333;\@&#49436;&#45209;&#46041;&#44053;01\&#49688;&#47049;\&#52509;&#44292;&#54364;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68;&#55136;\&#45909;&#50976;&#49328;&#44397;&#47549;&#44277;&#50896;\My%20Documents\&#51076;&#49892;&#50724;&#48393;&#49440;\&#49444;&#44228;&#54028;&#51068;&#47784;&#51020;\&#49444;&#44228;&#54532;&#47196;&#44536;&#47016;\&#51068;&#50948;&#45824;&#44032;&#54364;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NCDOC\&#50504;&#46041;-&#50689;&#51452;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1312;&#48337;&#52384;\My%20Documents\1.&#51068;&#48152;FILE\&#50896;&#44032;&amp;&#52509;&#44292;&#54364;\&#44032;&#49324;\&#46041;&#44256;&#48708;\&#48373;&#51221;&#46041;&#49345;&#44032;&#48716;&#46377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9638;&#21644;&#32780;&#63847;&#21516;&#9638;..!\03006-&#44228;&#50577;&#49328;\&#48337;&#50500;&#47532;\WINDOWS\&#48148;&#53461;%20&#54868;&#47732;\&#50577;&#49885;\&#51068;&#50948;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j\c\WINDOWS\EXCEL\KIM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2011&#45380;%20&#54532;&#47196;&#51229;&#53944;\&#50528;&#47548;&#54532;&#47196;&#51229;&#53944;\&#50696;&#51221;&#44277;&#51221;&#54364;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ns3\3-1sb\3-1&#49688;&#47049;&#51665;\&#49892;&#51221;&#45236;&#50669;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5224;&#50577;&#51452;&#51060;&#49885;&#51089;&#50629;\&#50976;&#50857;&#51068;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TOWER\&#48169;&#50500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52;&#51008;&#44221;\&#49444;&#44228;&#44288;&#47144;&#49436;&#47448;\&#44288;&#44277;&#49436;\&#49569;&#54028;&#44396;&#52397;\&#50612;&#47536;&#51060;&#44277;&#50896;&#54788;&#45824;&#54868;&#49324;&#50629;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4221;&#49885;\d%20(d)\Project\RAMP%20B&#49688;&#47049;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64;&#49457;\C\7&#54924;&#44592;&#49457;\7&#52264;&#48320;&#44221;\q-data\&#49340;&#54840;&#44148;&#49444;\1&#44277;&#44396;\98NAEYUK\98&#51204;&#52404;ny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d\%23&#49444;&#44228;&#44592;&#51456;\%23&#49444;&#44228;&#51088;&#47308;\&#49688;&#47785;&#51201;&#50857;&#44592;&#51456;&#54364;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6020;1\C\1&#52397;&#49328;&#47732;\&#49688;&#47049;\CIVIL\EXCLE\DAT\&#44256;&#50577;&#44288;&#51116;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160;&#54788;\%23&#54532;&#47196;&#51229;&#53944;-2004\@15-&#52629;&#49328;&#48516;&#45544;&#52376;&#47532;&#51109;\200402&#51228;&#52636;&#50504;\2&#52264;&#51221;&#47532;-0427\&#52629;&#49328;-&#45800;&#44032;&#49328;&#52636;0406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01&#45380;CAD&#48143;&#45236;&#50669;\&#44592;&#53440;\&#50715;&#53552;(&#52572;&#52280;&#54032;&#45825;)\&#52572;&#52280;&#54032;&#45825;&#48373;&#50896;&#44277;&#49324;2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swcom\&#47196;&#52972;%20&#46356;&#49828;&#53356;%20(E)\ARCH\&#49444;&#48708;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&#47560;&#51012;&#47560;&#45817;\1.&#50725;&#49688;&#46041;\&#45236;&#50669;\&#51312;&#44221;\&#50725;&#49688;&#46041;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&#45800;&#52903;&#49328;&#52636;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689;&#48120;\&#51089;&#50629;\Documents%20and%20Settings\&#51060;&#49849;&#54788;\&#48148;&#53461;%20&#54868;&#47732;\&#51105;&#46041;&#49324;&#45768;%20&#51105;&#49688;&#44396;&#47000;%20&#51088;&#51656;&#44396;&#47000;\0407-&#50857;&#51064;&#44368;&#50977;&#52397;\&#49888;&#51068;&#52488;&#46321;&#54617;&#44368;%20&#48169;&#49569;&#51109;&#52824;\&#49888;&#51068;&#52488;&#44368;%20&#45236;&#50669;&#49436;-&#49884;&#48169;&#49436;\&#49888;&#51068;&#52488;&#48176;&#44288;&#48176;&#49440;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552;&#44397;&#54788;\&#47196;&#52972;%20&#46356;&#49828;&#53356;%20(d)\My%20Documents\&#51068;&#50948;&#45824;&#44032;\&#50980;&#51221;\&#44592;&#53440;&#54924;&#49324;&#44204;&#51201;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2011&#45380;%20&#54532;&#47196;&#51229;&#53944;\MIA\china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w\d\SAM-Project\&#49464;&#51333;&#47196;\&#45236;&#50669;&#49436;\&#51652;&#54644;&#49437;&#46041;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Documents%20and%20Settings\&#44060;&#51064;\&#48148;&#53461;%20&#54868;&#47732;\&#54252;&#52380;&#50612;&#47536;&#51060;&#44277;&#50896;\&#45236;&#50669;&#49436;\&#51312;&#44221;\&#54252;&#52380;&#50612;&#47536;&#51060;&#44277;&#50896;&#45236;&#50669;&#49436;f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y%20Documents\MIYOUNG\&#44204;&#51201;&#49436;&#54632;\&#44592;&#53440;&#54924;&#49324;&#44204;&#51201;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4;&#51652;5\&#48177;&#50629;&#46356;&#49828;&#53356;%20(d)\&#52628;&#47784;&#44277;&#50896;\&#49688;&#47049;&#49328;&#52636;-&#51064;&#52384;\FINAL\&#49884;&#49444;&#47932;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e\ns2\3&#52264;1&#54924;\&#49892;&#51221;&#45236;&#50669;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6\e\POUN\&#45800;&#44032;&#49328;&#52636;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2011&#45380;%20&#54532;&#47196;&#51229;&#53944;\project\PROJECT\&#50857;&#51064;&#52629;&#44396;&#49468;&#53440;\&#49892;&#49884;&#49444;&#44228;12&#45800;&#44228;\2&#45800;&#44228;&#49444;&#44228;\12&#52264;&#52572;&#51333;&#45225;&#54408;1123\&#53664;&#47785;\&#49688;&#47049;&#49328;&#52636;&#49436;\&#53664;&#47785;\&#54252;&#51109;&#44277;&#49688;&#47049;1128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053;&#51333;\C\&#54532;&#47196;&#51229;&#53944;\5-23\&#51204;&#44592;&#44277;&#49324;&#48708;\&#44277;&#50896;&#51204;&#44592;521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ng\c\My%20Documents\&#51064;&#52380;&#44277;&#54637;\&#49892;&#54665;&#45236;&#50669;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OBJECT\OBJECT.XLW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e2\d\&#45224;&#51008;&#55148;\&#51025;&#48393;&#49892;&#49884;\&#49444;&#44228;&#49436;\&#49444;&#44228;&#49436;\&#51060;&#49885;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e5\c\Data\20pro\&#54633;&#52380;&#49892;&#49884;&#49444;&#44228;\&#51060;&#49885;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RP\&#49436;&#49328;\&#49688;&#47049;\&#48276;&#54868;\SO\hd3\&#49892;&#51221;&#45236;&#50669;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5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dori\c\WORK\2000\&#50732;&#47548;&#54589;&#48120;&#49696;&#44288;\5&#50900;&#48320;&#44221;&#46020;&#47732;\&#52572;&#51333;&#46020;&#47732;\&#50732;&#47548;&#54589;&#48120;&#49696;&#44288;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a\d\DATA\XLS\SK&amp;C\DONGHAE\T6-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980;&#44592;\D\&#44608;&#50980;&#44592;\&#45236;&#50669;&#49436;\&#54644;&#50577;&#49688;&#49328;&#48512;\&#53580;&#45768;&#49828;&#51109;&#51312;&#47749;&#44277;&#49324;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sys_cabling_1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ne3\f\200pr\&#51109;&#49457;&#49328;&#47548;&#50837;\&#49444;&#44228;&#45236;&#50669;&#49436;(&#51109;&#49457;)1213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park\c\LOTUS\9703H\IL-3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-12d76d098a33\&#45936;&#51060;&#53440;(d)\&#44053;&#50896;&#45824;&#54617;&#44368;%20&#54693;&#53664;&#54617;&#49324;-98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-12d76d098a33\&#45936;&#51060;&#53440;(d)\My%20Documents\&#47928;&#47561;&#51473;(&#44368;&#50977;&#52397;&#51089;&#49457;)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2004pro\&#50577;&#51452;\&#50696;&#49328;&#49436;\&#44592;&#44228;&#44277;&#49324;&#48708;\YANGGU\douc\YG-NEWNY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089;&#50629;&#54028;&#51068;\&#54872;&#44221;&#50672;&#49688;&#50896;\&#51089;&#50629;&#54028;&#51068;\&#54620;&#44397;&#53685;&#49888;\&#51312;&#45180;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3469;\C\Song%20Seong%20jang\&#45909;&#52380;&#51473;&#54617;&#44368;\&#49548;&#48169;&#45236;&#50669;&#49436;\&#44540;&#47196;&#51088;&#48373;&#51648;&#44288;\song\SONG\&#49324;&#49345;&#44396;&#52397;\&#52572;&#51333;&#45236;~1\&#49328;&#52636;&#51312;&#49436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3580;&#45768;&#49828;&#51109;&#51312;&#47749;&#44277;&#49324;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W\&#50689;&#46041;-&#44608;&#52380;(LM\03-&#49688;&#47049;&#49328;&#52636;&#49436;(&#50896;&#44032;&#49688;&#47049;)\08-&#54889;&#44036;IC&#50977;&#44368;\01-&#49345;&#48512;\11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1068;1\D\cad-wok\&#49888;&#54840;&#46321;\&#50668;&#49688;1&#52397;&#49324;&#50808;%201\&#49444;&#44228;&#45236;&#50669;&#49436;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Documents%20and%20Settings\Administrator\My%20Documents\&#50668;&#49688;&#51652;&#45224;&#44221;&#44592;&#51109;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0864;&#49457;\C\My%20Documents\123\&#51204;&#52404;10&#54924;&#49444;&#44228;&#49436;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48337;&#54868;\ETC\PROJECT\&#51473;&#50521;&#44256;&#49549;&#46020;&#47196;\&#51089;&#50629;&#47928;&#49436;\2&#44277;&#44396;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1068;1\D\&#51204;&#44592;&#54644;&#47329;(&#52572;&#51333;)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KK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49457;&#54840;\PROJECTWORK\&#49340;&#54788;PF\01-&#49444;&#44228;&#49457;&#44284;&#54408;\2-&#45225;&#54408;&#49444;&#44228;&#44148;\027-&#50724;&#49901;&#52380;4&#44368;(25%2030&amp;1.5%20&#52384;)\08-&#45236;&#50669;&#49436;\&#50724;&#49901;&#52380;4&#44368;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3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160;&#54788;\%23%23&#54532;&#47196;&#51229;&#53944;-2003\My%20Documents\fmi&#51088;&#47308;\2013\&#51088;&#47308;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25;&#44508;\C\MRKEK\&#52384;&#46020;&#52397;(CLAY,&#53580;&#45768;&#49828;)\&#54252;&#51109;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160;&#54788;\%23%23&#54532;&#47196;&#51229;&#53944;-2006\&#48516;&#45817;&#44396;&#52397;&#45225;&#54408;\&#44396;&#48120;&#46041;\&#45236;&#50669;&#49436;\&#51060;&#47588;&#51648;&#54616;&#52264;&#46020;&#44867;&#53457;&#50976;&#51648;&#44288;&#47532;&#44277;&#49324;&#45236;&#50669;-1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64;&#46020;&#44512;\&#45824;&#51204;&#49688;&#47785;&#50896;(\Excel-data\&#50504;&#49328;(&#49457;&#44284;&#54408;)\1&#44277;&#44396;\&#45800;&#50948;&#49688;&#47049;&#51665;&#44228;&#54364;\&#44277;&#50976;&#48169;\&#51109;&#48708;&#44277;&#49324;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849;&#48276;\MY%20DOCUMENTS\AWORK\Old_d\&#50641;&#49472;\KYOUNGGI\SUNGNAM\&#50577;&#51648;&#44540;&#47536;&#44277;&#50896;\&#44228;&#50557;&#45236;&#50669;-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00&#50628;&#54840;&#50857;\&#47560;&#49324;&#54924;\&#47560;&#49324;&#52509;&#49444;&#48320;\01-&#52509;&#52264;&#48516;\&#51116;&#51089;&#50629;\&#48516;&#49688;&#54252;&#51109;&#51068;&#50948;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333;&#49440;\SharedDocs\MRKEK\&#52384;&#46020;&#52397;(CLAY,&#53580;&#45768;&#49828;)\&#54252;&#51109;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9638;&#21644;&#32780;&#63847;&#21516;&#9638;..!\03006-&#44228;&#50577;&#49328;\My%20Documents\&#51089;&#50629;&#49892;\&#49324;&#51064;&#47448;\&#51089;&#50629;&#49892;\&#44036;&#54032;&#47448;\&#44592;&#53440;\&#51089;&#50629;&#54028;&#51068;\&#51648;&#51656;&#54364;&#48376;&#44288;&#51204;&#49884;&#47932;\&#50577;&#49885;\&#51068;&#50948;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-12d76d098a33\&#45936;&#51060;&#53440;(d)\&#48177;&#50629;\'07&#45380;&#49324;&#50629;&#52628;&#51652;\&#54861;&#52380;&#50668;&#44256;&#54868;&#51109;&#49892;&#48372;&#49688;\&#48372;&#49688;&#45236;&#50669;&#49436;\ExcelData\&#49444;&#48708;&#45236;&#50669;\&#53468;&#50896;&#44148;&#52629;\&#49340;&#52377;&#51204;&#51088;&#44277;&#44256;%20&#44592;&#49689;&#49324;%20&#44148;&#52629;&#44277;&#49324;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EXPORT\&#54644;&#44400;2APT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NCDOC\J-DORO\0619\&#45824;&#44396;&#50504;&#46041;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45380;\C\ns\ns-2\ns-2&#49688;&#47049;&#51665;\&#49892;&#51221;&#45236;&#50669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ALMA\kko\Nalma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10\c\d\xls\2001\98\&#45432;&#51076;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07\e\02project\&#44221;&#44592;&#44256;%20&#49328;&#52293;&#47196;%20&#51312;&#49457;\&#45236;&#50669;\&#44221;&#44592;&#44256;&#45236;&#50669;&#49436;-&#54408;&#54624;&#51613;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&#44288;&#44553;project\&#46041;&#54644;&#49884;&#52397;\&#45225;&#54408;\&#51068;&#52636;&#44277;&#50896;\&#45236;&#50669;\&#51068;&#52636;&#44277;&#50896;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68;&#55136;\&#45909;&#50976;&#49328;&#44397;&#47549;&#44277;&#50896;\EXCEL\&#44400;&#49328;&#51032;&#47308;&#50896;\&#54868;&#49328;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\d\W-EXCEL\&#49688;&#47049;&#49328;&#52636;&#49436;\&#45824;&#44396;&#51652;&#52380;&#49340;&#49457;APT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47564;&#50689;\FINAL\&#51652;&#51109;&#44368;\&#49688;&#47049;&#49328;&#52636;&#49436;\&#49688;&#47049;(final)\&#52384;&#44540;&#49688;&#47049;&#51665;&#44228;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TOWER\&#44592;&#45392;&#53457;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OKYUNG\&#52628;&#51221;&#50725;\&#50577;&#49885;\&#44032;&#49328;\&#45236;&#50669;&#49436;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4CHA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2004pro\2004&#49444;&#44228;\&#50857;&#51064;&#49688;&#51648;&#52636;&#51109;&#49548;\&#54392;&#47480;&#49688;&#51648;&#51312;&#49457;&#49324;&#50629;&#49892;&#49884;&#49444;&#44228;&#50857;&#50669;\&#46021;&#44264;&#44277;&#50896;%20&#49688;&#47785;&#48372;&#44053;%20&#48143;%20&#49884;&#49444;&#47932;&#48372;&#44053;&#44277;&#49324;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y\&#49464;&#50868;PROJECT\PROJECT\ELLWORD\98HABAN\WONJU-BO\&#50896;&#51452;&#48373;~1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-12d76d098a33\&#45936;&#51060;&#53440;(d)\&#48177;&#50629;\'07&#45380;&#49324;&#50629;&#52628;&#51652;\&#54861;&#52380;&#50668;&#44256;&#54868;&#51109;&#49892;&#48372;&#49688;\&#48372;&#49688;&#45236;&#50669;&#49436;\windows\&#49444;&#48708;&#45236;&#50669;\&#54805;&#51228;&#44148;&#52629;\&#45224;&#52632;&#52380;&#50668;&#51473;%20&#44368;&#49892;%20&#51613;&#52629;&#44277;&#49324;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3552;06\C\My%20Documents\111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85;&#50857;\&#52572;&#44221;&#49688;\YOUNGDOC\CIVIL\EXCLE\DAT\&#44288;&#51116;&#47308;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46020;1\C\CIVIL\EXCLE\DAT\&#44288;&#51116;&#47308;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2268;&#55136;\&#45909;&#50976;&#49328;&#44397;&#47549;&#44277;&#50896;\My%20Documents\&#49436;&#49688;&#50500;&#51060;\&#49444;&#44228;&#54028;&#51068;&#47784;&#51020;\&#49444;&#44228;&#54532;&#47196;&#44536;&#47016;\&#51068;&#50948;&#45824;&#44032;&#54364;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221;&#47148;\0010-&#47560;&#49457;&#52380;\CADD\HJ\ODAL\EXCEL\DOWOO\BT\BT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340;&#51221;\&#45453;&#49548;&#50612;&#47784;\My%20Documents\GOOMI\DOHWA03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&#47196;&#52972;%20&#46356;&#49828;&#53356;%20(e)\My%20Documents\2003pro\&#50857;&#49328;&#44396;\&#48317;&#47732;&#45433;&#54868;\&#45236;&#50669;\&#50857;&#49328;&#44396;&#54224;&#44592;&#47932;&#45236;&#50669;-&#49688;&#51221;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46041;&#47548;&#51648;&#44396;TK\&#53444;&#48268;&#46041;\&#44228;&#50577;&#48149;&#52492;&#49884;&#49444;&#49688;&#47049;&#49328;&#52636;2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0980;&#51221;\MY%20DOCUMENTS\My%20Documents\&#50980;&#51221;\&#44204;&#51201;&#49436;&#54632;\&#51221;&#46972;&#51312;&#44221;\&#51221;&#46972;&#44592;&#49457;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1-12d76d098a33\&#45936;&#51060;&#53440;(d)\&#48177;&#50629;\'07&#45380;&#49324;&#50629;&#52628;&#51652;\&#54861;&#52380;&#50668;&#44256;&#54868;&#51109;&#49892;&#48372;&#49688;\&#48372;&#49688;&#45236;&#50669;&#49436;\ExcelData\&#49444;&#48708;&#45236;&#50669;\&#50500;&#53412;&#53664;&#54588;&#50500;\&#53664;&#49457;&#52488;&#46321;&#54617;&#44368;%20&#44553;&#49885;&#49548;%20&#51613;&#52629;&#44277;&#49324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8337;&#52268;\&#45225;&#54408;\data2000\&#44256;&#52285;&#49548;&#54616;&#52380;\&#50857;&#44592;\&#51116;&#47308;&#51665;&#44228;(&#50857;&#44592;)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4788;&#50857;\&#54532;&#47196;&#51229;&#53944;\hb\&#49340;&#49328;1&#51648;&#44396;(&#49892;&#49884;)\&#51452;&#44277;&#49688;&#47049;\&#51068;&#50948;&#45824;&#44032;9803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1GONGGU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45804;&#54872;\&#47196;&#52972;%20&#46356;&#49828;&#53356;%20(c)\&#45432;&#45804;&#54872;\&#51088;&#47308;\&#51088;&#47308;11\basu\&#48149;&#44592;&#49324;-&#48512;&#45824;&#44277;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45380;\C\ns3\3&#52264;&#51221;&#49328;\&#49892;&#51221;&#45236;&#50669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28;&#47548;10\project%20(d)\&#44288;&#44553;project\&#46041;&#54644;&#49884;&#52397;\&#45225;&#54408;\&#51068;&#52636;&#44277;&#50896;\&#45236;&#50669;\&#47925;&#54840;&#50672;&#44208;&#47196;&#44277;&#49324;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2011&#45380;%20&#54532;&#47196;&#51229;&#53944;\My%20Documents\&#44608;&#54252;&#46020;&#47196;\&#44608;&#54252;&#53804;&#52272;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POUN\&#45800;&#44032;&#49328;&#52636;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4032;&#46360;\C\EL&#52968;&#49444;&#54021;\PROJECT\&#50977;&#44400;&#48376;&#48512;\&#45236;&#50669;&#52572;&#51333;\&#44288;&#49324;\&#45236;&#50669;&#49436;(&#44288;&#49324;)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160;&#54788;\%23&#54532;&#47196;&#51229;&#53944;-2004\2002\&#44204;&#52628;\&#52628;&#51221;&#44277;&#48708;\&#52628;&#51221;&#44277;&#49324;&#48708;\&#12593;\&#50976;&#49888;&#44148;&#52629;\&#47928;&#49436;\&#49440;&#44553;&#44552;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-pc2\&#51088;&#47308;(&#54788;&#51116;)\&#45236;&#51089;&#50629;&#54868;&#51068;\&#44592;&#53440;&#46321;&#46321;\My%20Documents\&#54869;&#51064;&#51613;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345;&#45824;\C\WORK\PROJECT\ELLWORD\98HABAN\518\NEAYUK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8;&#51068;2\CAD-WORK\WINDOWS\TEMP\WINDOWS\&#48148;&#53461;%20&#54868;&#47732;\&#51204;&#51452;0823\&#53440;&#44204;&#51201;(&#51204;&#51452;&#44221;&#44288;&#51312;&#47749;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24;&#49688;&#48124;&#49688;\&#50696;&#51204;&#44732;\WINDOWS\&#48148;&#53461;%20&#54868;&#47732;\&#49345;&#52380;&#52380;&#51116;\&#48169;&#52629;&#47532;&#49688;&#47049;\CIVIL\EXCLE\DAT\&#44256;&#50577;&#44288;&#51116;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9849;&#45909;\AWORK\AWORK\Old_d\&#50641;&#49472;\KYONGNAM\ULSAN\BIG\&#48372;&#50756;&#44277;&#49324;\&#51077;&#52272;1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49440;&#50864;\C\XLS\&#54644;&#50868;&#45824;\B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&#49884;&#54868;&#51088;&#47308;\&#51077;&#52636;&#44552;&#54364;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My%20Documents\&#44592;&#51316;\HWACH\JUKCHON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089;&#50629;&#49892;\&#45824;&#44396;&#44284;&#54617;&#44368;&#50977;&#50896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0689;&#44512;\My%20Documents\Documents%20and%20Settings\Administrator\My%20Documents\&#50668;&#49688;&#51652;&#45224;&#44221;&#44592;&#51109;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SI\&#51652;&#51077;&#46020;&#47196;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&#54633;&#51221;&#47196;&#45236;&#50669;&#49436;(&#53664;&#47785;).xls" TargetMode="External"/></Relationships>
</file>

<file path=xl/externalLinks/_rels/externalLink2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1652;&#50857;\Dwg-All\ns4\4-1sb\4&#45236;&#50669;\&#49892;&#51221;&#45236;&#50669;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BANDAL\EXCEL\RAHMEN\RAHMEN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1;&#47532;\D\WORK\PROJECT\ELLWORD\98HABAN\518\NEAYUK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98.0.12.2/&#44228;&#50557;&#49900;&#49324;&#44284;/&#44228;&#50557;&#49900;&#49324;&#44608;&#45236;&#54872;/03-03/&#47560;&#54252;&#49548;&#48169;&#49436;/&#49900;&#49324;&#44208;&#44284;/&#47560;&#54252;&#49548;&#48169;&#49436;/&#47560;&#54252;&#49548;&#48169;&#49436;%20&#44148;&#52629;%20&#49444;&#44228;&#45236;&#50669;&#49436;/&#47560;&#54252;&#49548;&#48169;(&#51068;&#50948;&#45824;&#44032;%20&#51204;&#54980;.xls" TargetMode="External"/></Relationships>
</file>

<file path=xl/externalLinks/_rels/externalLink277.xml.rels><?xml version="1.0" encoding="UTF-8" standalone="yes"?>
<Relationships xmlns="http://schemas.openxmlformats.org/package/2006/relationships"><Relationship Id="rId1" Type="http://schemas.microsoft.com/office/2006/relationships/xlExternalLinkPath/xlStartup" Target="6-6&#44277;&#44396;&#44032;&#47196;&#46321;/&#47560;&#54252;&#44396;/R-&#54633;&#51221;&#47196;/&#44228;&#49328;&#49436;/&#44228;&#49328;&#49436;4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333;&#49440;\SharedDocs\&#49436;&#45224;&#54788;\&#49444;&#44228;&#49436;\&#12610;\&#48512;&#50504;816\&#49688;&#47049;&#49436;\&#54252;&#51109;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9849;&#48276;\MY%20DOCUMENTS\AWORK\Old_d\&#50641;&#49472;\KYONGNAM\ULSAN\BIG\&#49444;&#44228;&#51077;&#52272;&#46020;&#44553;\&#46020;&#44553;(&#51228;&#52636;)\&#45800;&#44032;&#49328;&#52636;(00d)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data%20(E)\My%20Documents\2003pro\&#50857;&#49328;&#44396;\&#48317;&#47732;&#45433;&#54868;\&#45236;&#50669;\&#50857;&#49328;&#44396;&#54224;&#44592;&#47932;&#45236;&#50669;-&#49688;&#51221;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061;\&#49328;&#52397;&#44400;\LJK-LAST\BANG-A\&#48169;&#50500;&#47672;&#47532;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51648;&#50689;\D\&#45236;&#50669;&#51089;&#50629;\&#51221;&#51088;&#51648;&#44396;\&#45236;&#50669;&#49436;\&#51221;&#51088;&#51648;&#44396;\&#45236;&#50669;(~2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My%20Documents\&#44592;&#51316;\HWACH\&#47560;&#54788;12~1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PROJECT\ELLWORD\98HABAN\518\NEAYUK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4788;&#48169;_FILE\&#44204;&#51201;\&#55064;&#44221;&#46041;\&#55064;&#44221;&#46041;(&#49888;&#51068;)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48393;\PROJECT\hb\&#49340;&#49328;1&#51648;&#44396;(&#49892;&#49884;)\&#51452;&#44277;&#49688;&#47049;\&#51068;&#50948;&#45824;&#44032;9803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37;&#44260;&#48512;&#51109;\C\&#49884;&#44277;&#51089;&#50629;\&#49688;&#45768;\&#52264;&#51452;&#51076;\KKK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1887\1129&#49892;&#49884;\Temp\&#44032;&#44201;&#48708;&#44368;-&#54805;&#49437;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2509;&#44292;&#54364;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160;&#54788;\%23%23&#54532;&#47196;&#51229;&#53944;-2003\project\&#44053;&#44397;(&#44396;)\&#44396;&#51312;&#47932;~1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9638;&#21644;&#32780;&#63847;&#21516;&#9638;..!\03006-&#44228;&#50577;&#49328;\My%20Documents\&#51089;&#50629;&#49892;\&#51648;&#51656;&#54364;&#48376;&#44288;&#51204;&#49884;&#47932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&#47196;&#52972;%20&#46356;&#49828;&#53356;%20(e)\zr97\water\97rc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Rp\&#50724;&#51648;&#47560;&#51012;2\&#52397;&#50896;&#44400;\&#48512;&#50857;\&#49688;&#47049;\2&#44277;&#44396;\5-&#51088;&#51116;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0865;\2011&#45380;%20&#54532;&#47196;&#51229;&#53944;\KIM\ILWIDAGA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448;&#50857;&#54788;\03-&#44277;%20&#50976;%20&#48169;\WAL-SAN\PIER\P4567-5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ns2\3&#52264;1&#54924;\&#49892;&#51221;&#45236;&#50669;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785;&#51652;\DISKET\&#53664;&#47785;(1079).xls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rkswcom\&#47196;&#52972;%20&#46356;&#49828;&#53356;%20(E)\KIM\TR-R222.XLW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J-00(&#44053;&#48124;&#50896;)\D\NETWORK00\&#49345;&#47924;&#45784;\CCTV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345;&#52380;\C\&#50641;&#50424;\&#54217;&#52285;&#48120;&#53444;&#46020;&#49884;&#44228;&#54925;\&#48176;&#49688;&#44277;-&#48120;&#53444;&#47732;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PROJECT\ELLWORD\98HABAN\WONJU-BO\&#50896;&#51452;&#48373;~1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1116;&#47564;\My%20Documents\PROJECT\YR1\STRUC\SYJ-E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nu\&#49444;&#44228;&#48320;&#44221;\3&#52264;\&#48176;&#49688;\hd3\&#49892;&#51221;&#45236;&#50669;.xls" TargetMode="External"/></Relationships>
</file>

<file path=xl/externalLinks/_rels/externalLink3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&#45572;&#52397;\&#49444;&#44228;&#48320;&#44221;\HD3\&#49892;&#51221;&#45236;&#50669;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50641;&#49472;\&#44204;&#51201;\&#52397;&#50896;&#47112;&#51060;&#53356;&#48716;\&#52397;&#50896;&#47112;&#51060;&#53356;&#48716;''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10\&#48176;&#54788;&#50865;\My%20Documents\&#44608;&#51032;&#49688;&#49345;&#47924;\&#54632;&#50504;&#50629;&#52404;(2&#44277;&#44396;)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4508;\&#54728;&#44508;\XX\&#45236;&#50669;&#49436;\&#44277;&#51452;\&#44277;&#51452;&#44288;&#47144;\&#48324;&#54364;&#45236;&#50669;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51089;&#50629;&#49892;\&#45824;&#44396;&#44284;&#54617;&#44368;&#50977;&#50896;\&#51089;&#50629;&#49892;2\&#45812;&#48176;&#51064;&#49340;&#44277;&#49324;&#44032;&#44396;&#47448;\&#51089;&#50629;&#54028;&#51068;\&#54620;&#44397;&#53685;&#49888;&#44592;&#49696;-&#47785;&#46041;IDC\&#51089;&#50629;&#54028;&#51068;\&#51648;&#51656;&#54364;&#48376;&#44288;&#51204;&#49884;&#47932;\&#50577;&#49885;\&#51068;&#50948;.xls" TargetMode="External"/></Relationships>
</file>

<file path=xl/externalLinks/_rels/externalLink3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9638;&#21644;&#32780;&#63847;&#21516;&#9638;..!\03006-&#44228;&#50577;&#49328;\My%20Documents\&#51089;&#50629;&#49892;\&#51648;&#51656;&#54364;&#48376;&#44288;&#51204;&#49884;&#47932;\&#51089;&#50629;&#54028;&#51068;\&#46020;&#47196;&#54364;&#51648;&#54032;\&#51089;&#50629;&#54028;&#51068;\&#44256;&#49549;&#51204;&#52384;&#49888;&#52629;&#51060;&#51020;&#51109;&#52824;\&#51089;&#50629;&#54028;&#51068;\&#54872;&#44221;&#50672;&#49688;&#50896;\&#51089;&#50629;&#54028;&#51068;\&#54620;&#44397;&#53685;&#49888;\&#51312;&#45180;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9638;&#21644;&#32780;&#63847;&#21516;&#9638;..!\03006-&#44228;&#50577;&#49328;\My%20Documents\&#51089;&#50629;&#49892;\&#51648;&#51656;&#54364;&#48376;&#44288;&#51204;&#49884;&#47932;\&#50577;&#49885;\&#51068;&#50948;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9638;&#21644;&#32780;&#63847;&#21516;&#9638;..!\03006-&#44228;&#50577;&#49328;\My%20Documents\&#51089;&#50629;&#54028;&#51068;\&#54620;&#44397;&#53685;&#49888;&#44592;&#49696;-&#47785;&#46041;IDC\&#51089;&#50629;&#54028;&#51068;\&#51648;&#51656;&#54364;&#48376;&#44288;&#51204;&#49884;&#47932;\&#51089;&#50629;&#54028;&#51068;\&#46020;&#47196;&#54364;&#51648;&#54032;\&#51089;&#50629;&#54028;&#51068;\&#51228;&#51452;&#44284;&#54617;&#44368;&#50977;&#50672;&#44396;&#50896;\&#51089;&#50629;&#54028;&#51068;\&#54620;&#44397;&#53685;&#49888;\&#51312;&#45180;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s\&#54532;&#47196;&#51117;&#53552;\PROJECT\ELLWORD\99SANG\&#51109;&#49457;&#44400;\&#51109;&#49457;&#45236;&#50669;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\d\PROJECT\ELLWORD\01sang\&#51204;&#53685;&#54617;&#44368;\PROJECT\ELLWORD\99SANG\&#51109;&#49457;&#44400;\pipe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hye\2005%20&#51089;&#50629;\1766\1790\1790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y\&#49464;&#50868;PROJECT\PROJECT\ELLWORD\&#54408;&#49480;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dreamwiz.com/DATA1/97_XLS/BATT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4277;&#49324;\2024&#45380;\&#44256;&#44592;&#44540;&#47536;&#44277;&#50896;\&#44256;&#44592;&#44540;&#47536;&#44277;&#50896;%20&#46020;&#44553;&#45236;&#50669;&#49436;%20&#48143;%20&#44228;&#50557;&#49436;%20&#49569;&#48512;&#54633;&#45768;&#45796;\&#45236;&#50669;&#49436;\&#45817;&#52488;\&#50896;&#44032;&#44228;&#49328;&#49436;(&#53685;&#54633;).xlsx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4617;&#52380;pc\h\&#49892;&#51221;&#48372;&#44256;\&#52509;&#44292;(&#51312;&#44221;,&#53664;&#47785;,&#44148;&#52629;).xlsx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4617;&#52380;pc\h\&#49444;&#44228;&#54801;&#51032;\&#49688;&#49888;\0507\&#44256;&#44592;--%20&#48320;&#44221;&#51473;\250506_&#44256;&#44592;&#44277;&#50896;%20&#51312;&#44221;&#45236;&#50669;&#49436;-v10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4617;&#52380;pc\h\&#49444;&#44228;&#54801;&#51032;\&#49688;&#49888;\0511\&#44256;&#44592;&#44540;&#47536;&#44277;&#50896;%200512\&#45236;&#50669;%20&#49688;&#47049;&#49328;&#52636;0512\250512_&#44256;&#44592;&#44277;&#50896;%20&#51312;&#44221;&#45236;&#50669;&#49436;(&#45212;&#44036;&#45800;&#44032;&#49688;&#51221;)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&#51312;&#44221;&#48320;&#44221;%20&#49688;&#47049;&#49328;&#52636;&#49436;(0612).xlsx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la3/Documents/&#52852;&#52852;&#50724;&#53665;%20&#48155;&#51008;%20&#54028;&#51068;/2025.03.04(U-&#51068;&#50948;&#45824;&#4403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"/>
      <sheetName val="총괄내역서"/>
      <sheetName val="원가출력"/>
      <sheetName val="원가출력 (군)"/>
      <sheetName val="기타경비"/>
      <sheetName val="기준율"/>
      <sheetName val="적용율"/>
      <sheetName val="원가출력 (2)"/>
      <sheetName val="기타경비 (2)"/>
      <sheetName val="XL4Poppy"/>
      <sheetName val="공사비예산서(토목분)"/>
      <sheetName val="원가계산서"/>
      <sheetName val="원가계산서 (2)"/>
      <sheetName val="#REF"/>
      <sheetName val="대한진각종앞"/>
      <sheetName val="노임단가"/>
      <sheetName val="2공구산출내역"/>
      <sheetName val="공사비증감"/>
      <sheetName val="세부내역"/>
      <sheetName val="단가"/>
      <sheetName val="일위대가"/>
      <sheetName val="노임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설폐기물집계표"/>
      <sheetName val="수목폐기집계표"/>
      <sheetName val="폐기목산출근거"/>
      <sheetName val="수량산출서(신규)"/>
      <sheetName val="수량산출서(철거)"/>
      <sheetName val="자재단가"/>
      <sheetName val="노임단가"/>
      <sheetName val="견적및기타"/>
      <sheetName val="Sheet2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Sheet1"/>
      <sheetName val="Sheet2"/>
      <sheetName val="Sheet3"/>
      <sheetName val="부대공사비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단가표"/>
      <sheetName val="지주대견적"/>
      <sheetName val="Sheet1"/>
      <sheetName val="결재표지"/>
      <sheetName val="표지"/>
      <sheetName val="연간식생관리 계획표(공정표)"/>
      <sheetName val="일위대가_목록"/>
      <sheetName val="일위대가"/>
      <sheetName val="1.수목(관목)전정기준"/>
      <sheetName val="2.수목(교목)전정기준 "/>
      <sheetName val="3.수목(가로수)전정기준 "/>
      <sheetName val="4-1.벌목,주당"/>
      <sheetName val="4-2.뿌리뽑기"/>
      <sheetName val="5.제초 및 풀깍기"/>
      <sheetName val="6,시비,제초제살포"/>
      <sheetName val="7.초화류식재,파종,관수"/>
      <sheetName val="8.기타관리 "/>
      <sheetName val="9.산출근거"/>
      <sheetName val="기계사용료"/>
      <sheetName val="수목중량,면적 제원표"/>
      <sheetName val="기준단가"/>
      <sheetName val="2014.01제비율표"/>
      <sheetName val="2015상반기노임단가표"/>
      <sheetName val="2014상반기노임단가표"/>
      <sheetName val="2013하반기노임단가표"/>
      <sheetName val="임목폐기물견적(2014)"/>
      <sheetName val="원가계산서 "/>
      <sheetName val="내역서 (분리)"/>
      <sheetName val="사업량 수량산출서(서식예)"/>
      <sheetName val="수목전정 수량산출서 (작성예_)"/>
      <sheetName val="잔재물 수량집계표 (작성예)"/>
      <sheetName val="시방서1"/>
      <sheetName val="참고자료(전지요령)"/>
      <sheetName val="전경전후"/>
      <sheetName val="공원별_공종별 전중후"/>
      <sheetName val="Sheet1 (2)"/>
      <sheetName val="2015 기타견적"/>
      <sheetName val="자재단가"/>
      <sheetName val="임목폐기물견적(2015)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동표"/>
      <sheetName val="TJP"/>
      <sheetName val="증감액"/>
      <sheetName val="사토계산"/>
      <sheetName val="변경운반량계산"/>
      <sheetName val="증감현황"/>
      <sheetName val="1TL종점(1)"/>
      <sheetName val="1TL종점(2)"/>
      <sheetName val="2TL시점(1)"/>
      <sheetName val="2TL시점(2)"/>
      <sheetName val="5+580"/>
      <sheetName val="Sheet1 (2)"/>
      <sheetName val="차액보증"/>
      <sheetName val="암판정(2001)"/>
      <sheetName val="갑지"/>
      <sheetName val="터파기및재료"/>
      <sheetName val="6PILE  (돌출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PILE  (돌출)"/>
      <sheetName val="단위중량"/>
      <sheetName val="조명시설"/>
      <sheetName val="소업1교"/>
      <sheetName val="반응조"/>
      <sheetName val="갑지"/>
      <sheetName val="6PILE  _돌출_"/>
      <sheetName val="옹벽조금수정"/>
      <sheetName val="3BL공동구 수량"/>
      <sheetName val="#REF"/>
      <sheetName val="가설건물"/>
      <sheetName val="부안일위"/>
      <sheetName val="샘플표지"/>
      <sheetName val="내역서"/>
      <sheetName val="공사비집계"/>
      <sheetName val="진주방향"/>
      <sheetName val="참조"/>
      <sheetName val="사통"/>
      <sheetName val="물가시세"/>
      <sheetName val="노임단가"/>
      <sheetName val="터파기및재료"/>
      <sheetName val="입찰안"/>
      <sheetName val="토공 갑지"/>
      <sheetName val="Sheet1"/>
      <sheetName val="수지표"/>
      <sheetName val="셀명"/>
      <sheetName val="총괄"/>
      <sheetName val="하도내역 (철콘)"/>
      <sheetName val="SLAB&quot;1&quot;"/>
      <sheetName val="총괄내역서"/>
      <sheetName val="본선 토공 분배표"/>
      <sheetName val="해전배수"/>
      <sheetName val="수문일1"/>
      <sheetName val="결과조달"/>
      <sheetName val="포장공자재집계표"/>
      <sheetName val="프랜트면허"/>
      <sheetName val="중기사용료"/>
      <sheetName val="S.중기사용료"/>
      <sheetName val="97노임단가"/>
      <sheetName val="입력란"/>
      <sheetName val="DATE"/>
      <sheetName val="총 괄 표"/>
      <sheetName val="U-TYPE(1)"/>
      <sheetName val="내역표지"/>
      <sheetName val="빗물받이(910-510-410)"/>
      <sheetName val="우수"/>
      <sheetName val="8.PILE  (돌출)"/>
      <sheetName val="약품설비"/>
      <sheetName val="2공구산출내역"/>
      <sheetName val="오동"/>
      <sheetName val="대조"/>
      <sheetName val="나한"/>
      <sheetName val="2.단면가정 "/>
      <sheetName val="업무처리전"/>
      <sheetName val="예가표"/>
      <sheetName val="D200"/>
      <sheetName val="1. 설계조건 2.단면가정 3. 하중계산"/>
      <sheetName val="DATA 입력란"/>
      <sheetName val="수량집계"/>
      <sheetName val="내역"/>
      <sheetName val="단면 (2)"/>
      <sheetName val="인사자료총집계"/>
      <sheetName val="견적서(토공)"/>
      <sheetName val="공사비증감"/>
      <sheetName val="가격조사서"/>
      <sheetName val="수량3"/>
      <sheetName val="집계표(육상)"/>
      <sheetName val="지급자재"/>
      <sheetName val="9509"/>
      <sheetName val="CTEMCOST"/>
      <sheetName val="배수관산출"/>
      <sheetName val="수안보-MBR1"/>
      <sheetName val="3.공통공사대비"/>
      <sheetName val="목표세부명세"/>
      <sheetName val="말뚝지지력산정"/>
      <sheetName val="가도공"/>
      <sheetName val="교각계산"/>
      <sheetName val="간지(1)"/>
      <sheetName val="1,2,3,4,5단위수량"/>
      <sheetName val="실행철강하도"/>
      <sheetName val="SIL98"/>
      <sheetName val="산출내역서"/>
      <sheetName val="bid"/>
      <sheetName val="발주설계서(당초)"/>
      <sheetName val="금액내역서"/>
      <sheetName val="세대구분"/>
      <sheetName val="간 지1"/>
      <sheetName val="공종단가"/>
      <sheetName val="밸브설치"/>
      <sheetName val="의뢰서"/>
      <sheetName val="공문"/>
      <sheetName val="COVER"/>
      <sheetName val="Sheet1 (2)"/>
      <sheetName val="Sheet4"/>
      <sheetName val="포장물량집계"/>
      <sheetName val="안산기계장치"/>
      <sheetName val="코드표"/>
      <sheetName val="연돌일위집계"/>
      <sheetName val="원가"/>
      <sheetName val="실정보고"/>
      <sheetName val="갑지1"/>
      <sheetName val="2호맨홀공제수량"/>
      <sheetName val="견적서"/>
      <sheetName val="도봉2지구"/>
      <sheetName val="비목군분류일위"/>
      <sheetName val="사유서제출현황-2"/>
      <sheetName val="내역(전체)"/>
      <sheetName val="견적의뢰서"/>
      <sheetName val="2000년1차"/>
      <sheetName val="2000전체분"/>
      <sheetName val="200"/>
      <sheetName val="경상비"/>
      <sheetName val="수량산출내역1115"/>
      <sheetName val="합천내역"/>
      <sheetName val="DATA2000"/>
      <sheetName val="갑지(추정)"/>
      <sheetName val="원형1호맨홀토공수량"/>
      <sheetName val="1062-X방향 "/>
      <sheetName val="DATA98"/>
      <sheetName val="고창방향"/>
      <sheetName val="ELECTRIC"/>
      <sheetName val="SCHEDULE"/>
      <sheetName val="일위대가(계측기설치)"/>
      <sheetName val="기성내역"/>
      <sheetName val="TOWER 10TON"/>
      <sheetName val="TOWER 12TON"/>
      <sheetName val="000000"/>
      <sheetName val="간선계산"/>
      <sheetName val="공사비증감(P4) "/>
      <sheetName val="수로집계"/>
      <sheetName val="Sheet2"/>
      <sheetName val="식재"/>
      <sheetName val="시설물"/>
      <sheetName val="식재출력용"/>
      <sheetName val="유지관리"/>
      <sheetName val="단가"/>
      <sheetName val="설계조건"/>
      <sheetName val="산근터빈"/>
      <sheetName val="산출근거"/>
      <sheetName val="단면A-A(TR)"/>
      <sheetName val="6PILE 과속방지턱집계표!$K$12 (돌출)"/>
      <sheetName val="제출내역 (2)"/>
      <sheetName val="대비"/>
      <sheetName val="메서,변+증"/>
      <sheetName val="실행예산"/>
      <sheetName val="식생블럭단위수량"/>
      <sheetName val="공량산출서"/>
      <sheetName val="노무비"/>
      <sheetName val="EQUIP"/>
      <sheetName val="부하(성남)"/>
      <sheetName val="실행"/>
      <sheetName val="공사내역"/>
      <sheetName val="SG"/>
      <sheetName val="ABUT수량-A1"/>
      <sheetName val="일위대가목차"/>
      <sheetName val="Quantity"/>
      <sheetName val="Sheet15"/>
      <sheetName val="정보"/>
      <sheetName val="합의경상"/>
      <sheetName val="TOTAL_BOQ"/>
      <sheetName val="4.2유효폭의 계산"/>
      <sheetName val="입찰"/>
      <sheetName val="현경"/>
      <sheetName val="배수내역"/>
      <sheetName val="토목주소"/>
      <sheetName val="단위수량"/>
      <sheetName val="일위대가목록"/>
      <sheetName val="교대(A1-A2)"/>
      <sheetName val="설비"/>
      <sheetName val="archi(본사)"/>
      <sheetName val="2002상반기노임기준"/>
      <sheetName val="건축내역서"/>
      <sheetName val="설비내역서"/>
      <sheetName val="전기내역서"/>
      <sheetName val="집계표"/>
      <sheetName val="본부소개"/>
      <sheetName val="날개벽(시점좌측)"/>
      <sheetName val="배수내역(98년도분)"/>
      <sheetName val="6PILE+옹벽집계!$G$6+옹벽집계!$H$10  (돌출"/>
      <sheetName val="01.인원현황 (계획)"/>
      <sheetName val="공통비총괄표"/>
      <sheetName val="1TL종점(1)"/>
      <sheetName val="토목품셈"/>
      <sheetName val="PAD TR보호대기초"/>
      <sheetName val="가로등기초"/>
      <sheetName val="HANDHOLE(2)"/>
      <sheetName val="뚝토공"/>
      <sheetName val="전차선로 물량표"/>
      <sheetName val="DATA입력"/>
      <sheetName val="일위대가"/>
      <sheetName val="지하"/>
      <sheetName val="약품공급2"/>
      <sheetName val="간접비"/>
      <sheetName val="주식"/>
      <sheetName val="시행후면적"/>
      <sheetName val="BOX 본체"/>
      <sheetName val="슬래브"/>
      <sheetName val="자료"/>
      <sheetName val="교각정보"/>
      <sheetName val="기기리스트"/>
      <sheetName val="교통표지판수량집계표"/>
      <sheetName val="갑지(집행)"/>
      <sheetName val="배수관설치현황"/>
      <sheetName val="일위(PN)"/>
      <sheetName val="배수통관(좌)"/>
      <sheetName val="단가일람"/>
      <sheetName val="조경일람"/>
      <sheetName val="★도급내역"/>
      <sheetName val="대림경상68억"/>
      <sheetName val="장비"/>
      <sheetName val="산근1"/>
      <sheetName val="노무"/>
      <sheetName val="자재"/>
      <sheetName val="교각1"/>
      <sheetName val="음봉방향"/>
      <sheetName val="type-F"/>
      <sheetName val="신당동집계표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1.설계조건"/>
      <sheetName val="유림골조"/>
      <sheetName val="가공비"/>
      <sheetName val="수량산출"/>
      <sheetName val="설계산출표지"/>
      <sheetName val="1.토공"/>
      <sheetName val="부대토목"/>
      <sheetName val="토공계산서(부체도로)"/>
      <sheetName val="단가산출서"/>
      <sheetName val="6PILE__(돌출)"/>
      <sheetName val="6PILE___돌출_"/>
      <sheetName val="3BL공동구_수량"/>
      <sheetName val="산마루측구단위수량"/>
      <sheetName val="경영상태"/>
      <sheetName val="2_단면가정_"/>
      <sheetName val="총_괄_표"/>
      <sheetName val="토공_갑지"/>
      <sheetName val="공사비증감(P4)_"/>
      <sheetName val="본선_토공_분배표"/>
      <sheetName val="단면_(2)"/>
      <sheetName val="하도내역_(철콘)"/>
      <sheetName val="70%"/>
      <sheetName val="소비자가"/>
      <sheetName val="공통가설공사"/>
      <sheetName val="관로토공집계표"/>
      <sheetName val="기자재비"/>
      <sheetName val="Sheet3"/>
      <sheetName val="3.하중산정4.지지력"/>
      <sheetName val="대,유,램"/>
      <sheetName val="민자토목설변1차"/>
      <sheetName val="허용지지력"/>
      <sheetName val="Output"/>
      <sheetName val="공사비예산서(토목분)"/>
      <sheetName val="견적대비표"/>
      <sheetName val="단면B-B(EA)"/>
      <sheetName val="역T형"/>
      <sheetName val="배수공"/>
      <sheetName val="간지"/>
      <sheetName val="DATA"/>
      <sheetName val="정부노임단가"/>
      <sheetName val="4)유동표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대비표"/>
      <sheetName val="Total"/>
      <sheetName val="inter"/>
      <sheetName val="B"/>
      <sheetName val="PROCURE"/>
      <sheetName val="out_prog"/>
      <sheetName val="선적schedule (2)"/>
      <sheetName val="1NYS(당)"/>
      <sheetName val="본체"/>
      <sheetName val="01.견적내역서"/>
      <sheetName val="수입"/>
      <sheetName val="대부예산서"/>
      <sheetName val="COPING"/>
      <sheetName val="기초공"/>
      <sheetName val="기둥(원형)"/>
      <sheetName val="부대공"/>
      <sheetName val="토공"/>
      <sheetName val="포장공"/>
      <sheetName val="CIVIL4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수문보고"/>
      <sheetName val="할증 "/>
      <sheetName val="40단가산출서"/>
      <sheetName val="40집계"/>
      <sheetName val="96노임기준"/>
      <sheetName val="3련 BOX"/>
      <sheetName val="DRUM"/>
      <sheetName val="CAL(1)."/>
      <sheetName val="12CGOU"/>
      <sheetName val="Bend_fact "/>
      <sheetName val="요약배부"/>
      <sheetName val="주관사업"/>
      <sheetName val="STAFF ANALYSIS"/>
      <sheetName val="C"/>
      <sheetName val="AN-01"/>
      <sheetName val="PRICES"/>
      <sheetName val="골조시행"/>
      <sheetName val="예상"/>
      <sheetName val="가설사무소수량집계"/>
      <sheetName val="데리네이타현황"/>
      <sheetName val="가옥철거"/>
      <sheetName val="방음벽기초"/>
      <sheetName val="산출근거(S4)"/>
      <sheetName val="우수받이재료집계표"/>
      <sheetName val="수지예산"/>
      <sheetName val="1호맨홀토공"/>
      <sheetName val="6PILE  _돌_x001c__"/>
      <sheetName val="김여중"/>
      <sheetName val="무근깨기"/>
      <sheetName val="기계경비일람"/>
      <sheetName val="침하계"/>
      <sheetName val="ASP 일반구간_250A"/>
      <sheetName val="횡배날개"/>
      <sheetName val="지장물C"/>
      <sheetName val="2000시행예상"/>
      <sheetName val="자재집계표"/>
      <sheetName val="DAILY"/>
      <sheetName val="자금신청서"/>
      <sheetName val="96보완계획7.12"/>
      <sheetName val="토사(PE)"/>
      <sheetName val="을 2"/>
      <sheetName val="을 1"/>
      <sheetName val="손익분석"/>
      <sheetName val="단위단가"/>
      <sheetName val="골재및자재집계표"/>
      <sheetName val="대운산출"/>
      <sheetName val="돌담교 상부수량"/>
      <sheetName val="연습"/>
      <sheetName val="격점수량"/>
      <sheetName val="차액보증"/>
      <sheetName val="YES-T"/>
      <sheetName val="1을"/>
      <sheetName val="마감사양"/>
      <sheetName val="철근량"/>
      <sheetName val="수량명세서"/>
      <sheetName val="1.수인터널"/>
      <sheetName val="토목"/>
      <sheetName val="기계(집계표)"/>
      <sheetName val="최적단면"/>
      <sheetName val="직재"/>
      <sheetName val="집수정"/>
      <sheetName val="입상내역"/>
      <sheetName val="예정(3)"/>
      <sheetName val="현장관리비"/>
      <sheetName val="계산근거"/>
      <sheetName val="woo(mac)"/>
      <sheetName val="20-6(L)"/>
      <sheetName val="관로조사공"/>
      <sheetName val="본선차로수량집계표"/>
      <sheetName val="제수변수량H2.15"/>
      <sheetName val="_공기변수량"/>
      <sheetName val="2.교량(신설)"/>
      <sheetName val="건축"/>
      <sheetName val="J형측구단위수량"/>
      <sheetName val="소산진입"/>
      <sheetName val="전체변경예정공정표_2012.07.30"/>
      <sheetName val="Sheet13"/>
      <sheetName val="Sheet14"/>
      <sheetName val="GEN"/>
      <sheetName val="I一般比"/>
      <sheetName val="수량집계표"/>
      <sheetName val="보차도경계석"/>
      <sheetName val="칠산대교 중앙부"/>
      <sheetName val="칠산대교 시종점부"/>
      <sheetName val="BOX(1.5X1.5)"/>
      <sheetName val="비탈면보호공수량산출"/>
      <sheetName val="BOX"/>
      <sheetName val="당초"/>
      <sheetName val="인건비"/>
      <sheetName val="전기"/>
      <sheetName val="입출재고현황 (2)"/>
      <sheetName val="INPUT"/>
      <sheetName val="도배공사언고"/>
      <sheetName val="일위"/>
      <sheetName val="교량전기"/>
      <sheetName val="기계경비적용기준"/>
      <sheetName val="I.설계조건"/>
      <sheetName val="변경집계표"/>
      <sheetName val="토공 total"/>
      <sheetName val="우수받이"/>
      <sheetName val="총수량 (기성)"/>
      <sheetName val="단가조사"/>
      <sheetName val="40총괄"/>
      <sheetName val="수로단위수량"/>
      <sheetName val="4-1.노무비(직영)"/>
      <sheetName val="화전내"/>
      <sheetName val="설직재-1"/>
      <sheetName val="날개벽"/>
      <sheetName val="신표지1"/>
      <sheetName val="낙찰표"/>
      <sheetName val="A1(토공)"/>
      <sheetName val="A1(구조물)"/>
      <sheetName val="수량집계(1)"/>
      <sheetName val="철근집계표"/>
      <sheetName val="포장직선구간"/>
      <sheetName val="Sheet17"/>
      <sheetName val="운반"/>
      <sheetName val="guard(mac)"/>
      <sheetName val="토적표(우안)"/>
      <sheetName val="토적표(좌안)"/>
      <sheetName val="2.대외공문"/>
      <sheetName val="직노"/>
      <sheetName val="건축물터파기"/>
      <sheetName val="우각부보강"/>
      <sheetName val="가압장구체수량산출서"/>
      <sheetName val="바닥판"/>
      <sheetName val="기본"/>
      <sheetName val="옹벽"/>
      <sheetName val="2.단면가정"/>
      <sheetName val="일위대가1"/>
      <sheetName val="국공유지및사유지"/>
      <sheetName val="연결관암거"/>
      <sheetName val="날개벽수량표"/>
      <sheetName val="자재 집계표"/>
      <sheetName val="TYPE-1"/>
      <sheetName val="A-4"/>
      <sheetName val="L형집계"/>
      <sheetName val="깨기"/>
      <sheetName val="건설기계_목록"/>
      <sheetName val="좌측"/>
      <sheetName val="조건표"/>
      <sheetName val="동원(3)"/>
      <sheetName val="9GNG운반"/>
      <sheetName val="실행내역서"/>
      <sheetName val="여과지동"/>
      <sheetName val="기초자료"/>
      <sheetName val="일반수량"/>
      <sheetName val="IW-LIST"/>
      <sheetName val="금융비용"/>
      <sheetName val="내역-가"/>
      <sheetName val="관급자재대"/>
      <sheetName val="T.T.P 단위수량"/>
      <sheetName val="1단계"/>
      <sheetName val="집계표(OPTION)"/>
      <sheetName val="J01"/>
      <sheetName val="설계내역(2001)"/>
      <sheetName val="자재(설치)"/>
      <sheetName val="이토변실(A3-LINE)"/>
      <sheetName val="품셈TABLE"/>
      <sheetName val="계약용량(서포)"/>
      <sheetName val="맨홀수량산출"/>
      <sheetName val="BOX-1510"/>
      <sheetName val="참고사항"/>
      <sheetName val="근로자자료입력"/>
      <sheetName val="우수관로단위수량(300)"/>
      <sheetName val="기계경비"/>
      <sheetName val="구조물공"/>
      <sheetName val="6PILE (돌출)"/>
      <sheetName val="원형맨홀수량"/>
      <sheetName val="화재 탐지 설비"/>
      <sheetName val="품"/>
      <sheetName val="loading"/>
      <sheetName val="설계내역서"/>
      <sheetName val="현황"/>
      <sheetName val="매립"/>
      <sheetName val="계화총괄"/>
      <sheetName val="계화배수(3대)"/>
      <sheetName val="철집"/>
      <sheetName val="1.설계기준"/>
      <sheetName val="관급총괄"/>
      <sheetName val="DHEQSUPT"/>
      <sheetName val="계획서"/>
      <sheetName val="도자"/>
      <sheetName val="덤프총괄"/>
      <sheetName val="순성토운반거리산정"/>
      <sheetName val="임목폐기물파쇄"/>
      <sheetName val="토적집계표"/>
      <sheetName val="벌목공"/>
      <sheetName val="유동(순성_최종)"/>
      <sheetName val="비옥토수거"/>
      <sheetName val="이기(집계)"/>
      <sheetName val="2차토량발생"/>
      <sheetName val="흥양2교토공집계표"/>
      <sheetName val="JUCKEYK"/>
      <sheetName val="2.하중산정"/>
      <sheetName val="TYPE-A"/>
      <sheetName val="부표총괄"/>
      <sheetName val="기존-내역"/>
      <sheetName val="당초내역서"/>
      <sheetName val="제직재"/>
      <sheetName val="제-노임"/>
      <sheetName val="단위수량산출"/>
      <sheetName val="부하계산서"/>
      <sheetName val="외주현황.wq1"/>
      <sheetName val="이름"/>
      <sheetName val="중기비"/>
      <sheetName val="LOB"/>
      <sheetName val="C-직노1"/>
      <sheetName val="설계내역"/>
      <sheetName val="에너지동"/>
      <sheetName val="단가산출"/>
      <sheetName val="단면가정"/>
      <sheetName val="일위대가표"/>
      <sheetName val="총괄표"/>
      <sheetName val="수량산출서"/>
      <sheetName val="설계"/>
      <sheetName val="트랜치 집수정 연결관-연장산출서"/>
      <sheetName val="배수장토목공사비"/>
      <sheetName val="구체"/>
      <sheetName val="좌측날개벽"/>
      <sheetName val="우측날개벽"/>
      <sheetName val="tggwan(mac)"/>
      <sheetName val="기초INPUT"/>
      <sheetName val="토공-내역"/>
      <sheetName val="설계예시"/>
      <sheetName val="전선 및 전선관"/>
      <sheetName val="공틀공사"/>
      <sheetName val="옹벽집계표"/>
      <sheetName val="P.M 별"/>
      <sheetName val="영동(D)"/>
      <sheetName val="을"/>
      <sheetName val="전력구구조물산근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CAL(1)_"/>
      <sheetName val="Bend_fact_"/>
      <sheetName val="STAFF_ANALYSIS"/>
      <sheetName val="Sheet1_(2)"/>
      <sheetName val="BQMPALOC"/>
      <sheetName val="Cash2"/>
      <sheetName val="Z"/>
      <sheetName val="실행대비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철거산출근거"/>
      <sheetName val="목록"/>
      <sheetName val="자재단가표"/>
      <sheetName val="조합일"/>
      <sheetName val="철거일"/>
      <sheetName val="일위대가(1)"/>
      <sheetName val="중기목록"/>
      <sheetName val="운반단가"/>
      <sheetName val="6공구(당초)"/>
      <sheetName val="주요자재집계"/>
      <sheetName val="우수맨홀공제단위수량"/>
      <sheetName val="하천하류 철근수량 집계표"/>
      <sheetName val="REINF."/>
      <sheetName val="인부노임"/>
      <sheetName val="중기목록표"/>
      <sheetName val="토적계산"/>
      <sheetName val="찍기"/>
      <sheetName val="표지"/>
      <sheetName val="입찰내역 발주처 양식"/>
      <sheetName val="교차구"/>
      <sheetName val="토목검측서"/>
      <sheetName val="용산1(해보)"/>
      <sheetName val="N賃率-職"/>
      <sheetName val="노임"/>
      <sheetName val="건축내역"/>
      <sheetName val="INPUTDATA"/>
      <sheetName val="내역서(교량)전체"/>
      <sheetName val="일반공사"/>
      <sheetName val="저"/>
      <sheetName val="표준단면수량(출력안함)"/>
      <sheetName val="계수시트"/>
      <sheetName val="지장물조서"/>
      <sheetName val="이형관격점별수량산출(2)"/>
      <sheetName val="우수공"/>
      <sheetName val="Supplement2"/>
      <sheetName val="포장총괄집계표"/>
      <sheetName val="품의"/>
      <sheetName val="STEEL BOX 단면설계(SEC.8)"/>
      <sheetName val="단위자갈수량1"/>
      <sheetName val="공사개요"/>
      <sheetName val="A1-DATA"/>
      <sheetName val="단면"/>
      <sheetName val="업체선정"/>
      <sheetName val="대목"/>
      <sheetName val="마산방향"/>
      <sheetName val="외자배분"/>
      <sheetName val="외자내역"/>
      <sheetName val="주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설계서)"/>
      <sheetName val="설계서(본공사)"/>
      <sheetName val="설계(간지)"/>
      <sheetName val="설계설명서"/>
      <sheetName val="예정공정표"/>
      <sheetName val="원가 계산서-본공사"/>
      <sheetName val="내역서"/>
      <sheetName val="일위대가_목록"/>
      <sheetName val="일위대가"/>
      <sheetName val="단가산출_목록"/>
      <sheetName val="단가산출"/>
      <sheetName val="건설기계_목록"/>
      <sheetName val="건설기계"/>
      <sheetName val="관급자재집계표(본공사)"/>
      <sheetName val="토공집계표"/>
      <sheetName val="토적표"/>
      <sheetName val="폐기물집계표(포장,시설)"/>
      <sheetName val="전정 집계표"/>
      <sheetName val="폐기목집계표"/>
      <sheetName val="벌목 위험목제거"/>
      <sheetName val="뿌리제거"/>
      <sheetName val="임목폐기물집계"/>
      <sheetName val="폐기목중량산출표"/>
      <sheetName val="규격환산기준"/>
      <sheetName val="수량산출(신규)"/>
      <sheetName val="수량산출(철거)"/>
      <sheetName val="자재단가"/>
      <sheetName val="노임단가"/>
      <sheetName val="우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"/>
      <sheetName val="가격조사서"/>
      <sheetName val="일위대가 목차"/>
      <sheetName val="일위대가"/>
      <sheetName val="산출근거목차"/>
      <sheetName val="O-단가조사서"/>
      <sheetName val="1공구 건정토건 토공"/>
      <sheetName val="1공구 건정토건 철콘"/>
      <sheetName val="집계표"/>
      <sheetName val="BID"/>
      <sheetName val="★도급내역"/>
      <sheetName val="청천내"/>
      <sheetName val="전계가"/>
      <sheetName val="3.공통공사대비"/>
      <sheetName val="갑지"/>
      <sheetName val="원본"/>
      <sheetName val="단가산출서(이동2교)"/>
      <sheetName val="자재"/>
      <sheetName val="노임적용2"/>
      <sheetName val="중기사용료 (08년)"/>
      <sheetName val="작업량-장비"/>
      <sheetName val="손료절감"/>
      <sheetName val="건설기계조종원"/>
      <sheetName val="기계경비목록"/>
      <sheetName val="기계경비적용"/>
      <sheetName val="노임table"/>
      <sheetName val="기계경비table"/>
      <sheetName val="일위대가_산근"/>
      <sheetName val="노임적용"/>
      <sheetName val="중기기초자료"/>
      <sheetName val="#REF"/>
      <sheetName val="귀래 설계 공내역서"/>
      <sheetName val="부속동"/>
      <sheetName val="연돌일위집계"/>
      <sheetName val="실행철강하도"/>
      <sheetName val="단가비교표"/>
      <sheetName val="결과조달"/>
      <sheetName val="연결임시"/>
      <sheetName val="9902"/>
      <sheetName val="입찰"/>
      <sheetName val="현경"/>
      <sheetName val="증감내용"/>
      <sheetName val="조건표"/>
      <sheetName val="금액내역서"/>
      <sheetName val="교량전기"/>
      <sheetName val="MOTOR"/>
      <sheetName val="집수정(600-700)"/>
      <sheetName val="내역표지"/>
      <sheetName val="대비"/>
      <sheetName val="내역"/>
      <sheetName val="여과지동"/>
      <sheetName val="기초자료"/>
      <sheetName val="정부노임단가"/>
      <sheetName val="목동1절주.bh01"/>
      <sheetName val="총괄표"/>
      <sheetName val="총괄내역서"/>
      <sheetName val="6PILE  (돌출)"/>
      <sheetName val="예가표"/>
      <sheetName val="소일위대가코드표"/>
      <sheetName val="2000년1차"/>
      <sheetName val="단면 (2)"/>
      <sheetName val="변경집계표"/>
      <sheetName val="CIVIL4"/>
      <sheetName val="노임단가"/>
      <sheetName val="Y-WORK"/>
      <sheetName val="2000전체분"/>
      <sheetName val="금융"/>
      <sheetName val="목표세부명세"/>
      <sheetName val="설계"/>
      <sheetName val="강교(Sub)"/>
      <sheetName val="Sheet3"/>
      <sheetName val="내역(원안-대안)"/>
      <sheetName val="공사비예산서(토목분)"/>
      <sheetName val="경상비"/>
      <sheetName val="관접합및부설"/>
      <sheetName val="단가"/>
      <sheetName val="표지"/>
      <sheetName val="개요"/>
      <sheetName val="메모"/>
      <sheetName val="안전"/>
      <sheetName val="시공계획"/>
      <sheetName val="S0"/>
      <sheetName val="남양내역"/>
      <sheetName val="백호우계수"/>
      <sheetName val="A-4"/>
      <sheetName val="공사비집계"/>
      <sheetName val="대림경상68억"/>
      <sheetName val="중기사용료"/>
      <sheetName val="철거산출근거"/>
      <sheetName val="COVER"/>
      <sheetName val="내역서"/>
      <sheetName val="간접비"/>
      <sheetName val="토목"/>
      <sheetName val="배수내역"/>
      <sheetName val="공통비"/>
      <sheetName val="guard(mac)"/>
      <sheetName val="SG"/>
      <sheetName val="참고1.잔여수량(기계약기준)"/>
      <sheetName val="참고2.3개층 예상 투입수량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연습"/>
      <sheetName val="Sheet5"/>
      <sheetName val="사급자재"/>
      <sheetName val="대전-교대(A1-A2)"/>
      <sheetName val="수량산출내역1115"/>
      <sheetName val="교각1"/>
      <sheetName val="타공종이기"/>
      <sheetName val="자판실행"/>
      <sheetName val="일위대가(계측기설치)"/>
      <sheetName val="국공유지및사유지"/>
      <sheetName val="예정(3)"/>
      <sheetName val="동원(3)"/>
      <sheetName val="Sheet1"/>
    </sheetNames>
    <sheetDataSet>
      <sheetData sheetId="0"/>
      <sheetData sheetId="1"/>
      <sheetData sheetId="2" refreshError="1">
        <row r="5">
          <cell r="D5" t="str">
            <v>m3</v>
          </cell>
        </row>
        <row r="6">
          <cell r="D6" t="str">
            <v>m3</v>
          </cell>
        </row>
        <row r="7">
          <cell r="D7" t="str">
            <v>m3</v>
          </cell>
        </row>
        <row r="8">
          <cell r="D8" t="str">
            <v>m2</v>
          </cell>
        </row>
        <row r="9">
          <cell r="D9" t="str">
            <v>m2</v>
          </cell>
        </row>
        <row r="10">
          <cell r="D10" t="str">
            <v>kg</v>
          </cell>
        </row>
        <row r="11">
          <cell r="D11" t="str">
            <v>kg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표지"/>
      <sheetName val="갑지"/>
      <sheetName val="목차"/>
      <sheetName val="간지"/>
      <sheetName val="설명서"/>
      <sheetName val="공정표"/>
      <sheetName val="원가 "/>
      <sheetName val="총괄"/>
      <sheetName val="내역서"/>
      <sheetName val="수량산출0728"/>
      <sheetName val=" 단가조사서"/>
      <sheetName val="가격조사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표지2"/>
      <sheetName val="표지3"/>
      <sheetName val="설계서"/>
      <sheetName val="설계설명서"/>
      <sheetName val="예정공정표"/>
      <sheetName val="원가계산서"/>
      <sheetName val="원가계산제비율기준"/>
      <sheetName val="내역서"/>
      <sheetName val="일위목록"/>
      <sheetName val="식재일위"/>
      <sheetName val="시설일위"/>
      <sheetName val="기초일위"/>
      <sheetName val="광섬유일위"/>
      <sheetName val="식재수량표"/>
      <sheetName val="시설수량표"/>
      <sheetName val="광섬유수량산출서"/>
      <sheetName val="수목단가"/>
      <sheetName val="자재단가"/>
      <sheetName val="노임단가"/>
      <sheetName val="별산자재집계표"/>
      <sheetName val="관급사급"/>
      <sheetName val="시멘모래"/>
      <sheetName val="조적공사"/>
      <sheetName val="식재기준"/>
      <sheetName val="유기질비료기준"/>
      <sheetName val="생명정사용량 (2)"/>
      <sheetName val="견적의뢰서"/>
      <sheetName val="견적"/>
      <sheetName val="기계경비개요"/>
      <sheetName val="산근목록"/>
      <sheetName val="중기비목록"/>
      <sheetName val="중기경비산출"/>
      <sheetName val="기계경비산출근거"/>
      <sheetName val="2002기계경비산출표"/>
      <sheetName val="해상장비조정원"/>
      <sheetName val="일위대가"/>
      <sheetName val="99노임기준"/>
      <sheetName val="단가대비표"/>
      <sheetName val="총괄내역서"/>
      <sheetName val="수량산출서"/>
      <sheetName val="금액내역서"/>
      <sheetName val="archi(본사)"/>
      <sheetName val=" 견적서"/>
      <sheetName val="골조시행"/>
      <sheetName val="3.공통공사대비"/>
      <sheetName val="산출2-기기동력"/>
      <sheetName val="팔달문내역(조경)"/>
      <sheetName val="입찰안"/>
      <sheetName val="계획123"/>
      <sheetName val="경영상태"/>
      <sheetName val="공사개요"/>
      <sheetName val="의뢰서"/>
      <sheetName val="경산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>
        <row r="1">
          <cell r="C1" t="str">
            <v>시  설  명</v>
          </cell>
          <cell r="D1" t="str">
            <v>규   격</v>
          </cell>
          <cell r="E1" t="str">
            <v>단위</v>
          </cell>
          <cell r="F1" t="str">
            <v>계</v>
          </cell>
        </row>
        <row r="3">
          <cell r="C3" t="str">
            <v>안내판</v>
          </cell>
          <cell r="D3" t="str">
            <v>H1800</v>
          </cell>
          <cell r="E3" t="str">
            <v>개소</v>
          </cell>
          <cell r="F3">
            <v>3</v>
          </cell>
        </row>
        <row r="4">
          <cell r="C4" t="str">
            <v>조명열주</v>
          </cell>
          <cell r="D4" t="str">
            <v>H3500</v>
          </cell>
          <cell r="E4" t="str">
            <v>개소</v>
          </cell>
          <cell r="F4">
            <v>14</v>
          </cell>
        </row>
        <row r="5">
          <cell r="C5" t="str">
            <v>평의자</v>
          </cell>
          <cell r="D5" t="str">
            <v>600x1600</v>
          </cell>
          <cell r="E5" t="str">
            <v>개소</v>
          </cell>
          <cell r="F5">
            <v>4</v>
          </cell>
        </row>
        <row r="6">
          <cell r="C6" t="str">
            <v>통석의자A</v>
          </cell>
          <cell r="D6" t="str">
            <v>450x450</v>
          </cell>
          <cell r="E6" t="str">
            <v>개소</v>
          </cell>
          <cell r="F6">
            <v>7</v>
          </cell>
        </row>
        <row r="7">
          <cell r="C7" t="str">
            <v>통석의자B</v>
          </cell>
          <cell r="D7" t="str">
            <v>450x450</v>
          </cell>
          <cell r="E7" t="str">
            <v>개소</v>
          </cell>
          <cell r="F7">
            <v>7</v>
          </cell>
        </row>
        <row r="8">
          <cell r="C8" t="str">
            <v>광섬유볼라드</v>
          </cell>
          <cell r="D8" t="str">
            <v>Φ350</v>
          </cell>
          <cell r="E8" t="str">
            <v>개소</v>
          </cell>
          <cell r="F8">
            <v>40</v>
          </cell>
        </row>
        <row r="9">
          <cell r="C9" t="str">
            <v>광섬유조광기함</v>
          </cell>
          <cell r="D9" t="str">
            <v>700x700x450</v>
          </cell>
          <cell r="E9" t="str">
            <v>개소</v>
          </cell>
          <cell r="F9">
            <v>14</v>
          </cell>
        </row>
        <row r="10">
          <cell r="C10" t="str">
            <v>수목보호대A</v>
          </cell>
          <cell r="D10" t="str">
            <v>1500x1500</v>
          </cell>
          <cell r="E10" t="str">
            <v>개소</v>
          </cell>
          <cell r="F10">
            <v>7</v>
          </cell>
        </row>
        <row r="11">
          <cell r="C11" t="str">
            <v>수목보호대B</v>
          </cell>
          <cell r="D11" t="str">
            <v>2000x1500</v>
          </cell>
          <cell r="E11" t="str">
            <v>개소</v>
          </cell>
          <cell r="F11">
            <v>2</v>
          </cell>
        </row>
        <row r="12">
          <cell r="C12" t="str">
            <v>차도용화강석포장A</v>
          </cell>
          <cell r="D12" t="str">
            <v>T150x290x490,회</v>
          </cell>
          <cell r="E12" t="str">
            <v>m2</v>
          </cell>
          <cell r="F12">
            <v>533.5</v>
          </cell>
        </row>
        <row r="13">
          <cell r="C13" t="str">
            <v>차도용화강석포장B</v>
          </cell>
          <cell r="D13" t="str">
            <v>T150x290x490,담홍</v>
          </cell>
          <cell r="E13" t="str">
            <v>m2</v>
          </cell>
          <cell r="F13">
            <v>320.58</v>
          </cell>
        </row>
        <row r="14">
          <cell r="C14" t="str">
            <v>차도용화강석포장C</v>
          </cell>
          <cell r="D14" t="str">
            <v>T150x300x300,흑</v>
          </cell>
          <cell r="E14" t="str">
            <v>m2</v>
          </cell>
          <cell r="F14">
            <v>125.78</v>
          </cell>
        </row>
        <row r="15">
          <cell r="C15" t="str">
            <v>보도용화강석포장A</v>
          </cell>
          <cell r="D15" t="str">
            <v>T70x190x290,담홍</v>
          </cell>
          <cell r="E15" t="str">
            <v>m2</v>
          </cell>
          <cell r="F15">
            <v>927.12</v>
          </cell>
        </row>
        <row r="16">
          <cell r="C16" t="str">
            <v>보도용화강석포장B</v>
          </cell>
          <cell r="D16" t="str">
            <v>T70x190x290,회</v>
          </cell>
          <cell r="E16" t="str">
            <v>m2</v>
          </cell>
          <cell r="F16">
            <v>858.92</v>
          </cell>
        </row>
        <row r="17">
          <cell r="C17" t="str">
            <v>보도용화강석포장C</v>
          </cell>
          <cell r="D17" t="str">
            <v>T70x300x300,흑</v>
          </cell>
          <cell r="E17" t="str">
            <v>m2</v>
          </cell>
          <cell r="F17">
            <v>65.490000000000009</v>
          </cell>
        </row>
        <row r="18">
          <cell r="C18" t="str">
            <v>계단석설치</v>
          </cell>
          <cell r="D18" t="str">
            <v>150x300x1000</v>
          </cell>
          <cell r="E18" t="str">
            <v>EA</v>
          </cell>
          <cell r="F18">
            <v>743</v>
          </cell>
        </row>
        <row r="19">
          <cell r="C19" t="str">
            <v>그림타일</v>
          </cell>
          <cell r="D19" t="str">
            <v>T30x800x1400</v>
          </cell>
          <cell r="E19" t="str">
            <v>개소</v>
          </cell>
          <cell r="F19">
            <v>8</v>
          </cell>
        </row>
        <row r="20">
          <cell r="C20" t="str">
            <v>화강석측구</v>
          </cell>
          <cell r="D20" t="str">
            <v>W500,진회색</v>
          </cell>
          <cell r="E20" t="str">
            <v>m</v>
          </cell>
          <cell r="F20">
            <v>289.96000000000004</v>
          </cell>
        </row>
        <row r="21">
          <cell r="C21" t="str">
            <v>중앙구분석</v>
          </cell>
          <cell r="D21" t="str">
            <v>T150x150x150,흑</v>
          </cell>
          <cell r="E21" t="str">
            <v>m</v>
          </cell>
          <cell r="F21">
            <v>112.4</v>
          </cell>
        </row>
        <row r="22">
          <cell r="C22" t="str">
            <v>보차경계석</v>
          </cell>
          <cell r="D22" t="str">
            <v>T150x150x150,흑</v>
          </cell>
          <cell r="E22" t="str">
            <v>m</v>
          </cell>
          <cell r="F22">
            <v>294.79999999999995</v>
          </cell>
        </row>
        <row r="23">
          <cell r="C23" t="str">
            <v>상수맨홀뚜껑A</v>
          </cell>
          <cell r="D23" t="str">
            <v>Φ648,주물</v>
          </cell>
          <cell r="E23" t="str">
            <v>개소</v>
          </cell>
          <cell r="F23">
            <v>8</v>
          </cell>
        </row>
        <row r="24">
          <cell r="C24" t="str">
            <v>상수맨홀뚜껑B</v>
          </cell>
          <cell r="D24" t="str">
            <v>Φ648,STS</v>
          </cell>
          <cell r="E24" t="str">
            <v>개소</v>
          </cell>
          <cell r="F24">
            <v>4</v>
          </cell>
        </row>
        <row r="25">
          <cell r="C25" t="str">
            <v>우수맨홀뚜껑</v>
          </cell>
          <cell r="D25" t="str">
            <v>Φ648,주물</v>
          </cell>
          <cell r="E25" t="str">
            <v>개소</v>
          </cell>
          <cell r="F25">
            <v>3</v>
          </cell>
        </row>
        <row r="26">
          <cell r="C26" t="str">
            <v>오수맨홀뚜껑</v>
          </cell>
          <cell r="D26" t="str">
            <v>Φ648,주물</v>
          </cell>
          <cell r="E26" t="str">
            <v>개소</v>
          </cell>
          <cell r="F26">
            <v>8</v>
          </cell>
        </row>
        <row r="27">
          <cell r="C27" t="str">
            <v>수목상향등</v>
          </cell>
          <cell r="D27" t="str">
            <v>Φ207</v>
          </cell>
          <cell r="E27" t="str">
            <v>개소</v>
          </cell>
          <cell r="F27">
            <v>11</v>
          </cell>
        </row>
        <row r="28">
          <cell r="C28" t="str">
            <v>광섬유튜빙조명</v>
          </cell>
          <cell r="D28" t="str">
            <v>0.75mmx12C</v>
          </cell>
          <cell r="E28" t="str">
            <v>m</v>
          </cell>
          <cell r="F28">
            <v>183.6</v>
          </cell>
        </row>
        <row r="29">
          <cell r="C29" t="str">
            <v>광섬유끝단조명</v>
          </cell>
          <cell r="D29" t="str">
            <v>0.75mmx12C</v>
          </cell>
          <cell r="E29" t="str">
            <v>개소</v>
          </cell>
          <cell r="F29">
            <v>3</v>
          </cell>
        </row>
        <row r="30">
          <cell r="C30" t="str">
            <v>광섬유조광기(튜빙)</v>
          </cell>
          <cell r="D30" t="str">
            <v>HQI150W</v>
          </cell>
          <cell r="E30" t="str">
            <v>개소</v>
          </cell>
          <cell r="F30">
            <v>9</v>
          </cell>
        </row>
        <row r="31">
          <cell r="C31" t="str">
            <v>광섬유조광기(끝단)</v>
          </cell>
          <cell r="D31" t="str">
            <v>HQI150W</v>
          </cell>
          <cell r="E31" t="str">
            <v>개소</v>
          </cell>
          <cell r="F31">
            <v>9</v>
          </cell>
        </row>
        <row r="32">
          <cell r="C32" t="str">
            <v>PAD-TR1</v>
          </cell>
          <cell r="D32" t="str">
            <v>1650x7000</v>
          </cell>
          <cell r="E32" t="str">
            <v>개소</v>
          </cell>
          <cell r="F32">
            <v>1</v>
          </cell>
        </row>
        <row r="33">
          <cell r="C33" t="str">
            <v>PAD-TR2</v>
          </cell>
          <cell r="D33" t="str">
            <v>1650x5300</v>
          </cell>
          <cell r="E33" t="str">
            <v>개소</v>
          </cell>
          <cell r="F33">
            <v>1</v>
          </cell>
        </row>
        <row r="34">
          <cell r="C34" t="str">
            <v>PAD-TR3</v>
          </cell>
          <cell r="D34" t="str">
            <v>1650x1900</v>
          </cell>
          <cell r="E34" t="str">
            <v>개소</v>
          </cell>
          <cell r="F34">
            <v>1</v>
          </cell>
        </row>
        <row r="43">
          <cell r="F43">
            <v>0</v>
          </cell>
        </row>
      </sheetData>
      <sheetData sheetId="16"/>
      <sheetData sheetId="17" refreshError="1">
        <row r="1">
          <cell r="B1" t="str">
            <v>◆ 수목 단가조사표</v>
          </cell>
        </row>
        <row r="2">
          <cell r="A2" t="str">
            <v>코드번호</v>
          </cell>
          <cell r="B2" t="str">
            <v>품       명</v>
          </cell>
          <cell r="C2" t="str">
            <v>규    격</v>
          </cell>
          <cell r="D2" t="str">
            <v>단</v>
          </cell>
          <cell r="E2" t="str">
            <v>낙찰율(100%)</v>
          </cell>
        </row>
        <row r="3">
          <cell r="D3" t="str">
            <v>위</v>
          </cell>
          <cell r="E3" t="str">
            <v>적용단가</v>
          </cell>
        </row>
        <row r="4">
          <cell r="A4" t="str">
            <v>MATG001</v>
          </cell>
          <cell r="B4" t="str">
            <v>조형소나무</v>
          </cell>
          <cell r="C4" t="str">
            <v>H4.0xW2.0xR15</v>
          </cell>
          <cell r="D4" t="str">
            <v>주</v>
          </cell>
          <cell r="E4">
            <v>321000</v>
          </cell>
        </row>
        <row r="5">
          <cell r="A5" t="str">
            <v>GP001</v>
          </cell>
          <cell r="B5" t="str">
            <v>맥문동</v>
          </cell>
          <cell r="C5" t="str">
            <v>3~5분얼</v>
          </cell>
          <cell r="D5" t="str">
            <v>본</v>
          </cell>
          <cell r="E5">
            <v>390</v>
          </cell>
        </row>
        <row r="6">
          <cell r="A6" t="str">
            <v>MATT003</v>
          </cell>
          <cell r="B6" t="str">
            <v>유기질비료</v>
          </cell>
          <cell r="C6" t="str">
            <v>계분,20kg/포</v>
          </cell>
          <cell r="D6" t="str">
            <v>포</v>
          </cell>
          <cell r="E6">
            <v>3000</v>
          </cell>
        </row>
        <row r="7">
          <cell r="A7" t="str">
            <v>MATT009</v>
          </cell>
          <cell r="B7" t="str">
            <v>수목지주목</v>
          </cell>
          <cell r="C7" t="str">
            <v>H1350,YG501</v>
          </cell>
          <cell r="D7" t="str">
            <v>조</v>
          </cell>
          <cell r="E7">
            <v>175000</v>
          </cell>
        </row>
      </sheetData>
      <sheetData sheetId="18" refreshError="1">
        <row r="1">
          <cell r="A1" t="str">
            <v>코드번호</v>
          </cell>
          <cell r="B1" t="str">
            <v>품       명</v>
          </cell>
          <cell r="C1" t="str">
            <v>규    격</v>
          </cell>
          <cell r="D1" t="str">
            <v>단</v>
          </cell>
          <cell r="E1" t="str">
            <v>적용단가</v>
          </cell>
        </row>
        <row r="2">
          <cell r="D2" t="str">
            <v>위</v>
          </cell>
        </row>
        <row r="3">
          <cell r="A3" t="str">
            <v>MAC00002</v>
          </cell>
          <cell r="B3" t="str">
            <v>레 미 콘</v>
          </cell>
          <cell r="C3" t="str">
            <v>40-160-8</v>
          </cell>
          <cell r="D3" t="str">
            <v>m3</v>
          </cell>
          <cell r="E3">
            <v>42856</v>
          </cell>
        </row>
        <row r="4">
          <cell r="A4" t="str">
            <v>MAC00003</v>
          </cell>
          <cell r="B4" t="str">
            <v>레 미 콘</v>
          </cell>
          <cell r="C4" t="str">
            <v>40-180-8</v>
          </cell>
          <cell r="D4" t="str">
            <v>m3</v>
          </cell>
          <cell r="E4">
            <v>44429</v>
          </cell>
        </row>
        <row r="5">
          <cell r="A5" t="str">
            <v>MAC00006</v>
          </cell>
          <cell r="B5" t="str">
            <v>시 멘 트</v>
          </cell>
          <cell r="C5" t="str">
            <v>40KG/포</v>
          </cell>
          <cell r="D5" t="str">
            <v>kg</v>
          </cell>
          <cell r="E5">
            <v>68</v>
          </cell>
        </row>
        <row r="6">
          <cell r="A6" t="str">
            <v>MAC00007</v>
          </cell>
          <cell r="B6" t="str">
            <v>모     래</v>
          </cell>
          <cell r="C6" t="str">
            <v>해사(세척사)</v>
          </cell>
          <cell r="D6" t="str">
            <v>m3</v>
          </cell>
          <cell r="E6">
            <v>16000</v>
          </cell>
        </row>
        <row r="7">
          <cell r="A7" t="str">
            <v>MAC00008</v>
          </cell>
          <cell r="B7" t="str">
            <v>강 자 갈</v>
          </cell>
          <cell r="C7" t="str">
            <v>#547(Φ25mm)</v>
          </cell>
          <cell r="D7" t="str">
            <v>m3</v>
          </cell>
          <cell r="E7">
            <v>12000</v>
          </cell>
        </row>
        <row r="8">
          <cell r="A8" t="str">
            <v>MAC00009</v>
          </cell>
          <cell r="B8" t="str">
            <v>자     갈</v>
          </cell>
          <cell r="C8" t="str">
            <v>#467(Φ40mm)</v>
          </cell>
          <cell r="D8" t="str">
            <v>m3</v>
          </cell>
          <cell r="E8">
            <v>12000</v>
          </cell>
        </row>
        <row r="9">
          <cell r="A9" t="str">
            <v>MAC00010</v>
          </cell>
          <cell r="B9" t="str">
            <v>잡     석</v>
          </cell>
          <cell r="C9" t="str">
            <v>#467(Φ40mm)</v>
          </cell>
          <cell r="D9" t="str">
            <v>m3</v>
          </cell>
          <cell r="E9">
            <v>12000</v>
          </cell>
        </row>
        <row r="10">
          <cell r="A10" t="str">
            <v>MAC00014</v>
          </cell>
          <cell r="B10" t="str">
            <v>이형철근</v>
          </cell>
          <cell r="C10" t="str">
            <v>D13</v>
          </cell>
          <cell r="D10" t="str">
            <v>kg</v>
          </cell>
          <cell r="E10">
            <v>290</v>
          </cell>
        </row>
        <row r="11">
          <cell r="A11" t="str">
            <v>MAC00016</v>
          </cell>
          <cell r="B11" t="str">
            <v>육송각재</v>
          </cell>
          <cell r="C11" t="str">
            <v>거푸집용</v>
          </cell>
          <cell r="D11" t="str">
            <v>m3</v>
          </cell>
          <cell r="E11">
            <v>224550</v>
          </cell>
        </row>
        <row r="12">
          <cell r="A12" t="str">
            <v>MAC00017</v>
          </cell>
          <cell r="B12" t="str">
            <v>미송각재</v>
          </cell>
          <cell r="C12" t="str">
            <v>상품</v>
          </cell>
          <cell r="D12" t="str">
            <v>m3</v>
          </cell>
          <cell r="E12">
            <v>299401</v>
          </cell>
        </row>
        <row r="13">
          <cell r="A13" t="str">
            <v>MAC000172</v>
          </cell>
          <cell r="B13" t="str">
            <v>미송판재</v>
          </cell>
          <cell r="C13" t="str">
            <v>상품</v>
          </cell>
          <cell r="D13" t="str">
            <v>m3</v>
          </cell>
          <cell r="E13">
            <v>338323</v>
          </cell>
        </row>
        <row r="14">
          <cell r="A14" t="str">
            <v>MAC003000</v>
          </cell>
          <cell r="B14" t="str">
            <v>방부목재</v>
          </cell>
          <cell r="C14" t="str">
            <v>각재</v>
          </cell>
          <cell r="D14" t="str">
            <v>m3</v>
          </cell>
          <cell r="E14">
            <v>1002994</v>
          </cell>
        </row>
        <row r="15">
          <cell r="A15" t="str">
            <v>MAC112300</v>
          </cell>
          <cell r="B15" t="str">
            <v>철     못</v>
          </cell>
          <cell r="C15" t="str">
            <v>N 75</v>
          </cell>
          <cell r="D15" t="str">
            <v>kg</v>
          </cell>
          <cell r="E15">
            <v>552</v>
          </cell>
        </row>
        <row r="16">
          <cell r="A16" t="str">
            <v>MAC113110</v>
          </cell>
          <cell r="B16" t="str">
            <v>STS ㄷ앵글</v>
          </cell>
          <cell r="C16" t="str">
            <v>70x70xT4.0</v>
          </cell>
          <cell r="D16" t="str">
            <v>kg</v>
          </cell>
          <cell r="E16">
            <v>3400</v>
          </cell>
        </row>
        <row r="17">
          <cell r="A17" t="str">
            <v>MAC124200</v>
          </cell>
          <cell r="B17" t="str">
            <v>STS강판</v>
          </cell>
          <cell r="C17" t="str">
            <v>T6.0</v>
          </cell>
          <cell r="D17" t="str">
            <v>kg</v>
          </cell>
          <cell r="E17">
            <v>1876</v>
          </cell>
        </row>
        <row r="18">
          <cell r="A18" t="str">
            <v>MAC124210</v>
          </cell>
          <cell r="B18" t="str">
            <v>STS강판</v>
          </cell>
          <cell r="C18" t="str">
            <v>T4.0</v>
          </cell>
          <cell r="D18" t="str">
            <v>kg</v>
          </cell>
          <cell r="E18">
            <v>1937</v>
          </cell>
        </row>
        <row r="19">
          <cell r="A19" t="str">
            <v>MAC124500</v>
          </cell>
          <cell r="B19" t="str">
            <v>STS강판</v>
          </cell>
          <cell r="C19" t="str">
            <v>T10.0</v>
          </cell>
          <cell r="D19" t="str">
            <v>kg</v>
          </cell>
          <cell r="E19">
            <v>2204</v>
          </cell>
        </row>
        <row r="20">
          <cell r="A20" t="str">
            <v>MAC126500</v>
          </cell>
          <cell r="B20" t="str">
            <v>SAND마감</v>
          </cell>
          <cell r="C20" t="str">
            <v xml:space="preserve"> </v>
          </cell>
          <cell r="D20" t="str">
            <v>m2</v>
          </cell>
          <cell r="E20">
            <v>357143</v>
          </cell>
        </row>
        <row r="21">
          <cell r="A21" t="str">
            <v>MAC126510</v>
          </cell>
          <cell r="B21" t="str">
            <v>실크스크린인쇄</v>
          </cell>
          <cell r="C21" t="str">
            <v>4도</v>
          </cell>
          <cell r="D21" t="str">
            <v>장</v>
          </cell>
          <cell r="E21">
            <v>460000</v>
          </cell>
        </row>
        <row r="22">
          <cell r="A22" t="str">
            <v>MAC126520</v>
          </cell>
          <cell r="B22" t="str">
            <v>장식볼트</v>
          </cell>
          <cell r="C22" t="str">
            <v>Φ15</v>
          </cell>
          <cell r="D22" t="str">
            <v>EA</v>
          </cell>
          <cell r="E22">
            <v>7000</v>
          </cell>
        </row>
        <row r="23">
          <cell r="A23" t="str">
            <v>MAC126530</v>
          </cell>
          <cell r="B23" t="str">
            <v>장식볼트</v>
          </cell>
          <cell r="C23" t="str">
            <v>M12</v>
          </cell>
          <cell r="D23" t="str">
            <v>EA</v>
          </cell>
          <cell r="E23">
            <v>7000</v>
          </cell>
        </row>
        <row r="24">
          <cell r="A24" t="str">
            <v>MAC127090</v>
          </cell>
          <cell r="B24" t="str">
            <v>STS 환봉</v>
          </cell>
          <cell r="C24" t="str">
            <v>Φ7~13</v>
          </cell>
          <cell r="D24" t="str">
            <v>kg</v>
          </cell>
          <cell r="E24">
            <v>2900</v>
          </cell>
        </row>
        <row r="25">
          <cell r="A25" t="str">
            <v>MAC150070</v>
          </cell>
          <cell r="B25" t="str">
            <v>인서트앵커볼트</v>
          </cell>
          <cell r="C25" t="str">
            <v>M8</v>
          </cell>
          <cell r="D25" t="str">
            <v>EA</v>
          </cell>
          <cell r="E25">
            <v>800</v>
          </cell>
        </row>
        <row r="26">
          <cell r="A26" t="str">
            <v>MAC150080</v>
          </cell>
          <cell r="B26" t="str">
            <v>인서트앵커볼트</v>
          </cell>
          <cell r="C26" t="str">
            <v>M12</v>
          </cell>
          <cell r="D26" t="str">
            <v>EA</v>
          </cell>
          <cell r="E26">
            <v>1200</v>
          </cell>
        </row>
        <row r="27">
          <cell r="A27" t="str">
            <v>MAC150090</v>
          </cell>
          <cell r="B27" t="str">
            <v>인서트앵커볼트</v>
          </cell>
          <cell r="C27" t="str">
            <v>M16</v>
          </cell>
          <cell r="D27" t="str">
            <v>EA</v>
          </cell>
          <cell r="E27">
            <v>1200</v>
          </cell>
        </row>
        <row r="28">
          <cell r="A28" t="str">
            <v>MAC150200</v>
          </cell>
          <cell r="B28" t="str">
            <v>셋트앵커볼트</v>
          </cell>
          <cell r="C28" t="str">
            <v>1/2"xL100</v>
          </cell>
          <cell r="D28" t="str">
            <v>EA</v>
          </cell>
          <cell r="E28">
            <v>760</v>
          </cell>
        </row>
        <row r="29">
          <cell r="A29" t="str">
            <v>MAC150210</v>
          </cell>
          <cell r="B29" t="str">
            <v>셋트앵커볼트</v>
          </cell>
          <cell r="C29" t="str">
            <v>M16</v>
          </cell>
          <cell r="D29" t="str">
            <v>EA</v>
          </cell>
          <cell r="E29">
            <v>1640</v>
          </cell>
        </row>
        <row r="30">
          <cell r="A30" t="str">
            <v>MAC150220</v>
          </cell>
          <cell r="B30" t="str">
            <v>셋트앵커볼트</v>
          </cell>
          <cell r="C30" t="str">
            <v>M12</v>
          </cell>
          <cell r="D30" t="str">
            <v>EA</v>
          </cell>
          <cell r="E30">
            <v>760</v>
          </cell>
        </row>
        <row r="31">
          <cell r="A31" t="str">
            <v>MAC150300</v>
          </cell>
          <cell r="B31" t="str">
            <v>전산볼트</v>
          </cell>
          <cell r="C31" t="str">
            <v>M12</v>
          </cell>
          <cell r="D31" t="str">
            <v>EA</v>
          </cell>
          <cell r="E31">
            <v>3349</v>
          </cell>
        </row>
        <row r="32">
          <cell r="A32" t="str">
            <v>MAC00025</v>
          </cell>
          <cell r="B32" t="str">
            <v>고재처리(고철)</v>
          </cell>
          <cell r="C32" t="str">
            <v>스텐 27종</v>
          </cell>
          <cell r="D32" t="str">
            <v>kg</v>
          </cell>
          <cell r="E32">
            <v>-650</v>
          </cell>
        </row>
        <row r="33">
          <cell r="A33" t="str">
            <v>MAC00026</v>
          </cell>
          <cell r="B33" t="str">
            <v>고재처리(고철)</v>
          </cell>
          <cell r="C33" t="str">
            <v>철재 상품</v>
          </cell>
          <cell r="D33" t="str">
            <v>kg</v>
          </cell>
          <cell r="E33">
            <v>-110</v>
          </cell>
        </row>
        <row r="34">
          <cell r="A34" t="str">
            <v>MAC00027</v>
          </cell>
          <cell r="B34" t="str">
            <v>철      선</v>
          </cell>
          <cell r="C34" t="str">
            <v># 8(Φ4.0mm)</v>
          </cell>
          <cell r="D34" t="str">
            <v>kg</v>
          </cell>
          <cell r="E34">
            <v>420</v>
          </cell>
        </row>
        <row r="35">
          <cell r="A35" t="str">
            <v>MAC00028</v>
          </cell>
          <cell r="B35" t="str">
            <v>철      선</v>
          </cell>
          <cell r="C35" t="str">
            <v>#20(Φ0.9mm)</v>
          </cell>
          <cell r="D35" t="str">
            <v>kg</v>
          </cell>
          <cell r="E35">
            <v>600</v>
          </cell>
        </row>
        <row r="36">
          <cell r="A36" t="str">
            <v>MAC00029</v>
          </cell>
          <cell r="B36" t="str">
            <v>합      판</v>
          </cell>
          <cell r="C36" t="str">
            <v>내수 12MM</v>
          </cell>
          <cell r="D36" t="str">
            <v>m2</v>
          </cell>
          <cell r="E36">
            <v>5710.8</v>
          </cell>
        </row>
        <row r="37">
          <cell r="A37" t="str">
            <v>MAC00031</v>
          </cell>
          <cell r="B37" t="str">
            <v>용  접  봉</v>
          </cell>
          <cell r="C37" t="str">
            <v>KSE5016 Φ4</v>
          </cell>
          <cell r="D37" t="str">
            <v>kg</v>
          </cell>
          <cell r="E37">
            <v>1570</v>
          </cell>
        </row>
        <row r="38">
          <cell r="A38" t="str">
            <v>MAC00032</v>
          </cell>
          <cell r="B38" t="str">
            <v>용  접  봉</v>
          </cell>
          <cell r="C38" t="str">
            <v>AWSE309-16 Φ4.0</v>
          </cell>
          <cell r="D38" t="str">
            <v>kg</v>
          </cell>
          <cell r="E38">
            <v>6100</v>
          </cell>
        </row>
        <row r="39">
          <cell r="A39" t="str">
            <v>MAC00033</v>
          </cell>
          <cell r="B39" t="str">
            <v>산      소</v>
          </cell>
          <cell r="C39" t="str">
            <v>공업용 6000L</v>
          </cell>
          <cell r="D39" t="str">
            <v>L</v>
          </cell>
          <cell r="E39">
            <v>1</v>
          </cell>
        </row>
        <row r="40">
          <cell r="A40" t="str">
            <v>MAC00034</v>
          </cell>
          <cell r="B40" t="str">
            <v>아세틸렌</v>
          </cell>
          <cell r="C40" t="str">
            <v>용접용 98%</v>
          </cell>
          <cell r="D40" t="str">
            <v>kg</v>
          </cell>
          <cell r="E40">
            <v>7000</v>
          </cell>
        </row>
        <row r="41">
          <cell r="A41" t="str">
            <v>MAC00035</v>
          </cell>
          <cell r="B41" t="str">
            <v>전  기  료</v>
          </cell>
          <cell r="C41" t="str">
            <v>산업용(을)</v>
          </cell>
          <cell r="D41" t="str">
            <v>KW/H</v>
          </cell>
          <cell r="E41">
            <v>62.5</v>
          </cell>
        </row>
        <row r="42">
          <cell r="A42" t="str">
            <v>MAC00036</v>
          </cell>
          <cell r="B42" t="str">
            <v>아  르  곤</v>
          </cell>
          <cell r="C42" t="str">
            <v>99% 공업용</v>
          </cell>
          <cell r="D42" t="str">
            <v>L</v>
          </cell>
          <cell r="E42">
            <v>5</v>
          </cell>
        </row>
        <row r="43">
          <cell r="A43" t="str">
            <v>MAC36120</v>
          </cell>
          <cell r="B43" t="str">
            <v>목재방부도료</v>
          </cell>
          <cell r="C43" t="str">
            <v>오일스테인</v>
          </cell>
          <cell r="D43" t="str">
            <v>L</v>
          </cell>
          <cell r="E43">
            <v>8707</v>
          </cell>
        </row>
        <row r="44">
          <cell r="A44" t="str">
            <v>MAC36310</v>
          </cell>
          <cell r="B44" t="str">
            <v>퍼      티</v>
          </cell>
          <cell r="C44" t="str">
            <v>회색 319</v>
          </cell>
          <cell r="D44" t="str">
            <v>kg</v>
          </cell>
          <cell r="E44">
            <v>1115</v>
          </cell>
        </row>
        <row r="45">
          <cell r="A45" t="str">
            <v>MAC00043</v>
          </cell>
          <cell r="B45" t="str">
            <v>연  마  지</v>
          </cell>
          <cell r="C45" t="str">
            <v>#150~800</v>
          </cell>
          <cell r="D45" t="str">
            <v>매</v>
          </cell>
          <cell r="E45">
            <v>140</v>
          </cell>
        </row>
        <row r="46">
          <cell r="A46" t="str">
            <v>MAC00044</v>
          </cell>
          <cell r="B46" t="str">
            <v>블 레 이 드</v>
          </cell>
          <cell r="C46" t="str">
            <v>320~400mm</v>
          </cell>
          <cell r="D46" t="str">
            <v>EA</v>
          </cell>
          <cell r="E46">
            <v>152000</v>
          </cell>
        </row>
        <row r="47">
          <cell r="A47" t="str">
            <v>MAC00052</v>
          </cell>
          <cell r="B47" t="str">
            <v>넝      마</v>
          </cell>
          <cell r="C47" t="str">
            <v>면직물 상</v>
          </cell>
          <cell r="D47" t="str">
            <v>kg</v>
          </cell>
          <cell r="E47">
            <v>1500</v>
          </cell>
        </row>
        <row r="48">
          <cell r="A48" t="str">
            <v>MAC00047</v>
          </cell>
          <cell r="B48" t="str">
            <v>신      너</v>
          </cell>
          <cell r="C48" t="str">
            <v>KSM5319 2종</v>
          </cell>
          <cell r="D48" t="str">
            <v>L</v>
          </cell>
          <cell r="E48">
            <v>1283</v>
          </cell>
        </row>
        <row r="49">
          <cell r="A49" t="str">
            <v>MAC00053</v>
          </cell>
          <cell r="B49" t="str">
            <v>휘  발  유</v>
          </cell>
          <cell r="C49" t="str">
            <v>무  연</v>
          </cell>
          <cell r="D49" t="str">
            <v>L</v>
          </cell>
          <cell r="E49">
            <v>1162.72</v>
          </cell>
        </row>
        <row r="50">
          <cell r="A50" t="str">
            <v>MAC00054</v>
          </cell>
          <cell r="B50" t="str">
            <v>경      유</v>
          </cell>
          <cell r="C50" t="str">
            <v>저유황 0.05%</v>
          </cell>
          <cell r="D50" t="str">
            <v>L</v>
          </cell>
          <cell r="E50">
            <v>601.82000000000005</v>
          </cell>
        </row>
        <row r="51">
          <cell r="A51" t="str">
            <v>MAC00055</v>
          </cell>
          <cell r="B51" t="str">
            <v>중      유</v>
          </cell>
          <cell r="C51" t="str">
            <v>박리제,저유황1.0%</v>
          </cell>
          <cell r="D51" t="str">
            <v>L</v>
          </cell>
          <cell r="E51">
            <v>322.11</v>
          </cell>
        </row>
        <row r="52">
          <cell r="A52" t="str">
            <v>MAC25410</v>
          </cell>
          <cell r="B52" t="str">
            <v>화강석판석</v>
          </cell>
          <cell r="C52" t="str">
            <v>T30,마천석,물갈기</v>
          </cell>
          <cell r="D52" t="str">
            <v>m2</v>
          </cell>
          <cell r="E52">
            <v>55000</v>
          </cell>
        </row>
        <row r="53">
          <cell r="A53" t="str">
            <v>MAC25412</v>
          </cell>
          <cell r="B53" t="str">
            <v>화강석판석</v>
          </cell>
          <cell r="C53" t="str">
            <v>T30,문경석,물갈기</v>
          </cell>
          <cell r="D53" t="str">
            <v>m2</v>
          </cell>
          <cell r="E53">
            <v>45000</v>
          </cell>
        </row>
        <row r="54">
          <cell r="A54" t="str">
            <v>MAC25420</v>
          </cell>
          <cell r="B54" t="str">
            <v>안내판화강석통석</v>
          </cell>
          <cell r="C54" t="str">
            <v>1500x400x2000,마천석</v>
          </cell>
          <cell r="D54" t="str">
            <v>EA</v>
          </cell>
          <cell r="E54">
            <v>518000</v>
          </cell>
        </row>
        <row r="55">
          <cell r="A55" t="str">
            <v>MAC25430</v>
          </cell>
          <cell r="B55" t="str">
            <v>열주화강석통석</v>
          </cell>
          <cell r="C55" t="str">
            <v>500x500xH3650</v>
          </cell>
          <cell r="D55" t="str">
            <v>EA</v>
          </cell>
          <cell r="E55">
            <v>3700000</v>
          </cell>
        </row>
        <row r="56">
          <cell r="A56" t="str">
            <v>MAC25440</v>
          </cell>
          <cell r="B56" t="str">
            <v>평의자통석</v>
          </cell>
          <cell r="C56" t="str">
            <v>550x300x470</v>
          </cell>
          <cell r="D56" t="str">
            <v>EA</v>
          </cell>
          <cell r="E56">
            <v>110000</v>
          </cell>
        </row>
        <row r="57">
          <cell r="A57" t="str">
            <v>MAC25450</v>
          </cell>
          <cell r="B57" t="str">
            <v>볼라드통석</v>
          </cell>
          <cell r="C57" t="str">
            <v>Φ280xH470</v>
          </cell>
          <cell r="D57" t="str">
            <v>EA</v>
          </cell>
          <cell r="E57">
            <v>130000</v>
          </cell>
        </row>
        <row r="58">
          <cell r="A58" t="str">
            <v>MAC25460</v>
          </cell>
          <cell r="B58" t="str">
            <v>의자A통석</v>
          </cell>
          <cell r="C58" t="str">
            <v>450x450xH470</v>
          </cell>
          <cell r="D58" t="str">
            <v>EA</v>
          </cell>
          <cell r="E58">
            <v>90000</v>
          </cell>
        </row>
        <row r="59">
          <cell r="A59" t="str">
            <v>MAC25470</v>
          </cell>
          <cell r="B59" t="str">
            <v>의자B통석</v>
          </cell>
          <cell r="C59" t="str">
            <v>450x450xH470</v>
          </cell>
          <cell r="D59" t="str">
            <v>EA</v>
          </cell>
          <cell r="E59">
            <v>80000</v>
          </cell>
        </row>
        <row r="60">
          <cell r="A60" t="str">
            <v>MAC25480</v>
          </cell>
          <cell r="B60" t="str">
            <v>화강석통석</v>
          </cell>
          <cell r="C60" t="str">
            <v>200x150x1350</v>
          </cell>
          <cell r="D60" t="str">
            <v>EA</v>
          </cell>
          <cell r="E60">
            <v>60000</v>
          </cell>
        </row>
        <row r="61">
          <cell r="A61" t="str">
            <v>MAC25490</v>
          </cell>
          <cell r="B61" t="str">
            <v>화강석통석</v>
          </cell>
          <cell r="C61" t="str">
            <v>T150x290x490,회</v>
          </cell>
          <cell r="D61" t="str">
            <v>EA</v>
          </cell>
          <cell r="E61">
            <v>17500</v>
          </cell>
        </row>
        <row r="62">
          <cell r="A62" t="str">
            <v>MAC25500</v>
          </cell>
          <cell r="B62" t="str">
            <v>화강석통석</v>
          </cell>
          <cell r="C62" t="str">
            <v>T150x290x490,담홍</v>
          </cell>
          <cell r="D62" t="str">
            <v>EA</v>
          </cell>
          <cell r="E62">
            <v>17500</v>
          </cell>
        </row>
        <row r="63">
          <cell r="A63" t="str">
            <v>MAC25510</v>
          </cell>
          <cell r="B63" t="str">
            <v>화강석통석</v>
          </cell>
          <cell r="C63" t="str">
            <v>T150x300x300,흑</v>
          </cell>
          <cell r="D63" t="str">
            <v>EA</v>
          </cell>
          <cell r="E63">
            <v>47000</v>
          </cell>
        </row>
        <row r="64">
          <cell r="A64" t="str">
            <v>MAC25520</v>
          </cell>
          <cell r="B64" t="str">
            <v>화강석통석</v>
          </cell>
          <cell r="C64" t="str">
            <v>T70x190x290,담홍</v>
          </cell>
          <cell r="D64" t="str">
            <v>EA</v>
          </cell>
          <cell r="E64">
            <v>8400</v>
          </cell>
        </row>
        <row r="65">
          <cell r="A65" t="str">
            <v>MAC25530</v>
          </cell>
          <cell r="B65" t="str">
            <v>화강석통석</v>
          </cell>
          <cell r="C65" t="str">
            <v>T70x190x290,회</v>
          </cell>
          <cell r="D65" t="str">
            <v>EA</v>
          </cell>
          <cell r="E65">
            <v>8400</v>
          </cell>
        </row>
        <row r="66">
          <cell r="A66" t="str">
            <v>MAC25540</v>
          </cell>
          <cell r="B66" t="str">
            <v>화강석통석</v>
          </cell>
          <cell r="C66" t="str">
            <v>T70x300x300,흑</v>
          </cell>
          <cell r="D66" t="str">
            <v>EA</v>
          </cell>
          <cell r="E66">
            <v>23500</v>
          </cell>
        </row>
        <row r="67">
          <cell r="A67" t="str">
            <v>MAC25550</v>
          </cell>
          <cell r="B67" t="str">
            <v>화강석통석</v>
          </cell>
          <cell r="C67" t="str">
            <v>195x139x130,측구용</v>
          </cell>
          <cell r="D67" t="str">
            <v>EA</v>
          </cell>
          <cell r="E67">
            <v>6300</v>
          </cell>
        </row>
        <row r="68">
          <cell r="A68" t="str">
            <v>MAC25560</v>
          </cell>
          <cell r="B68" t="str">
            <v>화강석통석</v>
          </cell>
          <cell r="C68" t="str">
            <v>150x139x130,측구용</v>
          </cell>
          <cell r="D68" t="str">
            <v>EA</v>
          </cell>
          <cell r="E68">
            <v>5300</v>
          </cell>
        </row>
        <row r="69">
          <cell r="A69" t="str">
            <v>MAC25570</v>
          </cell>
          <cell r="B69" t="str">
            <v>화강석통석</v>
          </cell>
          <cell r="C69" t="str">
            <v>T150x150x150,흑</v>
          </cell>
          <cell r="D69" t="str">
            <v>EA</v>
          </cell>
          <cell r="E69">
            <v>4500</v>
          </cell>
        </row>
        <row r="70">
          <cell r="A70" t="str">
            <v>MAC25580</v>
          </cell>
          <cell r="B70" t="str">
            <v>화강석통석</v>
          </cell>
          <cell r="C70" t="str">
            <v>700x700x450,T150</v>
          </cell>
          <cell r="D70" t="str">
            <v>EA</v>
          </cell>
          <cell r="E70">
            <v>650000</v>
          </cell>
        </row>
        <row r="71">
          <cell r="A71" t="str">
            <v>MAC25590</v>
          </cell>
          <cell r="B71" t="str">
            <v>화강석통석(계단석)</v>
          </cell>
          <cell r="C71" t="str">
            <v>150x300x1000</v>
          </cell>
          <cell r="D71" t="str">
            <v>EA</v>
          </cell>
          <cell r="E71">
            <v>53000</v>
          </cell>
        </row>
        <row r="72">
          <cell r="A72" t="str">
            <v>MAC26000</v>
          </cell>
          <cell r="B72" t="str">
            <v>그림타일</v>
          </cell>
          <cell r="C72" t="str">
            <v>T6~7,능행도</v>
          </cell>
          <cell r="D72" t="str">
            <v>폭</v>
          </cell>
          <cell r="E72">
            <v>2600000</v>
          </cell>
        </row>
        <row r="73">
          <cell r="A73" t="str">
            <v>MAC387520</v>
          </cell>
          <cell r="B73" t="str">
            <v>PE필름</v>
          </cell>
          <cell r="D73" t="str">
            <v>m2</v>
          </cell>
          <cell r="E73">
            <v>64</v>
          </cell>
        </row>
        <row r="74">
          <cell r="A74" t="str">
            <v>MAA400000</v>
          </cell>
          <cell r="B74" t="str">
            <v>열주조명등</v>
          </cell>
          <cell r="C74" t="str">
            <v>MR16-50W</v>
          </cell>
          <cell r="D74" t="str">
            <v>EA</v>
          </cell>
          <cell r="E74">
            <v>160000</v>
          </cell>
        </row>
        <row r="75">
          <cell r="A75" t="str">
            <v>MAA400100</v>
          </cell>
          <cell r="B75" t="str">
            <v>수목상향등</v>
          </cell>
          <cell r="C75" t="str">
            <v xml:space="preserve"> </v>
          </cell>
          <cell r="D75" t="str">
            <v>EA</v>
          </cell>
          <cell r="E75">
            <v>340000</v>
          </cell>
        </row>
        <row r="76">
          <cell r="A76" t="str">
            <v>MAA400200</v>
          </cell>
          <cell r="B76" t="str">
            <v>조명등갓</v>
          </cell>
          <cell r="C76" t="str">
            <v>STS</v>
          </cell>
          <cell r="D76" t="str">
            <v>EA</v>
          </cell>
          <cell r="E76">
            <v>765000</v>
          </cell>
        </row>
        <row r="77">
          <cell r="A77" t="str">
            <v>MAA400300</v>
          </cell>
          <cell r="B77" t="str">
            <v>광섬유조광기함</v>
          </cell>
          <cell r="C77" t="str">
            <v>540x640xH940</v>
          </cell>
          <cell r="D77" t="str">
            <v>EA</v>
          </cell>
          <cell r="E77">
            <v>3500000</v>
          </cell>
        </row>
        <row r="78">
          <cell r="A78" t="str">
            <v>MAC710100</v>
          </cell>
          <cell r="B78" t="str">
            <v>PVC 전선관</v>
          </cell>
          <cell r="C78" t="str">
            <v>Φ25mm</v>
          </cell>
          <cell r="D78" t="str">
            <v>m</v>
          </cell>
          <cell r="E78">
            <v>953</v>
          </cell>
        </row>
        <row r="79">
          <cell r="A79" t="str">
            <v>MAC710200</v>
          </cell>
          <cell r="B79" t="str">
            <v>상수맨홀뚜껑</v>
          </cell>
          <cell r="C79" t="str">
            <v>Φ648,주물</v>
          </cell>
          <cell r="D79" t="str">
            <v>EA</v>
          </cell>
          <cell r="E79">
            <v>111320</v>
          </cell>
        </row>
        <row r="80">
          <cell r="A80" t="str">
            <v>MAC710300</v>
          </cell>
          <cell r="B80" t="str">
            <v>우수맨홀뚜껑</v>
          </cell>
          <cell r="C80" t="str">
            <v>Φ648,주물</v>
          </cell>
          <cell r="D80" t="str">
            <v>EA</v>
          </cell>
          <cell r="E80">
            <v>111320</v>
          </cell>
        </row>
        <row r="81">
          <cell r="A81" t="str">
            <v>MAC710400</v>
          </cell>
          <cell r="B81" t="str">
            <v>오수맨홀뚜껑</v>
          </cell>
          <cell r="C81" t="str">
            <v>Φ648,주물</v>
          </cell>
          <cell r="D81" t="str">
            <v>EA</v>
          </cell>
          <cell r="E81">
            <v>111320</v>
          </cell>
        </row>
        <row r="82">
          <cell r="A82" t="str">
            <v>MAC710500</v>
          </cell>
          <cell r="B82" t="str">
            <v>유공관</v>
          </cell>
          <cell r="C82" t="str">
            <v>Φ100,HDPE</v>
          </cell>
          <cell r="D82" t="str">
            <v>m</v>
          </cell>
          <cell r="E82">
            <v>1300</v>
          </cell>
        </row>
        <row r="83">
          <cell r="A83" t="str">
            <v>MAC720000</v>
          </cell>
          <cell r="B83" t="str">
            <v>측면발광광섬유</v>
          </cell>
          <cell r="C83" t="str">
            <v>0.75mmx12c</v>
          </cell>
          <cell r="D83" t="str">
            <v>m</v>
          </cell>
          <cell r="E83">
            <v>10000</v>
          </cell>
        </row>
        <row r="84">
          <cell r="A84" t="str">
            <v>MAC720100</v>
          </cell>
          <cell r="B84" t="str">
            <v>끝단발광광섬유</v>
          </cell>
          <cell r="C84" t="str">
            <v>0.75mmx12c</v>
          </cell>
          <cell r="D84" t="str">
            <v>m</v>
          </cell>
          <cell r="E84">
            <v>7000</v>
          </cell>
        </row>
        <row r="85">
          <cell r="A85" t="str">
            <v>MAC720200</v>
          </cell>
          <cell r="B85" t="str">
            <v>렉산트랙</v>
          </cell>
          <cell r="C85" t="str">
            <v>15x1.5t</v>
          </cell>
          <cell r="D85" t="str">
            <v>m</v>
          </cell>
          <cell r="E85">
            <v>8000</v>
          </cell>
        </row>
        <row r="86">
          <cell r="A86" t="str">
            <v>MAC720300</v>
          </cell>
          <cell r="B86" t="str">
            <v>입광부</v>
          </cell>
          <cell r="C86" t="str">
            <v>C-PL150</v>
          </cell>
          <cell r="D86" t="str">
            <v>EA</v>
          </cell>
          <cell r="E86">
            <v>45000</v>
          </cell>
        </row>
        <row r="87">
          <cell r="A87" t="str">
            <v>MAC720400</v>
          </cell>
          <cell r="B87" t="str">
            <v>조광기</v>
          </cell>
          <cell r="C87" t="str">
            <v>HQI-150W</v>
          </cell>
          <cell r="D87" t="str">
            <v>EA</v>
          </cell>
          <cell r="E87">
            <v>1280000</v>
          </cell>
        </row>
        <row r="88">
          <cell r="A88" t="str">
            <v>MAC720500</v>
          </cell>
          <cell r="B88" t="str">
            <v>동기제어</v>
          </cell>
          <cell r="C88" t="str">
            <v>SM</v>
          </cell>
          <cell r="D88" t="str">
            <v>SET</v>
          </cell>
          <cell r="E88">
            <v>100000</v>
          </cell>
        </row>
        <row r="89">
          <cell r="A89" t="str">
            <v>MAC720600</v>
          </cell>
          <cell r="B89" t="str">
            <v>동기제어</v>
          </cell>
          <cell r="C89" t="str">
            <v>SY</v>
          </cell>
          <cell r="D89" t="str">
            <v>SET</v>
          </cell>
          <cell r="E89">
            <v>100000</v>
          </cell>
        </row>
        <row r="90">
          <cell r="A90" t="str">
            <v>MAC720700</v>
          </cell>
          <cell r="B90" t="str">
            <v>Color Wheel</v>
          </cell>
          <cell r="C90" t="str">
            <v>4C</v>
          </cell>
          <cell r="D90" t="str">
            <v>SET</v>
          </cell>
          <cell r="E90">
            <v>80000</v>
          </cell>
        </row>
        <row r="91">
          <cell r="A91" t="str">
            <v>MAC720800</v>
          </cell>
          <cell r="B91" t="str">
            <v>매설기구물</v>
          </cell>
          <cell r="C91" t="str">
            <v>SUS-Φ18,T030FR</v>
          </cell>
          <cell r="D91" t="str">
            <v>EA</v>
          </cell>
          <cell r="E91">
            <v>38000</v>
          </cell>
        </row>
        <row r="92">
          <cell r="A92" t="str">
            <v>MAC720900</v>
          </cell>
          <cell r="B92" t="str">
            <v>1등용외함</v>
          </cell>
          <cell r="C92" t="str">
            <v>500x600x200</v>
          </cell>
          <cell r="D92" t="str">
            <v>면</v>
          </cell>
          <cell r="E92">
            <v>350000</v>
          </cell>
        </row>
        <row r="93">
          <cell r="A93" t="str">
            <v>MAC721000</v>
          </cell>
          <cell r="B93" t="str">
            <v>2등용외함</v>
          </cell>
          <cell r="C93" t="str">
            <v>600x900x250</v>
          </cell>
          <cell r="D93" t="str">
            <v>면</v>
          </cell>
          <cell r="E93">
            <v>400000</v>
          </cell>
        </row>
        <row r="94">
          <cell r="A94" t="str">
            <v>MAC721100</v>
          </cell>
          <cell r="B94" t="str">
            <v>누전차단기(ELB)</v>
          </cell>
          <cell r="C94" t="str">
            <v>30A</v>
          </cell>
          <cell r="D94" t="str">
            <v>EA</v>
          </cell>
          <cell r="E94">
            <v>9900</v>
          </cell>
        </row>
        <row r="95">
          <cell r="A95" t="str">
            <v>MAC721110</v>
          </cell>
          <cell r="B95" t="str">
            <v>콘센트</v>
          </cell>
          <cell r="C95" t="str">
            <v>접지형, 2구</v>
          </cell>
          <cell r="D95" t="str">
            <v>EA</v>
          </cell>
          <cell r="E95">
            <v>1420</v>
          </cell>
        </row>
        <row r="96">
          <cell r="A96" t="str">
            <v>MAC721120</v>
          </cell>
          <cell r="B96" t="str">
            <v>단자대</v>
          </cell>
          <cell r="C96" t="str">
            <v>6P</v>
          </cell>
          <cell r="D96" t="str">
            <v>EA</v>
          </cell>
          <cell r="E96">
            <v>600</v>
          </cell>
        </row>
        <row r="97">
          <cell r="A97" t="str">
            <v>MAC721130</v>
          </cell>
          <cell r="B97" t="str">
            <v>FAN</v>
          </cell>
          <cell r="C97" t="str">
            <v>120x120x35</v>
          </cell>
          <cell r="D97" t="str">
            <v>EA</v>
          </cell>
          <cell r="E97">
            <v>15000</v>
          </cell>
        </row>
        <row r="98">
          <cell r="A98" t="str">
            <v>MAC721140</v>
          </cell>
          <cell r="B98" t="str">
            <v>전선관</v>
          </cell>
          <cell r="C98" t="str">
            <v>ELP관 40mm</v>
          </cell>
          <cell r="D98" t="str">
            <v>m</v>
          </cell>
          <cell r="E98">
            <v>510</v>
          </cell>
        </row>
        <row r="99">
          <cell r="A99" t="str">
            <v>MAC721150</v>
          </cell>
          <cell r="B99" t="str">
            <v>접지선 GV</v>
          </cell>
          <cell r="C99" t="str">
            <v>5.5㎟</v>
          </cell>
          <cell r="D99" t="str">
            <v>m</v>
          </cell>
          <cell r="E99">
            <v>344</v>
          </cell>
        </row>
        <row r="100">
          <cell r="A100" t="str">
            <v>MAC721160</v>
          </cell>
          <cell r="B100" t="str">
            <v>접지동봉</v>
          </cell>
          <cell r="C100" t="str">
            <v>14x1000㎜</v>
          </cell>
          <cell r="D100" t="str">
            <v>개</v>
          </cell>
          <cell r="E100">
            <v>3000</v>
          </cell>
        </row>
        <row r="101">
          <cell r="A101" t="str">
            <v>MAC721170</v>
          </cell>
          <cell r="B101" t="str">
            <v>접지봉콘넥타</v>
          </cell>
          <cell r="C101" t="str">
            <v>U-Bolt  16￠</v>
          </cell>
          <cell r="D101" t="str">
            <v>개</v>
          </cell>
          <cell r="E101">
            <v>3500</v>
          </cell>
        </row>
        <row r="102">
          <cell r="A102" t="str">
            <v>MAC721180</v>
          </cell>
          <cell r="B102" t="str">
            <v>앵커볼트(L형)</v>
          </cell>
          <cell r="C102" t="str">
            <v>24￠x560㎜</v>
          </cell>
          <cell r="D102" t="str">
            <v>개</v>
          </cell>
          <cell r="E102">
            <v>1639</v>
          </cell>
        </row>
        <row r="103">
          <cell r="E103">
            <v>0</v>
          </cell>
        </row>
        <row r="104">
          <cell r="E104">
            <v>0</v>
          </cell>
        </row>
        <row r="105">
          <cell r="E105">
            <v>0</v>
          </cell>
        </row>
        <row r="106">
          <cell r="E106">
            <v>0</v>
          </cell>
        </row>
        <row r="107">
          <cell r="E107">
            <v>0</v>
          </cell>
        </row>
        <row r="108">
          <cell r="E108">
            <v>0</v>
          </cell>
        </row>
        <row r="109">
          <cell r="E109">
            <v>0</v>
          </cell>
        </row>
        <row r="110">
          <cell r="E110">
            <v>0</v>
          </cell>
        </row>
        <row r="111">
          <cell r="E111">
            <v>0</v>
          </cell>
        </row>
        <row r="112">
          <cell r="E112">
            <v>0</v>
          </cell>
        </row>
        <row r="113">
          <cell r="E113">
            <v>0</v>
          </cell>
        </row>
      </sheetData>
      <sheetData sheetId="19" refreshError="1">
        <row r="1">
          <cell r="B1" t="str">
            <v>직 종 명</v>
          </cell>
          <cell r="C1" t="str">
            <v>2001년하반기노임</v>
          </cell>
          <cell r="D1" t="str">
            <v>2002년상반기노임</v>
          </cell>
          <cell r="E1" t="str">
            <v>비  고</v>
          </cell>
          <cell r="F1" t="str">
            <v>낙찰율적용가</v>
          </cell>
        </row>
        <row r="2">
          <cell r="B2" t="str">
            <v>갱부</v>
          </cell>
          <cell r="C2">
            <v>48994</v>
          </cell>
          <cell r="D2">
            <v>49863</v>
          </cell>
          <cell r="F2">
            <v>49863</v>
          </cell>
        </row>
        <row r="3">
          <cell r="B3" t="str">
            <v>건축목공</v>
          </cell>
          <cell r="C3">
            <v>66753</v>
          </cell>
          <cell r="D3">
            <v>69086</v>
          </cell>
          <cell r="F3">
            <v>69086</v>
          </cell>
        </row>
        <row r="4">
          <cell r="B4" t="str">
            <v>형틀목공</v>
          </cell>
          <cell r="C4">
            <v>67648</v>
          </cell>
          <cell r="D4">
            <v>71251</v>
          </cell>
          <cell r="F4">
            <v>71251</v>
          </cell>
        </row>
        <row r="5">
          <cell r="B5" t="str">
            <v>창호목공</v>
          </cell>
          <cell r="C5">
            <v>55545</v>
          </cell>
          <cell r="D5">
            <v>55664</v>
          </cell>
          <cell r="F5">
            <v>55664</v>
          </cell>
        </row>
        <row r="6">
          <cell r="B6" t="str">
            <v>철골공</v>
          </cell>
          <cell r="C6">
            <v>66569</v>
          </cell>
          <cell r="D6">
            <v>67147</v>
          </cell>
          <cell r="F6">
            <v>67147</v>
          </cell>
        </row>
        <row r="7">
          <cell r="B7" t="str">
            <v>철공</v>
          </cell>
          <cell r="C7">
            <v>64286</v>
          </cell>
          <cell r="D7">
            <v>63963</v>
          </cell>
          <cell r="F7">
            <v>63963</v>
          </cell>
        </row>
        <row r="8">
          <cell r="B8" t="str">
            <v>철근공</v>
          </cell>
          <cell r="C8">
            <v>70167</v>
          </cell>
          <cell r="D8">
            <v>73192</v>
          </cell>
          <cell r="F8">
            <v>73192</v>
          </cell>
        </row>
        <row r="9">
          <cell r="B9" t="str">
            <v>철판공</v>
          </cell>
          <cell r="C9">
            <v>59175</v>
          </cell>
          <cell r="D9">
            <v>64601</v>
          </cell>
          <cell r="F9">
            <v>64601</v>
          </cell>
        </row>
        <row r="10">
          <cell r="B10" t="str">
            <v>샷시공</v>
          </cell>
          <cell r="C10">
            <v>59368</v>
          </cell>
          <cell r="D10">
            <v>65205</v>
          </cell>
          <cell r="F10">
            <v>65205</v>
          </cell>
        </row>
        <row r="11">
          <cell r="B11" t="str">
            <v>절단공</v>
          </cell>
          <cell r="C11">
            <v>63118</v>
          </cell>
          <cell r="D11">
            <v>57667</v>
          </cell>
          <cell r="F11">
            <v>57667</v>
          </cell>
        </row>
        <row r="12">
          <cell r="B12" t="str">
            <v>석공</v>
          </cell>
          <cell r="C12">
            <v>69479</v>
          </cell>
          <cell r="D12">
            <v>78296</v>
          </cell>
          <cell r="F12">
            <v>78296</v>
          </cell>
        </row>
        <row r="13">
          <cell r="B13" t="str">
            <v>특수비계공</v>
          </cell>
          <cell r="C13">
            <v>73274</v>
          </cell>
          <cell r="D13">
            <v>77967</v>
          </cell>
          <cell r="F13">
            <v>77967</v>
          </cell>
        </row>
        <row r="14">
          <cell r="B14" t="str">
            <v>비계공</v>
          </cell>
          <cell r="C14">
            <v>71272</v>
          </cell>
          <cell r="D14">
            <v>75140</v>
          </cell>
          <cell r="F14">
            <v>75140</v>
          </cell>
        </row>
        <row r="15">
          <cell r="B15" t="str">
            <v>동발공(터널)</v>
          </cell>
          <cell r="C15">
            <v>60263</v>
          </cell>
          <cell r="D15">
            <v>56000</v>
          </cell>
          <cell r="F15">
            <v>56000</v>
          </cell>
        </row>
        <row r="16">
          <cell r="B16" t="str">
            <v>조적공</v>
          </cell>
          <cell r="C16">
            <v>61286</v>
          </cell>
          <cell r="D16">
            <v>66461</v>
          </cell>
          <cell r="F16">
            <v>66461</v>
          </cell>
        </row>
        <row r="17">
          <cell r="B17" t="str">
            <v>치장벽돌공</v>
          </cell>
          <cell r="C17">
            <v>61878</v>
          </cell>
          <cell r="D17">
            <v>62612</v>
          </cell>
          <cell r="F17">
            <v>62612</v>
          </cell>
        </row>
        <row r="18">
          <cell r="B18" t="str">
            <v>벽돌(블럭)제작공</v>
          </cell>
          <cell r="C18">
            <v>60197</v>
          </cell>
          <cell r="D18">
            <v>58386</v>
          </cell>
          <cell r="F18">
            <v>58386</v>
          </cell>
        </row>
        <row r="19">
          <cell r="B19" t="str">
            <v>미장공</v>
          </cell>
          <cell r="C19">
            <v>62196</v>
          </cell>
          <cell r="D19">
            <v>67451</v>
          </cell>
          <cell r="F19">
            <v>67451</v>
          </cell>
        </row>
        <row r="20">
          <cell r="B20" t="str">
            <v>방수공</v>
          </cell>
          <cell r="C20">
            <v>52636</v>
          </cell>
          <cell r="D20">
            <v>56597</v>
          </cell>
          <cell r="F20">
            <v>56597</v>
          </cell>
        </row>
        <row r="21">
          <cell r="B21" t="str">
            <v>타일공</v>
          </cell>
          <cell r="C21">
            <v>61694</v>
          </cell>
          <cell r="D21">
            <v>67477</v>
          </cell>
          <cell r="F21">
            <v>67477</v>
          </cell>
        </row>
        <row r="22">
          <cell r="B22" t="str">
            <v>줄눈공</v>
          </cell>
          <cell r="C22">
            <v>56218</v>
          </cell>
          <cell r="D22">
            <v>60197</v>
          </cell>
          <cell r="F22">
            <v>60197</v>
          </cell>
        </row>
        <row r="23">
          <cell r="B23" t="str">
            <v>연마공</v>
          </cell>
          <cell r="C23">
            <v>62946</v>
          </cell>
          <cell r="D23">
            <v>66696</v>
          </cell>
          <cell r="F23">
            <v>66696</v>
          </cell>
        </row>
        <row r="24">
          <cell r="B24" t="str">
            <v>콘크리트공</v>
          </cell>
          <cell r="C24">
            <v>67489</v>
          </cell>
          <cell r="D24">
            <v>68884</v>
          </cell>
          <cell r="F24">
            <v>68884</v>
          </cell>
        </row>
        <row r="25">
          <cell r="B25" t="str">
            <v>보일러공</v>
          </cell>
          <cell r="C25">
            <v>48864</v>
          </cell>
          <cell r="D25">
            <v>44487</v>
          </cell>
          <cell r="F25">
            <v>44487</v>
          </cell>
        </row>
        <row r="26">
          <cell r="B26" t="str">
            <v>배관공</v>
          </cell>
          <cell r="C26">
            <v>54533</v>
          </cell>
          <cell r="D26">
            <v>60590</v>
          </cell>
          <cell r="F26">
            <v>60590</v>
          </cell>
        </row>
        <row r="27">
          <cell r="B27" t="str">
            <v>위생공</v>
          </cell>
          <cell r="C27">
            <v>53112</v>
          </cell>
          <cell r="D27">
            <v>53984</v>
          </cell>
          <cell r="F27">
            <v>53984</v>
          </cell>
        </row>
        <row r="28">
          <cell r="B28" t="str">
            <v>보온공</v>
          </cell>
          <cell r="C28">
            <v>55637</v>
          </cell>
          <cell r="D28">
            <v>58030</v>
          </cell>
          <cell r="F28">
            <v>58030</v>
          </cell>
        </row>
        <row r="29">
          <cell r="B29" t="str">
            <v>도장공</v>
          </cell>
          <cell r="C29">
            <v>57454</v>
          </cell>
          <cell r="D29">
            <v>59780</v>
          </cell>
          <cell r="F29">
            <v>59780</v>
          </cell>
        </row>
        <row r="30">
          <cell r="B30" t="str">
            <v>내장공</v>
          </cell>
          <cell r="C30">
            <v>62326</v>
          </cell>
          <cell r="D30">
            <v>67326</v>
          </cell>
          <cell r="F30">
            <v>67326</v>
          </cell>
        </row>
        <row r="31">
          <cell r="B31" t="str">
            <v>도배공</v>
          </cell>
          <cell r="C31">
            <v>50711</v>
          </cell>
          <cell r="D31">
            <v>54579</v>
          </cell>
          <cell r="F31">
            <v>54579</v>
          </cell>
        </row>
        <row r="32">
          <cell r="B32" t="str">
            <v>지붕잇기공</v>
          </cell>
          <cell r="C32">
            <v>66038</v>
          </cell>
          <cell r="D32">
            <v>66982</v>
          </cell>
          <cell r="F32">
            <v>66982</v>
          </cell>
        </row>
        <row r="33">
          <cell r="B33" t="str">
            <v>견출공</v>
          </cell>
          <cell r="C33">
            <v>60095</v>
          </cell>
          <cell r="D33">
            <v>64564</v>
          </cell>
          <cell r="F33">
            <v>64564</v>
          </cell>
        </row>
        <row r="34">
          <cell r="B34" t="str">
            <v>판넬조립공</v>
          </cell>
          <cell r="C34">
            <v>63694</v>
          </cell>
          <cell r="D34">
            <v>59771</v>
          </cell>
          <cell r="F34">
            <v>59771</v>
          </cell>
        </row>
        <row r="35">
          <cell r="B35" t="str">
            <v>화약취급공</v>
          </cell>
          <cell r="C35">
            <v>66179</v>
          </cell>
          <cell r="D35">
            <v>73666</v>
          </cell>
          <cell r="F35">
            <v>73666</v>
          </cell>
        </row>
        <row r="36">
          <cell r="B36" t="str">
            <v>착암공</v>
          </cell>
          <cell r="C36">
            <v>54280</v>
          </cell>
          <cell r="D36">
            <v>56840</v>
          </cell>
          <cell r="F36">
            <v>56840</v>
          </cell>
        </row>
        <row r="37">
          <cell r="B37" t="str">
            <v>보안공</v>
          </cell>
          <cell r="C37">
            <v>44195</v>
          </cell>
          <cell r="D37">
            <v>39737</v>
          </cell>
          <cell r="F37">
            <v>39737</v>
          </cell>
        </row>
        <row r="38">
          <cell r="B38" t="str">
            <v>포장공</v>
          </cell>
          <cell r="C38">
            <v>58672</v>
          </cell>
          <cell r="D38">
            <v>63786</v>
          </cell>
          <cell r="F38">
            <v>63786</v>
          </cell>
        </row>
        <row r="39">
          <cell r="B39" t="str">
            <v>포설공</v>
          </cell>
          <cell r="C39">
            <v>56860</v>
          </cell>
          <cell r="D39">
            <v>52740</v>
          </cell>
          <cell r="F39">
            <v>52740</v>
          </cell>
        </row>
        <row r="40">
          <cell r="B40" t="str">
            <v>궤도공</v>
          </cell>
          <cell r="C40">
            <v>62234</v>
          </cell>
          <cell r="D40">
            <v>65978</v>
          </cell>
          <cell r="F40">
            <v>65978</v>
          </cell>
        </row>
        <row r="41">
          <cell r="B41" t="str">
            <v>용접공(철도)</v>
          </cell>
          <cell r="C41">
            <v>63629</v>
          </cell>
          <cell r="D41">
            <v>65262</v>
          </cell>
          <cell r="F41">
            <v>65262</v>
          </cell>
        </row>
        <row r="42">
          <cell r="B42" t="str">
            <v>잠수부</v>
          </cell>
          <cell r="C42">
            <v>88034</v>
          </cell>
          <cell r="D42">
            <v>91893</v>
          </cell>
          <cell r="F42">
            <v>91893</v>
          </cell>
        </row>
        <row r="43">
          <cell r="B43" t="str">
            <v>보링공(지질조사)</v>
          </cell>
          <cell r="C43">
            <v>46378</v>
          </cell>
          <cell r="D43">
            <v>51152</v>
          </cell>
          <cell r="F43">
            <v>51152</v>
          </cell>
        </row>
        <row r="44">
          <cell r="B44" t="str">
            <v>조경공</v>
          </cell>
          <cell r="C44">
            <v>55700</v>
          </cell>
          <cell r="D44">
            <v>60423</v>
          </cell>
          <cell r="F44">
            <v>60423</v>
          </cell>
        </row>
        <row r="45">
          <cell r="B45" t="str">
            <v>벌목부</v>
          </cell>
          <cell r="C45">
            <v>63702</v>
          </cell>
          <cell r="D45">
            <v>64595</v>
          </cell>
          <cell r="F45">
            <v>64595</v>
          </cell>
        </row>
        <row r="46">
          <cell r="B46" t="str">
            <v>조림인부</v>
          </cell>
          <cell r="C46">
            <v>40152</v>
          </cell>
          <cell r="D46">
            <v>40705</v>
          </cell>
          <cell r="F46">
            <v>40705</v>
          </cell>
        </row>
        <row r="47">
          <cell r="B47" t="str">
            <v>플랜트기계설치공</v>
          </cell>
          <cell r="C47">
            <v>66046</v>
          </cell>
          <cell r="D47">
            <v>67802</v>
          </cell>
          <cell r="F47">
            <v>67802</v>
          </cell>
        </row>
        <row r="48">
          <cell r="B48" t="str">
            <v>플랜트특수용접공</v>
          </cell>
          <cell r="C48">
            <v>85784</v>
          </cell>
          <cell r="D48">
            <v>89849</v>
          </cell>
          <cell r="F48">
            <v>89849</v>
          </cell>
        </row>
        <row r="49">
          <cell r="B49" t="str">
            <v>플랜트용접공</v>
          </cell>
          <cell r="C49">
            <v>62886</v>
          </cell>
          <cell r="D49">
            <v>65712</v>
          </cell>
          <cell r="F49">
            <v>65712</v>
          </cell>
        </row>
        <row r="50">
          <cell r="B50" t="str">
            <v>플랜트배관공</v>
          </cell>
          <cell r="C50">
            <v>63034</v>
          </cell>
          <cell r="D50">
            <v>69836</v>
          </cell>
          <cell r="F50">
            <v>69836</v>
          </cell>
        </row>
        <row r="51">
          <cell r="B51" t="str">
            <v>플랜트제관공</v>
          </cell>
          <cell r="C51">
            <v>53497</v>
          </cell>
          <cell r="D51">
            <v>56906</v>
          </cell>
          <cell r="F51">
            <v>56906</v>
          </cell>
        </row>
        <row r="52">
          <cell r="B52" t="str">
            <v>시공측량사</v>
          </cell>
          <cell r="C52">
            <v>48997</v>
          </cell>
          <cell r="D52">
            <v>46927</v>
          </cell>
          <cell r="F52">
            <v>46927</v>
          </cell>
        </row>
        <row r="53">
          <cell r="B53" t="str">
            <v>시공측량사조수</v>
          </cell>
          <cell r="C53">
            <v>31559</v>
          </cell>
          <cell r="D53">
            <v>33274</v>
          </cell>
          <cell r="F53">
            <v>33274</v>
          </cell>
        </row>
        <row r="54">
          <cell r="B54" t="str">
            <v>측부</v>
          </cell>
          <cell r="C54">
            <v>31179</v>
          </cell>
          <cell r="D54">
            <v>30212</v>
          </cell>
          <cell r="F54">
            <v>30212</v>
          </cell>
        </row>
        <row r="55">
          <cell r="B55" t="str">
            <v>송전전공</v>
          </cell>
          <cell r="C55">
            <v>228665</v>
          </cell>
          <cell r="D55">
            <v>238611</v>
          </cell>
          <cell r="F55">
            <v>238611</v>
          </cell>
        </row>
        <row r="56">
          <cell r="B56" t="str">
            <v>송전활선전공</v>
          </cell>
          <cell r="C56">
            <v>273511</v>
          </cell>
          <cell r="D56">
            <v>279149</v>
          </cell>
          <cell r="F56">
            <v>279149</v>
          </cell>
        </row>
        <row r="57">
          <cell r="B57" t="str">
            <v>배전전공</v>
          </cell>
          <cell r="C57">
            <v>165958</v>
          </cell>
          <cell r="D57">
            <v>156907</v>
          </cell>
          <cell r="F57">
            <v>156907</v>
          </cell>
        </row>
        <row r="58">
          <cell r="B58" t="str">
            <v>배전활선전공</v>
          </cell>
          <cell r="C58">
            <v>222274</v>
          </cell>
          <cell r="D58">
            <v>236090</v>
          </cell>
          <cell r="F58">
            <v>236090</v>
          </cell>
        </row>
        <row r="59">
          <cell r="B59" t="str">
            <v>플랜트전공</v>
          </cell>
          <cell r="C59">
            <v>59158</v>
          </cell>
          <cell r="D59">
            <v>59669</v>
          </cell>
          <cell r="F59">
            <v>59669</v>
          </cell>
        </row>
        <row r="60">
          <cell r="B60" t="str">
            <v>내선전공</v>
          </cell>
          <cell r="C60">
            <v>53401</v>
          </cell>
          <cell r="D60">
            <v>56143</v>
          </cell>
          <cell r="F60">
            <v>56143</v>
          </cell>
        </row>
        <row r="61">
          <cell r="B61" t="str">
            <v>특고압케이블전공</v>
          </cell>
          <cell r="C61">
            <v>109081</v>
          </cell>
          <cell r="D61">
            <v>122075</v>
          </cell>
          <cell r="F61">
            <v>122075</v>
          </cell>
        </row>
        <row r="62">
          <cell r="B62" t="str">
            <v>고압케이블전공</v>
          </cell>
          <cell r="C62">
            <v>80902</v>
          </cell>
          <cell r="D62">
            <v>89217</v>
          </cell>
          <cell r="F62">
            <v>89217</v>
          </cell>
        </row>
        <row r="63">
          <cell r="B63" t="str">
            <v>저압케이블전공</v>
          </cell>
          <cell r="C63">
            <v>67695</v>
          </cell>
          <cell r="D63">
            <v>73973</v>
          </cell>
          <cell r="F63">
            <v>73973</v>
          </cell>
        </row>
        <row r="64">
          <cell r="B64" t="str">
            <v>철도신호공</v>
          </cell>
          <cell r="C64">
            <v>91681</v>
          </cell>
          <cell r="D64">
            <v>88110</v>
          </cell>
          <cell r="F64">
            <v>88110</v>
          </cell>
        </row>
        <row r="65">
          <cell r="B65" t="str">
            <v>계장공</v>
          </cell>
          <cell r="C65">
            <v>57107</v>
          </cell>
          <cell r="D65">
            <v>62012</v>
          </cell>
          <cell r="F65">
            <v>62012</v>
          </cell>
        </row>
        <row r="66">
          <cell r="B66" t="str">
            <v>통신외선공</v>
          </cell>
          <cell r="C66">
            <v>89403</v>
          </cell>
          <cell r="D66">
            <v>90961</v>
          </cell>
          <cell r="F66">
            <v>90961</v>
          </cell>
        </row>
        <row r="67">
          <cell r="B67" t="str">
            <v>통신설비공</v>
          </cell>
          <cell r="C67">
            <v>77635</v>
          </cell>
          <cell r="D67">
            <v>77401</v>
          </cell>
          <cell r="F67">
            <v>77401</v>
          </cell>
        </row>
        <row r="68">
          <cell r="B68" t="str">
            <v>통신내선공</v>
          </cell>
          <cell r="C68">
            <v>60507</v>
          </cell>
          <cell r="D68">
            <v>63806</v>
          </cell>
          <cell r="F68">
            <v>63806</v>
          </cell>
        </row>
        <row r="69">
          <cell r="B69" t="str">
            <v>통신케이블공</v>
          </cell>
          <cell r="C69">
            <v>94873</v>
          </cell>
          <cell r="D69">
            <v>95424</v>
          </cell>
          <cell r="F69">
            <v>95424</v>
          </cell>
        </row>
        <row r="70">
          <cell r="B70" t="str">
            <v>무선안테나공</v>
          </cell>
          <cell r="C70">
            <v>95069</v>
          </cell>
          <cell r="D70">
            <v>95000</v>
          </cell>
          <cell r="F70">
            <v>95000</v>
          </cell>
        </row>
        <row r="71">
          <cell r="B71" t="str">
            <v>작업반장</v>
          </cell>
          <cell r="C71">
            <v>58657</v>
          </cell>
          <cell r="D71">
            <v>63904</v>
          </cell>
          <cell r="F71">
            <v>63904</v>
          </cell>
        </row>
        <row r="72">
          <cell r="B72" t="str">
            <v>목도</v>
          </cell>
          <cell r="C72">
            <v>65052</v>
          </cell>
          <cell r="D72">
            <v>67725</v>
          </cell>
          <cell r="F72">
            <v>67725</v>
          </cell>
        </row>
        <row r="73">
          <cell r="B73" t="str">
            <v>조력공</v>
          </cell>
          <cell r="C73">
            <v>45775</v>
          </cell>
          <cell r="D73">
            <v>52283</v>
          </cell>
          <cell r="F73">
            <v>52283</v>
          </cell>
        </row>
        <row r="74">
          <cell r="B74" t="str">
            <v>특별인부</v>
          </cell>
          <cell r="C74">
            <v>52788</v>
          </cell>
          <cell r="D74">
            <v>55970</v>
          </cell>
          <cell r="F74">
            <v>55970</v>
          </cell>
        </row>
        <row r="75">
          <cell r="B75" t="str">
            <v>보통인부</v>
          </cell>
          <cell r="C75">
            <v>38932</v>
          </cell>
          <cell r="D75">
            <v>40922</v>
          </cell>
          <cell r="F75">
            <v>40922</v>
          </cell>
        </row>
        <row r="76">
          <cell r="B76" t="str">
            <v>중기운전기사</v>
          </cell>
          <cell r="C76">
            <v>57633</v>
          </cell>
          <cell r="D76">
            <v>56603</v>
          </cell>
          <cell r="F76">
            <v>56603</v>
          </cell>
        </row>
        <row r="77">
          <cell r="B77" t="str">
            <v>중기조장</v>
          </cell>
          <cell r="C77">
            <v>66191</v>
          </cell>
          <cell r="D77">
            <v>68228</v>
          </cell>
          <cell r="F77">
            <v>68228</v>
          </cell>
        </row>
        <row r="78">
          <cell r="B78" t="str">
            <v>운전사(운반차)</v>
          </cell>
          <cell r="C78">
            <v>55534</v>
          </cell>
          <cell r="D78">
            <v>55214</v>
          </cell>
          <cell r="F78">
            <v>55214</v>
          </cell>
        </row>
        <row r="79">
          <cell r="B79" t="str">
            <v>운전사(기계)</v>
          </cell>
          <cell r="C79">
            <v>48859</v>
          </cell>
          <cell r="D79">
            <v>47653</v>
          </cell>
          <cell r="F79">
            <v>47653</v>
          </cell>
        </row>
        <row r="80">
          <cell r="B80" t="str">
            <v>중기운전조수</v>
          </cell>
          <cell r="C80">
            <v>44975</v>
          </cell>
          <cell r="D80">
            <v>43994</v>
          </cell>
          <cell r="F80">
            <v>43994</v>
          </cell>
        </row>
        <row r="81">
          <cell r="B81" t="str">
            <v>고 급  선 원</v>
          </cell>
          <cell r="C81">
            <v>63465</v>
          </cell>
          <cell r="D81">
            <v>65527</v>
          </cell>
          <cell r="F81">
            <v>65527</v>
          </cell>
        </row>
        <row r="82">
          <cell r="B82" t="str">
            <v>보 통  선 원</v>
          </cell>
          <cell r="C82">
            <v>48348</v>
          </cell>
          <cell r="D82">
            <v>49165</v>
          </cell>
          <cell r="F82">
            <v>49165</v>
          </cell>
        </row>
        <row r="83">
          <cell r="B83" t="str">
            <v>선        부</v>
          </cell>
          <cell r="C83">
            <v>42756</v>
          </cell>
          <cell r="D83">
            <v>43883</v>
          </cell>
          <cell r="F83">
            <v>43883</v>
          </cell>
        </row>
        <row r="84">
          <cell r="B84" t="str">
            <v>준설선  선장</v>
          </cell>
          <cell r="C84">
            <v>71491</v>
          </cell>
          <cell r="D84">
            <v>77731</v>
          </cell>
          <cell r="F84">
            <v>77731</v>
          </cell>
        </row>
        <row r="85">
          <cell r="B85" t="str">
            <v>준설선기관장</v>
          </cell>
          <cell r="C85">
            <v>71301</v>
          </cell>
          <cell r="D85">
            <v>68798</v>
          </cell>
          <cell r="F85">
            <v>68798</v>
          </cell>
        </row>
        <row r="86">
          <cell r="B86" t="str">
            <v>준설선기관사</v>
          </cell>
          <cell r="C86">
            <v>55913</v>
          </cell>
          <cell r="D86">
            <v>56920</v>
          </cell>
          <cell r="F86">
            <v>56920</v>
          </cell>
        </row>
        <row r="87">
          <cell r="B87" t="str">
            <v>준설선운전사</v>
          </cell>
          <cell r="C87">
            <v>54347</v>
          </cell>
          <cell r="D87">
            <v>56831</v>
          </cell>
          <cell r="F87">
            <v>56831</v>
          </cell>
        </row>
        <row r="88">
          <cell r="B88" t="str">
            <v>준설선전기사</v>
          </cell>
          <cell r="C88">
            <v>54471</v>
          </cell>
          <cell r="D88">
            <v>51756</v>
          </cell>
          <cell r="F88">
            <v>51756</v>
          </cell>
        </row>
        <row r="89">
          <cell r="B89" t="str">
            <v>기계설치공</v>
          </cell>
          <cell r="C89">
            <v>54468</v>
          </cell>
          <cell r="D89">
            <v>57749</v>
          </cell>
          <cell r="F89">
            <v>57749</v>
          </cell>
        </row>
        <row r="90">
          <cell r="B90" t="str">
            <v>기   계   공</v>
          </cell>
          <cell r="C90">
            <v>50809</v>
          </cell>
          <cell r="D90">
            <v>49113</v>
          </cell>
        </row>
        <row r="91">
          <cell r="B91" t="str">
            <v>제   도   사</v>
          </cell>
          <cell r="C91">
            <v>54433</v>
          </cell>
          <cell r="D91">
            <v>51818</v>
          </cell>
          <cell r="F91">
            <v>51818</v>
          </cell>
        </row>
        <row r="92">
          <cell r="B92" t="str">
            <v>시 험 사 1급</v>
          </cell>
          <cell r="C92">
            <v>46634</v>
          </cell>
          <cell r="D92">
            <v>52142</v>
          </cell>
          <cell r="F92">
            <v>52142</v>
          </cell>
        </row>
        <row r="93">
          <cell r="B93" t="str">
            <v>시 험 사 2급</v>
          </cell>
          <cell r="C93">
            <v>36671</v>
          </cell>
          <cell r="D93">
            <v>41297</v>
          </cell>
          <cell r="F93">
            <v>41297</v>
          </cell>
        </row>
        <row r="94">
          <cell r="B94" t="str">
            <v>시험보조수</v>
          </cell>
          <cell r="C94">
            <v>32484</v>
          </cell>
          <cell r="D94">
            <v>34308</v>
          </cell>
          <cell r="F94">
            <v>34308</v>
          </cell>
        </row>
        <row r="95">
          <cell r="B95" t="str">
            <v>유리공</v>
          </cell>
          <cell r="C95">
            <v>58873</v>
          </cell>
          <cell r="D95">
            <v>66670</v>
          </cell>
          <cell r="F95">
            <v>66670</v>
          </cell>
        </row>
        <row r="96">
          <cell r="B96" t="str">
            <v>함석공</v>
          </cell>
          <cell r="C96">
            <v>61305</v>
          </cell>
          <cell r="D96">
            <v>63308</v>
          </cell>
          <cell r="F96">
            <v>63308</v>
          </cell>
        </row>
        <row r="97">
          <cell r="B97" t="str">
            <v>용접공</v>
          </cell>
          <cell r="C97">
            <v>60389</v>
          </cell>
          <cell r="D97">
            <v>63468</v>
          </cell>
          <cell r="F97">
            <v>63468</v>
          </cell>
        </row>
        <row r="98">
          <cell r="B98" t="str">
            <v>닥트공</v>
          </cell>
          <cell r="C98">
            <v>51634</v>
          </cell>
          <cell r="D98">
            <v>52693</v>
          </cell>
          <cell r="F98">
            <v>52693</v>
          </cell>
        </row>
        <row r="99">
          <cell r="B99" t="str">
            <v>할석공</v>
          </cell>
          <cell r="C99">
            <v>68036</v>
          </cell>
          <cell r="D99">
            <v>72869</v>
          </cell>
          <cell r="F99">
            <v>72869</v>
          </cell>
        </row>
        <row r="100">
          <cell r="B100" t="str">
            <v>제철축로공</v>
          </cell>
          <cell r="C100">
            <v>93594</v>
          </cell>
          <cell r="D100">
            <v>102605</v>
          </cell>
          <cell r="F100">
            <v>102605</v>
          </cell>
        </row>
        <row r="101">
          <cell r="B101" t="str">
            <v>지적기사 1급</v>
          </cell>
          <cell r="C101">
            <v>97558</v>
          </cell>
          <cell r="D101">
            <v>98423</v>
          </cell>
          <cell r="F101">
            <v>98423</v>
          </cell>
        </row>
        <row r="102">
          <cell r="B102" t="str">
            <v>지적기사 2급</v>
          </cell>
          <cell r="C102">
            <v>81569</v>
          </cell>
          <cell r="D102">
            <v>81508</v>
          </cell>
          <cell r="F102">
            <v>81508</v>
          </cell>
        </row>
        <row r="103">
          <cell r="B103" t="str">
            <v>지적기능사1급</v>
          </cell>
          <cell r="C103">
            <v>57871</v>
          </cell>
          <cell r="D103">
            <v>60647</v>
          </cell>
          <cell r="F103">
            <v>60647</v>
          </cell>
        </row>
        <row r="104">
          <cell r="B104" t="str">
            <v>지적기능사2급</v>
          </cell>
          <cell r="C104">
            <v>44111</v>
          </cell>
          <cell r="D104">
            <v>45735</v>
          </cell>
          <cell r="F104">
            <v>45735</v>
          </cell>
        </row>
        <row r="105">
          <cell r="B105" t="str">
            <v>H/W설치기사</v>
          </cell>
          <cell r="C105">
            <v>81405</v>
          </cell>
          <cell r="D105">
            <v>82720</v>
          </cell>
          <cell r="F105">
            <v>82720</v>
          </cell>
        </row>
        <row r="106">
          <cell r="B106" t="str">
            <v>H/W시험기사</v>
          </cell>
          <cell r="C106">
            <v>88498</v>
          </cell>
          <cell r="D106">
            <v>89846</v>
          </cell>
          <cell r="F106">
            <v>89846</v>
          </cell>
        </row>
        <row r="107">
          <cell r="B107" t="str">
            <v>S/W시험기사</v>
          </cell>
          <cell r="C107">
            <v>98454</v>
          </cell>
          <cell r="D107">
            <v>98026</v>
          </cell>
          <cell r="F107">
            <v>98026</v>
          </cell>
        </row>
        <row r="108">
          <cell r="B108" t="str">
            <v>CPU시험기사</v>
          </cell>
          <cell r="C108">
            <v>86879</v>
          </cell>
          <cell r="D108">
            <v>88355</v>
          </cell>
          <cell r="F108">
            <v>88355</v>
          </cell>
        </row>
        <row r="109">
          <cell r="B109" t="str">
            <v>광통신기사</v>
          </cell>
          <cell r="C109">
            <v>101131</v>
          </cell>
          <cell r="D109">
            <v>108739</v>
          </cell>
          <cell r="F109">
            <v>108739</v>
          </cell>
        </row>
        <row r="110">
          <cell r="B110" t="str">
            <v>광케이블기사</v>
          </cell>
          <cell r="C110">
            <v>100005</v>
          </cell>
          <cell r="D110">
            <v>104231</v>
          </cell>
          <cell r="F110">
            <v>104231</v>
          </cell>
        </row>
        <row r="111">
          <cell r="B111" t="str">
            <v>도편수</v>
          </cell>
          <cell r="C111">
            <v>114173</v>
          </cell>
          <cell r="D111">
            <v>106094</v>
          </cell>
          <cell r="F111">
            <v>106094</v>
          </cell>
        </row>
        <row r="112">
          <cell r="B112" t="str">
            <v>목조각공</v>
          </cell>
          <cell r="C112">
            <v>93242</v>
          </cell>
          <cell r="D112">
            <v>93853</v>
          </cell>
          <cell r="F112">
            <v>93853</v>
          </cell>
        </row>
        <row r="113">
          <cell r="B113" t="str">
            <v>한식목공</v>
          </cell>
          <cell r="C113">
            <v>91540</v>
          </cell>
          <cell r="D113">
            <v>88290</v>
          </cell>
          <cell r="F113">
            <v>88290</v>
          </cell>
        </row>
        <row r="114">
          <cell r="B114" t="str">
            <v>한식목공조공</v>
          </cell>
          <cell r="C114">
            <v>63750</v>
          </cell>
          <cell r="D114">
            <v>70383</v>
          </cell>
          <cell r="F114">
            <v>70383</v>
          </cell>
        </row>
        <row r="115">
          <cell r="B115" t="str">
            <v>드잡이공</v>
          </cell>
          <cell r="C115">
            <v>100000</v>
          </cell>
          <cell r="D115">
            <v>104894</v>
          </cell>
          <cell r="F115">
            <v>104894</v>
          </cell>
        </row>
        <row r="116">
          <cell r="B116" t="str">
            <v>한식와공</v>
          </cell>
          <cell r="C116">
            <v>136422</v>
          </cell>
          <cell r="D116">
            <v>149444</v>
          </cell>
          <cell r="F116">
            <v>149444</v>
          </cell>
        </row>
        <row r="117">
          <cell r="B117" t="str">
            <v>한식와공조공</v>
          </cell>
          <cell r="C117">
            <v>90129</v>
          </cell>
          <cell r="D117">
            <v>101281</v>
          </cell>
          <cell r="F117">
            <v>101281</v>
          </cell>
        </row>
        <row r="118">
          <cell r="B118" t="str">
            <v>석조각공</v>
          </cell>
          <cell r="C118">
            <v>105942</v>
          </cell>
          <cell r="D118">
            <v>96532</v>
          </cell>
          <cell r="F118">
            <v>96532</v>
          </cell>
        </row>
        <row r="119">
          <cell r="B119" t="str">
            <v>특수화공</v>
          </cell>
          <cell r="C119">
            <v>118338</v>
          </cell>
          <cell r="D119">
            <v>133493</v>
          </cell>
          <cell r="F119">
            <v>133493</v>
          </cell>
        </row>
        <row r="120">
          <cell r="B120" t="str">
            <v>화공</v>
          </cell>
          <cell r="C120">
            <v>92088</v>
          </cell>
          <cell r="D120">
            <v>88944</v>
          </cell>
          <cell r="F120">
            <v>88944</v>
          </cell>
        </row>
        <row r="121">
          <cell r="B121" t="str">
            <v>한식미장공</v>
          </cell>
          <cell r="C121">
            <v>87575</v>
          </cell>
          <cell r="D121">
            <v>85636</v>
          </cell>
          <cell r="F121">
            <v>85636</v>
          </cell>
        </row>
        <row r="122">
          <cell r="B122" t="str">
            <v>원자력배관공</v>
          </cell>
          <cell r="C122">
            <v>95518</v>
          </cell>
          <cell r="D122">
            <v>96766</v>
          </cell>
          <cell r="F122">
            <v>96766</v>
          </cell>
        </row>
        <row r="123">
          <cell r="B123" t="str">
            <v>원자력용접공</v>
          </cell>
          <cell r="C123">
            <v>95314</v>
          </cell>
          <cell r="D123">
            <v>99944</v>
          </cell>
          <cell r="F123">
            <v>99944</v>
          </cell>
        </row>
        <row r="124">
          <cell r="B124" t="str">
            <v>원자력기계설치공</v>
          </cell>
          <cell r="C124">
            <v>90643</v>
          </cell>
          <cell r="D124">
            <v>91634</v>
          </cell>
          <cell r="F124">
            <v>91634</v>
          </cell>
        </row>
        <row r="125">
          <cell r="B125" t="str">
            <v>원자력덕트공</v>
          </cell>
          <cell r="C125">
            <v>87579</v>
          </cell>
          <cell r="D125">
            <v>90726</v>
          </cell>
          <cell r="F125">
            <v>90726</v>
          </cell>
        </row>
        <row r="126">
          <cell r="B126" t="str">
            <v>원자력제관공</v>
          </cell>
          <cell r="C126">
            <v>81226</v>
          </cell>
          <cell r="D126">
            <v>85710</v>
          </cell>
          <cell r="F126">
            <v>85710</v>
          </cell>
        </row>
        <row r="127">
          <cell r="B127" t="str">
            <v>원자력케이블전공</v>
          </cell>
          <cell r="C127">
            <v>86496</v>
          </cell>
          <cell r="D127">
            <v>87150</v>
          </cell>
          <cell r="F127">
            <v>87150</v>
          </cell>
        </row>
        <row r="128">
          <cell r="B128" t="str">
            <v>원자력계장공</v>
          </cell>
          <cell r="C128">
            <v>78849</v>
          </cell>
          <cell r="D128">
            <v>76509</v>
          </cell>
          <cell r="F128">
            <v>76509</v>
          </cell>
        </row>
        <row r="129">
          <cell r="B129" t="str">
            <v>원자력기술자</v>
          </cell>
          <cell r="C129">
            <v>82531</v>
          </cell>
          <cell r="D129">
            <v>84905</v>
          </cell>
          <cell r="F129">
            <v>84905</v>
          </cell>
        </row>
        <row r="130">
          <cell r="B130" t="str">
            <v>중급원자력기술자</v>
          </cell>
          <cell r="C130">
            <v>89064</v>
          </cell>
          <cell r="D130">
            <v>92182</v>
          </cell>
          <cell r="F130">
            <v>92182</v>
          </cell>
        </row>
        <row r="131">
          <cell r="B131" t="str">
            <v>상급원자력기술자</v>
          </cell>
          <cell r="C131">
            <v>102040</v>
          </cell>
          <cell r="D131">
            <v>105581</v>
          </cell>
          <cell r="F131">
            <v>105581</v>
          </cell>
        </row>
        <row r="132">
          <cell r="B132" t="str">
            <v>원자력품질관리사</v>
          </cell>
          <cell r="C132">
            <v>94015</v>
          </cell>
          <cell r="D132">
            <v>94169</v>
          </cell>
          <cell r="F132">
            <v>94169</v>
          </cell>
        </row>
        <row r="133">
          <cell r="B133" t="str">
            <v>원자력특별인부</v>
          </cell>
          <cell r="C133">
            <v>71115</v>
          </cell>
          <cell r="D133">
            <v>71397</v>
          </cell>
          <cell r="F133">
            <v>71397</v>
          </cell>
        </row>
        <row r="134">
          <cell r="B134" t="str">
            <v>원자력보온공</v>
          </cell>
          <cell r="C134">
            <v>79558</v>
          </cell>
          <cell r="D134">
            <v>84891</v>
          </cell>
          <cell r="F134">
            <v>84891</v>
          </cell>
        </row>
        <row r="135">
          <cell r="B135" t="str">
            <v>원자력플랜트전공</v>
          </cell>
          <cell r="C135">
            <v>88190</v>
          </cell>
          <cell r="D135">
            <v>85861</v>
          </cell>
          <cell r="F135">
            <v>85861</v>
          </cell>
        </row>
        <row r="136">
          <cell r="B136" t="str">
            <v>고급원자력비파괴시험</v>
          </cell>
          <cell r="C136">
            <v>87624</v>
          </cell>
          <cell r="D136">
            <v>89445</v>
          </cell>
          <cell r="F136">
            <v>89445</v>
          </cell>
        </row>
        <row r="137">
          <cell r="B137" t="str">
            <v>특급원자력비파괴시험</v>
          </cell>
          <cell r="C137">
            <v>131022</v>
          </cell>
          <cell r="D137">
            <v>136394</v>
          </cell>
          <cell r="F137">
            <v>136394</v>
          </cell>
        </row>
        <row r="138">
          <cell r="B138" t="str">
            <v>전기공사기사1급</v>
          </cell>
          <cell r="C138">
            <v>63980</v>
          </cell>
          <cell r="D138">
            <v>64800</v>
          </cell>
          <cell r="F138">
            <v>64800</v>
          </cell>
        </row>
        <row r="139">
          <cell r="B139" t="str">
            <v>전기공사기사2급</v>
          </cell>
          <cell r="C139">
            <v>58372</v>
          </cell>
          <cell r="D139">
            <v>62990</v>
          </cell>
          <cell r="F139">
            <v>62990</v>
          </cell>
        </row>
        <row r="140">
          <cell r="B140" t="str">
            <v>통신기사1급</v>
          </cell>
          <cell r="C140">
            <v>92459</v>
          </cell>
          <cell r="D140">
            <v>92355</v>
          </cell>
          <cell r="F140">
            <v>92355</v>
          </cell>
        </row>
        <row r="141">
          <cell r="B141" t="str">
            <v>통신기사2급</v>
          </cell>
          <cell r="C141">
            <v>86709</v>
          </cell>
          <cell r="D141">
            <v>91949</v>
          </cell>
          <cell r="F141">
            <v>91949</v>
          </cell>
        </row>
        <row r="142">
          <cell r="B142" t="str">
            <v>통신기능사</v>
          </cell>
          <cell r="C142">
            <v>73945</v>
          </cell>
          <cell r="D142">
            <v>73064</v>
          </cell>
          <cell r="F142">
            <v>73064</v>
          </cell>
        </row>
        <row r="143">
          <cell r="B143" t="str">
            <v>노즐공</v>
          </cell>
          <cell r="C143">
            <v>66731</v>
          </cell>
          <cell r="D143">
            <v>63841</v>
          </cell>
          <cell r="F143">
            <v>63841</v>
          </cell>
        </row>
        <row r="144">
          <cell r="B144" t="str">
            <v>코킹공</v>
          </cell>
          <cell r="C144">
            <v>56412</v>
          </cell>
          <cell r="D144">
            <v>61248</v>
          </cell>
          <cell r="F144">
            <v>61248</v>
          </cell>
        </row>
        <row r="145">
          <cell r="B145" t="str">
            <v>변전전공</v>
          </cell>
          <cell r="C145">
            <v>84845</v>
          </cell>
          <cell r="D145">
            <v>84511</v>
          </cell>
          <cell r="F145">
            <v>84511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2"/>
      <sheetName val="구조물철거타공정이월"/>
      <sheetName val="#REF"/>
      <sheetName val="Sheet17"/>
      <sheetName val="INPUT"/>
      <sheetName val="단위수량"/>
      <sheetName val="단면가정"/>
      <sheetName val="설계조건"/>
      <sheetName val="부대일수용두"/>
      <sheetName val="철근"/>
      <sheetName val="부대공 일반 수량집계표"/>
      <sheetName val="양지편교 토공집계표"/>
      <sheetName val="집계표(양)"/>
      <sheetName val="수량(양)1"/>
      <sheetName val="수량(양)2"/>
      <sheetName val="보도공총괄수량집계"/>
      <sheetName val="아스콘집계표"/>
      <sheetName val="콘크리트및몰탈집계표"/>
      <sheetName val="철근수량집계표"/>
      <sheetName val="흄관및경계석집계표"/>
      <sheetName val="골재집계표"/>
      <sheetName val="타공종이월수량집계표"/>
      <sheetName val="총괄수량집계표"/>
      <sheetName val=" 시멘트및골재량"/>
      <sheetName val="총괄철근집계표"/>
      <sheetName val="옹벽총괄 집계표"/>
      <sheetName val="옹벽총괄 철근집계표"/>
      <sheetName val="내역서"/>
      <sheetName val="SLAB&quot;1&quot;"/>
      <sheetName val="총괄내역서"/>
      <sheetName val="공사원가계산서"/>
      <sheetName val="대로근거"/>
      <sheetName val="guard(mac)"/>
      <sheetName val="관급"/>
      <sheetName val="wall"/>
      <sheetName val="9811"/>
      <sheetName val="원가계산서(남측)"/>
      <sheetName val="포장공"/>
      <sheetName val="토공"/>
      <sheetName val="배수공"/>
      <sheetName val="06 일위대가목록"/>
      <sheetName val="기초일위"/>
      <sheetName val="식재일위"/>
      <sheetName val="별표집계"/>
      <sheetName val="Sheet1 (2)"/>
      <sheetName val="교각1"/>
      <sheetName val="4)유동표"/>
      <sheetName val="대비"/>
      <sheetName val="내역"/>
      <sheetName val="단위중량"/>
      <sheetName val="연결관암거"/>
      <sheetName val="좌측"/>
      <sheetName val="노무비"/>
      <sheetName val="노임단가"/>
      <sheetName val="수목단가"/>
      <sheetName val="시설수량표"/>
      <sheetName val="자재단가"/>
      <sheetName val="BDATA"/>
      <sheetName val="RSH50-1EA"/>
      <sheetName val="분수구조물"/>
      <sheetName val="1TL종점(1)"/>
      <sheetName val="Pier 3"/>
      <sheetName val="데리네이타현황"/>
    </sheetNames>
    <definedNames>
      <definedName name="매크로11"/>
      <definedName name="매크로4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합"/>
      <sheetName val="철근단면적"/>
      <sheetName val="공칭철근단면적,충격계수"/>
      <sheetName val="말뚝본체검토"/>
      <sheetName val="Sheet8"/>
    </sheetNames>
    <sheetDataSet>
      <sheetData sheetId="0" refreshError="1"/>
      <sheetData sheetId="1" refreshError="1">
        <row r="3">
          <cell r="C3">
            <v>1.2669999999999999</v>
          </cell>
        </row>
        <row r="4">
          <cell r="C4">
            <v>1.986</v>
          </cell>
        </row>
        <row r="5">
          <cell r="C5">
            <v>2.8650000000000002</v>
          </cell>
        </row>
        <row r="6">
          <cell r="C6">
            <v>3.871</v>
          </cell>
        </row>
        <row r="7">
          <cell r="C7">
            <v>5.0670000000000002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-pile(298x299)"/>
      <sheetName val="H-pile(250x250)"/>
      <sheetName val="철근단면적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일위대가"/>
      <sheetName val="내역서"/>
      <sheetName val="조명시설"/>
      <sheetName val="말뚝지지력산정"/>
      <sheetName val="신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교각1"/>
      <sheetName val="건축내역"/>
      <sheetName val="약품공급2"/>
      <sheetName val="sheet1"/>
      <sheetName val="내역서"/>
      <sheetName val="#REF"/>
      <sheetName val="2000년1차"/>
      <sheetName val="일위대가목록"/>
      <sheetName val="CPM챠트"/>
      <sheetName val="접지수량"/>
      <sheetName val="산출근거"/>
      <sheetName val="토사절취"/>
      <sheetName val="단가조사서"/>
      <sheetName val="하중계산"/>
      <sheetName val="위치조서"/>
      <sheetName val="실행내역"/>
      <sheetName val="대포2교접속"/>
      <sheetName val="천방교접속"/>
      <sheetName val="준검 내역서"/>
      <sheetName val="터파기및재료"/>
      <sheetName val="원형1호맨홀토공수량"/>
      <sheetName val="실행철강하도"/>
      <sheetName val="ABUT수량-A1"/>
      <sheetName val="내역"/>
      <sheetName val="품셈TABLE"/>
      <sheetName val="기초공"/>
      <sheetName val="기둥(원형)"/>
      <sheetName val="2000전체분"/>
      <sheetName val="guard(mac)"/>
      <sheetName val="전체_1설계"/>
      <sheetName val="준공정산"/>
      <sheetName val="사다리"/>
      <sheetName val="당진1,2호기전선관설치및접지4차공사내역서-을지"/>
      <sheetName val="단가일람"/>
      <sheetName val="조경일람"/>
      <sheetName val="Y-WORK"/>
      <sheetName val="참조"/>
      <sheetName val="집계표"/>
      <sheetName val="SLAB&quot;1&quot;"/>
      <sheetName val="공정증감대ㅈ표"/>
      <sheetName val="경비2내역"/>
      <sheetName val="단면계수(상부)"/>
      <sheetName val="휴지통"/>
      <sheetName val="포장물량집계"/>
      <sheetName val="차액보증"/>
      <sheetName val="E총"/>
      <sheetName val="원가서"/>
      <sheetName val="구조물철거타공정이월"/>
      <sheetName val="6PILE  (돌출)"/>
      <sheetName val="전체제잡비"/>
      <sheetName val="요율"/>
      <sheetName val="노임단가"/>
      <sheetName val="앉음벽 (2)"/>
      <sheetName val="DATE"/>
      <sheetName val="도담구내 개소별 명세"/>
      <sheetName val="바닥판"/>
      <sheetName val="입력DATA"/>
      <sheetName val="내역표지"/>
      <sheetName val="일위대가9803"/>
      <sheetName val="일위집계"/>
      <sheetName val="코드"/>
      <sheetName val="우수공"/>
      <sheetName val="설계기준"/>
      <sheetName val="산출서"/>
      <sheetName val="금액내역서"/>
      <sheetName val="대로근거"/>
      <sheetName val="중로근거"/>
      <sheetName val="단면 (2)"/>
      <sheetName val="인버트단위수량"/>
      <sheetName val="단면가정"/>
      <sheetName val="입력값"/>
      <sheetName val="설계기준 및 하중계산"/>
      <sheetName val="설계개요"/>
      <sheetName val="2공구산출내역"/>
      <sheetName val="BID"/>
      <sheetName val="1TL종점(1)"/>
      <sheetName val="자재단가"/>
      <sheetName val="대림경상68억"/>
      <sheetName val="내역기준"/>
      <sheetName val="sub"/>
      <sheetName val="증감내역서"/>
      <sheetName val="2.1  노무비 평균단가산출"/>
      <sheetName val="설계내역서"/>
      <sheetName val="건축공사"/>
      <sheetName val="날개벽수량표"/>
      <sheetName val="수량산출"/>
      <sheetName val="말뚝지지력산정"/>
      <sheetName val="단가조사"/>
      <sheetName val="TYPE-A"/>
      <sheetName val="Resource2"/>
      <sheetName val="공통가설"/>
      <sheetName val="교각계산"/>
      <sheetName val="입찰안"/>
      <sheetName val="type-F"/>
      <sheetName val="자재일람"/>
      <sheetName val="전체"/>
      <sheetName val="산출내역서"/>
      <sheetName val="inputdata"/>
      <sheetName val="표준건축비"/>
      <sheetName val="작성방법"/>
      <sheetName val="1,2공구원가계산서"/>
      <sheetName val="1공구산출내역서"/>
      <sheetName val="문학간접"/>
      <sheetName val="4.전기"/>
      <sheetName val="Sheet2"/>
      <sheetName val="원가계산서구조조정"/>
      <sheetName val="단가"/>
      <sheetName val="암거 제원표"/>
      <sheetName val="적점"/>
      <sheetName val="토목"/>
      <sheetName val="슬래브수량"/>
      <sheetName val="8.PILE  (돌출)"/>
      <sheetName val="반중력식옹벽"/>
      <sheetName val="안산기계장치"/>
      <sheetName val="98지급계획"/>
      <sheetName val="기성갑지"/>
      <sheetName val="P.M 별"/>
      <sheetName val="남양내역"/>
      <sheetName val="동물이동통로"/>
      <sheetName val="1.설계기준"/>
      <sheetName val="신호등일위대가"/>
      <sheetName val="일위"/>
      <sheetName val="갑지"/>
      <sheetName val="COPING"/>
      <sheetName val="가도공"/>
      <sheetName val="목차"/>
      <sheetName val="현장관리비참조"/>
      <sheetName val="공사내역"/>
      <sheetName val="마산방향"/>
      <sheetName val="우석문틀"/>
      <sheetName val="신림자금"/>
      <sheetName val="시설수량표"/>
      <sheetName val="기초일위"/>
      <sheetName val="수목단가"/>
      <sheetName val="시설일위"/>
      <sheetName val="식재수량표"/>
      <sheetName val="식재일위"/>
      <sheetName val="ENE-CAL 1"/>
      <sheetName val="401"/>
      <sheetName val="집수정단면도 (2)"/>
      <sheetName val="옹벽철근집계표"/>
      <sheetName val="8.석축단위(H=1.5M)"/>
      <sheetName val="편입토지조서"/>
      <sheetName val="치수표"/>
      <sheetName val="1호맨홀토공"/>
      <sheetName val="집계"/>
      <sheetName val="기본일위"/>
      <sheetName val="내역서2안"/>
      <sheetName val="패널"/>
      <sheetName val="직노"/>
      <sheetName val="TYPE-1"/>
      <sheetName val="찍기"/>
      <sheetName val="자재단가비교표"/>
      <sheetName val="Sheet1 (2)"/>
      <sheetName val="INPUT(덕도방향-시점)"/>
      <sheetName val="공사비증감"/>
      <sheetName val="원"/>
      <sheetName val="수량집계"/>
      <sheetName val="구조물터파기수량집계"/>
      <sheetName val="접속도수량집계표"/>
      <sheetName val="AS복구"/>
      <sheetName val="중기터파기"/>
      <sheetName val="변수값"/>
      <sheetName val="중기상차"/>
      <sheetName val="일위목록"/>
      <sheetName val="B"/>
      <sheetName val="8설7발"/>
      <sheetName val="원가"/>
      <sheetName val="토목공사일반"/>
      <sheetName val="INPUT"/>
      <sheetName val="산근"/>
      <sheetName val="98수문일위"/>
      <sheetName val="마산방향철근집계"/>
      <sheetName val="옹벽수량집계"/>
      <sheetName val="BOX-1510"/>
      <sheetName val="단위단가"/>
      <sheetName val="A LINE"/>
      <sheetName val="06 일위대가목록"/>
      <sheetName val="유림골조"/>
      <sheetName val="N賃率-職"/>
      <sheetName val="기계공사"/>
      <sheetName val="공사비총"/>
      <sheetName val="설계"/>
      <sheetName val="토공계산서(부체도로)"/>
      <sheetName val="조명율표"/>
      <sheetName val="Macro(전선)"/>
      <sheetName val="9GNG운반"/>
      <sheetName val="DATA2000"/>
      <sheetName val="수량산출서"/>
      <sheetName val="내역(가지)"/>
      <sheetName val="단위수량"/>
      <sheetName val="수량산출서집계"/>
      <sheetName val="토목주소"/>
      <sheetName val="C.배수관공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단가비교"/>
      <sheetName val="A-4"/>
      <sheetName val="을부담운반비"/>
      <sheetName val="DB"/>
      <sheetName val="공사비산출내역"/>
      <sheetName val="DB구축"/>
      <sheetName val="우수받이수량산출"/>
      <sheetName val="집수정수량집계"/>
      <sheetName val="각종측구수량집계"/>
      <sheetName val="일위대가(계측기설치)"/>
      <sheetName val="YOEMAGUM"/>
      <sheetName val="인건-측정"/>
      <sheetName val="설비"/>
      <sheetName val="배수관산출"/>
      <sheetName val="배수내역"/>
      <sheetName val="안양동교 1안"/>
      <sheetName val="봉양~조차장간고하개명(신설)"/>
      <sheetName val="범례표"/>
      <sheetName val="플랜트 설치"/>
      <sheetName val="설계조건"/>
      <sheetName val="CALCULATION"/>
      <sheetName val="여과지동"/>
      <sheetName val="기초자료"/>
      <sheetName val="RE9604"/>
      <sheetName val="맨홀수량"/>
      <sheetName val="토공사"/>
      <sheetName val="포장공집"/>
      <sheetName val="1.취수장"/>
      <sheetName val="추가예산"/>
      <sheetName val="총괄내역서"/>
      <sheetName val="교통대책내역"/>
      <sheetName val="5. 현장관리비(new) "/>
      <sheetName val="교대(A1)"/>
      <sheetName val="진주방향"/>
      <sheetName val="도장수량(하1)"/>
      <sheetName val="주형"/>
      <sheetName val="총괄표"/>
      <sheetName val="철근단면적"/>
      <sheetName val="도로경계단위"/>
      <sheetName val="집수정"/>
      <sheetName val="설산1.나"/>
      <sheetName val="본사S"/>
      <sheetName val="FORM-0"/>
      <sheetName val="토사(PE)"/>
      <sheetName val="1-3.조건,바닥판 "/>
      <sheetName val="수우미양가(Vlookup)"/>
      <sheetName val="상반기손익차2총괄"/>
      <sheetName val="95년12월말"/>
      <sheetName val="상수도공-간지"/>
      <sheetName val="자재테이블"/>
      <sheetName val="지급자재"/>
      <sheetName val="CC16-내역서"/>
      <sheetName val="연장및면적(좌측)"/>
      <sheetName val="도색집계"/>
      <sheetName val="고창방향"/>
      <sheetName val="공사비총괄"/>
      <sheetName val="관로토공(보통암)"/>
      <sheetName val="관로토공(연암)"/>
      <sheetName val="관로토공(토사)"/>
      <sheetName val="관로토공(풍화암)"/>
      <sheetName val="리핑암"/>
      <sheetName val="보통암"/>
      <sheetName val="연결관조서 (토사)"/>
      <sheetName val="연결관수량"/>
      <sheetName val="연암"/>
      <sheetName val="우수받이BOX토공"/>
      <sheetName val="우수받이관로토공"/>
      <sheetName val="토사"/>
      <sheetName val="인사자료총집계"/>
      <sheetName val="접속도로1"/>
      <sheetName val="자재대"/>
      <sheetName val="DA"/>
      <sheetName val="갑지(추정)"/>
      <sheetName val="WORK"/>
      <sheetName val="계림(함평)"/>
      <sheetName val="계림(장성)"/>
      <sheetName val="버스운행안내"/>
      <sheetName val="재적표"/>
      <sheetName val="측구터파기공수량집계"/>
      <sheetName val="배수공 시멘트 및 골재량 산출"/>
      <sheetName val="주beam"/>
      <sheetName val="NAI"/>
      <sheetName val="데리네이타현황"/>
      <sheetName val="코드표"/>
      <sheetName val="ELEC"/>
      <sheetName val="재정비내역"/>
      <sheetName val="지적고시내역"/>
      <sheetName val="마산월령동골조물량변경"/>
      <sheetName val="맨홀수량산출"/>
      <sheetName val="공작물조직표(용배수)"/>
      <sheetName val="도근좌표"/>
      <sheetName val="퍼스트"/>
      <sheetName val="예산총괄"/>
      <sheetName val="Total"/>
      <sheetName val="spc 배관견적"/>
      <sheetName val="견적990322"/>
      <sheetName val="전체공정"/>
      <sheetName val="조립공정"/>
      <sheetName val="FC"/>
      <sheetName val="공구"/>
      <sheetName val="수량산출목록표"/>
      <sheetName val="공종별예산조서"/>
      <sheetName val="일위대가(가설)"/>
      <sheetName val="암거날개벽"/>
      <sheetName val="연결임시"/>
      <sheetName val="일위대가목차"/>
      <sheetName val="화재 탐지 설비"/>
      <sheetName val="만년달력"/>
      <sheetName val="토공(1)"/>
      <sheetName val="목록"/>
      <sheetName val="공사착공계"/>
      <sheetName val="CTEMCOST"/>
      <sheetName val="화전내"/>
      <sheetName val="I一般比"/>
      <sheetName val="식생블럭단위수량"/>
      <sheetName val="유입량"/>
      <sheetName val="철근량"/>
      <sheetName val="Sheet5"/>
      <sheetName val="기별(종합)"/>
      <sheetName val="자재"/>
      <sheetName val="전기"/>
      <sheetName val="7.PILE  (돌출)"/>
      <sheetName val="참고자료"/>
      <sheetName val="기성내역"/>
      <sheetName val="미드수량"/>
      <sheetName val="시운전연료"/>
      <sheetName val="수목데이타 "/>
      <sheetName val="준검_내역서"/>
      <sheetName val="6PILE__(돌출)"/>
      <sheetName val="앉음벽_(2)"/>
      <sheetName val="도담구내_개소별_명세"/>
      <sheetName val="단면_(2)"/>
      <sheetName val="설계기준_및_하중계산"/>
      <sheetName val="2_1__노무비_평균단가산출"/>
      <sheetName val="4_전기"/>
      <sheetName val="P_M_별"/>
      <sheetName val="암거_제원표"/>
      <sheetName val="Sheet1_(2)"/>
      <sheetName val="1_설계기준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8_PILE__(돌출)"/>
      <sheetName val="설산1_나"/>
      <sheetName val="플랜트_설치"/>
      <sheetName val="5__현장관리비(new)_"/>
      <sheetName val="1_취수장"/>
      <sheetName val="C_배수관공"/>
      <sheetName val="1-3_조건,바닥판_"/>
      <sheetName val="안양동교_1안"/>
      <sheetName val="연결관조서_(토사)"/>
      <sheetName val="부대내역"/>
      <sheetName val="관리비비계상"/>
      <sheetName val="현금예금"/>
      <sheetName val="지중자재단가"/>
      <sheetName val="data"/>
      <sheetName val="노임"/>
      <sheetName val="수량3"/>
      <sheetName val="토공"/>
      <sheetName val="일위대가표"/>
      <sheetName val="제출문"/>
      <sheetName val="부하계산서"/>
      <sheetName val="공사대장"/>
      <sheetName val="J直材4"/>
      <sheetName val="수로단위수량"/>
      <sheetName val="수질정화시설"/>
      <sheetName val="법면"/>
      <sheetName val="부대공"/>
      <sheetName val="구조물공"/>
      <sheetName val="포장공"/>
      <sheetName val="배수공1"/>
      <sheetName val="중기일위대가"/>
      <sheetName val=" 2호맨홀단위수량(차도)"/>
      <sheetName val=" 2호맨홀단위수량(농수로)"/>
      <sheetName val=" 2호맨홀단위수량(보도)"/>
      <sheetName val="01-적용기준"/>
      <sheetName val="15-저수퇴사조절량계산서"/>
      <sheetName val="14-비탈면적계산서"/>
      <sheetName val="12-토적계산서"/>
      <sheetName val="11-토적집계표"/>
      <sheetName val="덕전리"/>
      <sheetName val="공사원가계산서"/>
      <sheetName val="암거 제원표-1단계"/>
      <sheetName val="합계"/>
      <sheetName val="오동"/>
      <sheetName val="대조"/>
      <sheetName val="나한"/>
      <sheetName val="원가총괄"/>
      <sheetName val="0303"/>
      <sheetName val="3BL공동구 수량"/>
      <sheetName val="6호기"/>
      <sheetName val="D-3109"/>
      <sheetName val="운반"/>
      <sheetName val="백암비스타내역"/>
      <sheetName val="Macro1"/>
      <sheetName val="관경별내역서"/>
      <sheetName val="2.단면가정 "/>
      <sheetName val="LG제품"/>
      <sheetName val="일반수량"/>
      <sheetName val="산출기준자료"/>
      <sheetName val="일위대가LIST"/>
      <sheetName val="예산서"/>
      <sheetName val="RAHMEN"/>
      <sheetName val="보도경계블럭"/>
      <sheetName val="기준정보(보선)"/>
      <sheetName val="예가내역서"/>
      <sheetName val="검토"/>
      <sheetName val="판정1교토공"/>
      <sheetName val="사유서제출현황-2"/>
      <sheetName val="현장조사"/>
      <sheetName val="총괄집계표"/>
      <sheetName val="중사"/>
      <sheetName val="단위중량"/>
      <sheetName val="토공구역구분(출력안함)"/>
      <sheetName val="간지02)"/>
      <sheetName val="직접구매"/>
      <sheetName val="간지03 )"/>
      <sheetName val="주요자재xxxxxx"/>
      <sheetName val="1.레미콘"/>
      <sheetName val="2.관집계"/>
      <sheetName val="3.제수밸브"/>
      <sheetName val="4.각종주철제"/>
      <sheetName val="5.유량계"/>
      <sheetName val="1.골재집계"/>
      <sheetName val="2.철근집계"/>
      <sheetName val="3.관세척"/>
      <sheetName val="4.분기관"/>
      <sheetName val="간지04)"/>
      <sheetName val="총괄자재집계표"/>
      <sheetName val="간지05)"/>
      <sheetName val="상수공 토공집계표"/>
      <sheetName val="우수공자재집계표"/>
      <sheetName val="시모자"/>
      <sheetName val="(C)원내역"/>
      <sheetName val="목포방향"/>
      <sheetName val=""/>
      <sheetName val="광주방향"/>
      <sheetName val="설계명세서"/>
      <sheetName val="간노_콘"/>
      <sheetName val="단가대비표"/>
      <sheetName val="Berm"/>
      <sheetName val="분뇨"/>
      <sheetName val="1062-X방향 "/>
      <sheetName val="관급"/>
      <sheetName val="1.건설폐기물"/>
      <sheetName val="뒷채움잡석"/>
      <sheetName val="대창(장성)"/>
      <sheetName val="날개벽(시점좌측)"/>
      <sheetName val="1안"/>
      <sheetName val="자갈,시멘트,모래산출"/>
      <sheetName val="b_balju"/>
      <sheetName val="상행선"/>
      <sheetName val="연습"/>
      <sheetName val="우배수"/>
      <sheetName val="교대(A1-A2)"/>
      <sheetName val="인원"/>
      <sheetName val="wall"/>
      <sheetName val="Front"/>
      <sheetName val="수전기기DATA"/>
      <sheetName val="할증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/>
      <sheetData sheetId="523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품목별노임2"/>
      <sheetName val="품목별노임1"/>
      <sheetName val="노임단가"/>
      <sheetName val="수환경일위"/>
      <sheetName val="ST 강관"/>
      <sheetName val="기타여러가지"/>
      <sheetName val="식재"/>
      <sheetName val="스프링클러"/>
      <sheetName val="STS PIPE"/>
      <sheetName val="펌프 방진가대 신축이음"/>
      <sheetName val="밸브류"/>
      <sheetName val="바   플"/>
      <sheetName val="돌공사"/>
      <sheetName val="토목"/>
      <sheetName val="산근목록(토목)"/>
      <sheetName val="산근(토목)"/>
      <sheetName val="중기비목록"/>
      <sheetName val="중기단가"/>
      <sheetName val="기계경비산출근거"/>
      <sheetName val="펌프및SET당"/>
      <sheetName val="중목"/>
      <sheetName val="중1"/>
      <sheetName val="산1"/>
      <sheetName val="산2"/>
      <sheetName val="기계산출"/>
      <sheetName val="광섬유"/>
      <sheetName val="전기(차단기,스윗치)"/>
      <sheetName val="전기(전선,케이블)"/>
      <sheetName val="전기(기타)"/>
      <sheetName val="PE관접합,경질"/>
      <sheetName val="나사관플렌지접합"/>
      <sheetName val="철근가공"/>
      <sheetName val="잡철물제작"/>
      <sheetName val="BY PASS"/>
      <sheetName val="동관류"/>
      <sheetName val="PVC관"/>
      <sheetName val="관보온,아티론"/>
      <sheetName val="스텐조형물제작"/>
      <sheetName val="FRP,GRC제작및설치"/>
      <sheetName val="AUTO SLUICE V.V"/>
      <sheetName val="일위목록"/>
      <sheetName val="개략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수량집계"/>
      <sheetName val="암거수량집계"/>
      <sheetName val="현황및구체"/>
      <sheetName val="구체수량"/>
      <sheetName val="평균H "/>
      <sheetName val="석축수량집계"/>
      <sheetName val="단위수량"/>
      <sheetName val="연장및면적(좌측)"/>
      <sheetName val="연장및면적(우측)"/>
      <sheetName val="파라피트"/>
      <sheetName val="간지"/>
      <sheetName val="현황산출서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단가"/>
      <sheetName val="경비단가"/>
      <sheetName val="중기집계"/>
      <sheetName val="중기손료"/>
      <sheetName val="자재단가"/>
      <sheetName val="토   공 "/>
      <sheetName val="배수공"/>
      <sheetName val="교량공"/>
      <sheetName val="포장공"/>
      <sheetName val="부대공"/>
      <sheetName val="단가목록"/>
      <sheetName val="신규단가"/>
      <sheetName val="Sheet4"/>
      <sheetName val="Sheet5"/>
      <sheetName val="MOTOR"/>
      <sheetName val="일위대가목차"/>
      <sheetName val="현장지지물물량"/>
      <sheetName val="9901단가"/>
      <sheetName val="정부노임단가"/>
      <sheetName val="전력구구조물산근"/>
      <sheetName val="밸브설치"/>
      <sheetName val="토___공_"/>
      <sheetName val="내역서"/>
      <sheetName val="설계조건"/>
      <sheetName val="L형옹벽측구"/>
      <sheetName val="조도계산(가로등NEW)"/>
      <sheetName val="조명율데이타"/>
      <sheetName val="토사(PE)"/>
      <sheetName val="ⴭⴭⴭⴭ"/>
      <sheetName val="내역표지"/>
      <sheetName val="전기일위대가"/>
      <sheetName val="L_RPTA05_목록"/>
      <sheetName val="조도계산서 (도서)"/>
      <sheetName val="중기일위대가"/>
      <sheetName val="주식"/>
      <sheetName val="부하LOAD"/>
      <sheetName val="001"/>
      <sheetName val="#REF"/>
      <sheetName val="맨홀수량집계"/>
      <sheetName val="ilch"/>
      <sheetName val="총괄내역서"/>
      <sheetName val="담장산출"/>
      <sheetName val="내역"/>
      <sheetName val="ITEM"/>
      <sheetName val="WORK"/>
      <sheetName val="단위중량"/>
      <sheetName val="토공A"/>
      <sheetName val="단가"/>
      <sheetName val="시설물일위"/>
      <sheetName val="BID"/>
      <sheetName val="1"/>
      <sheetName val="과천MAIN"/>
      <sheetName val="신우"/>
      <sheetName val="몰탈재료산출"/>
      <sheetName val="조명시설"/>
      <sheetName val="간지"/>
      <sheetName val="3BL공동구 수량"/>
      <sheetName val="인사자료총집계"/>
      <sheetName val="2회내역"/>
      <sheetName val="주방환기"/>
      <sheetName val="대로근거"/>
      <sheetName val="식재품셈"/>
      <sheetName val="안정검토(온1)"/>
      <sheetName val="부하(성남)"/>
      <sheetName val="U-TYPE(1)"/>
      <sheetName val="3련 BOX"/>
      <sheetName val="슬래브"/>
      <sheetName val="토공(우물통,기타)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구조뮬총괄"/>
      <sheetName val="구조물철근집계"/>
      <sheetName val="본선 집계표"/>
      <sheetName val="BOX철근"/>
      <sheetName val="수질정화시설"/>
      <sheetName val="유출집계"/>
      <sheetName val="유출철근"/>
      <sheetName val="유출삽도"/>
      <sheetName val="유출"/>
      <sheetName val="유,가 집계"/>
      <sheetName val="유,가삽도"/>
      <sheetName val="유,가철근"/>
      <sheetName val="유입"/>
      <sheetName val="가동보"/>
      <sheetName val="유입하수box계표"/>
      <sheetName val="유입하수철근"/>
      <sheetName val="유입하수수량"/>
      <sheetName val="유출관수량집계표"/>
      <sheetName val="유출관철근"/>
      <sheetName val="유출관수량"/>
      <sheetName val="주제어집계표"/>
      <sheetName val="주제철근"/>
      <sheetName val="주제어실"/>
      <sheetName val="노임단가"/>
      <sheetName val="자재단가"/>
      <sheetName val="Sheet1"/>
      <sheetName val="구조물공"/>
      <sheetName val="ITEM"/>
      <sheetName val="단면 (2)"/>
      <sheetName val="전력구구조물산근"/>
      <sheetName val="공사비예산서(토목분)"/>
      <sheetName val="간선계산"/>
      <sheetName val="ABUT수량-A1"/>
      <sheetName val="#REF"/>
      <sheetName val="전차선로 물량표"/>
      <sheetName val="1.설계조건"/>
      <sheetName val="MOTOR"/>
      <sheetName val="내역서"/>
      <sheetName val="BID"/>
      <sheetName val="Sheet3"/>
      <sheetName val="조도계산서 (도서)"/>
      <sheetName val="현장"/>
      <sheetName val="설계조건"/>
      <sheetName val="수량집계표"/>
      <sheetName val="공종별수량집계"/>
      <sheetName val="대로근거"/>
      <sheetName val="중로근거"/>
      <sheetName val="DATA"/>
      <sheetName val="TRE TABLE"/>
      <sheetName val="ⴭⴭⴭ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  <sheetName val="내역서"/>
      <sheetName val="수질정화시설"/>
      <sheetName val="FORM-0"/>
      <sheetName val="조도계산서 (도서)"/>
      <sheetName val="기기리스트"/>
      <sheetName val="부하_성남_"/>
      <sheetName val="프랜트면허"/>
      <sheetName val="Sheet5"/>
      <sheetName val="연돌일위집계"/>
      <sheetName val="중기일위대가"/>
      <sheetName val="인건비"/>
      <sheetName val="SD"/>
      <sheetName val="가도공"/>
      <sheetName val="공사비예산서(토목분)"/>
      <sheetName val="노임단가"/>
      <sheetName val="Sheet1"/>
      <sheetName val="중기사용료"/>
      <sheetName val="일위대가"/>
      <sheetName val="정부노임단가"/>
      <sheetName val="LOPCALC"/>
      <sheetName val="전차선로 물량표"/>
      <sheetName val="대로근거"/>
      <sheetName val="중로근거"/>
      <sheetName val="바닥판"/>
      <sheetName val="현장지지물물량"/>
      <sheetName val="집수정(600-700)"/>
      <sheetName val="단면가정"/>
      <sheetName val="설계조건"/>
      <sheetName val="부재력정리"/>
      <sheetName val="제경비"/>
      <sheetName val="표지 (2)"/>
      <sheetName val="Sheet2"/>
      <sheetName val="집계표"/>
      <sheetName val="입찰안"/>
      <sheetName val="#REF"/>
      <sheetName val="내역"/>
      <sheetName val="입적표"/>
      <sheetName val="DATA"/>
      <sheetName val="차선도색현황"/>
      <sheetName val="Sheet17"/>
      <sheetName val="가설건물"/>
      <sheetName val="내역표지"/>
      <sheetName val="아파트 "/>
      <sheetName val="자재단가"/>
      <sheetName val="2공구수량"/>
      <sheetName val="UEC영화관본공사내역"/>
      <sheetName val="BOJUNGGM"/>
      <sheetName val="L-type"/>
      <sheetName val="금액내역서"/>
      <sheetName val="단가비교"/>
      <sheetName val="계약"/>
      <sheetName val="전기실및집수정"/>
      <sheetName val="Macro1"/>
      <sheetName val="노임"/>
      <sheetName val="INPUT"/>
      <sheetName val="목차"/>
      <sheetName val="TRE TABLE"/>
      <sheetName val="사급자재"/>
      <sheetName val="대전-교대(A1-A2)"/>
      <sheetName val="수량산출내역1115"/>
      <sheetName val="지급자재"/>
      <sheetName val="교각1"/>
      <sheetName val="타공종이기"/>
      <sheetName val="ABUT수량-A1"/>
      <sheetName val="영창26"/>
      <sheetName val="공통"/>
      <sheetName val="MOTOR"/>
      <sheetName val="역T형교대(말뚝기초)"/>
      <sheetName val="적용단위길이"/>
      <sheetName val="U-TYPE(1)"/>
      <sheetName val="조건표"/>
      <sheetName val="96작생능"/>
      <sheetName val="설직재-1"/>
      <sheetName val="토목주소"/>
      <sheetName val="부하LOAD"/>
      <sheetName val="수량산출"/>
      <sheetName val="별표총괄"/>
      <sheetName val="방송(체육관)"/>
      <sheetName val="Macro(전선)"/>
      <sheetName val="다이꾸"/>
      <sheetName val="7.1유효폭"/>
      <sheetName val="처리단락"/>
      <sheetName val="조도계산서_(도서)"/>
      <sheetName val="PI"/>
      <sheetName val="현황산출서"/>
      <sheetName val="Sheet3"/>
      <sheetName val="개소별수량산출"/>
      <sheetName val="주식"/>
      <sheetName val="Sheet1 (2)"/>
      <sheetName val="골조시행"/>
      <sheetName val="EQUIP LIST"/>
      <sheetName val="BOM(Elec)"/>
      <sheetName val="김포IO"/>
      <sheetName val="일지-H"/>
      <sheetName val="약전닥트"/>
      <sheetName val="FD"/>
      <sheetName val="건축부하"/>
      <sheetName val="FA설치명세"/>
      <sheetName val="99관저"/>
      <sheetName val="LD"/>
      <sheetName val="XXXXXX"/>
      <sheetName val="갑지"/>
      <sheetName val="총괄"/>
      <sheetName val="표지"/>
      <sheetName val="3"/>
      <sheetName val="ITEM"/>
      <sheetName val="시중노임단가"/>
      <sheetName val="CC16-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변압기용량"/>
      <sheetName val="전압조건"/>
      <sheetName val="전압(성남)"/>
      <sheetName val="부하조건"/>
      <sheetName val="부하(성남)"/>
      <sheetName val="LOPCALC"/>
      <sheetName val="공통(20-91)"/>
      <sheetName val="부하_성남_"/>
      <sheetName val="VXXXXX"/>
      <sheetName val="갑지"/>
      <sheetName val="원가도공 (3)"/>
      <sheetName val="원가도공 (2)"/>
      <sheetName val="지급자재"/>
      <sheetName val="수배전원가"/>
      <sheetName val="수배전반"/>
      <sheetName val="수배전단가"/>
      <sheetName val="등기구내역"/>
      <sheetName val="발전기집계"/>
      <sheetName val="집계표"/>
      <sheetName val="내역서"/>
      <sheetName val="분전반일위대가"/>
      <sheetName val="일위대가 "/>
      <sheetName val="인공산출서"/>
      <sheetName val="수량산출"/>
      <sheetName val="단가조사서"/>
      <sheetName val="소방내역"/>
      <sheetName val="노무비조정 (%)"/>
      <sheetName val="단가대비표"/>
      <sheetName val="내역서 (2)"/>
      <sheetName val="산출집계"/>
      <sheetName val="101자탐기초"/>
      <sheetName val="101유도등기초"/>
      <sheetName val="101방송기초 "/>
      <sheetName val="102자탐기초 "/>
      <sheetName val="102유도등기초"/>
      <sheetName val="102방송기초"/>
      <sheetName val="103자탐기초"/>
      <sheetName val="103유도등기초"/>
      <sheetName val="103방송기초"/>
      <sheetName val="104자탐기초"/>
      <sheetName val="104유도등기초"/>
      <sheetName val="104방송기초"/>
      <sheetName val="105자탐기초"/>
      <sheetName val="105유도등기초"/>
      <sheetName val="105방송기초"/>
      <sheetName val="106자탐기초"/>
      <sheetName val="106유도등기초"/>
      <sheetName val="106방송기초"/>
      <sheetName val="107자탐기초"/>
      <sheetName val="107유도등기초"/>
      <sheetName val="107방송기초"/>
      <sheetName val="옥외자탐기초"/>
      <sheetName val="근생자탐기초"/>
      <sheetName val="내역서 (상가)"/>
      <sheetName val="분전반일위대가 (상가)"/>
      <sheetName val="일위대가  (상가)"/>
      <sheetName val="인공산출서 (상가)"/>
      <sheetName val="수량산출 (상가)"/>
      <sheetName val="단가조사서 (상가)"/>
      <sheetName val="부하LOAD"/>
      <sheetName val="부하계산서"/>
      <sheetName val="Sheet3"/>
      <sheetName val="인허가수행 Schedule"/>
      <sheetName val="품의서"/>
      <sheetName val="7.1유효폭"/>
      <sheetName val="조도계산서 (도서)"/>
      <sheetName val="MOTOR"/>
      <sheetName val="바닥판"/>
      <sheetName val="노임단가"/>
      <sheetName val="관리사무소"/>
      <sheetName val="가설건물"/>
      <sheetName val="목차"/>
      <sheetName val="예산내역서"/>
      <sheetName val="설계예산서"/>
      <sheetName val="외천교"/>
      <sheetName val="산출2-기기동력"/>
      <sheetName val="Sheet17"/>
      <sheetName val="DATA"/>
      <sheetName val="조명율표"/>
      <sheetName val="데이타"/>
      <sheetName val="WORK"/>
      <sheetName val="49단가"/>
      <sheetName val="부대대비"/>
      <sheetName val="냉연집계"/>
      <sheetName val="적용단위길이"/>
      <sheetName val="정렬"/>
      <sheetName val="Sheet2"/>
      <sheetName val="BID"/>
      <sheetName val="요율"/>
      <sheetName val="소비자가"/>
      <sheetName val="SUNGNAM1"/>
      <sheetName val="#REF"/>
      <sheetName val="list"/>
      <sheetName val="자재테이블"/>
      <sheetName val="전차선로 물량표"/>
      <sheetName val="기타유틸리티설비"/>
      <sheetName val="1"/>
      <sheetName val="BSD (2)"/>
      <sheetName val="J直材4"/>
      <sheetName val="전기실및집수정"/>
      <sheetName val="여흥"/>
      <sheetName val="원가"/>
      <sheetName val="한강운반비"/>
      <sheetName val="자재"/>
      <sheetName val="설계조건"/>
      <sheetName val="단가정보"/>
      <sheetName val="INPUT DATA"/>
      <sheetName val="CSTSUM"/>
      <sheetName val="TRE TABLE"/>
      <sheetName val="BQ"/>
      <sheetName val="결선list"/>
      <sheetName val="금긋기 및 절단"/>
      <sheetName val="입찰안"/>
      <sheetName val="토목변경"/>
      <sheetName val="1공구(을)"/>
      <sheetName val="품목납기"/>
      <sheetName val="Macro1"/>
      <sheetName val="Macro2"/>
      <sheetName val="ⴭⴭⴭⴭ"/>
      <sheetName val="c_balju"/>
      <sheetName val="U-TYPE(1)"/>
      <sheetName val="L-type"/>
      <sheetName val="중기사용료"/>
      <sheetName val="토공및부대2차"/>
      <sheetName val="주간기성"/>
      <sheetName val="적용토목"/>
      <sheetName val="토사(PE)"/>
      <sheetName val="전력구구조물산근"/>
      <sheetName val="ABUT수량-A1"/>
      <sheetName val="cost"/>
      <sheetName val="L_RPTA05_목록"/>
      <sheetName val="정부노임단가"/>
      <sheetName val="3련 BOX"/>
      <sheetName val="발신정보"/>
      <sheetName val="일위대가내역"/>
      <sheetName val="총괄"/>
      <sheetName val="안정검토"/>
      <sheetName val="품셈기준"/>
      <sheetName val="Sheet13"/>
      <sheetName val="Sheet14"/>
      <sheetName val="발전기"/>
      <sheetName val="주형"/>
      <sheetName val="제잡비계산"/>
      <sheetName val="식재총괄"/>
      <sheetName val="시설물총괄"/>
      <sheetName val="건축총괄"/>
      <sheetName val="식재"/>
      <sheetName val="L형옹벽측구"/>
      <sheetName val="1.설계조건"/>
      <sheetName val="단가산출1"/>
      <sheetName val="단가 및 재료비"/>
      <sheetName val="3BL공동구 수량"/>
      <sheetName val="표지 (2)"/>
      <sheetName val="단가대비표 (3)"/>
      <sheetName val="일위대가"/>
      <sheetName val="인건비"/>
      <sheetName val="공정표"/>
      <sheetName val="공사원가계산서"/>
      <sheetName val="자재단가"/>
      <sheetName val="수량산출서"/>
      <sheetName val="단중표"/>
      <sheetName val="Code"/>
      <sheetName val="Import"/>
      <sheetName val="wall"/>
      <sheetName val="산출내역서집계표"/>
      <sheetName val="횡배수관단위수량"/>
      <sheetName val="MACRO(MCC)"/>
      <sheetName val="맨홀토공수량"/>
      <sheetName val="001"/>
      <sheetName val="수질정화시설"/>
      <sheetName val="환율"/>
      <sheetName val="96작생능"/>
      <sheetName val="ITEM"/>
      <sheetName val="교각계산"/>
      <sheetName val="원가계산서"/>
      <sheetName val="인건-측정"/>
      <sheetName val="오산갈곳"/>
      <sheetName val="소요자재"/>
      <sheetName val="입력DATA"/>
      <sheetName val="단"/>
      <sheetName val="내역"/>
      <sheetName val="MEXICO-C"/>
      <sheetName val="노무비"/>
      <sheetName val="FOOTING단면력"/>
      <sheetName val="중기일위대가"/>
      <sheetName val="타공종이기"/>
      <sheetName val="부안변전"/>
      <sheetName val="부대내역"/>
      <sheetName val="발전기계산서"/>
      <sheetName val="CalcuSheet"/>
      <sheetName val="위치조서"/>
      <sheetName val="첨부"/>
      <sheetName val="GTG TR PIT"/>
      <sheetName val="조도계산서 _도서_"/>
      <sheetName val="공사비예산서(토목분)"/>
      <sheetName val="조명율데이타"/>
      <sheetName val="다이꾸"/>
      <sheetName val="직공비"/>
      <sheetName val="말뚝지지력산정"/>
      <sheetName val="차액보증"/>
      <sheetName val="전기"/>
      <sheetName val="guard(mac)"/>
      <sheetName val="총괄표"/>
      <sheetName val="직노"/>
      <sheetName val="기기리스트"/>
      <sheetName val="날개벽수량표"/>
      <sheetName val="EQUIP LIST"/>
      <sheetName val="목록"/>
      <sheetName val="mesc"/>
      <sheetName val="노임"/>
      <sheetName val="cable-data"/>
      <sheetName val="일반공사"/>
      <sheetName val="현장지지물물량"/>
      <sheetName val="환율-LIBOR"/>
      <sheetName val="방배동내역(리라)"/>
      <sheetName val="공사비집계"/>
      <sheetName val="양식"/>
      <sheetName val="견적시담(송포2공구)"/>
      <sheetName val="예정공정표"/>
      <sheetName val="총계"/>
      <sheetName val="Proposal"/>
      <sheetName val="토공사"/>
      <sheetName val="추가및 공제(방파제)"/>
      <sheetName val="전기일위대가"/>
      <sheetName val="설직재-1"/>
      <sheetName val="기자재비"/>
      <sheetName val="TABLE"/>
      <sheetName val="실행품의서"/>
      <sheetName val="W-현원가"/>
      <sheetName val="횡배위치"/>
      <sheetName val="CRF"/>
      <sheetName val="금액내역서"/>
      <sheetName val="내역표지"/>
      <sheetName val="산#2-1 (2)"/>
      <sheetName val=" 견적서"/>
      <sheetName val="인허가수행_Schedule"/>
      <sheetName val="원가도공_(3)"/>
      <sheetName val="원가도공_(2)"/>
      <sheetName val="일위대가_"/>
      <sheetName val="노무비조정_(%)"/>
      <sheetName val="내역서_(2)"/>
      <sheetName val="101방송기초_"/>
      <sheetName val="102자탐기초_"/>
      <sheetName val="내역서_(상가)"/>
      <sheetName val="분전반일위대가_(상가)"/>
      <sheetName val="일위대가__(상가)"/>
      <sheetName val="인공산출서_(상가)"/>
      <sheetName val="수량산출_(상가)"/>
      <sheetName val="단가조사서_(상가)"/>
      <sheetName val="조도계산서_(도서)"/>
      <sheetName val="7_1유효폭"/>
      <sheetName val="BSD_(2)"/>
      <sheetName val="전차선로_물량표"/>
      <sheetName val="단가대비표_(3)"/>
      <sheetName val="산#2-1_(2)"/>
      <sheetName val="FEXS"/>
      <sheetName val="ilch"/>
      <sheetName val="HRSG SMALL07220"/>
      <sheetName val="토적계산"/>
      <sheetName val="참조"/>
      <sheetName val="일위대가목록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안내"/>
      <sheetName val="버스운행안내"/>
      <sheetName val="예방접종계획"/>
      <sheetName val="근태계획서"/>
      <sheetName val="역T형"/>
      <sheetName val="안정검토"/>
      <sheetName val="단면설계"/>
      <sheetName val="수식변수"/>
      <sheetName val="교각1"/>
      <sheetName val="단면 (2)"/>
      <sheetName val="편입조서"/>
      <sheetName val="용소리교"/>
      <sheetName val="집계표"/>
    </sheetNames>
    <sheetDataSet>
      <sheetData sheetId="0" refreshError="1"/>
      <sheetData sheetId="1" refreshError="1">
        <row r="6">
          <cell r="F6">
            <v>0.375</v>
          </cell>
          <cell r="H6">
            <v>0.8125</v>
          </cell>
        </row>
        <row r="7">
          <cell r="C7">
            <v>2.0833333333333332E-2</v>
          </cell>
        </row>
        <row r="8">
          <cell r="C8">
            <v>6.9444444444444441E-3</v>
          </cell>
          <cell r="D8">
            <v>1.0416666666666666E-2</v>
          </cell>
          <cell r="E8">
            <v>8.3333333333333332E-3</v>
          </cell>
          <cell r="F8">
            <v>6.9444444444444441E-3</v>
          </cell>
          <cell r="G8">
            <v>9.0277777777777787E-3</v>
          </cell>
          <cell r="H8">
            <v>5.5555555555555558E-3</v>
          </cell>
          <cell r="I8">
            <v>7.6388888888888886E-3</v>
          </cell>
          <cell r="J8">
            <v>1.0416666666666666E-2</v>
          </cell>
        </row>
      </sheetData>
      <sheetData sheetId="2" refreshError="1">
        <row r="2">
          <cell r="H2">
            <v>36651</v>
          </cell>
        </row>
      </sheetData>
      <sheetData sheetId="3" refreshError="1">
        <row r="3">
          <cell r="I3" t="str">
            <v>●</v>
          </cell>
          <cell r="J3" t="str">
            <v>▲</v>
          </cell>
          <cell r="K3" t="str">
            <v>⊙</v>
          </cell>
          <cell r="L3" t="str">
            <v>○</v>
          </cell>
          <cell r="M3" t="str">
            <v>◆</v>
          </cell>
          <cell r="N3" t="str">
            <v>★</v>
          </cell>
          <cell r="O3" t="str">
            <v>＃</v>
          </cell>
          <cell r="P3" t="str">
            <v>☆</v>
          </cell>
          <cell r="Q3" t="str">
            <v>♥</v>
          </cell>
        </row>
        <row r="5">
          <cell r="B5">
            <v>1999</v>
          </cell>
          <cell r="D5">
            <v>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)유동표"/>
      <sheetName val="INPUT"/>
      <sheetName val="유동최종"/>
      <sheetName val="일위대가(계측기설치)"/>
    </sheetNames>
    <sheetDataSet>
      <sheetData sheetId="0" refreshError="1">
        <row r="23">
          <cell r="A23" t="str">
            <v>공     제     토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현장조직도"/>
      <sheetName val="Sheet2"/>
      <sheetName val="Sheet3"/>
      <sheetName val="갑지1"/>
      <sheetName val="별총"/>
      <sheetName val="#REF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Object"/>
      <sheetName val="CTEMCOST"/>
      <sheetName val="6PILE  (돌출)"/>
      <sheetName val="실행내역(2001)"/>
      <sheetName val="외주잡비"/>
      <sheetName val="8. 직영시공 품의 현황"/>
      <sheetName val="공사개요"/>
      <sheetName val="기계경비"/>
      <sheetName val="코드"/>
      <sheetName val="검토갑"/>
      <sheetName val="내역집계 "/>
      <sheetName val="공통토목건축"/>
      <sheetName val="동원(3)"/>
      <sheetName val="예정(3)"/>
      <sheetName val="제출내역 (2)"/>
      <sheetName val="가로등내역서"/>
      <sheetName val="견적서"/>
      <sheetName val="사용성검토"/>
      <sheetName val="설계조건"/>
      <sheetName val="신뢰성시험능력확인표"/>
      <sheetName val="BOX복구단위수량"/>
      <sheetName val="중기집계"/>
      <sheetName val="구리토평1전기"/>
      <sheetName val="form7"/>
      <sheetName val="70%"/>
      <sheetName val="BID"/>
      <sheetName val="명세서"/>
      <sheetName val="용산1(해보)"/>
      <sheetName val="Sheet1 (2)"/>
      <sheetName val="공통가설"/>
      <sheetName val="노무비"/>
      <sheetName val="도근좌표"/>
      <sheetName val="일위대가 "/>
      <sheetName val="전기일위대가"/>
      <sheetName val="COVER"/>
      <sheetName val="물가자료"/>
      <sheetName val="냉천부속동"/>
      <sheetName val="회사기초자료"/>
      <sheetName val="자재단가"/>
      <sheetName val="설계예시"/>
      <sheetName val="내역표지"/>
      <sheetName val="JUCKEYK"/>
      <sheetName val="기초단가"/>
      <sheetName val="2공구산출내역"/>
      <sheetName val="수수료율표"/>
      <sheetName val="SLAB"/>
      <sheetName val="데리네이타현황"/>
      <sheetName val="자료"/>
      <sheetName val="단가표"/>
      <sheetName val="공사비증감"/>
      <sheetName val="재고추이(총재고_P6)"/>
      <sheetName val="계획비교(선적)"/>
      <sheetName val="Tabelle1"/>
      <sheetName val="Chart1"/>
      <sheetName val="목록"/>
      <sheetName val="생산 실적 "/>
      <sheetName val="투입"/>
      <sheetName val="완성"/>
      <sheetName val="노임이"/>
      <sheetName val="금관"/>
      <sheetName val="경주"/>
      <sheetName val="백화"/>
      <sheetName val="대외공문"/>
      <sheetName val="1.설계조건"/>
      <sheetName val="2003상반기노임기준"/>
      <sheetName val="덤프트럭계수"/>
      <sheetName val="단가비교표"/>
      <sheetName val="실행철강하도"/>
      <sheetName val="노임"/>
      <sheetName val="기자재비"/>
      <sheetName val="문학간접"/>
      <sheetName val="도급FORM"/>
      <sheetName val="단가일람"/>
      <sheetName val="단위량당중기"/>
      <sheetName val="중소기업"/>
      <sheetName val="감리을"/>
      <sheetName val="EJ"/>
      <sheetName val="FO"/>
      <sheetName val="주공 갑지"/>
      <sheetName val="List1"/>
      <sheetName val="Feuil1"/>
      <sheetName val="ABUT수량-A1"/>
      <sheetName val="건축"/>
      <sheetName val="인건비"/>
      <sheetName val="분양율"/>
      <sheetName val="부재리스트"/>
      <sheetName val="설산1.나"/>
      <sheetName val="본사S"/>
      <sheetName val="인부노임"/>
      <sheetName val="일위대가표"/>
      <sheetName val="A"/>
      <sheetName val="골조시행"/>
      <sheetName val="Hárok1"/>
      <sheetName val="주행"/>
      <sheetName val="712"/>
      <sheetName val="96PLAN"/>
      <sheetName val="개요"/>
      <sheetName val="화성태안9공구내역(실행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심사결과"/>
      <sheetName val="설계예산서갑지"/>
      <sheetName val="내역서"/>
      <sheetName val="일위대가목록"/>
      <sheetName val="일위대가_호표"/>
      <sheetName val="일위대가_산근"/>
      <sheetName val="노임"/>
      <sheetName val="자재"/>
      <sheetName val="자재조서"/>
      <sheetName val="경비"/>
      <sheetName val="중기사용료목록"/>
      <sheetName val="중기사용료"/>
      <sheetName val="중기기초자료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시설물일위"/>
      <sheetName val="가설공사"/>
      <sheetName val="단가결정"/>
      <sheetName val="내역아"/>
      <sheetName val="울타리"/>
      <sheetName val="시설수량표"/>
      <sheetName val="집계표"/>
      <sheetName val="주현(해보)"/>
      <sheetName val="주현(영광)"/>
      <sheetName val="기타 정보통신공사"/>
      <sheetName val="TR-R222"/>
      <sheetName val="산출2-기기동력"/>
      <sheetName val="woo(mac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집계표"/>
      <sheetName val="원가"/>
      <sheetName val="견적을지"/>
      <sheetName val="관급"/>
      <sheetName val="관급(원가)"/>
      <sheetName val="내역"/>
      <sheetName val="수수료"/>
      <sheetName val="한전"/>
      <sheetName val="일대"/>
      <sheetName val="단위"/>
      <sheetName val="단가"/>
      <sheetName val="부하"/>
      <sheetName val="간선"/>
      <sheetName val="변압기"/>
      <sheetName val="노임단가"/>
      <sheetName val="수목단가"/>
      <sheetName val="자재단가"/>
      <sheetName val="신우"/>
      <sheetName val="내역서"/>
      <sheetName val="망운중학교(최)"/>
      <sheetName val="경비"/>
      <sheetName val="일위대가(가설)"/>
      <sheetName val="1. 설계조건 2.단면가정 3. 하중계산"/>
      <sheetName val="DATA 입력란"/>
      <sheetName val="조명시설"/>
      <sheetName val="01"/>
      <sheetName val="선로정수(바뀐것)"/>
      <sheetName val="예정(3)"/>
      <sheetName val="#REF"/>
      <sheetName val="암거단위-1련"/>
      <sheetName val="뚝토공"/>
      <sheetName val="설계내역"/>
      <sheetName val="9811"/>
      <sheetName val="현장관리비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#REF"/>
      <sheetName val="guard(mac)"/>
      <sheetName val="하중"/>
      <sheetName val="간선계산"/>
      <sheetName val="교각1"/>
      <sheetName val="과천MAIN"/>
      <sheetName val="7회로 15DIM 3RD"/>
      <sheetName val="35DIM 3D (2)"/>
      <sheetName val="18회로"/>
      <sheetName val="9회로 (2)"/>
      <sheetName val="10회로 조명"/>
      <sheetName val="7회로 조명"/>
      <sheetName val="조명3전기4 신형 (2)"/>
      <sheetName val="4회로"/>
      <sheetName val="조명3전기2 신형"/>
      <sheetName val="11CH50DIM6RD5"/>
      <sheetName val="14CH32DIM6RD5 (2)"/>
      <sheetName val="28회로"/>
      <sheetName val="8회로신형"/>
      <sheetName val="부산시사상구청"/>
      <sheetName val="18DIM5CH3D"/>
      <sheetName val="18DIM4CH3D (2)"/>
      <sheetName val="14DIM3DIR"/>
      <sheetName val="전기3회로dim8"/>
      <sheetName val="전기2회로dim9 (3)"/>
      <sheetName val="전기2회로dim8 (4)"/>
      <sheetName val="5CH8DIM3D"/>
      <sheetName val="5CH10DIM3D (2)"/>
      <sheetName val="18DIM6CH3D (2)"/>
      <sheetName val="일위(설)"/>
      <sheetName val="전기산출근거"/>
      <sheetName val="8회로 25DIM 4RD (2)"/>
      <sheetName val="9회로 22DIM 3D "/>
      <sheetName val="조명5전기1(2)"/>
      <sheetName val="6DIM12CH2D (3)"/>
      <sheetName val="부하(성남)"/>
      <sheetName val="부하계산서"/>
      <sheetName val="버스운행안내"/>
      <sheetName val="예방접종계획"/>
      <sheetName val="근태계획서"/>
      <sheetName val="역T형"/>
      <sheetName val="Sheet1"/>
      <sheetName val="기계내역"/>
      <sheetName val="일위대가"/>
      <sheetName val="관급단가"/>
      <sheetName val="Sheet5"/>
      <sheetName val="단면 (2)"/>
      <sheetName val="원가"/>
      <sheetName val="차선도색현황"/>
      <sheetName val="설비"/>
      <sheetName val="LOPCALC"/>
      <sheetName val="계화배수"/>
      <sheetName val="기성총"/>
      <sheetName val="일위대가(가설)"/>
      <sheetName val="내역서"/>
      <sheetName val="기준자료"/>
      <sheetName val="주방환기"/>
      <sheetName val="공사내역"/>
      <sheetName val="신우"/>
      <sheetName val="MOTOR"/>
      <sheetName val="DATA"/>
      <sheetName val="N賃率-職"/>
      <sheetName val="I一般比"/>
      <sheetName val="2F 회의실견적(5_14 일대)"/>
      <sheetName val="말뚝지지력산정"/>
      <sheetName val="수로교총재료집계"/>
      <sheetName val="보온자재단가표"/>
      <sheetName val="TOTAL"/>
      <sheetName val="EQUIP-H"/>
      <sheetName val="BM"/>
      <sheetName val="일위대가(계측기설치)"/>
      <sheetName val="견적990322"/>
      <sheetName val="지급자재"/>
      <sheetName val="품목"/>
      <sheetName val="집계"/>
      <sheetName val="기본일위"/>
      <sheetName val="내역서2안"/>
      <sheetName val="직노"/>
      <sheetName val="실행내역"/>
      <sheetName val="공통(20-91)"/>
      <sheetName val="양천현"/>
      <sheetName val=" HIT-&gt;HMC 견적(3900)"/>
      <sheetName val="JUCK"/>
      <sheetName val="LEGEND"/>
      <sheetName val="9811"/>
      <sheetName val="간접재료비산출표-27-30"/>
      <sheetName val="__"/>
      <sheetName val="수량산출"/>
      <sheetName val="부서현황"/>
      <sheetName val="설직재-1"/>
      <sheetName val="20관리비율"/>
      <sheetName val="Sheet1 (2)"/>
      <sheetName val="원내역"/>
      <sheetName val="청천내"/>
      <sheetName val="집계표"/>
      <sheetName val="일위대가목록"/>
      <sheetName val="4)유동표"/>
      <sheetName val="INPUT"/>
      <sheetName val="IMPEADENCE MAP 취수장"/>
      <sheetName val="토사(PE)"/>
      <sheetName val="포장직선구간"/>
      <sheetName val="PROJECT BRIEF(EX.NEW)"/>
      <sheetName val="내역표지"/>
      <sheetName val="손익분석"/>
      <sheetName val="VXXXXXXX"/>
      <sheetName val="Y-WORK"/>
      <sheetName val="1. 통합배선설비"/>
      <sheetName val="별표 "/>
      <sheetName val="전신환매도율"/>
      <sheetName val="물가시세"/>
      <sheetName val="노임단가"/>
      <sheetName val="내역"/>
      <sheetName val="날개벽(시점좌측)"/>
      <sheetName val="갑지"/>
      <sheetName val="JUCKEYK"/>
      <sheetName val="실행대비"/>
      <sheetName val="무시"/>
      <sheetName val="입찰안"/>
      <sheetName val="설계조건"/>
      <sheetName val="현대물량"/>
      <sheetName val="조명시설"/>
      <sheetName val="BID"/>
      <sheetName val="B부대공"/>
      <sheetName val="2000년1차"/>
      <sheetName val="노임"/>
      <sheetName val="점수계산1-2"/>
      <sheetName val="원가계산서"/>
      <sheetName val="총괄집계표"/>
      <sheetName val="가설공사"/>
      <sheetName val="정부노임단가"/>
      <sheetName val="단가조사"/>
      <sheetName val="실행철강하도"/>
      <sheetName val="PROCESS"/>
      <sheetName val="45,46"/>
      <sheetName val="BSD (2)"/>
      <sheetName val="단가산출"/>
      <sheetName val="건축내역"/>
      <sheetName val="전장품(관리용)"/>
      <sheetName val="성곽내역서"/>
      <sheetName val="GEN"/>
      <sheetName val="데이타"/>
      <sheetName val="단가"/>
      <sheetName val="합천내역"/>
      <sheetName val="전선 및 전선관"/>
      <sheetName val="직재"/>
      <sheetName val="보할공정"/>
      <sheetName val="단가비교표"/>
      <sheetName val="물가"/>
      <sheetName val="9509"/>
      <sheetName val="EQUIPMENT -2"/>
      <sheetName val="단가산출-기,교"/>
      <sheetName val="일위목록-기"/>
      <sheetName val="요율"/>
      <sheetName val="1.설계조건"/>
      <sheetName val="내역서1"/>
      <sheetName val="견적대비 견적서"/>
      <sheetName val="제직재"/>
      <sheetName val="제-노임"/>
      <sheetName val="견"/>
      <sheetName val="을"/>
      <sheetName val="J直材4"/>
      <sheetName val="작성기준"/>
      <sheetName val="일위"/>
      <sheetName val="EACT10"/>
      <sheetName val="DB"/>
      <sheetName val="sw1"/>
      <sheetName val="NOMUBI"/>
      <sheetName val="A갑지"/>
      <sheetName val="좌측"/>
      <sheetName val="일위목록"/>
      <sheetName val="2.대외공문"/>
      <sheetName val="Care"/>
      <sheetName val="OPT7"/>
      <sheetName val="SV7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PM"/>
      <sheetName val="일위_파일"/>
      <sheetName val="6호기"/>
      <sheetName val="표지"/>
      <sheetName val="실행예산서"/>
      <sheetName val="노임조서"/>
      <sheetName val="연결임시"/>
      <sheetName val="SPEC"/>
      <sheetName val="대공종"/>
      <sheetName val="총괄표"/>
      <sheetName val="관급_File"/>
      <sheetName val="차액보증"/>
      <sheetName val="단가표"/>
      <sheetName val="율촌법률사무소2내역"/>
      <sheetName val="공사원가계산서"/>
      <sheetName val="Summary Sheets"/>
      <sheetName val="참조"/>
      <sheetName val="사전공사"/>
      <sheetName val="1007공사세부내역서"/>
      <sheetName val="1007전기내역서(리빙)"/>
      <sheetName val="컨텍리포트"/>
      <sheetName val="금액내역서"/>
      <sheetName val="목차"/>
      <sheetName val="환산"/>
      <sheetName val="견적"/>
      <sheetName val="21301동"/>
      <sheetName val="진주방향"/>
      <sheetName val="검수고1-1층"/>
      <sheetName val="PAN"/>
      <sheetName val="기성금내역서"/>
      <sheetName val="Oper Amount"/>
      <sheetName val="수량산출서"/>
      <sheetName val="말뚝물량"/>
      <sheetName val="1안"/>
      <sheetName val="발신정보"/>
      <sheetName val="공사비예산서(토목분)"/>
      <sheetName val="대비"/>
      <sheetName val="기초대가"/>
      <sheetName val="부하LOAD"/>
      <sheetName val="양수장(기계)"/>
      <sheetName val="조건표"/>
      <sheetName val="토 적 표"/>
      <sheetName val="전기일위대가"/>
      <sheetName val="DATE"/>
      <sheetName val="단중표"/>
      <sheetName val="처리단락"/>
      <sheetName val="부표총괄"/>
      <sheetName val="별표집계"/>
      <sheetName val="산출"/>
      <sheetName val="김포IO"/>
      <sheetName val="FD"/>
      <sheetName val="약전닥트"/>
      <sheetName val="건축부하"/>
      <sheetName val="99관저"/>
      <sheetName val="일지-H"/>
      <sheetName val="LD"/>
      <sheetName val="FA설치명세"/>
      <sheetName val="전차선로 물량표"/>
      <sheetName val="인부임"/>
      <sheetName val="전체"/>
      <sheetName val="설 계"/>
      <sheetName val="수입"/>
      <sheetName val="AP1"/>
      <sheetName val="적용률"/>
      <sheetName val="OPT"/>
      <sheetName val="SV"/>
      <sheetName val="낙찰표"/>
      <sheetName val="계측"/>
      <sheetName val="A-4"/>
      <sheetName val="danga"/>
      <sheetName val="원본(갑지)"/>
      <sheetName val="자재집계표"/>
      <sheetName val="3BL공동구 수량"/>
      <sheetName val="#3E1_GCR"/>
      <sheetName val="견적서"/>
      <sheetName val="품셈"/>
      <sheetName val="관급"/>
      <sheetName val="중량산출"/>
      <sheetName val="수량이동"/>
      <sheetName val="단가조사서"/>
      <sheetName val="금액"/>
      <sheetName val="재집"/>
      <sheetName val="가로내역"/>
      <sheetName val="발전기"/>
      <sheetName val="Sheet13"/>
      <sheetName val="Sheet14"/>
      <sheetName val="Carepaq"/>
      <sheetName val="민속촌메뉴"/>
      <sheetName val="ABUT수량-A1"/>
      <sheetName val="동원(3)"/>
      <sheetName val="예정(3)"/>
      <sheetName val="SG"/>
      <sheetName val="시멘트"/>
      <sheetName val="Sheet3"/>
      <sheetName val="Sheet2"/>
      <sheetName val="수량(건축)"/>
      <sheetName val="CIVIL4"/>
      <sheetName val="인건비 "/>
      <sheetName val="연습"/>
      <sheetName val="송중자재"/>
      <sheetName val="전선"/>
      <sheetName val="CABLE"/>
      <sheetName val="#3_일위대가목록"/>
      <sheetName val="단가조사표"/>
      <sheetName val="뚝토공"/>
      <sheetName val="CATV"/>
      <sheetName val="노임이"/>
      <sheetName val="환율"/>
      <sheetName val="UNIT"/>
      <sheetName val="옥외"/>
      <sheetName val="가도공"/>
      <sheetName val="전화TV"/>
      <sheetName val="제2~7호표"/>
      <sheetName val="터널조도"/>
      <sheetName val="CABLE SIZE-3"/>
      <sheetName val="슬래브(유곡)"/>
      <sheetName val="도급예산내역서봉투"/>
      <sheetName val="기계경비(시간당)"/>
      <sheetName val="설계산출기초"/>
      <sheetName val="설계산출표지"/>
      <sheetName val="도급예산내역서총괄표"/>
      <sheetName val="램머"/>
      <sheetName val="Baby일위대가"/>
      <sheetName val="분전함신설"/>
      <sheetName val="자재단가"/>
      <sheetName val="을부담운반비"/>
      <sheetName val="운반비산출"/>
      <sheetName val="접지1종"/>
      <sheetName val="조명율표"/>
      <sheetName val="ITEM"/>
      <sheetName val="Macro(차단기)"/>
      <sheetName val="광혁기성"/>
      <sheetName val="인건-측정"/>
      <sheetName val="COPING-1"/>
      <sheetName val="역T형교대-2수량"/>
      <sheetName val="노무비"/>
      <sheetName val="선로정수계산"/>
      <sheetName val="식재인부"/>
      <sheetName val="건축2"/>
      <sheetName val="산출근거목록"/>
      <sheetName val="일대목록"/>
      <sheetName val="교각별수량"/>
      <sheetName val="F5"/>
      <sheetName val="찍기"/>
      <sheetName val="CABLE SIZE-1"/>
      <sheetName val="DATA1"/>
      <sheetName val="DATA2"/>
      <sheetName val="현장관리비집계표"/>
      <sheetName val="한일양산"/>
      <sheetName val="단가대비표"/>
      <sheetName val="건설기계_목록(10)"/>
      <sheetName val="제품별 MC"/>
      <sheetName val="경비_원본"/>
      <sheetName val="VENT"/>
      <sheetName val="BASIC (2)"/>
      <sheetName val="재료집계"/>
      <sheetName val="WORK"/>
      <sheetName val="물량표"/>
      <sheetName val="변압94"/>
      <sheetName val="포장절단"/>
      <sheetName val="보수공사일정표"/>
      <sheetName val="한전공사"/>
      <sheetName val="공사비내역서"/>
      <sheetName val="일위대가목록표"/>
      <sheetName val="일위대가표"/>
      <sheetName val="공량산출근거"/>
      <sheetName val="단가조사서 (2)"/>
      <sheetName val="Galaxy 소비자가격표"/>
      <sheetName val="몰탈콘크리트"/>
      <sheetName val="철근집계"/>
      <sheetName val="관로토공집계표"/>
      <sheetName val="보활"/>
      <sheetName val="샘플표지"/>
      <sheetName val="프랜트면허"/>
      <sheetName val="전기일위목록"/>
      <sheetName val="type-F"/>
      <sheetName val="06 일위대가목록"/>
      <sheetName val="수량산출(교량)"/>
      <sheetName val="6.Base"/>
      <sheetName val="UR2-Calculation"/>
      <sheetName val="CA지입"/>
      <sheetName val="982월원안"/>
      <sheetName val="건축내역서"/>
      <sheetName val="P.M 별"/>
      <sheetName val="삼성전기"/>
      <sheetName val="주식"/>
      <sheetName val="XL4Poppy"/>
      <sheetName val="업무"/>
      <sheetName val="phuluc1"/>
      <sheetName val="현장관리비"/>
      <sheetName val="1. 설계조건 2.단면가정 3. 하중계산"/>
      <sheetName val="DATA 입력란"/>
      <sheetName val="정산내역"/>
      <sheetName val="MEXICO-C"/>
      <sheetName val="PBS"/>
      <sheetName val="YS_A"/>
      <sheetName val="Macro(전선)"/>
      <sheetName val="분석"/>
      <sheetName val="자재"/>
      <sheetName val="노무"/>
      <sheetName val="도"/>
      <sheetName val="POL설치공정"/>
      <sheetName val="대치판정"/>
      <sheetName val="당진1,2호기전선관설치및접지4차공사내역서-을지"/>
      <sheetName val="기초"/>
      <sheetName val="기본DATA"/>
      <sheetName val="TEL"/>
      <sheetName val="설산1.나"/>
      <sheetName val="본사S"/>
      <sheetName val="예비품"/>
      <sheetName val="T1"/>
      <sheetName val="맨홀"/>
      <sheetName val="cable-data"/>
      <sheetName val="발전계획"/>
      <sheetName val="예산내역서"/>
      <sheetName val="설계예산서"/>
      <sheetName val="일위대가(목록)"/>
      <sheetName val="재료비"/>
      <sheetName val="¼³°è¿¹»ê¼­"/>
      <sheetName val="¿¹»ê³»¿ª¼­"/>
      <sheetName val="자료"/>
      <sheetName val="개요"/>
      <sheetName val="내역서(부대공사)"/>
      <sheetName val="하조서"/>
      <sheetName val="담장산출"/>
      <sheetName val="매크로"/>
      <sheetName val="조명율"/>
      <sheetName val="표지 (2)"/>
      <sheetName val="Macro1"/>
      <sheetName val="Macro2"/>
      <sheetName val="노원열병합  건축공사기성내역서"/>
      <sheetName val="Sheet17"/>
      <sheetName val="예산대비"/>
      <sheetName val="품목코드"/>
      <sheetName val="U-TYPE(1)"/>
      <sheetName val="토공(우물통,기타) "/>
      <sheetName val="조내역"/>
      <sheetName val="허용전류-IEC DATA"/>
      <sheetName val="MCC제원"/>
      <sheetName val="단면적"/>
      <sheetName val="MCC"/>
      <sheetName val="방송일위대가"/>
      <sheetName val="부안일위"/>
      <sheetName val="STORAGE"/>
      <sheetName val="취수탑"/>
      <sheetName val="토목주소"/>
      <sheetName val="방음벽기초"/>
      <sheetName val="설계변경원가계산총괄표"/>
      <sheetName val="부속동"/>
      <sheetName val="갑지(추정)"/>
      <sheetName val="법면"/>
      <sheetName val="부대공"/>
      <sheetName val="구조물공"/>
      <sheetName val="중기일위대가"/>
      <sheetName val="포장공"/>
      <sheetName val="토공"/>
      <sheetName val="배수공1"/>
      <sheetName val="서울산업대(토)"/>
      <sheetName val="노임단가(0.3)"/>
      <sheetName val="BALIK201"/>
      <sheetName val="일위대가-1"/>
      <sheetName val="배수공"/>
      <sheetName val="토목-물가"/>
      <sheetName val="차단용량계산서"/>
      <sheetName val="현장지지물물량"/>
      <sheetName val="IW-LIST"/>
      <sheetName val="터파기및재료"/>
      <sheetName val="품셈기준"/>
      <sheetName val="4-3 보온 기본물량집계"/>
      <sheetName val="기존단가 (2)"/>
      <sheetName val="연부97-1"/>
      <sheetName val="갑지1"/>
      <sheetName val="가격산출기초"/>
      <sheetName val="물가대비표"/>
      <sheetName val="산출내역서집계표"/>
      <sheetName val="부서별비교표_1"/>
      <sheetName val="041125(분야별)"/>
      <sheetName val="041203(분야별))"/>
      <sheetName val="을지"/>
      <sheetName val="품셈TABLE"/>
      <sheetName val="아스팔트 포장총괄집계표"/>
      <sheetName val="LANGUAGE"/>
      <sheetName val="설치공사"/>
      <sheetName val="산출근거"/>
      <sheetName val="위치조서"/>
      <sheetName val="EQ"/>
      <sheetName val="P-J"/>
      <sheetName val="Inputs"/>
      <sheetName val="Cost Inputs"/>
      <sheetName val="기초일위"/>
      <sheetName val="시설일위"/>
      <sheetName val="조명일위"/>
      <sheetName val="빌딩 안내"/>
      <sheetName val="소비자가"/>
      <sheetName val="1F"/>
      <sheetName val="1.우편집중내역서"/>
      <sheetName val="PIPE"/>
      <sheetName val="FLANGE"/>
      <sheetName val="VALVE"/>
      <sheetName val="일위대가목차"/>
      <sheetName val="실행비교"/>
      <sheetName val="교각계산"/>
      <sheetName val="대로근거"/>
      <sheetName val="중로근거"/>
      <sheetName val="hvac(제어동)"/>
      <sheetName val="유기공정"/>
      <sheetName val="969910( R)"/>
      <sheetName val="기둥(하중)"/>
      <sheetName val="FB25JN"/>
      <sheetName val="Paint,Fire-Proof,Insul(48)"/>
      <sheetName val="설계개요"/>
      <sheetName val="산_3_2"/>
      <sheetName val="산_3_1"/>
      <sheetName val="_REF"/>
      <sheetName val="산_3_2_2"/>
      <sheetName val="민감도"/>
      <sheetName val="토목"/>
      <sheetName val="경산"/>
      <sheetName val="Sheet4"/>
      <sheetName val="개요입력"/>
      <sheetName val="수량기준"/>
      <sheetName val="단가기준"/>
      <sheetName val="Lookup Table"/>
      <sheetName val="BBT RRP V45"/>
      <sheetName val="Annex"/>
      <sheetName val="Rental_RRP V45"/>
      <sheetName val="전기공사 산출집계"/>
      <sheetName val="전기공사 산출"/>
      <sheetName val="인건비"/>
      <sheetName val="VV보온LINK"/>
      <sheetName val="FIT보온LINK"/>
      <sheetName val="단"/>
      <sheetName val="FANDBS"/>
      <sheetName val="GRDATA"/>
      <sheetName val="SHAFTDBSE"/>
      <sheetName val="9GNG운반"/>
      <sheetName val="시행후면적"/>
      <sheetName val="수지예산"/>
      <sheetName val="Carepack"/>
      <sheetName val="TRE TABLE"/>
      <sheetName val="시화점실행"/>
      <sheetName val="소요자재"/>
      <sheetName val="정산내역서"/>
      <sheetName val="설계내역서"/>
      <sheetName val="C Model"/>
      <sheetName val="준공내역"/>
      <sheetName val="간선"/>
      <sheetName val="2연BOX"/>
      <sheetName val="총체보활공정표"/>
      <sheetName val="ilch"/>
      <sheetName val="3련 BOX"/>
      <sheetName val="7.1유효폭"/>
      <sheetName val="허용전류-IEC"/>
      <sheetName val="BDATA"/>
      <sheetName val="LinerWt"/>
      <sheetName val="내역서(교량)전체"/>
      <sheetName val="설계명세서"/>
      <sheetName val="기계실냉난방"/>
      <sheetName val="Sheet6"/>
      <sheetName val="산출(홀전등6)"/>
      <sheetName val="산출(AV배관)"/>
      <sheetName val="소상 &quot;1&quot;"/>
      <sheetName val="대극장-하부단가"/>
      <sheetName val="NEYOK"/>
      <sheetName val="입찰견적보고서"/>
      <sheetName val="공량산출서"/>
      <sheetName val="MEMBER"/>
      <sheetName val="견적내역서"/>
      <sheetName val="지급자재조서"/>
      <sheetName val="SRC-B3U2"/>
      <sheetName val="choose"/>
      <sheetName val="PI"/>
      <sheetName val="홍보비디오"/>
      <sheetName val="공사현황"/>
      <sheetName val="잡철물"/>
      <sheetName val="양수장내역"/>
      <sheetName val="조도계산서 (도서)"/>
      <sheetName val="CTEMCOST"/>
      <sheetName val="일 위 대 가 표 "/>
      <sheetName val="인수공규격"/>
      <sheetName val="집계표(3자)"/>
      <sheetName val="내역서(관급)"/>
      <sheetName val="원가계산서(통신공사)"/>
      <sheetName val="단가 및 재료비"/>
      <sheetName val="기준 "/>
      <sheetName val="허용전류"/>
      <sheetName val="평가데이터"/>
      <sheetName val="일반공사"/>
      <sheetName val="세부내역"/>
      <sheetName val="2.ㄱ)교량"/>
      <sheetName val="단가비교표 (계측제어)"/>
      <sheetName val="횡배수관토공수량"/>
      <sheetName val="중강당 내역"/>
      <sheetName val="철근단면적"/>
      <sheetName val="건축"/>
      <sheetName val="일위산출"/>
      <sheetName val="시공계획공정"/>
      <sheetName val="통신물량"/>
      <sheetName val="실행"/>
      <sheetName val="Macro(전기)"/>
      <sheetName val="가로등기초"/>
      <sheetName val="샌딩 에폭시 도장"/>
      <sheetName val="스텐문틀설치"/>
      <sheetName val="일반문틀 설치"/>
      <sheetName val="EP0618"/>
      <sheetName val="예가표"/>
      <sheetName val="COVER"/>
      <sheetName val="내역서(1)"/>
      <sheetName val="insulation"/>
      <sheetName val="총괄"/>
      <sheetName val="계산중"/>
      <sheetName val="횡배위치"/>
      <sheetName val="계화배수(3대)"/>
      <sheetName val="당초수문"/>
      <sheetName val="세부내역(직접인건비)"/>
      <sheetName val="출력X"/>
      <sheetName val="홈통받이수량"/>
      <sheetName val="프로젝트"/>
      <sheetName val="공종별집계표"/>
      <sheetName val="날개벽"/>
      <sheetName val="내역을"/>
      <sheetName val="-배수구조총재료"/>
      <sheetName val="순공사비"/>
      <sheetName val="BAU"/>
      <sheetName val="공사개요"/>
      <sheetName val="매입세율"/>
      <sheetName val="공사비총"/>
      <sheetName val="F4-F7"/>
      <sheetName val="가로등내역서"/>
      <sheetName val="산경"/>
      <sheetName val="일위(P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4)유동표"/>
      <sheetName val="INPUT"/>
      <sheetName val="#REF"/>
      <sheetName val="7회로 15DIM 3RD"/>
      <sheetName val="35DIM 3D (2)"/>
      <sheetName val="18회로"/>
      <sheetName val="9회로 (2)"/>
      <sheetName val="10회로 조명"/>
      <sheetName val="7회로 조명"/>
      <sheetName val="조명3전기4 신형 (2)"/>
      <sheetName val="4회로"/>
      <sheetName val="조명3전기2 신형"/>
      <sheetName val="11CH50DIM6RD5"/>
      <sheetName val="14CH32DIM6RD5 (2)"/>
      <sheetName val="28회로"/>
      <sheetName val="8회로신형"/>
      <sheetName val="부산시사상구청"/>
      <sheetName val="18DIM5CH3D"/>
      <sheetName val="18DIM4CH3D (2)"/>
      <sheetName val="14DIM3DIR"/>
      <sheetName val="전기3회로dim8"/>
      <sheetName val="전기2회로dim9 (3)"/>
      <sheetName val="전기2회로dim8 (4)"/>
      <sheetName val="5CH8DIM3D"/>
      <sheetName val="5CH10DIM3D (2)"/>
      <sheetName val="18DIM6CH3D (2)"/>
      <sheetName val="일위(설)"/>
      <sheetName val="전기산출근거"/>
      <sheetName val="8회로 25DIM 4RD (2)"/>
      <sheetName val="9회로 22DIM 3D "/>
      <sheetName val="조명5전기1(2)"/>
      <sheetName val="6DIM12CH2D (3)"/>
      <sheetName val="부하(성남)"/>
      <sheetName val="부하계산서"/>
      <sheetName val="역T형"/>
      <sheetName val="IMPEADENCE MAP 취수장"/>
      <sheetName val="차선도색현황"/>
      <sheetName val="MOTOR"/>
      <sheetName val="guard(mac)"/>
      <sheetName val="교각1"/>
      <sheetName val="Sheet1 (2)"/>
      <sheetName val="하중"/>
      <sheetName val="간선계산"/>
      <sheetName val="과천MAIN"/>
      <sheetName val="단면 (2)"/>
      <sheetName val="원가"/>
      <sheetName val="설비"/>
      <sheetName val="내역서"/>
      <sheetName val="원내역"/>
      <sheetName val="Sheet1"/>
      <sheetName val="청천내"/>
      <sheetName val="일위대가(계측기설치)"/>
      <sheetName val="집계표"/>
      <sheetName val="신우"/>
      <sheetName val="N賃率-職"/>
      <sheetName val="I一般比"/>
      <sheetName val="2F 회의실견적(5_14 일대)"/>
      <sheetName val="말뚝지지력산정"/>
      <sheetName val="수로교총재료집계"/>
      <sheetName val="Sheet5"/>
      <sheetName val="보온자재단가표"/>
      <sheetName val="TOTAL"/>
      <sheetName val="EQUIP-H"/>
      <sheetName val="BM"/>
      <sheetName val="견적990322"/>
      <sheetName val="지급자재"/>
      <sheetName val="품목"/>
      <sheetName val="LOPCALC"/>
      <sheetName val="집계"/>
      <sheetName val="기본일위"/>
      <sheetName val="내역서2안"/>
      <sheetName val="직노"/>
      <sheetName val="실행내역"/>
      <sheetName val="공통(20-91)"/>
      <sheetName val="양천현"/>
      <sheetName val=" HIT-&gt;HMC 견적(3900)"/>
      <sheetName val="JUCK"/>
      <sheetName val="일위대가"/>
      <sheetName val="LEGEND"/>
      <sheetName val="9811"/>
      <sheetName val="간접재료비산출표-27-30"/>
      <sheetName val="__"/>
      <sheetName val="수량산출"/>
      <sheetName val="부서현황"/>
      <sheetName val="설직재-1"/>
      <sheetName val="20관리비율"/>
      <sheetName val="일위대가목록"/>
      <sheetName val="버스운행안내"/>
      <sheetName val="예방접종계획"/>
      <sheetName val="근태계획서"/>
      <sheetName val="기계내역"/>
      <sheetName val="관급단가"/>
      <sheetName val="계화배수"/>
      <sheetName val="기성총"/>
      <sheetName val="일위대가(가설)"/>
      <sheetName val="기준자료"/>
      <sheetName val="주방환기"/>
      <sheetName val="공사내역"/>
      <sheetName val="DATA"/>
      <sheetName val="SLAB"/>
      <sheetName val="PROJECT BRIEF(EX.NEW)"/>
      <sheetName val="내역표지"/>
      <sheetName val="손익분석"/>
      <sheetName val="VXXXXXXX"/>
      <sheetName val="Y-WORK"/>
      <sheetName val="1. 통합배선설비"/>
      <sheetName val="별표 "/>
      <sheetName val="노임단가"/>
      <sheetName val="성곽내역서"/>
      <sheetName val="GEN"/>
      <sheetName val="데이타"/>
      <sheetName val="갑지"/>
      <sheetName val="단가"/>
      <sheetName val="합천내역"/>
      <sheetName val="전선 및 전선관"/>
      <sheetName val="건축내역"/>
      <sheetName val="직재"/>
      <sheetName val="보할공정"/>
      <sheetName val="물가시세"/>
      <sheetName val="전신환매도율"/>
      <sheetName val="내역"/>
      <sheetName val="날개벽(시점좌측)"/>
      <sheetName val="단가비교표"/>
      <sheetName val="물가"/>
      <sheetName val="9509"/>
      <sheetName val="EQUIPMENT -2"/>
      <sheetName val="단가산출-기,교"/>
      <sheetName val="일위목록-기"/>
      <sheetName val="요율"/>
      <sheetName val="1.설계조건"/>
      <sheetName val="내역서1"/>
      <sheetName val="견적대비 견적서"/>
      <sheetName val="조명시설"/>
      <sheetName val="가설공사"/>
      <sheetName val="제직재"/>
      <sheetName val="제-노임"/>
      <sheetName val="견"/>
      <sheetName val="을"/>
      <sheetName val="J直材4"/>
      <sheetName val="JUCKEYK"/>
      <sheetName val="실행대비"/>
      <sheetName val="무시"/>
      <sheetName val="작성기준"/>
      <sheetName val="일위"/>
      <sheetName val="EACT10"/>
      <sheetName val="DB"/>
      <sheetName val="설계조건"/>
      <sheetName val="입찰안"/>
      <sheetName val="현대물량"/>
      <sheetName val="sw1"/>
      <sheetName val="NOMUBI"/>
      <sheetName val="A갑지"/>
      <sheetName val="좌측"/>
      <sheetName val="일위목록"/>
      <sheetName val="총괄집계표"/>
      <sheetName val="2.대외공문"/>
      <sheetName val="BID"/>
      <sheetName val="Care"/>
      <sheetName val="OPT7"/>
      <sheetName val="SV7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PM"/>
      <sheetName val="일위_파일"/>
      <sheetName val="6호기"/>
      <sheetName val="표지"/>
      <sheetName val="정부노임단가"/>
      <sheetName val="실행예산서"/>
      <sheetName val="노임조서"/>
      <sheetName val="연결임시"/>
      <sheetName val="SPEC"/>
      <sheetName val="대공종"/>
      <sheetName val="총괄표"/>
      <sheetName val="관급_File"/>
      <sheetName val="차액보증"/>
      <sheetName val="단가표"/>
      <sheetName val="율촌법률사무소2내역"/>
      <sheetName val="공사원가계산서"/>
      <sheetName val="Summary Sheets"/>
      <sheetName val="참조"/>
      <sheetName val="사전공사"/>
      <sheetName val="1007공사세부내역서"/>
      <sheetName val="1007전기내역서(리빙)"/>
      <sheetName val="컨텍리포트"/>
      <sheetName val="금액내역서"/>
      <sheetName val="목차"/>
      <sheetName val="환산"/>
      <sheetName val="견적"/>
      <sheetName val="21301동"/>
      <sheetName val="진주방향"/>
      <sheetName val="검수고1-1층"/>
      <sheetName val="PAN"/>
      <sheetName val="노임"/>
      <sheetName val="점수계산1-2"/>
      <sheetName val="기성금내역서"/>
      <sheetName val="Oper Amount"/>
      <sheetName val="수량산출서"/>
      <sheetName val="말뚝물량"/>
      <sheetName val="1안"/>
      <sheetName val="발신정보"/>
      <sheetName val="공사비예산서(토목분)"/>
      <sheetName val="대비"/>
      <sheetName val="기초대가"/>
      <sheetName val="부하LOAD"/>
      <sheetName val="양수장(기계)"/>
      <sheetName val="조건표"/>
      <sheetName val="토 적 표"/>
      <sheetName val="전기일위대가"/>
      <sheetName val="DATE"/>
      <sheetName val="단중표"/>
      <sheetName val="처리단락"/>
      <sheetName val="부표총괄"/>
      <sheetName val="포장직선구간"/>
      <sheetName val="별표집계"/>
      <sheetName val="산출"/>
      <sheetName val="김포IO"/>
      <sheetName val="FD"/>
      <sheetName val="약전닥트"/>
      <sheetName val="건축부하"/>
      <sheetName val="99관저"/>
      <sheetName val="일지-H"/>
      <sheetName val="LD"/>
      <sheetName val="FA설치명세"/>
      <sheetName val="전차선로 물량표"/>
      <sheetName val="인부임"/>
      <sheetName val="전체"/>
      <sheetName val="설 계"/>
      <sheetName val="수입"/>
      <sheetName val="AP1"/>
      <sheetName val="적용률"/>
      <sheetName val="OPT"/>
      <sheetName val="SV"/>
      <sheetName val="낙찰표"/>
      <sheetName val="계측"/>
      <sheetName val="A-4"/>
      <sheetName val="danga"/>
      <sheetName val="원본(갑지)"/>
      <sheetName val="자재집계표"/>
      <sheetName val="3BL공동구 수량"/>
      <sheetName val="#3E1_GCR"/>
      <sheetName val="견적서"/>
      <sheetName val="품셈"/>
      <sheetName val="관급"/>
      <sheetName val="중량산출"/>
      <sheetName val="수량이동"/>
      <sheetName val="단가조사서"/>
      <sheetName val="금액"/>
      <sheetName val="재집"/>
      <sheetName val="가로내역"/>
      <sheetName val="발전기"/>
      <sheetName val="Sheet13"/>
      <sheetName val="Sheet14"/>
      <sheetName val="Carepaq"/>
      <sheetName val="민속촌메뉴"/>
      <sheetName val="ABUT수량-A1"/>
      <sheetName val="동원(3)"/>
      <sheetName val="예정(3)"/>
      <sheetName val="SG"/>
      <sheetName val="시멘트"/>
      <sheetName val="Sheet3"/>
      <sheetName val="Sheet2"/>
      <sheetName val="수량(건축)"/>
      <sheetName val="CIVIL4"/>
      <sheetName val="인건비 "/>
      <sheetName val="연습"/>
      <sheetName val="송중자재"/>
      <sheetName val="전선"/>
      <sheetName val="CABLE"/>
      <sheetName val="#3_일위대가목록"/>
      <sheetName val="단가조사표"/>
      <sheetName val="뚝토공"/>
      <sheetName val="CATV"/>
      <sheetName val="노임이"/>
      <sheetName val="단가조사"/>
      <sheetName val="환율"/>
      <sheetName val="UNIT"/>
      <sheetName val="옥외"/>
      <sheetName val="가도공"/>
      <sheetName val="전화TV"/>
      <sheetName val="제2~7호표"/>
      <sheetName val="터널조도"/>
      <sheetName val="CABLE SIZE-3"/>
      <sheetName val="슬래브(유곡)"/>
      <sheetName val="도급예산내역서봉투"/>
      <sheetName val="기계경비(시간당)"/>
      <sheetName val="설계산출기초"/>
      <sheetName val="설계산출표지"/>
      <sheetName val="도급예산내역서총괄표"/>
      <sheetName val="램머"/>
      <sheetName val="Baby일위대가"/>
      <sheetName val="분전함신설"/>
      <sheetName val="단가산출"/>
      <sheetName val="자재단가"/>
      <sheetName val="을부담운반비"/>
      <sheetName val="운반비산출"/>
      <sheetName val="접지1종"/>
      <sheetName val="조명율표"/>
      <sheetName val="ITEM"/>
      <sheetName val="Macro(차단기)"/>
      <sheetName val="광혁기성"/>
      <sheetName val="인건-측정"/>
      <sheetName val="COPING-1"/>
      <sheetName val="역T형교대-2수량"/>
      <sheetName val="노무비"/>
      <sheetName val="선로정수계산"/>
      <sheetName val="식재인부"/>
      <sheetName val="건축2"/>
      <sheetName val="산출근거목록"/>
      <sheetName val="일대목록"/>
      <sheetName val="교각별수량"/>
      <sheetName val="F5"/>
      <sheetName val="찍기"/>
      <sheetName val="CABLE SIZE-1"/>
      <sheetName val="DATA1"/>
      <sheetName val="DATA2"/>
      <sheetName val="현장관리비집계표"/>
      <sheetName val="한일양산"/>
      <sheetName val="단가대비표"/>
      <sheetName val="건설기계_목록(10)"/>
      <sheetName val="제품별 MC"/>
      <sheetName val="경비_원본"/>
      <sheetName val="VENT"/>
      <sheetName val="BASIC (2)"/>
      <sheetName val="재료집계"/>
      <sheetName val="WORK"/>
      <sheetName val="물량표"/>
      <sheetName val="변압94"/>
      <sheetName val="포장절단"/>
      <sheetName val="보수공사일정표"/>
      <sheetName val="한전공사"/>
      <sheetName val="공사비내역서"/>
      <sheetName val="일위대가목록표"/>
      <sheetName val="일위대가표"/>
      <sheetName val="공량산출근거"/>
      <sheetName val="단가조사서 (2)"/>
      <sheetName val="Galaxy 소비자가격표"/>
      <sheetName val="몰탈콘크리트"/>
      <sheetName val="철근집계"/>
      <sheetName val="관로토공집계표"/>
      <sheetName val="보활"/>
      <sheetName val="샘플표지"/>
      <sheetName val="토사(PE)"/>
      <sheetName val="프랜트면허"/>
      <sheetName val="전기일위목록"/>
      <sheetName val="type-F"/>
      <sheetName val="현장관리뵄집계표"/>
      <sheetName val="단가대뵄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 refreshError="1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록"/>
      <sheetName val="강관설치"/>
      <sheetName val="STS관설치"/>
      <sheetName val="HI-3P관접합"/>
      <sheetName val="배관보온"/>
      <sheetName val="신축관설치"/>
      <sheetName val="밸브설치"/>
      <sheetName val="강관플랜지접합"/>
      <sheetName val="STS플랜지접합"/>
      <sheetName val="PVC플랜지접합"/>
      <sheetName val="HI-3P플랜지접합"/>
      <sheetName val="드레인,에어밴트"/>
      <sheetName val="HOSE CONN"/>
      <sheetName val="잡철물,페인트"/>
      <sheetName val="노"/>
      <sheetName val="재"/>
      <sheetName val="PVC관설치"/>
      <sheetName val="일위대가목차"/>
      <sheetName val="1-1"/>
      <sheetName val="1단계"/>
      <sheetName val="빗물받이(910-510-410)"/>
      <sheetName val="집수정(600-700)"/>
      <sheetName val="SG"/>
      <sheetName val="01"/>
      <sheetName val="일위대가(가설)"/>
      <sheetName val="기본단가표"/>
      <sheetName val="견적대비표"/>
      <sheetName val="Macro1"/>
      <sheetName val="기기리스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초화류(가을)"/>
      <sheetName val="도시"/>
      <sheetName val="도시2"/>
      <sheetName val="수목(여름)"/>
      <sheetName val="초롸류(여름)"/>
      <sheetName val="초화류(봄)"/>
      <sheetName val="수목(봄)"/>
      <sheetName val="화목류"/>
      <sheetName val="Sheet3"/>
      <sheetName val="시중노임"/>
      <sheetName val="Sheet1"/>
      <sheetName val="Sheet2"/>
      <sheetName val="VXXXXXX"/>
      <sheetName val="laroux"/>
      <sheetName val="상수도수량집계표"/>
      <sheetName val="전체분상수도수량증감"/>
      <sheetName val="전체분배관자재증감"/>
      <sheetName val="배관자재집계표 "/>
      <sheetName val="상수도배관집계"/>
      <sheetName val="상수도배관접합집계"/>
      <sheetName val="토공"/>
      <sheetName val="배관자재운반"/>
      <sheetName val="기초일위"/>
      <sheetName val="시설일위"/>
      <sheetName val="식재일위"/>
      <sheetName val="조명일위"/>
      <sheetName val="관급단가"/>
      <sheetName val="#REF"/>
      <sheetName val="집계표"/>
      <sheetName val="업무분장"/>
      <sheetName val="설계가"/>
      <sheetName val="간접비"/>
      <sheetName val="대비"/>
      <sheetName val="일위대가"/>
      <sheetName val="입찰안"/>
      <sheetName val="수목"/>
      <sheetName val="WORK"/>
      <sheetName val="전기일위대가"/>
      <sheetName val="DATA"/>
      <sheetName val="내역서"/>
      <sheetName val="원가계산 (2)"/>
      <sheetName val="분전함신설"/>
      <sheetName val="접지1종"/>
      <sheetName val="단위수량"/>
      <sheetName val="SG"/>
      <sheetName val="BID"/>
      <sheetName val="일위목록"/>
      <sheetName val="실행철강하도"/>
      <sheetName val="기기리스트"/>
      <sheetName val="목록"/>
      <sheetName val="중기"/>
      <sheetName val="대차"/>
      <sheetName val="9GNG운반"/>
      <sheetName val="작성"/>
      <sheetName val="SULKEA"/>
      <sheetName val="금액내역서"/>
      <sheetName val="바닥판"/>
      <sheetName val="입력DATA"/>
      <sheetName val="밸브설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서"/>
      <sheetName val="내역"/>
      <sheetName val="수표"/>
      <sheetName val="철집"/>
      <sheetName val="철거표"/>
      <sheetName val="철거"/>
      <sheetName val="코드표"/>
      <sheetName val="내역서"/>
      <sheetName val="단가 및 재료비"/>
      <sheetName val="단가산출2"/>
      <sheetName val="단가산출1"/>
      <sheetName val="중기사용료산출근거"/>
      <sheetName val="단가"/>
      <sheetName val="시설물일위"/>
      <sheetName val="백호우계수"/>
      <sheetName val="밸브설치"/>
      <sheetName val="데이타"/>
      <sheetName val="식재인부"/>
      <sheetName val="시설수량표"/>
      <sheetName val="수로BOX"/>
      <sheetName val="Sheet1"/>
      <sheetName val="단가산출"/>
      <sheetName val="단가_및_재료비"/>
      <sheetName val="본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내역"/>
      <sheetName val="실행"/>
      <sheetName val="견적서"/>
      <sheetName val="견적"/>
      <sheetName val="VXXXXXX"/>
      <sheetName val="laroux"/>
      <sheetName val="자재집계표"/>
      <sheetName val="자재증감표 "/>
      <sheetName val="공종별집계 "/>
      <sheetName val="토공"/>
      <sheetName val="가로등설치수량집계표"/>
      <sheetName val="2000노임기준"/>
      <sheetName val="앉음벽 (2)"/>
      <sheetName val="2000년1차"/>
      <sheetName val="2000전체분"/>
      <sheetName val="내역서"/>
      <sheetName val="기초일위"/>
      <sheetName val="식재일위"/>
      <sheetName val="산출내역서"/>
      <sheetName val="우수받이"/>
      <sheetName val="공사개요"/>
      <sheetName val="노무비"/>
      <sheetName val="차량기지"/>
      <sheetName val="간접비계산"/>
      <sheetName val="#REF"/>
      <sheetName val="일위대가표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코드표"/>
      <sheetName val="Sheet5"/>
      <sheetName val="목록"/>
      <sheetName val="중기"/>
      <sheetName val="약품공급2"/>
      <sheetName val="일위대가"/>
      <sheetName val="총괄내역"/>
      <sheetName val="시설일위"/>
      <sheetName val="1.설계기준"/>
      <sheetName val="을"/>
      <sheetName val="교각1"/>
      <sheetName val="공사비산출내역"/>
      <sheetName val="DB"/>
      <sheetName val="4.전기"/>
      <sheetName val="Resource2"/>
      <sheetName val="I.설계조건"/>
      <sheetName val="우배수"/>
      <sheetName val="계산식"/>
      <sheetName val="건축내역"/>
      <sheetName val="대비"/>
      <sheetName val="RE9604"/>
      <sheetName val="SHEET PILE단가"/>
      <sheetName val="신규 수주분(사용자 정의)"/>
      <sheetName val="손익분석"/>
      <sheetName val="전기일위대가"/>
      <sheetName val="1.설계조건"/>
      <sheetName val="준검 내역서"/>
      <sheetName val="조명시설"/>
      <sheetName val="총괄"/>
      <sheetName val="일반공사"/>
      <sheetName val="상행-교대(A1-A2)"/>
      <sheetName val="인건비"/>
      <sheetName val="단위단가"/>
      <sheetName val="입찰안"/>
      <sheetName val="여과지동"/>
      <sheetName val="기초자료"/>
      <sheetName val="BID"/>
      <sheetName val="건축공사"/>
      <sheetName val="계림(함평)"/>
      <sheetName val="계림(장성)"/>
      <sheetName val="DATA"/>
      <sheetName val="말뚝지지력산정"/>
      <sheetName val="토목내역"/>
      <sheetName val="터파기및재료"/>
      <sheetName val="ELECTRIC"/>
      <sheetName val="일용직"/>
      <sheetName val="토목"/>
      <sheetName val="간접비"/>
      <sheetName val="일위목록"/>
      <sheetName val="교통대책내역"/>
      <sheetName val="산출내역서집계표"/>
      <sheetName val="ELEC"/>
      <sheetName val="토목주소"/>
      <sheetName val="집계표"/>
      <sheetName val="전기공사"/>
      <sheetName val="입력"/>
      <sheetName val="&lt;--"/>
      <sheetName val="SCHE"/>
      <sheetName val="노임단가표"/>
      <sheetName val="시설C"/>
      <sheetName val="원가계산서(변경)"/>
      <sheetName val="96보완계획7.12"/>
      <sheetName val="식재"/>
      <sheetName val="시설물"/>
      <sheetName val="식재출력용"/>
      <sheetName val="유지관리"/>
      <sheetName val="단가"/>
      <sheetName val="4)유동표"/>
      <sheetName val="품셈TABLE"/>
      <sheetName val="지급내역서"/>
      <sheetName val="인건-측정"/>
      <sheetName val="갑지1"/>
      <sheetName val="연부97-1"/>
      <sheetName val="FIT보온LINK"/>
      <sheetName val="교대(A1-A2)"/>
      <sheetName val="문학간접"/>
      <sheetName val="일위대가목록"/>
      <sheetName val="소일위대가코드표"/>
      <sheetName val="갑지"/>
      <sheetName val="8설7발"/>
      <sheetName val="인력소운반"/>
      <sheetName val="원가계산서"/>
      <sheetName val="대포2교접속"/>
      <sheetName val="천방교접속"/>
      <sheetName val="노임단가"/>
      <sheetName val="재료값"/>
      <sheetName val="내역서(전기)"/>
      <sheetName val="표  지"/>
      <sheetName val="분전반일위대가"/>
      <sheetName val="운반"/>
      <sheetName val="자재증감표_"/>
      <sheetName val="공종별집계_"/>
      <sheetName val="I_설계조건"/>
      <sheetName val="SHEET_PILE단가"/>
      <sheetName val="앉음벽_(2)"/>
      <sheetName val="인부신상자료"/>
      <sheetName val="미드수량"/>
      <sheetName val="코드"/>
      <sheetName val="설계서(본관)"/>
      <sheetName val="단위수량"/>
      <sheetName val="당진1,2호기전선관설치및접지4차공사내역서-을지"/>
      <sheetName val="98지급계획"/>
      <sheetName val="단가비교"/>
      <sheetName val="BSD (2)"/>
      <sheetName val="프랜트면허"/>
      <sheetName val="접지수량"/>
      <sheetName val="연습"/>
      <sheetName val="단가조사-1"/>
      <sheetName val="단가조사-2"/>
      <sheetName val="목포방향"/>
      <sheetName val="일위(시설)"/>
      <sheetName val="적격분석"/>
      <sheetName val="주형"/>
      <sheetName val="기초단가"/>
      <sheetName val="일반수량총괄"/>
      <sheetName val="전체"/>
      <sheetName val="공통가설"/>
      <sheetName val="ABUT수량-A1"/>
      <sheetName val="자동제어"/>
      <sheetName val="5.전사투자계획종함안"/>
      <sheetName val="3월집계"/>
      <sheetName val="인사자료총집계"/>
      <sheetName val="Sheet1 (2)"/>
      <sheetName val="전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laroux"/>
      <sheetName val="일위"/>
      <sheetName val="원가계산서"/>
      <sheetName val="단가조사서"/>
      <sheetName val="한전공사비 1공"/>
      <sheetName val="한전공사비 2공"/>
      <sheetName val="통합  내역서"/>
      <sheetName val="1공구 내역서"/>
      <sheetName val="2공구 내역서"/>
      <sheetName val="일위대가"/>
      <sheetName val="견적조건"/>
      <sheetName val="부대입찰내역"/>
      <sheetName val="삼호개발"/>
      <sheetName val="정주"/>
      <sheetName val="효동"/>
      <sheetName val="Sheet3"/>
      <sheetName val="집계1"/>
      <sheetName val="집계2"/>
      <sheetName val="집계3"/>
      <sheetName val="집계4"/>
      <sheetName val="내(토)"/>
      <sheetName val="내(건)"/>
      <sheetName val="건축"/>
      <sheetName val="건축설비집계"/>
      <sheetName val="건축설비"/>
      <sheetName val="기타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XXXXXX"/>
      <sheetName val="터널공사"/>
      <sheetName val="집계표(터널내)"/>
      <sheetName val="터널공사 비교"/>
      <sheetName val="터널외구간"/>
      <sheetName val="집계표(터널외)"/>
      <sheetName val="터널외구간비교"/>
      <sheetName val="monci"/>
      <sheetName val="원가"/>
      <sheetName val="공사집계표"/>
      <sheetName val="전력간선"/>
      <sheetName val="전등"/>
      <sheetName val="전열"/>
      <sheetName val="소방"/>
      <sheetName val="전화"/>
      <sheetName val="티브이"/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전기수량"/>
      <sheetName val="전열및전력간선"/>
      <sheetName val="전등설비"/>
      <sheetName val="동력설비"/>
      <sheetName val="피뢰침및접지"/>
      <sheetName val="약전"/>
      <sheetName val="방송"/>
      <sheetName val="TG전력간선"/>
      <sheetName val="TG전등"/>
      <sheetName val="TG약전"/>
      <sheetName val="VXXXXX"/>
      <sheetName val="BID"/>
      <sheetName val="BID (2)"/>
      <sheetName val="견적갑지 (2)"/>
      <sheetName val="일위대가서"/>
      <sheetName val="MCC,분전반"/>
      <sheetName val="PANEL"/>
      <sheetName val="갑지"/>
      <sheetName val="총신대(총괄집계)"/>
      <sheetName val="총신대(신설)"/>
      <sheetName val="총신대(철거)"/>
      <sheetName val="견적조건보고서"/>
      <sheetName val="견적갑지"/>
      <sheetName val="을지"/>
      <sheetName val="견적갑&quot;A&quot;공구"/>
      <sheetName val="견적조건보고서&quot;A&quot;공구"/>
      <sheetName val="A비엠"/>
      <sheetName val="공율산출"/>
      <sheetName val="노임단가"/>
      <sheetName val="단가조서"/>
      <sheetName val="불광(총괄집계)"/>
      <sheetName val="불광(신설)"/>
      <sheetName val="불광(철거)"/>
      <sheetName val="원가계산갑지"/>
      <sheetName val="전(원가)"/>
      <sheetName val="전(중총)"/>
      <sheetName val="전(소총)"/>
      <sheetName val="1.1"/>
      <sheetName val="1.2"/>
      <sheetName val="1.3"/>
      <sheetName val="1.4"/>
      <sheetName val="1.5"/>
      <sheetName val="E(소총)"/>
      <sheetName val="ESCO"/>
      <sheetName val="관(소총)"/>
      <sheetName val="관급"/>
      <sheetName val="통(원가)"/>
      <sheetName val="통(총)"/>
      <sheetName val="2.1"/>
      <sheetName val="2.1(공)"/>
      <sheetName val="2.2"/>
      <sheetName val="소(원가)"/>
      <sheetName val="소(총)"/>
      <sheetName val="3.1"/>
      <sheetName val="3.2"/>
      <sheetName val="일위총괄"/>
      <sheetName val="단가산출"/>
      <sheetName val="기본공율"/>
      <sheetName val="공량산출서"/>
      <sheetName val="공.옥외"/>
      <sheetName val="공사개요"/>
      <sheetName val="000000"/>
      <sheetName val="평택항"/>
      <sheetName val="담보금융비용"/>
      <sheetName val="담보금융비용(0.18)"/>
      <sheetName val="기계원가계산서"/>
      <sheetName val="기계원가"/>
      <sheetName val="집계"/>
      <sheetName val="가설내역"/>
      <sheetName val="총괄"/>
      <sheetName val="토공"/>
      <sheetName val="흙막이"/>
      <sheetName val="어스앙카"/>
      <sheetName val="구조물"/>
      <sheetName val="방수공"/>
      <sheetName val="지반보강"/>
      <sheetName val="포장공"/>
      <sheetName val="지장물보호공"/>
      <sheetName val="부대공"/>
      <sheetName val="사급자재"/>
      <sheetName val="자재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叉택항"/>
      <sheetName val="증감"/>
      <sheetName val="총괄◀"/>
      <sheetName val="원가◀"/>
      <sheetName val="총괄 "/>
      <sheetName val="순공"/>
      <sheetName val="순공◀"/>
      <sheetName val="토목원가◀"/>
      <sheetName val="건축원가◀"/>
      <sheetName val="기계원가◀"/>
      <sheetName val="전기원가◀"/>
      <sheetName val="통신원가◀"/>
      <sheetName val="results"/>
      <sheetName val="토목"/>
      <sheetName val="원가계산서(건축)"/>
      <sheetName val="건축3차분2회변경"/>
      <sheetName val="건축3차분2회변경(원가)"/>
      <sheetName val="Sheet11"/>
      <sheetName val="Sheet12"/>
      <sheetName val="Sheet13"/>
      <sheetName val="Sheet14"/>
      <sheetName val="Sheet15"/>
      <sheetName val="Sheet16"/>
      <sheetName val="■총괄"/>
      <sheetName val="순공(ROUND)"/>
      <sheetName val="토목원가"/>
      <sheetName val="건축원가"/>
      <sheetName val="전기원가"/>
      <sheetName val="통신원가"/>
      <sheetName val="진건차집도급"/>
      <sheetName val="진건실행"/>
      <sheetName val="작업별비목별집계"/>
      <sheetName val="설계참고목차"/>
      <sheetName val="수량조서"/>
      <sheetName val="1.스코트변압기"/>
      <sheetName val="2.단권변압기"/>
      <sheetName val="3.가스절연"/>
      <sheetName val="4.가스절연"/>
      <sheetName val="5.전자식제어반"/>
      <sheetName val="6.전자식제어반"/>
      <sheetName val="7.전자식제어반"/>
      <sheetName val="8.소규모제어장치"/>
      <sheetName val="9.고장점표정반"/>
      <sheetName val="10.보조릴레이반"/>
      <sheetName val="11.저압반"/>
      <sheetName val="12.무정전전원장치"/>
      <sheetName val="13.축전지반"/>
      <sheetName val="14.소내용TR"/>
      <sheetName val="15.고압반"/>
      <sheetName val="16.전철RTU"/>
      <sheetName val="17.GP"/>
      <sheetName val="18.기기가대"/>
      <sheetName val="19.모선배선"/>
      <sheetName val="20.제어및전력케이블"/>
      <sheetName val="21.핏트"/>
      <sheetName val="22.스틸그레이팅(M.TR)"/>
      <sheetName val="23.스틸그레이팅(AT)"/>
      <sheetName val="24.접지장치"/>
      <sheetName val="25.전선관"/>
      <sheetName val="26.무근콘크리트"/>
      <sheetName val="27.케이블트레이"/>
      <sheetName val="28.자갈부설"/>
      <sheetName val="29.옥외외등"/>
      <sheetName val="30.무인화설비"/>
      <sheetName val="31.JIB크레인설치"/>
      <sheetName val="32.전력RTU"/>
      <sheetName val="33.지중케이블"/>
      <sheetName val="34.전력용관로"/>
      <sheetName val="35.장주신설"/>
      <sheetName val="36.맨홀"/>
      <sheetName val="37.무인온라인"/>
      <sheetName val="38.영주SCADA"/>
      <sheetName val="39.가설비"/>
      <sheetName val="40.운반비"/>
      <sheetName val="운반비(철재류)"/>
      <sheetName val="운반비(전선류)"/>
      <sheetName val="호표"/>
      <sheetName val="시중노임표"/>
      <sheetName val="견적단가"/>
      <sheetName val="재료단가"/>
      <sheetName val="내역서"/>
      <sheetName val="주요자재집계표"/>
      <sheetName val="표지"/>
      <sheetName val="토적표(부지조성)"/>
      <sheetName val="구조물토공집계표"/>
      <sheetName val="배수토공"/>
      <sheetName val="b"/>
      <sheetName val="2003년시공계획"/>
      <sheetName val="2003년실행총괄표"/>
      <sheetName val="시공참여자실행계획"/>
      <sheetName val="자재(직영)"/>
      <sheetName val="노무(직영)"/>
      <sheetName val="장비(직영)"/>
      <sheetName val="자재 (시공))"/>
      <sheetName val="노무 (시공)"/>
      <sheetName val="장비 (시공)"/>
      <sheetName val="관리비"/>
      <sheetName val="공정표"/>
      <sheetName val="특별교실"/>
      <sheetName val="기숙사"/>
      <sheetName val="화장실"/>
      <sheetName val="총집계-1"/>
      <sheetName val="총집계-2"/>
      <sheetName val="원가-1"/>
      <sheetName val="원가-2"/>
      <sheetName val="간지"/>
      <sheetName val="전체집계표"/>
      <sheetName val="철근집계"/>
      <sheetName val="삽입도면1"/>
      <sheetName val="강관말뚝"/>
      <sheetName val="간지 (2)"/>
      <sheetName val="암거집계표"/>
      <sheetName val="삽입도면2"/>
      <sheetName val="암거공"/>
      <sheetName val="간지 (3)"/>
      <sheetName val="u-type집계표"/>
      <sheetName val="삽입도면3"/>
      <sheetName val="u-type1"/>
      <sheetName val="u-type2"/>
      <sheetName val="xxxx"/>
      <sheetName val="건설기계평균가격"/>
      <sheetName val="VXXX"/>
      <sheetName val="공사비대비 (2)"/>
      <sheetName val="공사비대비"/>
      <sheetName val="옹벽공"/>
      <sheetName val="연당4교"/>
      <sheetName val="연당5교"/>
      <sheetName val="연당6교"/>
      <sheetName val="내역"/>
      <sheetName val="PACKING OPEN"/>
      <sheetName val="견적정보"/>
      <sheetName val="갑지1"/>
      <sheetName val="집계표1"/>
      <sheetName val="장비비"/>
      <sheetName val="도급내역서"/>
      <sheetName val="실행내역서"/>
      <sheetName val="직종노임"/>
      <sheetName val="운반단가"/>
      <sheetName val="터널투입집계"/>
      <sheetName val="투입내역"/>
      <sheetName val="터널내역"/>
      <sheetName val="총집계"/>
      <sheetName val="주요기자재 집계"/>
      <sheetName val="주요기자재 산출"/>
      <sheetName val="동력접지집계"/>
      <sheetName val="동력 산출"/>
      <sheetName val="접지 산출"/>
      <sheetName val="건축전기집계"/>
      <sheetName val="조명 산출"/>
      <sheetName val="통신 산출"/>
      <sheetName val="자탐 산출"/>
      <sheetName val="계장집계"/>
      <sheetName val="계장 산출"/>
      <sheetName val="원가계산서(수탁비포함)"/>
      <sheetName val="대총괄표"/>
      <sheetName val="중총괄표"/>
      <sheetName val="소총괄표"/>
      <sheetName val="옥외전력간선"/>
      <sheetName val="전력인입및수변전"/>
      <sheetName val="옥내전력간선"/>
      <sheetName val="동력"/>
      <sheetName val="피뢰침"/>
      <sheetName val="전기TRAY"/>
      <sheetName val="합계"/>
      <sheetName val="01.가설공사"/>
      <sheetName val="02.토공사"/>
      <sheetName val="03.철근콘크리트"/>
      <sheetName val="04.조적공사"/>
      <sheetName val="05.방수공사"/>
      <sheetName val="06.타일공사"/>
      <sheetName val="07.석공사"/>
      <sheetName val="08.목공사"/>
      <sheetName val="09.금속공사"/>
      <sheetName val="10.미장공사"/>
      <sheetName val="11.창호공사"/>
      <sheetName val="11.창호-1"/>
      <sheetName val="12.유리공사"/>
      <sheetName val="13.도장공사"/>
      <sheetName val="14.수장공사"/>
      <sheetName val="15.지붕및홈통"/>
      <sheetName val="16.잡공사"/>
      <sheetName val="17.주요자재"/>
      <sheetName val="18.작업부산물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★현설표지"/>
      <sheetName val="★현장설명서(토공,철콘)"/>
      <sheetName val="★현설참가확인(토공철콘)"/>
      <sheetName val="★현설시 설명자료"/>
      <sheetName val="현설시 설명자료(내부)"/>
      <sheetName val="지역부대토공"/>
      <sheetName val="지역부대철콘"/>
      <sheetName val="근로자현황파악"/>
      <sheetName val="근로자현황파악 (2)"/>
      <sheetName val="보건증"/>
      <sheetName val="명단"/>
      <sheetName val="협력업체"/>
      <sheetName val="건강진단통보"/>
      <sheetName val="건강진단통보 (2)"/>
      <sheetName val="작업변경신청서"/>
      <sheetName val="노동청"/>
      <sheetName val="노동청 (특검)"/>
      <sheetName val="노동청 (작업)"/>
      <sheetName val="암검사"/>
      <sheetName val="암검사 (2)"/>
      <sheetName val="이중자격완료통보"/>
      <sheetName val="보건교육요청"/>
      <sheetName val="보건교육시행통보"/>
      <sheetName val="일반건강진단통보"/>
      <sheetName val="의보 정정신고"/>
      <sheetName val="자산총괄서"/>
      <sheetName val="영대증축"/>
      <sheetName val="원가(영대증축)"/>
      <sheetName val="전라선(남원)"/>
      <sheetName val="원가(남원)"/>
      <sheetName val="경비(남원)"/>
      <sheetName val="창원"/>
      <sheetName val="원가(창원)"/>
      <sheetName val="대산면"/>
      <sheetName val="원가(대산면)"/>
      <sheetName val="경비(대산면)"/>
      <sheetName val="다산"/>
      <sheetName val="원가(다산)"/>
      <sheetName val="가창"/>
      <sheetName val="원가(가창)"/>
      <sheetName val="경비(가창)"/>
      <sheetName val="恤_x0000__x0000__x0000__x0000_"/>
      <sheetName val="_x0000__x000f__x0000__x0004_ðj_x0000__x0000__x0000_B_x0001__x000a_ð_x0008__x0000__x0000__x0000_-_x0000__x0000_@_x000a__x0000__x0000__x0000__x000b_ð0_x0000_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_x000f__x0000__x0004_ðj_x0000_B_x0001__x000a_ð_x0008__x0000_-_x0000_@_x000a_ƒ_x000b_ð0_x0000_¿_x0000__x0008__x0000__x0008__x0000__x0000_?"/>
      <sheetName val="깝데기"/>
      <sheetName val="설명자료"/>
      <sheetName val="수량산출집계표(후)"/>
      <sheetName val="수량산출2(후)"/>
      <sheetName val="수량산출"/>
      <sheetName val="적용단가"/>
      <sheetName val="적용단가 (2)"/>
      <sheetName val="일위대가목록(전+후)"/>
      <sheetName val="일위대가(전+후)"/>
      <sheetName val="알림장"/>
      <sheetName val="예산표지 "/>
      <sheetName val="제잡비2"/>
      <sheetName val="지급자재1"/>
      <sheetName val="지급자재2"/>
      <sheetName val="지급자재3"/>
      <sheetName val="예산집계"/>
      <sheetName val="제잡비1"/>
      <sheetName val="공제금액"/>
      <sheetName val="정기안전점검비"/>
      <sheetName val="정기안전점검비(직접인건비)"/>
      <sheetName val="공제금액(단가산출서용)"/>
      <sheetName val="사토장 (공통공사)"/>
      <sheetName val="기술료(출력말것)"/>
      <sheetName val="경안천1"/>
      <sheetName val="경안천2"/>
      <sheetName val="금강1"/>
      <sheetName val="금강2"/>
      <sheetName val="남천1"/>
      <sheetName val="남천2"/>
      <sheetName val="녹동1"/>
      <sheetName val="녹동2"/>
      <sheetName val="삼산1"/>
      <sheetName val="삼산2"/>
      <sheetName val="서천1"/>
      <sheetName val="서천2"/>
      <sheetName val="성주1"/>
      <sheetName val="성주2"/>
      <sheetName val="수원"/>
      <sheetName val="아주1"/>
      <sheetName val="아주2"/>
      <sheetName val="울진1"/>
      <sheetName val="울진2"/>
      <sheetName val="조양1"/>
      <sheetName val="조양2"/>
      <sheetName val="창녕1"/>
      <sheetName val="창녕2"/>
      <sheetName val="추풍령1"/>
      <sheetName val="추풍령2"/>
      <sheetName val="고단대기"/>
      <sheetName val="공주이인"/>
      <sheetName val="구암도로"/>
      <sheetName val="낙산대교"/>
      <sheetName val="부산3호선"/>
      <sheetName val="서남권철도"/>
      <sheetName val="증평괴산"/>
      <sheetName val="서초IC"/>
      <sheetName val="신길"/>
      <sheetName val="분당1"/>
      <sheetName val="분당2"/>
      <sheetName val="삼막1"/>
      <sheetName val="삼막2"/>
      <sheetName val="김천1"/>
      <sheetName val="김천2"/>
      <sheetName val="용산"/>
      <sheetName val="전주"/>
      <sheetName val="인당매출(2003.11)-전체"/>
      <sheetName val="현장별 인건비(2003.12)"/>
      <sheetName val="인당매출그래프"/>
      <sheetName val="2003ACCM "/>
      <sheetName val="12월"/>
      <sheetName val="보고"/>
      <sheetName val="투찰서표지"/>
      <sheetName val="총괄 (3)"/>
      <sheetName val="원가(총)"/>
      <sheetName val="대안원가"/>
      <sheetName val="원안원가"/>
      <sheetName val="원안"/>
      <sheetName val="대안"/>
      <sheetName val="폐기물"/>
      <sheetName val="이전비 "/>
      <sheetName val="참고"/>
      <sheetName val="불광(총괄집계ဩ"/>
      <sheetName val="증감표"/>
      <sheetName val="수입물자"/>
      <sheetName val="MAIN"/>
      <sheetName val="총공사비"/>
      <sheetName val="T1"/>
      <sheetName val="san"/>
      <sheetName val="LIST"/>
      <sheetName val="sw1"/>
      <sheetName val="sw2"/>
      <sheetName val="sw3"/>
      <sheetName val="sw4"/>
      <sheetName val="sw5"/>
      <sheetName val="sw6"/>
      <sheetName val="sw7"/>
      <sheetName val="NOMUBI"/>
      <sheetName val="갑지 (2)"/>
      <sheetName val="철콘갑지(2)"/>
      <sheetName val="철콘내역서(2)"/>
      <sheetName val="철콘갑지"/>
      <sheetName val="철콘내역서"/>
      <sheetName val="가설도로수량집계(1-8)"/>
      <sheetName val="가설도로입적수량"/>
      <sheetName val="측점(1)-삭제"/>
      <sheetName val="측점(2)-삭제"/>
      <sheetName val="측점(3)-신규"/>
      <sheetName val="측점(4)-신규"/>
      <sheetName val="가호안"/>
      <sheetName val="이식수목"/>
      <sheetName val="훼손예상1"/>
      <sheetName val="훼손예상2"/>
      <sheetName val="산정과정"/>
      <sheetName val="기계갑지"/>
      <sheetName val="기계설비공사"/>
      <sheetName val="소화갑지"/>
      <sheetName val="소화설비공사"/>
      <sheetName val="기계설비공사 (품)"/>
      <sheetName val="소화설비공사 (품)"/>
      <sheetName val="기계(3공구)"/>
      <sheetName val="공사비대비표"/>
      <sheetName val="설계변경개요"/>
      <sheetName val="참고list"/>
      <sheetName val="품 및 별표관련변경"/>
      <sheetName val="자재변경"/>
      <sheetName val="내역서 (2002예산산출)"/>
      <sheetName val="토공집계표"/>
      <sheetName val="적용단가산출조서"/>
      <sheetName val="적용단가산출조서 (추가)"/>
      <sheetName val="품셈총괄표"/>
      <sheetName val="품셈"/>
      <sheetName val="추품총괄표"/>
      <sheetName val="추품"/>
      <sheetName val="부표총괄표"/>
      <sheetName val="부표"/>
      <sheetName val="추부총괄표"/>
      <sheetName val="추부"/>
      <sheetName val="추부총괄표."/>
      <sheetName val="추부."/>
      <sheetName val="별표(변경없슴)"/>
      <sheetName val="별표총괄표"/>
      <sheetName val="추별"/>
      <sheetName val="수정 리스트"/>
      <sheetName val="재료단가표"/>
      <sheetName val="_x0000__x000f__x0000__x0004_ðj_x0000__x0000__x0000_B_x0001__x000a_ð_x0008__x0000__x0000__x0000_-€_x0000__x0000_@_x000a__x0000__x0000_ƒ_x0000__x000b_ð0_x0000_"/>
      <sheetName val="_x000f__x0000__x0004_ðj_x0000_B_x0001__x000a_ð_x0008__x0000_-€_x0000_@_x000a_ƒ_x000b_ð0_x0000_¿_x0000__x0008__x0000__x0008__x0000_€_x0000_?"/>
      <sheetName val="Module1"/>
      <sheetName val="개요"/>
      <sheetName val="대안별개선효과"/>
      <sheetName val="개선효과누계"/>
      <sheetName val="공사이익"/>
      <sheetName val="인천창고"/>
      <sheetName val="금융센터임차"/>
      <sheetName val="자사주펀드"/>
      <sheetName val="동부월드"/>
      <sheetName val="인천공항철도"/>
      <sheetName val="계열사별자금부담"/>
      <sheetName val="자기주식_미반영"/>
      <sheetName val="집수정총괄집계"/>
      <sheetName val="집수정수량집계"/>
      <sheetName val="설치현황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실행(도급대비)"/>
      <sheetName val="39.각설비"/>
      <sheetName val="전기 BM 내역서"/>
      <sheetName val="피ꢰ침"/>
      <sheetName val="원가계산"/>
      <sheetName val="조도계산서"/>
      <sheetName val="표지(1)"/>
      <sheetName val="공총괄표"/>
      <sheetName val="공내역서"/>
      <sheetName val="인공산출"/>
      <sheetName val="산출기초"/>
      <sheetName val="자재단가"/>
      <sheetName val="겉장"/>
      <sheetName val="기성검사원"/>
      <sheetName val="표 지"/>
      <sheetName val="설계조건"/>
      <sheetName val="설계기준"/>
      <sheetName val="처리효율"/>
      <sheetName val="물질수지"/>
      <sheetName val=""/>
      <sheetName val="설계 설명서"/>
      <sheetName val="예 산 서"/>
      <sheetName val="원가 계산서"/>
      <sheetName val="구성비"/>
      <sheetName val="2-1. 경관조명 내역총괄표"/>
      <sheetName val="2-2. 경관조명 내역서"/>
      <sheetName val="4. 변경 경관조명 집계"/>
      <sheetName val="3-1. 방송,CCTV 내역총괄표"/>
      <sheetName val="0000"/>
      <sheetName val="#BAŞV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 refreshError="1"/>
      <sheetData sheetId="388"/>
      <sheetData sheetId="389"/>
      <sheetData sheetId="390"/>
      <sheetData sheetId="391"/>
      <sheetData sheetId="392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EADENCE MAP 취수장"/>
      <sheetName val="원가"/>
      <sheetName val="품셈TABLE"/>
      <sheetName val="입찰안"/>
      <sheetName val="관급단가"/>
      <sheetName val="단가비교"/>
      <sheetName val="신규일위대가표"/>
      <sheetName val="주방환기"/>
      <sheetName val="도장"/>
      <sheetName val="KA"/>
      <sheetName val="위치조서"/>
      <sheetName val="경비"/>
      <sheetName val="45,46"/>
      <sheetName val="DAN"/>
      <sheetName val="일위대가"/>
      <sheetName val="인건-측정"/>
      <sheetName val="1단계"/>
      <sheetName val="#REF"/>
      <sheetName val="MSG 수량"/>
      <sheetName val="단가산출"/>
      <sheetName val="횡배수관토공수량"/>
      <sheetName val="원가계산서"/>
      <sheetName val="공사개요"/>
      <sheetName val="매입세율"/>
      <sheetName val="낙찰표"/>
      <sheetName val="금액"/>
      <sheetName val="우배수"/>
      <sheetName val="전신환매도율"/>
      <sheetName val="토적계산"/>
      <sheetName val="IMPEADENCE_MAP_취수장"/>
      <sheetName val="설 계"/>
      <sheetName val="8.PILE  (돌출)"/>
      <sheetName val="sw1"/>
      <sheetName val="예산"/>
      <sheetName val="일위대가(가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총내역"/>
      <sheetName val="차선도색집계"/>
      <sheetName val="차선도색현황"/>
      <sheetName val="차선도색-1"/>
      <sheetName val="IMPEADENCE MAP 취수장"/>
      <sheetName val="인건-측정"/>
      <sheetName val="시중노임단가"/>
      <sheetName val="예산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옹벽"/>
      <sheetName val="일위대가목차"/>
      <sheetName val="차선도색현황"/>
      <sheetName val="IMPEADENCE MAP 취수장"/>
    </sheetNames>
    <sheetDataSet>
      <sheetData sheetId="0" refreshError="1">
        <row r="3">
          <cell r="C3" t="str">
            <v>S</v>
          </cell>
          <cell r="E3" t="str">
            <v>S</v>
          </cell>
        </row>
        <row r="18">
          <cell r="C18" t="str">
            <v>S</v>
          </cell>
          <cell r="E18" t="str">
            <v>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품셈"/>
      <sheetName val="표지"/>
      <sheetName val="품셈표"/>
      <sheetName val="일위대가"/>
      <sheetName val="내역서"/>
      <sheetName val="Sheet2"/>
      <sheetName val="Sheet3"/>
      <sheetName val="공구원가계산"/>
      <sheetName val="인건-측정"/>
      <sheetName val="1차증가원가계산"/>
      <sheetName val="자재비"/>
      <sheetName val="DATA 입력란"/>
      <sheetName val="1. 설계조건 2.단면가정 3. 하중계산"/>
      <sheetName val="INPUT"/>
      <sheetName val="차선도색현황"/>
      <sheetName val="건축공사실행"/>
      <sheetName val="원가계산"/>
      <sheetName val="부하계산서"/>
      <sheetName val="수량산출"/>
      <sheetName val="담장산출"/>
      <sheetName val="입찰안"/>
      <sheetName val="옹벽1"/>
      <sheetName val="설계조건"/>
      <sheetName val="진주방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합판가건물철거"/>
      <sheetName val="콘크리트건물철거"/>
      <sheetName val="콘크리트블럭건물철거"/>
      <sheetName val="콘크리트건물(2F)철거"/>
      <sheetName val="콘크리트포장철거"/>
      <sheetName val="아스콘포장철거"/>
      <sheetName val="보도블럭철거"/>
      <sheetName val="통신관철거"/>
      <sheetName val="콘크리트블럭담철거"/>
      <sheetName val="가로등철거"/>
      <sheetName val="콘테이너건물철거"/>
      <sheetName val="국기게양대철거"/>
      <sheetName val="콘크리트좌대철거"/>
      <sheetName val="표지판B철거"/>
      <sheetName val="우수맨홀철거"/>
      <sheetName val="표지판A철거"/>
      <sheetName val="흄관철거"/>
      <sheetName val="점토블럭담철거"/>
      <sheetName val="표지판A이설"/>
      <sheetName val="조명열주"/>
      <sheetName val="가로등"/>
      <sheetName val="빗물받이"/>
      <sheetName val="우수맨홀"/>
      <sheetName val="우수관450"/>
      <sheetName val="우수관300"/>
      <sheetName val="우수관600"/>
      <sheetName val="상수관"/>
      <sheetName val="화강석트랜치A"/>
      <sheetName val="화강석트랜치B"/>
      <sheetName val="U형배수관"/>
      <sheetName val="목재데크A"/>
      <sheetName val="목재데크B"/>
      <sheetName val="앉음벽A"/>
      <sheetName val="앉음벽B"/>
      <sheetName val="앉음벽C"/>
      <sheetName val="앉음벽D"/>
      <sheetName val="긴의자A"/>
      <sheetName val="긴의자B"/>
      <sheetName val="삼각플랜터"/>
      <sheetName val="스탠드"/>
      <sheetName val="계단A"/>
      <sheetName val="계단B"/>
      <sheetName val="음수대"/>
      <sheetName val="가벽"/>
      <sheetName val="수목보호대"/>
      <sheetName val="난간"/>
      <sheetName val="화강석판석(자연)"/>
      <sheetName val="화강석판석(인공)"/>
      <sheetName val="소형고압블럭"/>
      <sheetName val="콩자갈수지"/>
      <sheetName val="아스콘포장"/>
      <sheetName val="점자유도블럭(소형고압블럭)"/>
      <sheetName val="STS경계판"/>
      <sheetName val="화강석띠석"/>
      <sheetName val="포장경계블럭"/>
      <sheetName val="녹지경계석"/>
      <sheetName val="보차도경계석"/>
      <sheetName val="잔디블럭"/>
      <sheetName val="인건-측정"/>
      <sheetName val="4)유동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갑지들"/>
      <sheetName val="총괄표"/>
      <sheetName val="원가계산서"/>
      <sheetName val="기초일위"/>
      <sheetName val="시설일위"/>
      <sheetName val="식재일위"/>
      <sheetName val="일위목록"/>
      <sheetName val="소일위대가코드표"/>
      <sheetName val="노임"/>
      <sheetName val="실행철강하도"/>
      <sheetName val="LOPCALC"/>
      <sheetName val="Sheet1"/>
      <sheetName val="NEAYUK"/>
      <sheetName val="공사원가계산서"/>
      <sheetName val="포장재료집계표"/>
      <sheetName val="포장면적산출"/>
      <sheetName val="포장수량집계"/>
      <sheetName val="CONCRETE"/>
      <sheetName val="3BL공동구 수량"/>
      <sheetName val="집계표"/>
      <sheetName val="인건-측정"/>
      <sheetName val="접속도로"/>
      <sheetName val="48일위(기존)"/>
      <sheetName val="평가데이터"/>
      <sheetName val="2000년1차"/>
      <sheetName val="내역"/>
      <sheetName val="내역(최종본4.5)"/>
      <sheetName val="조명일위"/>
      <sheetName val="원가계산서(남측)"/>
      <sheetName val="데이타"/>
      <sheetName val="식재인부"/>
      <sheetName val="대로근거"/>
      <sheetName val="역T형"/>
      <sheetName val="설계조건"/>
      <sheetName val="안정계산"/>
      <sheetName val="단면검토"/>
      <sheetName val="Macro1"/>
      <sheetName val="지급자재"/>
      <sheetName val="건축"/>
      <sheetName val="비교표"/>
      <sheetName val="접속도로1"/>
      <sheetName val="터널조도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DATE"/>
      <sheetName val="집수정(600-700)"/>
      <sheetName val="IMPEADENCE MAP 취수장"/>
      <sheetName val="내역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표지2"/>
      <sheetName val="표지"/>
      <sheetName val="설계서"/>
      <sheetName val="설계설명서"/>
      <sheetName val="수목단가"/>
      <sheetName val="자재단가"/>
      <sheetName val="식재수량표"/>
      <sheetName val="###식재수량표-변경후"/>
      <sheetName val="시설수량표"/>
      <sheetName val="이식수목수량"/>
      <sheetName val="연못설비수량산출서"/>
      <sheetName val="별산자재집계표"/>
      <sheetName val="사급자재"/>
      <sheetName val="시멘모래"/>
      <sheetName val="관급사급"/>
      <sheetName val="조적공사"/>
      <sheetName val="식재기준"/>
      <sheetName val="유기질비료기준"/>
      <sheetName val="생명정사용량 (2)"/>
      <sheetName val="이식품적용"/>
      <sheetName val="비료량"/>
      <sheetName val="이식수목상하차비"/>
      <sheetName val="상하차비"/>
      <sheetName val="기계상하차비"/>
      <sheetName val="운반량및운반비"/>
      <sheetName val="수목운반비"/>
      <sheetName val="수목운반량"/>
      <sheetName val="수목중량"/>
      <sheetName val="자재소요량"/>
      <sheetName val="생명정사용량 (3)"/>
      <sheetName val="약제살포량"/>
      <sheetName val="수간보호자재"/>
      <sheetName val="새끼량"/>
      <sheetName val="가마니량"/>
      <sheetName val="철선량"/>
      <sheetName val="고무줄량"/>
      <sheetName val="동바리량 (2)"/>
      <sheetName val="비계목"/>
      <sheetName val="견적의뢰서"/>
      <sheetName val="견적"/>
      <sheetName val="기계경비개요"/>
      <sheetName val="경비목록"/>
      <sheetName val="경비"/>
      <sheetName val="2002기계경비산출표"/>
      <sheetName val="해상장비조정원"/>
      <sheetName val="수량산출"/>
      <sheetName val="지주목 및 부자재집계표"/>
      <sheetName val="Sheet2"/>
      <sheetName val="Sheet3"/>
      <sheetName val="INPUT"/>
      <sheetName val="기초대가"/>
      <sheetName val="일위대가"/>
      <sheetName val="일위목록"/>
      <sheetName val="생명정사용량_(2)"/>
      <sheetName val="생명정사용량_(3)"/>
      <sheetName val="동바리량_(2)"/>
      <sheetName val="지주목_및_부자재집계표"/>
      <sheetName val="중기"/>
      <sheetName val="생명정사용량_(2)1"/>
      <sheetName val="생명정사용량_(3)1"/>
      <sheetName val="동바리량_(2)1"/>
      <sheetName val="지주목_및_부자재집계표1"/>
      <sheetName val="노임단가"/>
      <sheetName val="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 계산서"/>
      <sheetName val="DATA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부하 계산서 (2)"/>
      <sheetName val="Sheet11"/>
      <sheetName val="Sheet12"/>
      <sheetName val="Sheet13"/>
      <sheetName val="Sheet14"/>
      <sheetName val="Sheet15"/>
      <sheetName val="Sheet16"/>
      <sheetName val="1.설계조건"/>
      <sheetName val="INPUT"/>
      <sheetName val="LOPCALC"/>
      <sheetName val="MOTOR"/>
      <sheetName val="조도계산서 (도서)"/>
      <sheetName val="차선도색현황"/>
      <sheetName val="내역서"/>
      <sheetName val="입찰안"/>
      <sheetName val="관급단가"/>
      <sheetName val="CAT_5"/>
      <sheetName val="L_RPTA05_목록"/>
      <sheetName val="TABLE"/>
      <sheetName val="진주방향"/>
      <sheetName val="마산방향"/>
      <sheetName val="ABUT수량-A1"/>
      <sheetName val="ETC"/>
      <sheetName val="Regenerator  Concrete Structure"/>
      <sheetName val="unit 4"/>
      <sheetName val="인건-측정"/>
      <sheetName val="별표집계"/>
      <sheetName val="품셈TABLE"/>
      <sheetName val="환율"/>
      <sheetName val="원가계산서"/>
      <sheetName val="내역"/>
      <sheetName val="교각계산"/>
      <sheetName val="원가"/>
      <sheetName val="일위대가"/>
      <sheetName val="IMPEADENCE MAP 취수장"/>
      <sheetName val="산출근거1"/>
      <sheetName val="신우"/>
      <sheetName val="당초"/>
      <sheetName val="BID"/>
      <sheetName val="단가"/>
      <sheetName val="시설물일위"/>
      <sheetName val="LOAD"/>
      <sheetName val="양수장(기계)"/>
      <sheetName val="4)유동표"/>
      <sheetName val="수습"/>
      <sheetName val="설계조건"/>
      <sheetName val="안정계산"/>
      <sheetName val="단면검토"/>
      <sheetName val="노임이"/>
      <sheetName val="자재단가비교표"/>
    </sheetNames>
    <sheetDataSet>
      <sheetData sheetId="0"/>
      <sheetData sheetId="1" refreshError="1">
        <row r="4">
          <cell r="B4">
            <v>1E-3</v>
          </cell>
          <cell r="C4">
            <v>30</v>
          </cell>
          <cell r="E4">
            <v>1E-3</v>
          </cell>
          <cell r="F4">
            <v>20</v>
          </cell>
        </row>
        <row r="5">
          <cell r="B5">
            <v>30.001000000000001</v>
          </cell>
          <cell r="C5">
            <v>50</v>
          </cell>
          <cell r="E5">
            <v>20.001000000000001</v>
          </cell>
          <cell r="F5">
            <v>30</v>
          </cell>
        </row>
        <row r="6">
          <cell r="B6">
            <v>50.000999999999998</v>
          </cell>
          <cell r="C6">
            <v>60</v>
          </cell>
          <cell r="E6">
            <v>30.001000000000001</v>
          </cell>
          <cell r="F6">
            <v>40</v>
          </cell>
        </row>
        <row r="7">
          <cell r="B7">
            <v>60.000999999999998</v>
          </cell>
          <cell r="C7">
            <v>100</v>
          </cell>
          <cell r="E7">
            <v>40.000999999999998</v>
          </cell>
          <cell r="F7">
            <v>50</v>
          </cell>
        </row>
        <row r="8">
          <cell r="B8">
            <v>100.001</v>
          </cell>
          <cell r="C8">
            <v>225</v>
          </cell>
          <cell r="E8">
            <v>50.000999999999998</v>
          </cell>
          <cell r="F8">
            <v>60</v>
          </cell>
        </row>
        <row r="9">
          <cell r="B9">
            <v>225.001</v>
          </cell>
          <cell r="C9">
            <v>400</v>
          </cell>
          <cell r="E9">
            <v>60.000999999999998</v>
          </cell>
          <cell r="F9">
            <v>75</v>
          </cell>
        </row>
        <row r="10">
          <cell r="B10">
            <v>400.00099999999998</v>
          </cell>
          <cell r="C10">
            <v>600</v>
          </cell>
          <cell r="E10">
            <v>75.001000000000005</v>
          </cell>
          <cell r="F10">
            <v>100</v>
          </cell>
        </row>
        <row r="11">
          <cell r="B11">
            <v>600.00099999999998</v>
          </cell>
          <cell r="C11">
            <v>800</v>
          </cell>
          <cell r="E11">
            <v>100.001</v>
          </cell>
          <cell r="F11">
            <v>125</v>
          </cell>
        </row>
        <row r="12">
          <cell r="B12">
            <v>800.00099999999998</v>
          </cell>
          <cell r="C12">
            <v>1000</v>
          </cell>
          <cell r="E12">
            <v>125.001</v>
          </cell>
          <cell r="F12">
            <v>150</v>
          </cell>
        </row>
        <row r="13">
          <cell r="B13">
            <v>1000.001</v>
          </cell>
          <cell r="C13">
            <v>1200</v>
          </cell>
          <cell r="E13">
            <v>150.001</v>
          </cell>
          <cell r="F13">
            <v>175</v>
          </cell>
        </row>
        <row r="14">
          <cell r="E14">
            <v>175.001</v>
          </cell>
          <cell r="F14">
            <v>200</v>
          </cell>
        </row>
        <row r="15">
          <cell r="E15">
            <v>200.001</v>
          </cell>
          <cell r="F15">
            <v>225</v>
          </cell>
        </row>
        <row r="16">
          <cell r="E16">
            <v>225.001</v>
          </cell>
          <cell r="F16">
            <v>250</v>
          </cell>
        </row>
        <row r="17">
          <cell r="E17">
            <v>250.001</v>
          </cell>
          <cell r="F17">
            <v>300</v>
          </cell>
        </row>
        <row r="18">
          <cell r="E18">
            <v>300.00099999999998</v>
          </cell>
          <cell r="F18">
            <v>350</v>
          </cell>
        </row>
        <row r="19">
          <cell r="E19">
            <v>350.00099999999998</v>
          </cell>
          <cell r="F19">
            <v>400</v>
          </cell>
        </row>
        <row r="20">
          <cell r="E20">
            <v>400.00099999999998</v>
          </cell>
          <cell r="F20">
            <v>500</v>
          </cell>
        </row>
        <row r="21">
          <cell r="E21">
            <v>500.00099999999998</v>
          </cell>
          <cell r="F21">
            <v>600</v>
          </cell>
        </row>
        <row r="22">
          <cell r="E22">
            <v>600.00099999999998</v>
          </cell>
          <cell r="F22">
            <v>700</v>
          </cell>
        </row>
        <row r="23">
          <cell r="E23">
            <v>700.00099999999998</v>
          </cell>
          <cell r="F23">
            <v>800</v>
          </cell>
        </row>
        <row r="24">
          <cell r="E24">
            <v>800.00099999999998</v>
          </cell>
          <cell r="F24">
            <v>1000</v>
          </cell>
        </row>
        <row r="25">
          <cell r="E25">
            <v>1000.001</v>
          </cell>
          <cell r="F25">
            <v>1200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(mac)"/>
      <sheetName val="낙석방지집계표"/>
      <sheetName val="낙석방지책연장"/>
      <sheetName val="가드레일연장"/>
      <sheetName val="tggwan(mac)"/>
      <sheetName val="DATE"/>
      <sheetName val="내역서"/>
      <sheetName val="DATA"/>
      <sheetName val="ABUT수량-A1"/>
      <sheetName val="INPUT"/>
      <sheetName val="내역"/>
      <sheetName val="부하계산서"/>
      <sheetName val="집계표"/>
      <sheetName val="일위대가"/>
      <sheetName val="기본DATA"/>
      <sheetName val="Macro1"/>
      <sheetName val="설계내역"/>
      <sheetName val="인건비"/>
      <sheetName val="일위목록"/>
      <sheetName val="Sheet1"/>
      <sheetName val="I一般比"/>
      <sheetName val="중기사용료산출근거"/>
      <sheetName val="총괄내역서"/>
      <sheetName val="수량산출"/>
      <sheetName val="퍼스트"/>
      <sheetName val="노임단가"/>
      <sheetName val="CPM챠트"/>
      <sheetName val="입찰안"/>
      <sheetName val="단가산출(T)"/>
      <sheetName val="단가 및 재료비"/>
      <sheetName val="관급자재"/>
    </sheetNames>
    <sheetDataSet>
      <sheetData sheetId="0" refreshError="1">
        <row r="1">
          <cell r="A1" t="str">
            <v>chekjum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압계수"/>
      <sheetName val="반중력식옹벽"/>
      <sheetName val="INPUT"/>
      <sheetName val="4)유동표"/>
      <sheetName val="DATA"/>
      <sheetName val="guard(mac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Sheet1"/>
      <sheetName val="DATA"/>
      <sheetName val="#REF"/>
      <sheetName val="단가"/>
      <sheetName val="표지"/>
      <sheetName val="원가계산서 "/>
      <sheetName val="집계표 (1)"/>
      <sheetName val="집계표(2)"/>
      <sheetName val="내역서(1차공사분)"/>
      <sheetName val="자재단가비교표"/>
      <sheetName val="내역서"/>
      <sheetName val="포장복구집계"/>
      <sheetName val="수량산출"/>
      <sheetName val="데이타"/>
      <sheetName val="I一般比"/>
      <sheetName val="N賃率-職"/>
      <sheetName val="안정검토(온1)"/>
      <sheetName val="반중력식옹벽"/>
      <sheetName val="암거단위-1련"/>
      <sheetName val="화산경계"/>
      <sheetName val="과천MAIN"/>
      <sheetName val="수량산출서"/>
      <sheetName val="공사수행방안"/>
      <sheetName val="노임단가"/>
      <sheetName val="일위대가"/>
      <sheetName val="ABUT수량-A1"/>
      <sheetName val="도배공사언고"/>
      <sheetName val="총괄표"/>
      <sheetName val="INPUT"/>
      <sheetName val="집수정"/>
      <sheetName val="청천내"/>
      <sheetName val="건축-물가변동"/>
      <sheetName val="NEGO"/>
      <sheetName val="현장일보"/>
      <sheetName val="전차선로 물량표"/>
      <sheetName val="1.설계조건"/>
      <sheetName val="안정검토"/>
      <sheetName val="내역서-전체낙찰율"/>
      <sheetName val="상수도토공집계표"/>
      <sheetName val="Front"/>
      <sheetName val="wall"/>
      <sheetName val="일위대가-1"/>
      <sheetName val="간접"/>
      <sheetName val="ETC"/>
      <sheetName val="COST"/>
      <sheetName val="날개벽"/>
      <sheetName val="암거단위"/>
      <sheetName val="전기일위대가"/>
      <sheetName val="실행철강하도"/>
      <sheetName val="갑지1"/>
      <sheetName val="일위대가(계측기설치)"/>
      <sheetName val="성남일위"/>
      <sheetName val="IMPEADENCE MAP 취수장"/>
      <sheetName val="외주"/>
      <sheetName val="노원열병합  건축공사기성내역서"/>
      <sheetName val="귀래 설계 공내역서"/>
      <sheetName val="반중력식옹벽3.5"/>
      <sheetName val="견적율"/>
      <sheetName val="산출금액내역"/>
      <sheetName val="MCC제원"/>
      <sheetName val="별표 "/>
      <sheetName val="POL6차-PIPING"/>
      <sheetName val="을"/>
      <sheetName val="환율"/>
      <sheetName val="예비품"/>
      <sheetName val="시중노임단가"/>
      <sheetName val="현장관리비"/>
      <sheetName val="사급자재"/>
      <sheetName val="CTEMCOST"/>
      <sheetName val="예가표"/>
      <sheetName val="Sheet2"/>
      <sheetName val="설직재-1"/>
      <sheetName val="신우"/>
      <sheetName val="공사원가계산서"/>
      <sheetName val="직노"/>
      <sheetName val="단가대비표"/>
      <sheetName val="일위대가(가설)"/>
      <sheetName val="횡배수관토공수량"/>
      <sheetName val="입찰안"/>
      <sheetName val="b_balju_cho"/>
      <sheetName val="소비자가"/>
      <sheetName val="일위_파일"/>
      <sheetName val="식재가격"/>
      <sheetName val="식재총괄"/>
      <sheetName val="일위목록"/>
      <sheetName val="const."/>
      <sheetName val="내역서1999.8최종"/>
      <sheetName val="노임"/>
      <sheetName val="인건비"/>
      <sheetName val="단가조사"/>
      <sheetName val="Curves"/>
      <sheetName val="Tables"/>
      <sheetName val="Option"/>
      <sheetName val="SP-B1"/>
      <sheetName val="집계표"/>
      <sheetName val="설비내역서"/>
      <sheetName val="건축내역서"/>
      <sheetName val="전기내역서"/>
      <sheetName val="건축내역"/>
      <sheetName val="금액"/>
      <sheetName val="원가계산서"/>
      <sheetName val="일위대가 (100%)"/>
      <sheetName val="플랜트 설치"/>
      <sheetName val="인건-측정"/>
      <sheetName val="손익분석"/>
      <sheetName val="평균높이산출근거"/>
      <sheetName val="횡배수관위치조서"/>
      <sheetName val="부안일위"/>
      <sheetName val="표지 (2)"/>
      <sheetName val="지우지마세요"/>
      <sheetName val="빙장비사양"/>
      <sheetName val="장비사양"/>
      <sheetName val="설계명세서"/>
      <sheetName val="공사"/>
      <sheetName val="Sheet6"/>
      <sheetName val="시행후면적"/>
      <sheetName val="직재"/>
      <sheetName val="단가산출"/>
      <sheetName val="7단가"/>
      <sheetName val="내역서-CCTV"/>
      <sheetName val="전기일위목록"/>
      <sheetName val="제수"/>
      <sheetName val="공기"/>
      <sheetName val="영1"/>
      <sheetName val="copy"/>
      <sheetName val="NEYOK"/>
      <sheetName val="FRP내역서"/>
      <sheetName val="기준"/>
      <sheetName val="9811"/>
      <sheetName val="목표세부명세"/>
      <sheetName val="원하대비"/>
      <sheetName val="원도급"/>
      <sheetName val="하도급"/>
      <sheetName val="GAEYO"/>
      <sheetName val="자재단가표"/>
      <sheetName val="조명시설"/>
      <sheetName val="Total"/>
      <sheetName val="수목표준대가"/>
      <sheetName val="기본DATA"/>
      <sheetName val="중갑지"/>
      <sheetName val="단가 "/>
      <sheetName val="내역"/>
      <sheetName val="일위"/>
      <sheetName val="5.모델링"/>
      <sheetName val="2.단면가정"/>
      <sheetName val="FD"/>
      <sheetName val="LD"/>
      <sheetName val="토목"/>
      <sheetName val="관급단가"/>
      <sheetName val="기계설비-물가변동"/>
      <sheetName val="연동내역"/>
      <sheetName val="횡배수관집현황(2공구)"/>
      <sheetName val="작성기준"/>
      <sheetName val="노무비"/>
      <sheetName val="WEIGHT LIST"/>
      <sheetName val="계산근거"/>
      <sheetName val="DATE"/>
      <sheetName val="계약내력"/>
      <sheetName val="ES조서출력하기"/>
      <sheetName val="AV시스템"/>
      <sheetName val="한강운반비"/>
      <sheetName val="갑지"/>
      <sheetName val="노무비 "/>
      <sheetName val="TRE TABLE"/>
      <sheetName val="입력"/>
      <sheetName val="노임이"/>
      <sheetName val="견"/>
      <sheetName val="노 무 비"/>
      <sheetName val="내역서1"/>
      <sheetName val="__"/>
      <sheetName val="토목내역서"/>
      <sheetName val="1단계"/>
      <sheetName val="J형측구단위수량"/>
      <sheetName val="YES-T"/>
      <sheetName val="평가내역"/>
      <sheetName val="연결임시"/>
      <sheetName val="SUN 2000. 10 가격"/>
      <sheetName val="단위중량표"/>
      <sheetName val="Sheet3"/>
      <sheetName val="인건비 "/>
      <sheetName val="부하LOAD"/>
      <sheetName val="중기사용료"/>
      <sheetName val="XXXXXX"/>
      <sheetName val="원가계산"/>
      <sheetName val="견적"/>
      <sheetName val="조도계산"/>
      <sheetName val="P.M 별"/>
      <sheetName val="현대물량"/>
      <sheetName val="품셈TABLE"/>
      <sheetName val="집계"/>
      <sheetName val="요율"/>
      <sheetName val="터파기및재료"/>
      <sheetName val="직접인건비"/>
      <sheetName val="Y-WORK"/>
      <sheetName val="변압기 및 발전기 용량"/>
      <sheetName val="전기"/>
      <sheetName val="매립"/>
      <sheetName val="Sheet13"/>
      <sheetName val="발전기"/>
      <sheetName val="Sheet14"/>
      <sheetName val="현장관리비집계표"/>
      <sheetName val="조건입력"/>
      <sheetName val="조건입력(2)"/>
      <sheetName val="장비선정"/>
      <sheetName val="냉천부속동"/>
      <sheetName val="일위(PN)"/>
      <sheetName val="98수문일위"/>
      <sheetName val="약품설비"/>
      <sheetName val="여수토공사비"/>
      <sheetName val="가설공사내역"/>
      <sheetName val="401"/>
      <sheetName val="Sheet4"/>
      <sheetName val="갑지(추정)"/>
      <sheetName val="자재단가"/>
      <sheetName val="전신환매도율"/>
      <sheetName val="H-PILE수량집계"/>
      <sheetName val="A-4"/>
      <sheetName val="차선도색현황"/>
      <sheetName val="실행대비"/>
      <sheetName val="경비"/>
      <sheetName val="공사개요"/>
      <sheetName val="코드표"/>
      <sheetName val="COVER"/>
      <sheetName val="횡배수관"/>
      <sheetName val="대비"/>
      <sheetName val="집수정(600-700)"/>
      <sheetName val="전계가"/>
      <sheetName val="설계내역서"/>
      <sheetName val="APT"/>
      <sheetName val="건축공사 집계표"/>
      <sheetName val="골조"/>
      <sheetName val="본공사"/>
      <sheetName val="소방"/>
      <sheetName val="대치판정"/>
      <sheetName val="Working(wo WTs)"/>
      <sheetName val="송전기본"/>
      <sheetName val="노단"/>
      <sheetName val="R&amp;D"/>
      <sheetName val="교통대책내역"/>
      <sheetName val="982월원안"/>
      <sheetName val="SCHEDULE"/>
      <sheetName val="2원료가나다."/>
      <sheetName val="SYS별 부하목록"/>
      <sheetName val="cable data"/>
      <sheetName val="철거산출근거"/>
      <sheetName val="일위대가목록"/>
      <sheetName val="하부철근수량"/>
      <sheetName val="전기혼잡제경비(45)"/>
      <sheetName val="guard(mac)"/>
      <sheetName val="사용성검토"/>
      <sheetName val="샘플표지"/>
      <sheetName val="2. 공원조도(전통공원)"/>
      <sheetName val="조명율표"/>
      <sheetName val="EP0618"/>
      <sheetName val="CAT_5"/>
      <sheetName val=" 냉각수펌프"/>
      <sheetName val="기계상세"/>
      <sheetName val="일반부표"/>
      <sheetName val="설비"/>
      <sheetName val="견적대비 견적서"/>
      <sheetName val="공조기"/>
      <sheetName val="목창호"/>
      <sheetName val="Activity(new)"/>
      <sheetName val="Total(new)"/>
      <sheetName val="FB25JN"/>
      <sheetName val="산출"/>
      <sheetName val="총괄내역서"/>
      <sheetName val="시설물일위"/>
      <sheetName val="노임변동률"/>
      <sheetName val="기존단가 (2)"/>
      <sheetName val="J直材4"/>
      <sheetName val="구천"/>
      <sheetName val="공내역"/>
      <sheetName val="일위대가표"/>
      <sheetName val="총괄"/>
      <sheetName val="인수공"/>
      <sheetName val="배수내역 (2)"/>
      <sheetName val="용지매수"/>
      <sheetName val="BQ"/>
      <sheetName val="돈암사업"/>
      <sheetName val="약품공급2"/>
      <sheetName val="일위목차"/>
      <sheetName val="예산서표지"/>
      <sheetName val="홍보비디오"/>
      <sheetName val="내역서2안"/>
      <sheetName val="경산"/>
      <sheetName val="인제내역"/>
      <sheetName val="P-J"/>
      <sheetName val="È£Ç¥"/>
      <sheetName val="도급"/>
      <sheetName val="견적대비표"/>
      <sheetName val="단"/>
      <sheetName val="건축공사"/>
      <sheetName val="내역서(기성청구)"/>
      <sheetName val="NAI"/>
      <sheetName val="6동"/>
      <sheetName val="건축집계표"/>
      <sheetName val="토목집계표"/>
      <sheetName val="집계표(설비)"/>
      <sheetName val="SUMMARY"/>
      <sheetName val="PAINT"/>
      <sheetName val="수용가조서"/>
      <sheetName val="비탈면보호공수량산출"/>
      <sheetName val="산_3_2"/>
      <sheetName val="산_3_1"/>
      <sheetName val="_REF"/>
      <sheetName val="산_3_2_2"/>
      <sheetName val="BOQ건축"/>
      <sheetName val="제품정보"/>
      <sheetName val="장비부하"/>
      <sheetName val="변수"/>
      <sheetName val="dV&amp;Cl"/>
      <sheetName val="CAP"/>
      <sheetName val="R"/>
      <sheetName val="하남내역"/>
      <sheetName val="서울1"/>
      <sheetName val="설계기준"/>
      <sheetName val="내역1"/>
      <sheetName val="설계조건"/>
      <sheetName val="역T형"/>
      <sheetName val="말뚝설계"/>
      <sheetName val="가로내역"/>
      <sheetName val="제-노임"/>
      <sheetName val="교각계산"/>
      <sheetName val="접속도로1"/>
      <sheetName val="T13(P68~72,78)"/>
      <sheetName val="단위단가"/>
      <sheetName val="부하"/>
      <sheetName val="별표집계"/>
      <sheetName val="정렬"/>
      <sheetName val="MixBed"/>
      <sheetName val="CondPol"/>
      <sheetName val="6호기"/>
      <sheetName val="SAM"/>
      <sheetName val="프랜트면허"/>
      <sheetName val="시화점실행"/>
      <sheetName val="원가"/>
      <sheetName val="원효펌프교체020812"/>
      <sheetName val="수리결과"/>
      <sheetName val="전기 원가계산서"/>
      <sheetName val="단가비교표"/>
      <sheetName val="제경비율"/>
      <sheetName val="단가표"/>
      <sheetName val="2002상반기노임기준"/>
      <sheetName val="자료"/>
      <sheetName val="토사(PE)"/>
      <sheetName val="수량산출1"/>
      <sheetName val="입출재고현황 (2)"/>
      <sheetName val="합천내역"/>
      <sheetName val="공사비"/>
      <sheetName val="단중표"/>
      <sheetName val="설 계"/>
      <sheetName val="실행내역"/>
      <sheetName val="1안"/>
      <sheetName val="배수통관토공수량"/>
      <sheetName val="9."/>
      <sheetName val="부대공"/>
      <sheetName val="포장공"/>
      <sheetName val="토공"/>
      <sheetName val="소일위대가코드표"/>
      <sheetName val="2.대외공문"/>
      <sheetName val="성곽내역서"/>
      <sheetName val="목차"/>
      <sheetName val="토적계산"/>
      <sheetName val="목재훈증"/>
      <sheetName val="예산명세서"/>
      <sheetName val="자료입력"/>
      <sheetName val="제경집계"/>
      <sheetName val="날개벽수량표"/>
      <sheetName val="국공유지및사유지"/>
      <sheetName val="개소별수량산출"/>
      <sheetName val="깨기"/>
      <sheetName val="수토공단위당"/>
      <sheetName val="FACTOR"/>
      <sheetName val="(관급)수량산출서"/>
      <sheetName val="(도급)수량산출서"/>
      <sheetName val="일위대가목록표"/>
      <sheetName val="제품목록"/>
      <sheetName val="측량요율"/>
      <sheetName val="패널"/>
      <sheetName val="재료"/>
      <sheetName val="설치자재"/>
      <sheetName val="제품"/>
      <sheetName val="견적계산"/>
      <sheetName val="재고현황"/>
      <sheetName val="예총"/>
      <sheetName val="9GNG운반"/>
      <sheetName val="자재"/>
      <sheetName val="20관리비율"/>
      <sheetName val="전통건설"/>
      <sheetName val="분석가정"/>
      <sheetName val="원가계산서_"/>
      <sheetName val="집계표_(1)"/>
      <sheetName val="별표_"/>
      <sheetName val="1_설계조건"/>
      <sheetName val="전차선로_물량표"/>
      <sheetName val="귀래_설계_공내역서"/>
      <sheetName val="품셈"/>
      <sheetName val="대로근거"/>
      <sheetName val="중로근거"/>
      <sheetName val="BID"/>
      <sheetName val="신표지1"/>
      <sheetName val="중기(목록)"/>
      <sheetName val="일위대가(목록)"/>
      <sheetName val="산근(목록)"/>
      <sheetName val="재료비"/>
      <sheetName val="대,유,램"/>
      <sheetName val="49일위"/>
      <sheetName val="공사비명세서"/>
      <sheetName val="단가결정"/>
      <sheetName val="전체"/>
      <sheetName val="변경비교-을"/>
      <sheetName val="4.Footing Design"/>
      <sheetName val="2.Load Calculation"/>
      <sheetName val="3.Check For Stability"/>
      <sheetName val="JUCKEYK"/>
      <sheetName val="기계관급기자재비"/>
      <sheetName val="건축관급공사비"/>
      <sheetName val="토목관급공사비"/>
      <sheetName val="2000년1차"/>
      <sheetName val="미드수량"/>
      <sheetName val="철근총괄집계표"/>
      <sheetName val="빗물받이(910-510-410)"/>
      <sheetName val="우수"/>
      <sheetName val="Sheet1 (2)"/>
      <sheetName val="일위대가서식"/>
      <sheetName val="조경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SLAB"/>
      <sheetName val="부하계산서"/>
      <sheetName val="설계서(1)"/>
      <sheetName val="적용기준"/>
      <sheetName val="hvac(제어동)"/>
      <sheetName val="COVER-P"/>
      <sheetName val="내역단가"/>
      <sheetName val="일위단가"/>
      <sheetName val="9.단가조사서"/>
      <sheetName val="6.일위목록"/>
      <sheetName val="BLR-S"/>
      <sheetName val="총괄내역단가"/>
      <sheetName val="SELTDATA"/>
      <sheetName val="방송노임"/>
      <sheetName val="eq_data"/>
      <sheetName val="예산내역서"/>
      <sheetName val="설계예산서"/>
      <sheetName val="기계경비일람"/>
      <sheetName val="도"/>
      <sheetName val="산출기준자료"/>
      <sheetName val="1.설계기준"/>
      <sheetName val="관급"/>
      <sheetName val="아래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발전기설비공사"/>
      <sheetName val="내역서"/>
      <sheetName val="일위대가"/>
      <sheetName val="b_balju"/>
      <sheetName val="목록"/>
      <sheetName val="WOR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INPUT"/>
      <sheetName val="A1(d)"/>
      <sheetName val="A2(d) "/>
      <sheetName val="수량"/>
      <sheetName val="manual"/>
      <sheetName val="반중력식옹벽"/>
      <sheetName val="DATA"/>
    </sheetNames>
    <sheetDataSet>
      <sheetData sheetId="0" refreshError="1"/>
      <sheetData sheetId="1" refreshError="1">
        <row r="26">
          <cell r="F26">
            <v>10.881</v>
          </cell>
          <cell r="I26">
            <v>3.5</v>
          </cell>
          <cell r="L26">
            <v>5</v>
          </cell>
        </row>
        <row r="27">
          <cell r="C27">
            <v>1.639</v>
          </cell>
          <cell r="F27">
            <v>10.364000000000001</v>
          </cell>
        </row>
        <row r="28">
          <cell r="C28">
            <v>2.5110000000000001</v>
          </cell>
          <cell r="I28">
            <v>1.8</v>
          </cell>
        </row>
        <row r="30">
          <cell r="C30">
            <v>5.1369999999999996</v>
          </cell>
        </row>
        <row r="33">
          <cell r="C33">
            <v>2.302</v>
          </cell>
        </row>
        <row r="36">
          <cell r="C36">
            <v>3.9369999999999998</v>
          </cell>
          <cell r="I36">
            <v>1.0329999999999999</v>
          </cell>
        </row>
        <row r="37">
          <cell r="I37">
            <v>3.45</v>
          </cell>
        </row>
        <row r="43">
          <cell r="I43">
            <v>0</v>
          </cell>
        </row>
        <row r="44">
          <cell r="F44">
            <v>1.3</v>
          </cell>
          <cell r="I44">
            <v>1.2</v>
          </cell>
        </row>
        <row r="45">
          <cell r="F45">
            <v>1.35</v>
          </cell>
          <cell r="I45">
            <v>0.5</v>
          </cell>
        </row>
        <row r="46">
          <cell r="I46">
            <v>0.15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근(생초-총괄)"/>
      <sheetName val="철근(생초-산청)"/>
      <sheetName val="철근(생초-수동)"/>
      <sheetName val="철근(고읍-총괄)"/>
      <sheetName val="철근(고읍-산청)"/>
      <sheetName val="철근(고읍-수동)"/>
      <sheetName val="철근(본통-총괄)"/>
      <sheetName val="철근(본통-산청)"/>
      <sheetName val="철근(본통-수동)"/>
      <sheetName val="차선도색현황"/>
      <sheetName val="#REF"/>
      <sheetName val="간선계산"/>
      <sheetName val="INPUT"/>
      <sheetName val="낙찰표"/>
      <sheetName val="일위대가표"/>
      <sheetName val="원가"/>
      <sheetName val="품셈"/>
      <sheetName val="날개벽(시점좌측)"/>
      <sheetName val="TABLE"/>
      <sheetName val="일위대가"/>
      <sheetName val="DATA"/>
      <sheetName val="부하(성남)"/>
      <sheetName val="000000"/>
      <sheetName val="수로교총재료집계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정일지"/>
      <sheetName val="교량간지"/>
      <sheetName val="목차"/>
      <sheetName val="역T형"/>
      <sheetName val="철근보강위치"/>
      <sheetName val="날개벽1-1"/>
      <sheetName val="날개벽1-2"/>
      <sheetName val="날개벽1"/>
      <sheetName val="날개벽2"/>
      <sheetName val="날개벽3"/>
      <sheetName val="접속 SLAB,BRACKET 설계"/>
      <sheetName val="Module1"/>
      <sheetName val="변수정의"/>
      <sheetName val="INPUT"/>
      <sheetName val="반중력식옹벽"/>
    </sheetNames>
    <sheetDataSet>
      <sheetData sheetId="0"/>
      <sheetData sheetId="1"/>
      <sheetData sheetId="2"/>
      <sheetData sheetId="3">
        <row r="69">
          <cell r="M69">
            <v>2</v>
          </cell>
        </row>
        <row r="71">
          <cell r="M71">
            <v>1</v>
          </cell>
        </row>
        <row r="79">
          <cell r="M79">
            <v>35</v>
          </cell>
        </row>
        <row r="112">
          <cell r="I112">
            <v>1.4999999999999998</v>
          </cell>
          <cell r="L112">
            <v>0.5</v>
          </cell>
          <cell r="N112">
            <v>0.3</v>
          </cell>
        </row>
        <row r="117">
          <cell r="B117">
            <v>10</v>
          </cell>
        </row>
        <row r="148">
          <cell r="C148">
            <v>1.4</v>
          </cell>
        </row>
        <row r="155">
          <cell r="F155">
            <v>1.6</v>
          </cell>
          <cell r="I155">
            <v>1.4</v>
          </cell>
          <cell r="M155">
            <v>3.6</v>
          </cell>
        </row>
        <row r="574">
          <cell r="J574">
            <v>2.15</v>
          </cell>
        </row>
        <row r="575">
          <cell r="J575">
            <v>1.7</v>
          </cell>
        </row>
        <row r="1129">
          <cell r="N1129">
            <v>100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안정검토"/>
      <sheetName val="단면설계"/>
      <sheetName val="철근량 "/>
      <sheetName val="공칭철근단면적,충격계수"/>
      <sheetName val="단가산출서"/>
      <sheetName val="직노"/>
      <sheetName val="일위대가"/>
      <sheetName val="역T형"/>
      <sheetName val="내역서"/>
    </sheetNames>
    <sheetDataSet>
      <sheetData sheetId="0" refreshError="1">
        <row r="92">
          <cell r="R92">
            <v>0.2</v>
          </cell>
          <cell r="U92">
            <v>1</v>
          </cell>
        </row>
        <row r="95">
          <cell r="U95">
            <v>0.25800000000000001</v>
          </cell>
          <cell r="X95">
            <v>0.5</v>
          </cell>
          <cell r="AA95">
            <v>1.37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포장공 수량명세서"/>
      <sheetName val="포장공재료집계표"/>
      <sheetName val="포장공 수량집계표"/>
      <sheetName val="시멘트 골재량"/>
      <sheetName val="깨기집계"/>
      <sheetName val="깨기수량집계"/>
      <sheetName val="맨홀토공집계"/>
      <sheetName val="맨홀토공산출"/>
      <sheetName val="맨홀인상산출"/>
      <sheetName val="노임단가"/>
      <sheetName val="자재단가"/>
      <sheetName val="안정검토"/>
      <sheetName val="단면설계"/>
      <sheetName val="버스운행안내"/>
      <sheetName val="예방접종계획"/>
      <sheetName val="근태계획서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">
    <sheetNames>
      <sheetName val="laroux"/>
      <sheetName val="9회로"/>
      <sheetName val="9회로-1"/>
      <sheetName val="8회로 전기"/>
      <sheetName val="8회로-1"/>
      <sheetName val="7회로"/>
      <sheetName val="6회로"/>
      <sheetName val="6회로-1"/>
      <sheetName val="5회로"/>
      <sheetName val="3회로"/>
      <sheetName val="2회로"/>
      <sheetName val="조명3전기2"/>
      <sheetName val="#REF"/>
      <sheetName val="7회로 15DIM 3RD"/>
      <sheetName val="35DIM 3D (2)"/>
      <sheetName val="18회로"/>
      <sheetName val="9회로 (2)"/>
      <sheetName val="10회로 조명"/>
      <sheetName val="7회로 조명"/>
      <sheetName val="조명3전기4 신형 (2)"/>
      <sheetName val="4회로"/>
      <sheetName val="조명3전기2 신형"/>
      <sheetName val="11CH50DIM6RD5"/>
      <sheetName val="14CH32DIM6RD5 (2)"/>
      <sheetName val="28회로"/>
      <sheetName val="8회로신형"/>
      <sheetName val="부산시사상구청"/>
      <sheetName val="18DIM5CH3D"/>
      <sheetName val="18DIM4CH3D (2)"/>
      <sheetName val="14DIM3DIR"/>
      <sheetName val="전기3회로dim8"/>
      <sheetName val="전기2회로dim9 (3)"/>
      <sheetName val="전기2회로dim8 (4)"/>
      <sheetName val="5CH8DIM3D"/>
      <sheetName val="5CH10DIM3D (2)"/>
      <sheetName val="18DIM6CH3D (2)"/>
      <sheetName val="일위(설)"/>
      <sheetName val="전기산출근거"/>
      <sheetName val="8회로 25DIM 4RD (2)"/>
      <sheetName val="9회로 22DIM 3D "/>
      <sheetName val="조명5전기1(2)"/>
      <sheetName val="6DIM12CH2D (3)"/>
      <sheetName val="부하(성남)"/>
      <sheetName val="부하계산서"/>
      <sheetName val="MOTOR"/>
      <sheetName val="guard(mac)"/>
      <sheetName val="교각1"/>
      <sheetName val="Sheet1 (2)"/>
      <sheetName val="하중"/>
      <sheetName val="간선계산"/>
      <sheetName val="과천MAIN"/>
      <sheetName val="단면 (2)"/>
      <sheetName val="원가"/>
      <sheetName val="차선도색현황"/>
      <sheetName val="설비"/>
      <sheetName val="내역서"/>
      <sheetName val="원내역"/>
      <sheetName val="Sheet1"/>
      <sheetName val="청천내"/>
      <sheetName val="일위대가(계측기설치)"/>
      <sheetName val="집계표"/>
      <sheetName val="신우"/>
      <sheetName val="N賃率-職"/>
      <sheetName val="I一般比"/>
      <sheetName val="2F 회의실견적(5_14 일대)"/>
      <sheetName val="말뚝지지력산정"/>
      <sheetName val="수로교총재료집계"/>
      <sheetName val="Sheet5"/>
      <sheetName val="보온자재단가표"/>
      <sheetName val="TOTAL"/>
      <sheetName val="EQUIP-H"/>
      <sheetName val="BM"/>
      <sheetName val="견적990322"/>
      <sheetName val="지급자재"/>
      <sheetName val="품목"/>
      <sheetName val="LOPCALC"/>
      <sheetName val="집계"/>
      <sheetName val="기본일위"/>
      <sheetName val="내역서2안"/>
      <sheetName val="직노"/>
      <sheetName val="실행내역"/>
      <sheetName val="공통(20-91)"/>
      <sheetName val="양천현"/>
      <sheetName val=" HIT-&gt;HMC 견적(3900)"/>
      <sheetName val="JUCK"/>
      <sheetName val="일위대가"/>
      <sheetName val="LEGEND"/>
      <sheetName val="9811"/>
      <sheetName val="간접재료비산출표-27-30"/>
      <sheetName val="__"/>
      <sheetName val="수량산출"/>
      <sheetName val="부서현황"/>
      <sheetName val="설직재-1"/>
      <sheetName val="20관리비율"/>
      <sheetName val="일위대가목록"/>
      <sheetName val="버스운행안내"/>
      <sheetName val="예방접종계획"/>
      <sheetName val="근태계획서"/>
      <sheetName val="역T형"/>
      <sheetName val="기계내역"/>
      <sheetName val="관급단가"/>
      <sheetName val="계화배수"/>
      <sheetName val="기성총"/>
      <sheetName val="일위대가(가설)"/>
      <sheetName val="기준자료"/>
      <sheetName val="주방환기"/>
      <sheetName val="공사내역"/>
      <sheetName val="DATA"/>
      <sheetName val="4)유동표"/>
      <sheetName val="INPUT"/>
      <sheetName val="IMPEADENCE MAP 취수장"/>
      <sheetName val="PROJECT BRIEF(EX.NEW)"/>
      <sheetName val="내역표지"/>
      <sheetName val="손익분석"/>
      <sheetName val="VXXXXXXX"/>
      <sheetName val="Y-WORK"/>
      <sheetName val="1. 통합배선설비"/>
      <sheetName val="별표 "/>
      <sheetName val="GEN"/>
      <sheetName val="데이타"/>
      <sheetName val="갑지"/>
      <sheetName val="단가"/>
      <sheetName val="합천내역"/>
      <sheetName val="전선 및 전선관"/>
      <sheetName val="건축내역"/>
      <sheetName val="직재"/>
      <sheetName val="보할공정"/>
      <sheetName val="물가시세"/>
      <sheetName val="노임단가"/>
      <sheetName val="전신환매도율"/>
      <sheetName val="내역"/>
      <sheetName val="날개벽(시점좌측)"/>
      <sheetName val="단가비교표"/>
      <sheetName val="물가"/>
      <sheetName val="9509"/>
      <sheetName val="성곽내역서"/>
      <sheetName val="EQUIPMENT -2"/>
      <sheetName val="단가산출-기,교"/>
      <sheetName val="일위목록-기"/>
      <sheetName val="요율"/>
      <sheetName val="1.설계조건"/>
      <sheetName val="내역서1"/>
      <sheetName val="견적대비 견적서"/>
      <sheetName val="조명시설"/>
      <sheetName val="가설공사"/>
      <sheetName val="제직재"/>
      <sheetName val="제-노임"/>
      <sheetName val="견"/>
      <sheetName val="을"/>
      <sheetName val="J直材4"/>
      <sheetName val="JUCKEYK"/>
      <sheetName val="실행대비"/>
      <sheetName val="무시"/>
      <sheetName val="작성기준"/>
      <sheetName val="일위"/>
      <sheetName val="EACT10"/>
      <sheetName val="DB"/>
      <sheetName val="설계조건"/>
      <sheetName val="입찰안"/>
      <sheetName val="현대물량"/>
      <sheetName val="sw1"/>
      <sheetName val="NOMUBI"/>
      <sheetName val="A갑지"/>
      <sheetName val="좌측"/>
      <sheetName val="일위목록"/>
      <sheetName val="총괄집계표"/>
      <sheetName val="2.대외공문"/>
      <sheetName val="BID"/>
      <sheetName val="Care"/>
      <sheetName val="OPT7"/>
      <sheetName val="SV7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PM"/>
      <sheetName val="일위_파일"/>
      <sheetName val="6호기"/>
      <sheetName val="표지"/>
      <sheetName val="정부노임단가"/>
      <sheetName val="실행예산서"/>
      <sheetName val="노임조서"/>
      <sheetName val="연결임시"/>
      <sheetName val="SPEC"/>
      <sheetName val="대공종"/>
      <sheetName val="총괄표"/>
      <sheetName val="관급_File"/>
      <sheetName val="차액보증"/>
      <sheetName val="단가표"/>
      <sheetName val="율촌법률사무소2내역"/>
      <sheetName val="공사원가계산서"/>
      <sheetName val="Summary Sheets"/>
      <sheetName val="참조"/>
      <sheetName val="사전공사"/>
      <sheetName val="1007공사세부내역서"/>
      <sheetName val="1007전기내역서(리빙)"/>
      <sheetName val="컨텍리포트"/>
      <sheetName val="금액내역서"/>
      <sheetName val="목차"/>
      <sheetName val="환산"/>
      <sheetName val="견적"/>
      <sheetName val="21301동"/>
      <sheetName val="진주방향"/>
      <sheetName val="검수고1-1층"/>
      <sheetName val="PAN"/>
      <sheetName val="노임"/>
      <sheetName val="점수계산1-2"/>
      <sheetName val="기성금내역서"/>
      <sheetName val="Oper Amount"/>
      <sheetName val="수량산출서"/>
      <sheetName val="말뚝물량"/>
      <sheetName val="1안"/>
      <sheetName val="발신정보"/>
      <sheetName val="공사비예산서(토목분)"/>
      <sheetName val="대비"/>
      <sheetName val="기초대가"/>
      <sheetName val="부하LOAD"/>
      <sheetName val="양수장(기계)"/>
      <sheetName val="조건표"/>
      <sheetName val="토 적 표"/>
      <sheetName val="전기일위대가"/>
      <sheetName val="DATE"/>
      <sheetName val="단중표"/>
      <sheetName val="처리단락"/>
      <sheetName val="부표총괄"/>
      <sheetName val="포장직선구간"/>
      <sheetName val="별표집계"/>
      <sheetName val="산출"/>
      <sheetName val="김포IO"/>
      <sheetName val="FD"/>
      <sheetName val="약전닥트"/>
      <sheetName val="건축부하"/>
      <sheetName val="99관저"/>
      <sheetName val="일지-H"/>
      <sheetName val="LD"/>
      <sheetName val="FA설치명세"/>
      <sheetName val="전차선로 물량표"/>
      <sheetName val="인부임"/>
      <sheetName val="전체"/>
      <sheetName val="설 계"/>
      <sheetName val="수입"/>
      <sheetName val="AP1"/>
      <sheetName val="적용률"/>
      <sheetName val="OPT"/>
      <sheetName val="SV"/>
      <sheetName val="낙찰표"/>
      <sheetName val="계측"/>
      <sheetName val="A-4"/>
      <sheetName val="danga"/>
      <sheetName val="원본(갑지)"/>
      <sheetName val="자재집계표"/>
      <sheetName val="3BL공동구 수량"/>
      <sheetName val="#3E1_GCR"/>
      <sheetName val="견적서"/>
      <sheetName val="품셈"/>
      <sheetName val="관급"/>
      <sheetName val="중량산출"/>
      <sheetName val="수량이동"/>
      <sheetName val="단가조사서"/>
      <sheetName val="금액"/>
      <sheetName val="재집"/>
      <sheetName val="가로내역"/>
      <sheetName val="발전기"/>
      <sheetName val="Sheet13"/>
      <sheetName val="Sheet14"/>
      <sheetName val="Carepaq"/>
      <sheetName val="민속촌메뉴"/>
      <sheetName val="ABUT수량-A1"/>
      <sheetName val="동원(3)"/>
      <sheetName val="예정(3)"/>
      <sheetName val="SG"/>
      <sheetName val="시멘트"/>
      <sheetName val="Sheet3"/>
      <sheetName val="Sheet2"/>
      <sheetName val="수량(건축)"/>
      <sheetName val="CIVIL4"/>
      <sheetName val="인건비 "/>
      <sheetName val="연습"/>
      <sheetName val="송중자재"/>
      <sheetName val="전선"/>
      <sheetName val="CABLE"/>
      <sheetName val="#3_일위대가목록"/>
      <sheetName val="단가조사표"/>
      <sheetName val="뚝토공"/>
      <sheetName val="CATV"/>
      <sheetName val="노임이"/>
      <sheetName val="단가조사"/>
      <sheetName val="환율"/>
      <sheetName val="UNIT"/>
      <sheetName val="옥외"/>
      <sheetName val="가도공"/>
      <sheetName val="전화TV"/>
      <sheetName val="제2~7호표"/>
      <sheetName val="터널조도"/>
      <sheetName val="CABLE SIZE-3"/>
      <sheetName val="슬래브(유곡)"/>
      <sheetName val="도급예산내역서봉투"/>
      <sheetName val="기계경비(시간당)"/>
      <sheetName val="설계산출기초"/>
      <sheetName val="설계산출표지"/>
      <sheetName val="도급예산내역서총괄표"/>
      <sheetName val="램머"/>
      <sheetName val="Baby일위대가"/>
      <sheetName val="분전함신설"/>
      <sheetName val="단가산출"/>
      <sheetName val="자재단가"/>
      <sheetName val="을부담운반비"/>
      <sheetName val="운반비산출"/>
      <sheetName val="접지1종"/>
      <sheetName val="조명율표"/>
      <sheetName val="ITEM"/>
      <sheetName val="Macro(차단기)"/>
      <sheetName val="광혁기성"/>
      <sheetName val="인건-측정"/>
      <sheetName val="COPING-1"/>
      <sheetName val="역T형교대-2수량"/>
      <sheetName val="노무비"/>
      <sheetName val="선로정수계산"/>
      <sheetName val="식재인부"/>
      <sheetName val="건축2"/>
      <sheetName val="산출근거목록"/>
      <sheetName val="일대목록"/>
      <sheetName val="교각별수량"/>
      <sheetName val="F5"/>
      <sheetName val="찍기"/>
      <sheetName val="CABLE SIZE-1"/>
      <sheetName val="DATA1"/>
      <sheetName val="DATA2"/>
      <sheetName val="현장관리비집계표"/>
      <sheetName val="한일양산"/>
      <sheetName val="단가대비표"/>
      <sheetName val="건설기계_목록(10)"/>
      <sheetName val="제품별 MC"/>
      <sheetName val="경비_원본"/>
      <sheetName val="VENT"/>
      <sheetName val="BASIC (2)"/>
      <sheetName val="재료집계"/>
      <sheetName val="WORK"/>
      <sheetName val="물량표"/>
      <sheetName val="변압94"/>
      <sheetName val="포장절단"/>
      <sheetName val="보수공사일정표"/>
      <sheetName val="한전공사"/>
      <sheetName val="공사비내역서"/>
      <sheetName val="일위대가목록표"/>
      <sheetName val="일위대가표"/>
      <sheetName val="공량산출근거"/>
      <sheetName val="단가조사서 (2)"/>
      <sheetName val="Galaxy 소비자가격표"/>
      <sheetName val="몰탈콘크리트"/>
      <sheetName val="철근집계"/>
      <sheetName val="관로토공집계표"/>
      <sheetName val="보활"/>
      <sheetName val="샘플표지"/>
      <sheetName val="토사(PE)"/>
      <sheetName val="프랜트면허"/>
      <sheetName val="전기일위목록"/>
      <sheetName val="type-F"/>
      <sheetName val="실행철강하도"/>
      <sheetName val="수량산출(교량)"/>
      <sheetName val="6.Base"/>
      <sheetName val="UR2-Calculation"/>
      <sheetName val="CA지입"/>
      <sheetName val="982월원안"/>
      <sheetName val="건축내역서"/>
      <sheetName val="P.M 별"/>
      <sheetName val="삼성전기"/>
      <sheetName val="주식"/>
      <sheetName val="XL4Poppy"/>
      <sheetName val="업무"/>
      <sheetName val="phuluc1"/>
      <sheetName val="현장관리비"/>
      <sheetName val="1. 설계조건 2.단면가정 3. 하중계산"/>
      <sheetName val="DATA 입력란"/>
      <sheetName val="정산내역"/>
      <sheetName val="MEXICO-C"/>
      <sheetName val="PBS"/>
      <sheetName val="YS_A"/>
      <sheetName val="Macro(전선)"/>
      <sheetName val="분석"/>
      <sheetName val="자재"/>
      <sheetName val="노무"/>
      <sheetName val="도"/>
      <sheetName val="POL설치공정"/>
      <sheetName val="대치판정"/>
      <sheetName val="당진1,2호기전선관설치및접지4차공사내역서-을지"/>
      <sheetName val="기초"/>
      <sheetName val="기본DATA"/>
      <sheetName val="TEL"/>
      <sheetName val="설산1.나"/>
      <sheetName val="본사S"/>
      <sheetName val="예비품"/>
      <sheetName val="T1"/>
      <sheetName val="맨홀"/>
      <sheetName val="cable-data"/>
      <sheetName val="발전계획"/>
      <sheetName val="예산내역서"/>
      <sheetName val="설계예산서"/>
      <sheetName val="일위대가(목록)"/>
      <sheetName val="재료비"/>
      <sheetName val="¼³°è¿¹»ê¼­"/>
      <sheetName val="¿¹»ê³»¿ª¼­"/>
      <sheetName val="자료"/>
      <sheetName val="개요"/>
      <sheetName val="내역서(부대공사)"/>
      <sheetName val="하조서"/>
      <sheetName val="담장산출"/>
      <sheetName val="매크로"/>
      <sheetName val="조명율"/>
      <sheetName val="표지 (2)"/>
      <sheetName val="Macro1"/>
      <sheetName val="Macro2"/>
      <sheetName val="노원열병합  건축공사기성내역서"/>
      <sheetName val="Sheet17"/>
      <sheetName val="예산대비"/>
      <sheetName val="품목코드"/>
      <sheetName val="U-TYPE(1)"/>
      <sheetName val="토공(우물통,기타) "/>
      <sheetName val="조내역"/>
      <sheetName val="허용전류-IEC DATA"/>
      <sheetName val="MCC제원"/>
      <sheetName val="단면적"/>
      <sheetName val="MCC"/>
      <sheetName val="방송일위대가"/>
      <sheetName val="부안일위"/>
      <sheetName val="STORAGE"/>
      <sheetName val="취수탑"/>
      <sheetName val="토목주소"/>
      <sheetName val="방음벽기초"/>
      <sheetName val="2000년1차"/>
      <sheetName val="설계변경원가계산총괄표"/>
      <sheetName val="부속동"/>
      <sheetName val="갑지(추정)"/>
      <sheetName val="BSD (2)"/>
      <sheetName val="법면"/>
      <sheetName val="부대공"/>
      <sheetName val="구조물공"/>
      <sheetName val="중기일위대가"/>
      <sheetName val="포장공"/>
      <sheetName val="토공"/>
      <sheetName val="배수공1"/>
      <sheetName val="서울산업대(토)"/>
      <sheetName val="노임단가(0.3)"/>
      <sheetName val="BALIK201"/>
      <sheetName val="일위대가-1"/>
      <sheetName val="배수공"/>
      <sheetName val="토목-물가"/>
      <sheetName val="차단용량계산서"/>
      <sheetName val="현장지지물물량"/>
      <sheetName val="IW-LIST"/>
      <sheetName val="터파기및재료"/>
      <sheetName val="품셈기준"/>
      <sheetName val="4-3 보온 기본물량집계"/>
      <sheetName val="기존단가 (2)"/>
      <sheetName val="연부97-1"/>
      <sheetName val="갑지1"/>
      <sheetName val="가격산출기초"/>
      <sheetName val="물가대비표"/>
      <sheetName val="산출내역서집계표"/>
      <sheetName val="부서별비교표_1"/>
      <sheetName val="041125(분야별)"/>
      <sheetName val="041203(분야별))"/>
      <sheetName val="을지"/>
      <sheetName val="품셈TABLE"/>
      <sheetName val="아스팔트 포장총괄집계표"/>
      <sheetName val="LANGUAGE"/>
      <sheetName val="설치공사"/>
      <sheetName val="산출근거"/>
      <sheetName val="위치조서"/>
      <sheetName val="EQ"/>
      <sheetName val="원가계산서"/>
      <sheetName val="P-J"/>
      <sheetName val="Inputs"/>
      <sheetName val="Cost Inputs"/>
      <sheetName val="기초일위"/>
      <sheetName val="시설일위"/>
      <sheetName val="조명일위"/>
      <sheetName val="빌딩 안내"/>
      <sheetName val="소비자가"/>
      <sheetName val="1F"/>
      <sheetName val="1.우편집중내역서"/>
      <sheetName val="PIPE"/>
      <sheetName val="FLANGE"/>
      <sheetName val="VALVE"/>
      <sheetName val="일위대가목차"/>
      <sheetName val="실행비교"/>
      <sheetName val="교각계산"/>
      <sheetName val="대로근거"/>
      <sheetName val="중로근거"/>
      <sheetName val="hvac(제어동)"/>
      <sheetName val="유기공정"/>
      <sheetName val="969910( R)"/>
      <sheetName val="기둥(하중)"/>
      <sheetName val="FB25JN"/>
      <sheetName val="Paint,Fire-Proof,Insul(48)"/>
      <sheetName val="설계개요"/>
      <sheetName val="산_3_2"/>
      <sheetName val="산_3_1"/>
      <sheetName val="_REF"/>
      <sheetName val="산_3_2_2"/>
      <sheetName val="민감도"/>
      <sheetName val="토목"/>
      <sheetName val="경산"/>
      <sheetName val="Sheet4"/>
      <sheetName val="개요입력"/>
      <sheetName val="수량기준"/>
      <sheetName val="단가기준"/>
      <sheetName val="Lookup Table"/>
      <sheetName val="BBT RRP V45"/>
      <sheetName val="Annex"/>
      <sheetName val="Rental_RRP V45"/>
      <sheetName val="전기공사 산출집계"/>
      <sheetName val="전기공사 산출"/>
      <sheetName val="인건비"/>
      <sheetName val="VV보온LINK"/>
      <sheetName val="FIT보온LINK"/>
      <sheetName val="단"/>
      <sheetName val="FANDBS"/>
      <sheetName val="GRDATA"/>
      <sheetName val="SHAFTDBSE"/>
      <sheetName val="9GNG운반"/>
      <sheetName val="시행후면적"/>
      <sheetName val="수지예산"/>
      <sheetName val="Carepack"/>
      <sheetName val="TRE TABLE"/>
      <sheetName val="시화점실행"/>
      <sheetName val="소요자재"/>
      <sheetName val="정산내역서"/>
      <sheetName val="설계내역서"/>
      <sheetName val="C Model"/>
      <sheetName val="준공내역"/>
      <sheetName val="간선"/>
      <sheetName val="2연BOX"/>
      <sheetName val="총체보활공정표"/>
      <sheetName val="ilch"/>
      <sheetName val="3련 BOX"/>
      <sheetName val="7.1유효폭"/>
      <sheetName val="허용전류-IEC"/>
      <sheetName val="BDATA"/>
      <sheetName val="LinerWt"/>
      <sheetName val="내역서(교량)전체"/>
      <sheetName val="설계명세서"/>
      <sheetName val="기계실냉난방"/>
      <sheetName val="Sheet6"/>
      <sheetName val="산출(홀전등6)"/>
      <sheetName val="산출(AV배관)"/>
      <sheetName val="소상 &quot;1&quot;"/>
      <sheetName val="대극장-하부단가"/>
      <sheetName val="NEYOK"/>
      <sheetName val="입찰견적보고서"/>
      <sheetName val="공량산출서"/>
      <sheetName val="MEMBER"/>
      <sheetName val="견적내역서"/>
      <sheetName val="지급자재조서"/>
      <sheetName val="SRC-B3U2"/>
      <sheetName val="choose"/>
      <sheetName val="PI"/>
      <sheetName val="홍보비디오"/>
      <sheetName val="공사현황"/>
      <sheetName val="잡철물"/>
      <sheetName val="양수장내역"/>
      <sheetName val="조도계산서 (도서)"/>
      <sheetName val="B부대공"/>
      <sheetName val="CTEMCOST"/>
      <sheetName val="일 위 대 가 표 "/>
      <sheetName val="인수공규격"/>
      <sheetName val="집계표(3자)"/>
      <sheetName val="내역서(관급)"/>
      <sheetName val="원가계산서(통신공사)"/>
      <sheetName val="단가 및 재료비"/>
      <sheetName val="기준 "/>
      <sheetName val="허용전류"/>
      <sheetName val="평가데이터"/>
      <sheetName val="일반공사"/>
      <sheetName val="세부내역"/>
      <sheetName val="2.ㄱ)교량"/>
      <sheetName val="단가비교표 (계측제어)"/>
      <sheetName val="횡배수관토공수량"/>
      <sheetName val="중강당 내역"/>
      <sheetName val="철근단면적"/>
      <sheetName val="건축"/>
      <sheetName val="일위산출"/>
      <sheetName val="시공계획공정"/>
      <sheetName val="통신물량"/>
      <sheetName val="실행"/>
      <sheetName val="Macro(전기)"/>
      <sheetName val="가로등기초"/>
      <sheetName val="샌딩 에폭시 도장"/>
      <sheetName val="스텐문틀설치"/>
      <sheetName val="일반문틀 설치"/>
      <sheetName val="EP0618"/>
      <sheetName val="예가표"/>
      <sheetName val="COVER"/>
      <sheetName val="내역서(1)"/>
      <sheetName val="insulation"/>
      <sheetName val="총괄"/>
      <sheetName val="계산중"/>
      <sheetName val="횡배위치"/>
      <sheetName val="계화배수(3대)"/>
      <sheetName val="당초수문"/>
      <sheetName val="세부내역(직접인건비)"/>
      <sheetName val="출력X"/>
      <sheetName val="홈통받이수량"/>
      <sheetName val="프로젝트"/>
      <sheetName val="공종별집계표"/>
      <sheetName val="날개벽"/>
      <sheetName val="내역을"/>
      <sheetName val="-배수구조총재료"/>
      <sheetName val="순공사비"/>
      <sheetName val="BAU"/>
      <sheetName val="공사개요"/>
      <sheetName val="매입세율"/>
      <sheetName val="공사비총"/>
      <sheetName val="F4-F7"/>
      <sheetName val="가로등내역서"/>
      <sheetName val="산경"/>
      <sheetName val="일위(PN)"/>
      <sheetName val="06 일위대가목록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/>
      <sheetData sheetId="342"/>
      <sheetData sheetId="343" refreshError="1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통합"/>
      <sheetName val="철근단면적"/>
      <sheetName val="말뚝본체검토"/>
      <sheetName val="Sheet8"/>
      <sheetName val="버스운행안내"/>
      <sheetName val="예방접종계획"/>
      <sheetName val="근태계획서"/>
      <sheetName val="INPUT"/>
      <sheetName val="안정검토"/>
      <sheetName val="단면설계"/>
      <sheetName val="내역서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(mac)"/>
      <sheetName val="낙석방지집계표"/>
      <sheetName val="낙석방지책연장"/>
      <sheetName val="가드레일연장"/>
      <sheetName val="#REF"/>
      <sheetName val="역T형옹벽(3.0)"/>
      <sheetName val="통합"/>
      <sheetName val="버스운행안내"/>
      <sheetName val="예방접종계획"/>
      <sheetName val="근태계획서"/>
      <sheetName val="교각1"/>
      <sheetName val="목차"/>
      <sheetName val="BUDAE"/>
      <sheetName val="맨홀수량산출"/>
      <sheetName val="가감수량"/>
      <sheetName val="총괄내역서"/>
      <sheetName val="설계변경원가계산총괄표"/>
      <sheetName val="1.설계조건"/>
      <sheetName val="기초INPUT"/>
      <sheetName val="슬래브(유곡)"/>
      <sheetName val="내역서"/>
      <sheetName val="내역표지"/>
      <sheetName val="Sheet1"/>
      <sheetName val="직노"/>
      <sheetName val="실행내역"/>
      <sheetName val="Sheet5"/>
      <sheetName val="도장수량(하1)"/>
      <sheetName val="주형"/>
      <sheetName val="단중표"/>
      <sheetName val="XL4Poppy"/>
    </sheetNames>
    <sheetDataSet>
      <sheetData sheetId="0" refreshError="1">
        <row r="1">
          <cell r="A1" t="str">
            <v>chekjum</v>
          </cell>
          <cell r="C1" t="str">
            <v>chekplus</v>
          </cell>
          <cell r="E1" t="str">
            <v>chekwave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낙석방지집계표"/>
      <sheetName val="낙석방지책연장"/>
      <sheetName val="가드레일연장"/>
      <sheetName val="guard(mac)"/>
      <sheetName val="s.v"/>
      <sheetName val="PROJECT BRIEF(EX.NEW)"/>
    </sheetNames>
    <sheetDataSet>
      <sheetData sheetId="0"/>
      <sheetData sheetId="1"/>
      <sheetData sheetId="2"/>
      <sheetData sheetId="3">
        <row r="1">
          <cell r="A1" t="str">
            <v>chekjum</v>
          </cell>
          <cell r="C1" t="str">
            <v>chekplus</v>
          </cell>
          <cell r="E1" t="str">
            <v>chekwave</v>
          </cell>
        </row>
      </sheetData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(mac)"/>
      <sheetName val="통합"/>
      <sheetName val="일위대가"/>
      <sheetName val="1.설계조건"/>
      <sheetName val="※참고자료※"/>
      <sheetName val="guard_mac_"/>
      <sheetName val="가도공"/>
      <sheetName val="주관사업"/>
    </sheetNames>
    <sheetDataSet>
      <sheetData sheetId="0" refreshError="1">
        <row r="1">
          <cell r="A1" t="str">
            <v>chekjum</v>
          </cell>
          <cell r="C1" t="str">
            <v>chekplus</v>
          </cell>
          <cell r="E1" t="str">
            <v>chekwave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표지"/>
      <sheetName val="내역서갑지"/>
      <sheetName val="설계설명서"/>
      <sheetName val="목차"/>
      <sheetName val="간지"/>
      <sheetName val="공사예정공정표"/>
      <sheetName val="공사원가계산서"/>
      <sheetName val="공사내역서(총괄)"/>
      <sheetName val="공사내역서"/>
      <sheetName val="호표목록"/>
      <sheetName val="일위대가"/>
      <sheetName val="노임단가"/>
      <sheetName val="시중노임표"/>
      <sheetName val="단가조사표"/>
      <sheetName val="중기단가산출표"/>
      <sheetName val="단가산출서"/>
      <sheetName val="수량산출서"/>
      <sheetName val="주요자재집계표"/>
      <sheetName val="단위집계표"/>
      <sheetName val="도급내역서"/>
      <sheetName val="월별투입현황(외주)"/>
      <sheetName val="신호등일위대가"/>
      <sheetName val="토사(PE)"/>
      <sheetName val="약품공급2"/>
      <sheetName val="내역서"/>
      <sheetName val="계수시트"/>
      <sheetName val="터널조도"/>
      <sheetName val="DATE"/>
      <sheetName val="품셈TABLE"/>
      <sheetName val="교사기준면적(초등)"/>
      <sheetName val="guard(ma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보행자로"/>
      <sheetName val="진입로"/>
      <sheetName val="체감식(합정로) "/>
      <sheetName val="DATA"/>
      <sheetName val="등가거리"/>
      <sheetName val="조명율표"/>
      <sheetName val="Sheet2"/>
      <sheetName val="체감식  (원본)"/>
      <sheetName val="진입로 (원본)"/>
      <sheetName val="터널조도"/>
      <sheetName val="ITEM"/>
      <sheetName val="전선"/>
      <sheetName val="설계조건"/>
      <sheetName val="내역"/>
      <sheetName val="기본DATA"/>
      <sheetName val="전기"/>
      <sheetName val="INPUT"/>
      <sheetName val="조도계산서"/>
      <sheetName val="기별(종합)"/>
      <sheetName val="포장복구집계"/>
      <sheetName val="정부노임단가"/>
      <sheetName val="공사비예산서(토목분)"/>
      <sheetName val="COPING"/>
      <sheetName val="손익분석"/>
      <sheetName val="공통가설"/>
      <sheetName val="SLAB&quot;1&quot;"/>
      <sheetName val="단가비교표"/>
      <sheetName val="INPUT(덕도방향-시점)"/>
      <sheetName val="과천MAIN"/>
      <sheetName val="교량전기"/>
      <sheetName val="Macro(전선)"/>
      <sheetName val="조건표"/>
      <sheetName val="MOTOR"/>
      <sheetName val="11.우각부 보강"/>
      <sheetName val="11.1 단면hwp"/>
      <sheetName val="9GNG운반"/>
      <sheetName val="동원(3)"/>
      <sheetName val="예정(3)"/>
      <sheetName val="당초수량"/>
      <sheetName val="견적"/>
      <sheetName val="DATE"/>
      <sheetName val="직공비"/>
      <sheetName val="CODE"/>
      <sheetName val="송라터널총괄"/>
      <sheetName val="Sheet1 (2)"/>
      <sheetName val="단면 (2)"/>
      <sheetName val="말뚝물량"/>
      <sheetName val="순공사비산출내역"/>
      <sheetName val="일위대가표1"/>
      <sheetName val="단가산출서 "/>
      <sheetName val="제품"/>
      <sheetName val="MAIN"/>
      <sheetName val="Sheet1"/>
      <sheetName val="노임단가"/>
      <sheetName val="단가산출"/>
      <sheetName val="3.일반설비"/>
      <sheetName val="#REF"/>
      <sheetName val="자판실행"/>
      <sheetName val="전단면보수"/>
      <sheetName val="반단면보수"/>
      <sheetName val="콘크리트패칭"/>
      <sheetName val="아스.노면팻칭"/>
      <sheetName val="아스.노면절삭"/>
      <sheetName val="비용"/>
      <sheetName val="CABLE SIZE-3"/>
      <sheetName val="3련 BOX"/>
      <sheetName val="간선계산"/>
      <sheetName val="북방3터널"/>
      <sheetName val="guard(mac)"/>
      <sheetName val="입출재고현황 (2)"/>
      <sheetName val="3CHBDC"/>
      <sheetName val="단가"/>
      <sheetName val="공량산출서"/>
      <sheetName val="현장관리비"/>
      <sheetName val="실행철강하도"/>
      <sheetName val="Sheet5"/>
      <sheetName val="내역서"/>
      <sheetName val="노임"/>
      <sheetName val="BID"/>
      <sheetName val="11.자재단가"/>
      <sheetName val="산출근거"/>
      <sheetName val="식생블럭단위수량"/>
      <sheetName val="입찰안"/>
      <sheetName val="표지"/>
      <sheetName val="성남여성복지내역"/>
      <sheetName val="케이블및전선관규격표"/>
      <sheetName val="안정검토"/>
      <sheetName val="단면설계"/>
      <sheetName val="교각1"/>
      <sheetName val="ABUT수량-A1"/>
      <sheetName val="1-1"/>
      <sheetName val="일위대가(계측기설치)"/>
      <sheetName val="KMT물량"/>
      <sheetName val="차도조도계산"/>
      <sheetName val=" 견적서"/>
      <sheetName val="사급자재"/>
      <sheetName val="플랜트 설치"/>
      <sheetName val="일위대가(목록)"/>
      <sheetName val="재료비"/>
      <sheetName val="부하계산서"/>
      <sheetName val="단가 및 재료비"/>
      <sheetName val="중기사용료산출근거"/>
      <sheetName val="원가계산서"/>
      <sheetName val="단면가정"/>
      <sheetName val="CAT_5"/>
      <sheetName val="001"/>
      <sheetName val="1월"/>
      <sheetName val="삼성전기"/>
      <sheetName val="PART_DISCOUNT"/>
      <sheetName val="Manual Valve List"/>
      <sheetName val="工완성공사율"/>
      <sheetName val="Macro(차단기)"/>
      <sheetName val="견적990322"/>
      <sheetName val="교각계산"/>
      <sheetName val="시멘트"/>
      <sheetName val="PARAMETER"/>
      <sheetName val="LEGEND"/>
      <sheetName val="작성기준"/>
      <sheetName val="설계변경원가계산총괄표"/>
      <sheetName val="기계내역"/>
      <sheetName val="CIVIL"/>
      <sheetName val="사용성검토"/>
      <sheetName val="기본"/>
      <sheetName val="현장관리비집계표"/>
      <sheetName val="기둥"/>
      <sheetName val="저판(버림100)"/>
      <sheetName val="역T형"/>
      <sheetName val="물가자료"/>
      <sheetName val="일반공사"/>
      <sheetName val="일위대가"/>
      <sheetName val="기계경비(시간당)"/>
      <sheetName val="램머"/>
      <sheetName val="I一般比"/>
      <sheetName val="직노"/>
      <sheetName val="사다리"/>
      <sheetName val="sum1 (2)"/>
      <sheetName val="내역표지"/>
      <sheetName val="LABTOTAL"/>
      <sheetName val="CTDG"/>
      <sheetName val="THVT"/>
      <sheetName val="예산서"/>
      <sheetName val="General Data"/>
      <sheetName val="우각부보강"/>
      <sheetName val="주방환기"/>
      <sheetName val="WORK"/>
      <sheetName val="Cost bd-&quot;A&quot;"/>
      <sheetName val="일위대가시트"/>
      <sheetName val="부표총괄"/>
      <sheetName val="품셈1-17"/>
      <sheetName val="원가입력"/>
      <sheetName val="점수계산1-2"/>
      <sheetName val="전차선로 물량표"/>
      <sheetName val="재료집계"/>
      <sheetName val="일반전기"/>
      <sheetName val="01"/>
      <sheetName val="시추주상도"/>
      <sheetName val="산1"/>
      <sheetName val="1.설계조건"/>
      <sheetName val="ilch"/>
      <sheetName val="기둥(하중)"/>
      <sheetName val="FORM-0"/>
      <sheetName val="眞비상(진주)"/>
      <sheetName val="SILICATE"/>
      <sheetName val="Sheet3"/>
      <sheetName val="설 계"/>
      <sheetName val="투찰"/>
      <sheetName val="단가조사서"/>
      <sheetName val="단가표"/>
      <sheetName val="TB-내역서"/>
      <sheetName val="건축내역"/>
      <sheetName val="수원역(전체분)설계서"/>
      <sheetName val="공정코드"/>
      <sheetName val="경비"/>
      <sheetName val="2000년1차"/>
      <sheetName val="날개벽(시점좌측)"/>
      <sheetName val="입력DATA"/>
      <sheetName val="(포장)BOQ-실적공사"/>
      <sheetName val="내촌육교방음벽수량집계표"/>
      <sheetName val="단면치수"/>
      <sheetName val="중기일위대가"/>
      <sheetName val="조명시설"/>
      <sheetName val="개요"/>
      <sheetName val="가점"/>
      <sheetName val="index"/>
      <sheetName val="etc"/>
      <sheetName val="노무비"/>
      <sheetName val="청산공사"/>
      <sheetName val="설계"/>
      <sheetName val="집수정"/>
      <sheetName val="TEST1"/>
      <sheetName val="Sikje_ingun"/>
      <sheetName val="TREE_D"/>
      <sheetName val="DANGA"/>
      <sheetName val="공사비 내역"/>
      <sheetName val="4)유동표"/>
      <sheetName val="일위(철거)"/>
      <sheetName val="통합"/>
      <sheetName val="당초"/>
      <sheetName val="CALCULATION"/>
      <sheetName val="하중계산"/>
      <sheetName val="예가표"/>
      <sheetName val="계산근거"/>
      <sheetName val="70%"/>
      <sheetName val="취수탑"/>
      <sheetName val="백암비스타내역"/>
      <sheetName val="L_RPTB02_01"/>
      <sheetName val="대로근거"/>
      <sheetName val="중로근거"/>
      <sheetName val="MAT"/>
      <sheetName val="포장직선구간"/>
      <sheetName val="원형1호맨홀토공수량"/>
      <sheetName val="적용률"/>
      <sheetName val="PS-2A구조물방수"/>
      <sheetName val="제수"/>
      <sheetName val="공기"/>
      <sheetName val="EACT10"/>
      <sheetName val="COST"/>
      <sheetName val="수안보-MBR1"/>
      <sheetName val="BQ(실행)"/>
      <sheetName val="JUCK"/>
      <sheetName val="방송일위대가"/>
      <sheetName val="갑지1"/>
      <sheetName val="GAEYO"/>
      <sheetName val="인건비"/>
      <sheetName val="대전노은1차_조적_집계표"/>
      <sheetName val="Total"/>
      <sheetName val="증감대비"/>
      <sheetName val="봉양~조차장간고하개명(신설)"/>
      <sheetName val="신규(07년01월)"/>
      <sheetName val="A-4"/>
      <sheetName val="열린교실"/>
      <sheetName val="BSD (2)"/>
      <sheetName val="설비"/>
      <sheetName val="홈통받이수량"/>
      <sheetName val="선로정수계산"/>
      <sheetName val="CLAUSE"/>
      <sheetName val="조경일람"/>
      <sheetName val="결재판"/>
      <sheetName val="표준건축비"/>
      <sheetName val="산업"/>
      <sheetName val="현황CODE"/>
      <sheetName val="손익현황"/>
      <sheetName val="gvl"/>
      <sheetName val="bearing"/>
      <sheetName val="부속동"/>
      <sheetName val="Y-WORK"/>
      <sheetName val="명세서"/>
      <sheetName val="옹벽기초자료"/>
      <sheetName val="현황산출서"/>
      <sheetName val="CATCH BASIN"/>
      <sheetName val="공사개요"/>
      <sheetName val="기본 상수"/>
      <sheetName val="배수공"/>
      <sheetName val="금액내역서"/>
      <sheetName val="진주방향"/>
      <sheetName val="공사비집계"/>
      <sheetName val="DAN"/>
      <sheetName val="MCC제원"/>
      <sheetName val="CPM챠트"/>
      <sheetName val="표지 (2)"/>
      <sheetName val="추원 상가(1)"/>
      <sheetName val="LOPCALC"/>
      <sheetName val="2.가정단면"/>
      <sheetName val="CF"/>
      <sheetName val="98수문일위"/>
      <sheetName val="SG"/>
      <sheetName val="허용전류-IEC"/>
      <sheetName val="단가대비"/>
      <sheetName val="4 &amp; 10-inch, CO2 Combo &amp; Sweep"/>
      <sheetName val="매원개착터널총괄"/>
      <sheetName val="하중"/>
      <sheetName val="유기공정"/>
      <sheetName val="동관마찰손실표"/>
      <sheetName val="토목내역서"/>
      <sheetName val="양산물금"/>
      <sheetName val="실행비교"/>
      <sheetName val="말뚝설계"/>
      <sheetName val="IMPEADENCE MAP 취수장"/>
      <sheetName val="광로3 - 48m"/>
      <sheetName val="자재단가비교표"/>
      <sheetName val="뚝토공"/>
      <sheetName val="수습"/>
      <sheetName val="1공구 건정토건 토공"/>
      <sheetName val="내역총괄"/>
      <sheetName val="내역총괄2"/>
      <sheetName val="내역총괄3"/>
      <sheetName val="sw1"/>
      <sheetName val="5.모델링"/>
      <sheetName val="BASIC (2)"/>
      <sheetName val="인건-측정"/>
      <sheetName val="간접비내역-1"/>
      <sheetName val="건축집계"/>
      <sheetName val="POOM_MOTO"/>
      <sheetName val="POOM_MOTO2"/>
      <sheetName val="Sheet7"/>
      <sheetName val="타공종이기"/>
      <sheetName val="수량산출"/>
      <sheetName val="1"/>
      <sheetName val="기초공"/>
      <sheetName val="기둥(원형)"/>
      <sheetName val="회로내역(승인)"/>
      <sheetName val="우석문틀"/>
      <sheetName val="일위대가목록"/>
      <sheetName val="기준자료"/>
      <sheetName val="원가"/>
      <sheetName val="기초단가"/>
      <sheetName val="실행자재"/>
      <sheetName val="남양시작동자105노65기1.3화1.2"/>
      <sheetName val="관람석제출"/>
      <sheetName val="맨홀수량집계"/>
      <sheetName val="3BL공동구 수량"/>
      <sheetName val="단위중량"/>
      <sheetName val="산근"/>
      <sheetName val="RE9604"/>
      <sheetName val="estm_mech"/>
      <sheetName val="Summary Sheets"/>
      <sheetName val="COA-17"/>
      <sheetName val="C-18"/>
      <sheetName val="__MAIN"/>
      <sheetName val="실행내역서 "/>
      <sheetName val="품목납기"/>
      <sheetName val="횡배수관토공수량"/>
      <sheetName val="관기성공.내"/>
      <sheetName val="원가계산(총괄)"/>
      <sheetName val="6PILE  (돌출)"/>
      <sheetName val="견적시담(송포2공구)"/>
      <sheetName val="품목"/>
      <sheetName val="연부97-1"/>
      <sheetName val="Sheet4"/>
      <sheetName val="갑지(추정)"/>
      <sheetName val="구의33고"/>
      <sheetName val="copy"/>
      <sheetName val="서식"/>
      <sheetName val="단가조서"/>
      <sheetName val="자압"/>
      <sheetName val="1.취수장"/>
      <sheetName val="Option"/>
      <sheetName val="금액"/>
      <sheetName val="ACDIM6D"/>
      <sheetName val="SUMMARY"/>
      <sheetName val="PAINT"/>
      <sheetName val="기초분물량표"/>
      <sheetName val="현장관리비 산출내역"/>
      <sheetName val="토목주소"/>
      <sheetName val="프랜트면허"/>
      <sheetName val="토목"/>
      <sheetName val="가설건물"/>
      <sheetName val="깨기"/>
      <sheetName val="전계가"/>
      <sheetName val="LS re sales"/>
      <sheetName val="MixBed"/>
      <sheetName val="CondPol"/>
      <sheetName val="Menu"/>
      <sheetName val="AILC004"/>
      <sheetName val="각종양식"/>
      <sheetName val="견적기준"/>
      <sheetName val="Data&amp;Result"/>
      <sheetName val="PIPE"/>
      <sheetName val="FLANGE"/>
      <sheetName val="VALVE"/>
      <sheetName val="일대목차"/>
      <sheetName val="UNIT"/>
      <sheetName val="부하(성남)"/>
      <sheetName val="FOOTING단면력"/>
      <sheetName val="SPEC"/>
      <sheetName val="주형"/>
      <sheetName val="단중표"/>
      <sheetName val="매입부가세율(동림)"/>
      <sheetName val="수량3"/>
      <sheetName val="출근부"/>
      <sheetName val="대전월평내역"/>
      <sheetName val="보할공정"/>
      <sheetName val="C1ㅇ"/>
      <sheetName val="기준"/>
      <sheetName val="도급예산내역서총괄표"/>
      <sheetName val="PW3"/>
      <sheetName val="PW4"/>
      <sheetName val="SC1"/>
      <sheetName val="PE"/>
      <sheetName val="PM"/>
      <sheetName val="TR"/>
      <sheetName val="품셈기준"/>
      <sheetName val="내역(을)"/>
      <sheetName val="데이타"/>
      <sheetName val="LIST"/>
      <sheetName val="COVER"/>
      <sheetName val="L형 옹벽"/>
      <sheetName val="Pier 3"/>
      <sheetName val="도급예산내역서봉투"/>
      <sheetName val="공사원가계산서"/>
      <sheetName val="설계산출기초"/>
      <sheetName val="을부담운반비"/>
      <sheetName val="운반비산출"/>
      <sheetName val="설계산출표지"/>
      <sheetName val="factor"/>
      <sheetName val="6월실적"/>
      <sheetName val="PBS"/>
      <sheetName val="154TW"/>
      <sheetName val="1SPAN"/>
      <sheetName val="_15_0"/>
      <sheetName val="Assump"/>
      <sheetName val="간지"/>
      <sheetName val="AS복구"/>
      <sheetName val="중기터파기"/>
      <sheetName val="변수값"/>
      <sheetName val="중기상차"/>
      <sheetName val="교통처리우회도로"/>
      <sheetName val="단위수량"/>
      <sheetName val="현황"/>
      <sheetName val="세부추진"/>
      <sheetName val="상용보강"/>
      <sheetName val="갑지"/>
      <sheetName val="장문교(대전)"/>
      <sheetName val="조도계산서 (도서)"/>
      <sheetName val="공문"/>
      <sheetName val="품셈(기초)"/>
      <sheetName val="체감식(합정로)_"/>
      <sheetName val="체감식__(원본)"/>
      <sheetName val="진입로_(원본)"/>
      <sheetName val="11_우각부_보강"/>
      <sheetName val="11_1_단면hwp"/>
      <sheetName val="아스_노면팻칭"/>
      <sheetName val="아스_노면절삭"/>
      <sheetName val="CABLE_SIZE-3"/>
      <sheetName val="체감식(합정로)_1"/>
      <sheetName val="체감식__(원본)1"/>
      <sheetName val="진입로_(원본)1"/>
      <sheetName val="11_우각부_보강1"/>
      <sheetName val="11_1_단면hwp1"/>
      <sheetName val="아스_노면팻칭1"/>
      <sheetName val="아스_노면절삭1"/>
      <sheetName val="CABLE_SIZE-31"/>
      <sheetName val="집행(2-1)"/>
      <sheetName val="신내택지내역서"/>
      <sheetName val="품셈TABLE"/>
      <sheetName val="민감도분석"/>
      <sheetName val="ROI"/>
      <sheetName val="표면정지 집계"/>
      <sheetName val="PET MAT집계"/>
      <sheetName val="Hours.CodeST"/>
      <sheetName val="Eq. Mobilization"/>
      <sheetName val="2.4.1 여수토수량산출"/>
      <sheetName val="장비"/>
      <sheetName val="TYPE-A"/>
      <sheetName val="와동25-3(변경)"/>
      <sheetName val="매입세율"/>
      <sheetName val="PROJECT BRIEF(EX.NEW)"/>
      <sheetName val="Sat tron"/>
      <sheetName val="부재치수입력"/>
      <sheetName val="LP-S"/>
      <sheetName val="별표 "/>
      <sheetName val="견적조건"/>
      <sheetName val="요율"/>
      <sheetName val="견적서"/>
      <sheetName val="지급자재"/>
      <sheetName val="일위대가목차"/>
      <sheetName val="노무비 근거"/>
      <sheetName val="산출내역서집계표"/>
      <sheetName val="일위"/>
      <sheetName val="분전함신설"/>
      <sheetName val="접지1종"/>
      <sheetName val="일위대가표"/>
      <sheetName val="#3_일위대가목록"/>
      <sheetName val="총괄표"/>
      <sheetName val="장비부하"/>
      <sheetName val="배수장공사비"/>
      <sheetName val="터파기및재료"/>
      <sheetName val="소비자가"/>
      <sheetName val="YANG"/>
      <sheetName val="PROCESS"/>
      <sheetName val="MATRLDATA"/>
      <sheetName val="간접비"/>
      <sheetName val="부재리스트"/>
      <sheetName val="철거산출근거"/>
      <sheetName val="OD5000"/>
      <sheetName val="c_balju"/>
      <sheetName val="콤보박스와 리스트박스의 연결"/>
      <sheetName val="TB_내역서"/>
      <sheetName val="소상 &quot;1&quot;"/>
      <sheetName val="배수장공사비명세서"/>
      <sheetName val="가시설흙막이"/>
      <sheetName val="Dae_Jiju"/>
      <sheetName val="견적업체"/>
      <sheetName val="바.한일양산"/>
      <sheetName val="일위(PN)"/>
      <sheetName val="카렌스센터계량기설치공사"/>
      <sheetName val="정공공사"/>
      <sheetName val="2.대외공문"/>
      <sheetName val="대공종"/>
      <sheetName val="계정"/>
      <sheetName val="남양시작동010313100%"/>
      <sheetName val="조명율"/>
      <sheetName val="조건"/>
      <sheetName val="항목등록"/>
      <sheetName val="협조전"/>
      <sheetName val="부대대비"/>
      <sheetName val="TEL"/>
      <sheetName val="냉연집계"/>
      <sheetName val="98지급계획"/>
      <sheetName val="내역(정지)"/>
      <sheetName val="남양구조시험동"/>
      <sheetName val="COPING-1"/>
      <sheetName val="역T형교대-2수량"/>
      <sheetName val="종합기별"/>
      <sheetName val="노무비명세서"/>
      <sheetName val="소요자재명세서"/>
      <sheetName val="재료"/>
      <sheetName val="자료입력"/>
      <sheetName val="배수공 주요자재 집계표"/>
      <sheetName val="6.1.3단가산출서(노임단가)_신호무선전송"/>
      <sheetName val="工관리비율"/>
      <sheetName val="입력1"/>
      <sheetName val="No-&gt;Code"/>
      <sheetName val="무담보1"/>
      <sheetName val="물량산출 (전력간선,전열)"/>
      <sheetName val="물량산출 (전등)"/>
      <sheetName val="정산입력"/>
      <sheetName val="품산출서"/>
      <sheetName val="철근단면적"/>
      <sheetName val="교통대책내역"/>
      <sheetName val="piping"/>
      <sheetName val="9-1차이내역"/>
      <sheetName val="예산M11A"/>
      <sheetName val="을"/>
      <sheetName val="견"/>
      <sheetName val="단가및재료비"/>
      <sheetName val="부대공Ⅱ"/>
      <sheetName val="토공"/>
      <sheetName val="가공비"/>
      <sheetName val="96정변2"/>
      <sheetName val="단락전류-A"/>
      <sheetName val="6동"/>
      <sheetName val="Breakdown"/>
      <sheetName val="UnitRate"/>
      <sheetName val="자재집계"/>
      <sheetName val="AS포장복구 "/>
      <sheetName val="1TL종점(1)"/>
      <sheetName val="조작대(1연)"/>
      <sheetName val="실행내역"/>
      <sheetName val="건축원가"/>
      <sheetName val="Tables"/>
      <sheetName val="설비공사"/>
      <sheetName val="횡배위치"/>
      <sheetName val="피벗테이블데이터분석"/>
      <sheetName val="평균높이산출근거"/>
      <sheetName val="횡배수관위치조서"/>
      <sheetName val="일위대가집계표"/>
      <sheetName val="NOMUBI"/>
      <sheetName val="국공유지및사유지"/>
      <sheetName val="현대물량"/>
      <sheetName val="1차증가원가계산"/>
      <sheetName val="CONCRETE"/>
      <sheetName val="원가총괄"/>
      <sheetName val="참고"/>
      <sheetName val="토공A"/>
      <sheetName val="SIHEUNG"/>
      <sheetName val="투찰(하수)"/>
      <sheetName val="집계표"/>
      <sheetName val="약품공급2"/>
      <sheetName val="부대내역"/>
      <sheetName val="견적대비"/>
      <sheetName val="일위대가 "/>
      <sheetName val="단가산출서"/>
      <sheetName val="MECH HW GRP"/>
      <sheetName val="COPING설계"/>
      <sheetName val="5.산출내역서"/>
      <sheetName val="참조"/>
      <sheetName val="예산서(전기설비)"/>
      <sheetName val="경비_원본"/>
      <sheetName val="운영및유지보수"/>
      <sheetName val="맨홀토공산출"/>
      <sheetName val="산출근거1"/>
      <sheetName val="콘센트신설"/>
      <sheetName val="하조서"/>
      <sheetName val="L-type"/>
      <sheetName val="-15.0"/>
      <sheetName val="unit 4"/>
      <sheetName val="SP-B1"/>
      <sheetName val="변경총괄지(1)"/>
      <sheetName val="변품8-37"/>
      <sheetName val="EQUIP-H"/>
      <sheetName val="토공산출(주차장)"/>
      <sheetName val="J直材4"/>
      <sheetName val="중기(목록)"/>
      <sheetName val="산근(목록)"/>
      <sheetName val="맨홀수량산출"/>
      <sheetName val="Imp-Data"/>
      <sheetName val="산5-7"/>
      <sheetName val="인건비 "/>
      <sheetName val="내역변"/>
      <sheetName val="케이블"/>
      <sheetName val="공종구간"/>
      <sheetName val="배수관공"/>
      <sheetName val="1.설계기준"/>
      <sheetName val="2.단면가정"/>
      <sheetName val="3.하중계산"/>
      <sheetName val="Macro1"/>
      <sheetName val="스포회원매출"/>
      <sheetName val="설치공사2"/>
      <sheetName val="보차도경계석"/>
      <sheetName val="2000년하반기"/>
      <sheetName val="계화배수"/>
      <sheetName val="본사일보"/>
      <sheetName val="DESIGN"/>
      <sheetName val="목차"/>
      <sheetName val="CABLE"/>
      <sheetName val="사통"/>
      <sheetName val="자재단가"/>
      <sheetName val="ITEMLIST990101"/>
      <sheetName val="토 적 표"/>
      <sheetName val="본관토공 및 포장공 산출조서"/>
      <sheetName val="기준액"/>
      <sheetName val="tggwan(mac)"/>
      <sheetName val="ⴭⴭⴭⴭⴭ"/>
      <sheetName val="부안일위"/>
      <sheetName val="환율적용표"/>
      <sheetName val="특별교실"/>
      <sheetName val="표지판단위"/>
      <sheetName val="단위집계표"/>
      <sheetName val="기계경비"/>
      <sheetName val="인건비(환율)"/>
      <sheetName val="데리네이타현황"/>
      <sheetName val="통계연보"/>
      <sheetName val="부대공사비"/>
      <sheetName val="전기일위대가"/>
      <sheetName val="Piping(Methanol)"/>
      <sheetName val="안정계산"/>
      <sheetName val="단면검토"/>
      <sheetName val="토목내역"/>
      <sheetName val="지중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F4">
            <v>5.5</v>
          </cell>
          <cell r="G4">
            <v>51</v>
          </cell>
          <cell r="H4">
            <v>144</v>
          </cell>
          <cell r="N4">
            <v>1E-4</v>
          </cell>
          <cell r="O4">
            <v>22</v>
          </cell>
        </row>
        <row r="5">
          <cell r="F5">
            <v>8</v>
          </cell>
          <cell r="G5">
            <v>59</v>
          </cell>
          <cell r="H5">
            <v>177</v>
          </cell>
          <cell r="N5">
            <v>137</v>
          </cell>
          <cell r="O5">
            <v>28</v>
          </cell>
        </row>
        <row r="6">
          <cell r="F6">
            <v>14</v>
          </cell>
          <cell r="G6">
            <v>76</v>
          </cell>
          <cell r="H6">
            <v>241</v>
          </cell>
          <cell r="N6">
            <v>223</v>
          </cell>
          <cell r="O6">
            <v>36</v>
          </cell>
        </row>
        <row r="7">
          <cell r="F7">
            <v>22</v>
          </cell>
          <cell r="G7">
            <v>104</v>
          </cell>
          <cell r="H7">
            <v>347</v>
          </cell>
          <cell r="N7">
            <v>350</v>
          </cell>
          <cell r="O7">
            <v>42</v>
          </cell>
        </row>
        <row r="8">
          <cell r="F8">
            <v>38</v>
          </cell>
          <cell r="G8">
            <v>144</v>
          </cell>
          <cell r="H8">
            <v>491</v>
          </cell>
          <cell r="N8">
            <v>458</v>
          </cell>
          <cell r="O8">
            <v>54</v>
          </cell>
        </row>
        <row r="9">
          <cell r="F9">
            <v>60</v>
          </cell>
          <cell r="G9">
            <v>202</v>
          </cell>
          <cell r="H9">
            <v>755</v>
          </cell>
          <cell r="N9">
            <v>748</v>
          </cell>
          <cell r="O9">
            <v>70</v>
          </cell>
        </row>
        <row r="10">
          <cell r="F10">
            <v>80</v>
          </cell>
          <cell r="G10">
            <v>241</v>
          </cell>
          <cell r="H10">
            <v>908</v>
          </cell>
          <cell r="N10">
            <v>1306</v>
          </cell>
          <cell r="O10">
            <v>82</v>
          </cell>
        </row>
        <row r="11">
          <cell r="F11">
            <v>100</v>
          </cell>
          <cell r="G11">
            <v>315</v>
          </cell>
          <cell r="H11">
            <v>1195</v>
          </cell>
          <cell r="N11">
            <v>1729</v>
          </cell>
          <cell r="O11">
            <v>104</v>
          </cell>
        </row>
        <row r="12">
          <cell r="F12">
            <v>150</v>
          </cell>
          <cell r="G12">
            <v>452</v>
          </cell>
          <cell r="H12">
            <v>1662</v>
          </cell>
        </row>
        <row r="13">
          <cell r="F13">
            <v>200</v>
          </cell>
          <cell r="G13">
            <v>573</v>
          </cell>
          <cell r="H13">
            <v>2207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"/>
      <sheetName val="제경비"/>
      <sheetName val="토공"/>
      <sheetName val="배수"/>
      <sheetName val="교량"/>
      <sheetName val="포장"/>
      <sheetName val="부대"/>
      <sheetName val="자재"/>
      <sheetName val="Module1"/>
      <sheetName val="Module2"/>
      <sheetName val="Module3"/>
      <sheetName val="DATA"/>
      <sheetName val="내역"/>
      <sheetName val="guard(mac)"/>
      <sheetName val="설계조건"/>
      <sheetName val="#REF"/>
      <sheetName val="단가"/>
      <sheetName val="Macro(전선)"/>
      <sheetName val="기본DATA"/>
      <sheetName val="1-1"/>
      <sheetName val="1.설계조건"/>
      <sheetName val="노무비"/>
      <sheetName val="내역서(삼호)"/>
      <sheetName val="일위대가"/>
      <sheetName val="input"/>
      <sheetName val="건축내역"/>
      <sheetName val="COPING"/>
      <sheetName val="11.자재단가"/>
      <sheetName val="매인"/>
      <sheetName val="진주방향"/>
      <sheetName val="VXXXXXXX"/>
      <sheetName val="원형1호맨홀토공수량"/>
      <sheetName val="하중계산"/>
      <sheetName val="교각1"/>
      <sheetName val="통합"/>
      <sheetName val="공통가설"/>
      <sheetName val="CODE"/>
      <sheetName val="노임단가"/>
      <sheetName val="CIVIL"/>
      <sheetName val="TOT"/>
      <sheetName val="전선"/>
      <sheetName val="CABLE"/>
      <sheetName val="gvl"/>
      <sheetName val="단가산출"/>
      <sheetName val="산출내역서집계표"/>
      <sheetName val="전기"/>
      <sheetName val="A-4"/>
      <sheetName val="일위대가(계측기설치)"/>
      <sheetName val="Sheet1"/>
      <sheetName val="SLAB&quot;1&quot;"/>
      <sheetName val="CPM챠트"/>
      <sheetName val="DC"/>
      <sheetName val="원가입력"/>
      <sheetName val="사통"/>
      <sheetName val="공사비예산서(토목분)"/>
      <sheetName val="XL4Poppy"/>
      <sheetName val="철근단면적"/>
      <sheetName val="DATA1"/>
      <sheetName val="전기일위대가"/>
      <sheetName val="INPUT(덕도방향-시점)"/>
      <sheetName val="손익분석"/>
      <sheetName val="단중표"/>
      <sheetName val="98전체ny"/>
      <sheetName val="부대공Ⅱ"/>
      <sheetName val="전신환매도율"/>
      <sheetName val="단가목록"/>
      <sheetName val="Sheet2"/>
      <sheetName val="1공구 건정토건 토공"/>
      <sheetName val="조명시설"/>
      <sheetName val="기준자료"/>
      <sheetName val="CABdata"/>
      <sheetName val="Y-WORK"/>
      <sheetName val="노임"/>
      <sheetName val="기둥"/>
      <sheetName val="저판(버림100)"/>
      <sheetName val="단면 (2)"/>
      <sheetName val="배수통관(좌)"/>
      <sheetName val="COST"/>
      <sheetName val="간선계산"/>
      <sheetName val="TONGKE3p "/>
      <sheetName val="TDTKP"/>
      <sheetName val="아파트건축"/>
      <sheetName val="직공비"/>
      <sheetName val=" 냉각수펌프"/>
      <sheetName val="제품"/>
      <sheetName val="원가계산서"/>
      <sheetName val="철거산출근거"/>
      <sheetName val="말뚝지지력산정"/>
      <sheetName val="견적서세부내용"/>
      <sheetName val="견적내용입력"/>
      <sheetName val="품셈"/>
      <sheetName val="노임,재료비"/>
      <sheetName val="터널조도"/>
      <sheetName val="설정"/>
      <sheetName val="98수문일위"/>
      <sheetName val="단위수량"/>
      <sheetName val="3CHBDC"/>
      <sheetName val="woo(mac)"/>
      <sheetName val="8. 안정검토"/>
      <sheetName val="장비"/>
      <sheetName val="산근1"/>
      <sheetName val="노무"/>
      <sheetName val="노무산출서"/>
      <sheetName val="자재내역"/>
      <sheetName val="기둥(하중)"/>
      <sheetName val="설계예산내역서"/>
      <sheetName val="차액보증"/>
      <sheetName val="Sheet5"/>
      <sheetName val="TB-내역서"/>
      <sheetName val="11.우각부 보강"/>
      <sheetName val="각종양식"/>
      <sheetName val="출입구총집계"/>
      <sheetName val="품목"/>
      <sheetName val="단면가정"/>
      <sheetName val="안정검토"/>
      <sheetName val="역T형"/>
      <sheetName val="하중"/>
      <sheetName val="산업"/>
      <sheetName val="공사비집계"/>
      <sheetName val="기둥(원형)"/>
      <sheetName val="물가자료"/>
      <sheetName val="결과1"/>
      <sheetName val="이름정의"/>
      <sheetName val="공사완료입력"/>
      <sheetName val="구확승인"/>
      <sheetName val="Macro1"/>
      <sheetName val="6PILE  (돌출)"/>
      <sheetName val="시중노임단가"/>
      <sheetName val="연결관암거"/>
      <sheetName val="용산1(해보)"/>
      <sheetName val="옹벽식측구단위"/>
      <sheetName val="뚝토공"/>
      <sheetName val="마산방향"/>
      <sheetName val="Tbom-tot"/>
      <sheetName val="완성차 미수금"/>
      <sheetName val="찍기"/>
      <sheetName val="근로내역확인서(4월-HY)   "/>
      <sheetName val="노무비명세서 (3월-HY)  "/>
      <sheetName val="노무비명세서 (4월-HY)   "/>
      <sheetName val="960318-1"/>
      <sheetName val="수량명세서"/>
      <sheetName val="소요자재 "/>
      <sheetName val="위치조서"/>
      <sheetName val="입찰안"/>
      <sheetName val="기계내역"/>
      <sheetName val="공사비총괄표"/>
      <sheetName val="인건-측정"/>
      <sheetName val="시화점실행"/>
      <sheetName val="ABUT수량-A1"/>
      <sheetName val="터파기및재료"/>
      <sheetName val="MOTOR"/>
      <sheetName val="업무처리전"/>
      <sheetName val="DATE"/>
      <sheetName val="CAL."/>
      <sheetName val="돌담교 상부수량"/>
      <sheetName val="마산방향철근집계"/>
      <sheetName val="설계변경원가계산총괄표"/>
      <sheetName val="품셈TABLE"/>
      <sheetName val="노무비단가"/>
    </sheetNames>
    <sheetDataSet>
      <sheetData sheetId="0"/>
      <sheetData sheetId="1"/>
      <sheetData sheetId="2" refreshError="1">
        <row r="1">
          <cell r="A1" t="str">
            <v xml:space="preserve"> 명       칭</v>
          </cell>
          <cell r="B1" t="str">
            <v>규  격</v>
          </cell>
          <cell r="C1" t="str">
            <v>수   량</v>
          </cell>
          <cell r="D1" t="str">
            <v>단위</v>
          </cell>
          <cell r="E1" t="str">
            <v>총        액</v>
          </cell>
          <cell r="F1">
            <v>0</v>
          </cell>
          <cell r="G1" t="str">
            <v>노   무   비</v>
          </cell>
          <cell r="H1">
            <v>0</v>
          </cell>
          <cell r="I1" t="str">
            <v>재   료   비</v>
          </cell>
          <cell r="J1">
            <v>0</v>
          </cell>
          <cell r="K1" t="str">
            <v>경        비</v>
          </cell>
          <cell r="L1">
            <v>0</v>
          </cell>
          <cell r="M1" t="str">
            <v>비고</v>
          </cell>
        </row>
        <row r="2">
          <cell r="E2" t="str">
            <v>단  가</v>
          </cell>
          <cell r="F2" t="str">
            <v>금     액</v>
          </cell>
          <cell r="G2" t="str">
            <v>단  가</v>
          </cell>
          <cell r="H2" t="str">
            <v>금     액</v>
          </cell>
          <cell r="I2" t="str">
            <v>단  가</v>
          </cell>
          <cell r="J2" t="str">
            <v>금     액</v>
          </cell>
          <cell r="K2" t="str">
            <v>단   가</v>
          </cell>
          <cell r="L2" t="str">
            <v>금     액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간 지 (2)"/>
      <sheetName val="표지"/>
      <sheetName val="구조계산목 차"/>
      <sheetName val="목 차 (2)"/>
      <sheetName val="1.설계조건"/>
      <sheetName val="2.단면가정"/>
      <sheetName val="3.하중산정4.지지력"/>
      <sheetName val="5.모델링"/>
      <sheetName val="6.하중재하도"/>
      <sheetName val="SAP 데이타(극한강)"/>
      <sheetName val="SAP 데이타(사용성)"/>
      <sheetName val="8.SAP90-OUT"/>
      <sheetName val="9.단면력 집계"/>
      <sheetName val="10.구체철근량"/>
      <sheetName val="11.우각부12.사용성 검토"/>
      <sheetName val="13.기둥철근"/>
      <sheetName val="14.수평철근"/>
      <sheetName val="15.주철근조립"/>
      <sheetName val="15.취합표지"/>
      <sheetName val="DATA"/>
      <sheetName val="토공"/>
      <sheetName val="현금"/>
      <sheetName val="부하계산서"/>
      <sheetName val="공통가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TEM"/>
      <sheetName val="단가조사서"/>
      <sheetName val="- INFORMATION -"/>
      <sheetName val="재경비"/>
      <sheetName val="기타공사비"/>
      <sheetName val="공사비 (2)"/>
      <sheetName val="공량산출 (전등)"/>
      <sheetName val="공사비"/>
      <sheetName val="공량산출(가로등)"/>
      <sheetName val="단가"/>
      <sheetName val="일위대가집계표(사급)"/>
      <sheetName val="일위대가(사급)"/>
      <sheetName val="공량산출 (수변전)"/>
      <sheetName val="공량산출 (약전)"/>
      <sheetName val="공량산출 (소방)"/>
      <sheetName val="3.하중산정4.지지력"/>
      <sheetName val="부하계산서"/>
      <sheetName val="기둥(원형)"/>
      <sheetName val="단면가정"/>
      <sheetName val="토공"/>
    </sheetNames>
    <sheetDataSet>
      <sheetData sheetId="0" refreshError="1">
        <row r="22">
          <cell r="G22">
            <v>0</v>
          </cell>
          <cell r="H22">
            <v>0</v>
          </cell>
          <cell r="J22">
            <v>205</v>
          </cell>
          <cell r="K22">
            <v>0</v>
          </cell>
          <cell r="L22">
            <v>0</v>
          </cell>
        </row>
        <row r="23">
          <cell r="G23">
            <v>0</v>
          </cell>
          <cell r="H23">
            <v>0</v>
          </cell>
          <cell r="J23">
            <v>270</v>
          </cell>
          <cell r="K23">
            <v>0</v>
          </cell>
          <cell r="L23">
            <v>0</v>
          </cell>
        </row>
        <row r="24">
          <cell r="G24">
            <v>0</v>
          </cell>
          <cell r="H24">
            <v>0</v>
          </cell>
          <cell r="J24">
            <v>377</v>
          </cell>
          <cell r="K24">
            <v>0</v>
          </cell>
          <cell r="L24">
            <v>0</v>
          </cell>
        </row>
        <row r="25">
          <cell r="G25">
            <v>0</v>
          </cell>
          <cell r="H25">
            <v>0</v>
          </cell>
          <cell r="J25">
            <v>576</v>
          </cell>
          <cell r="K25">
            <v>0</v>
          </cell>
          <cell r="L25">
            <v>0</v>
          </cell>
        </row>
        <row r="26">
          <cell r="G26">
            <v>0</v>
          </cell>
          <cell r="H26">
            <v>0</v>
          </cell>
          <cell r="J26">
            <v>971</v>
          </cell>
          <cell r="K26">
            <v>0</v>
          </cell>
          <cell r="L26">
            <v>0</v>
          </cell>
        </row>
        <row r="27">
          <cell r="G27">
            <v>0</v>
          </cell>
          <cell r="H27">
            <v>0</v>
          </cell>
          <cell r="J27">
            <v>1348</v>
          </cell>
          <cell r="K27">
            <v>0</v>
          </cell>
          <cell r="L27">
            <v>0</v>
          </cell>
        </row>
        <row r="28">
          <cell r="G28">
            <v>0</v>
          </cell>
          <cell r="H28">
            <v>0</v>
          </cell>
          <cell r="J28">
            <v>2032</v>
          </cell>
          <cell r="K28">
            <v>0</v>
          </cell>
          <cell r="L28">
            <v>0</v>
          </cell>
        </row>
        <row r="29">
          <cell r="G29">
            <v>0</v>
          </cell>
          <cell r="H29">
            <v>0</v>
          </cell>
          <cell r="J29">
            <v>3212</v>
          </cell>
          <cell r="K29">
            <v>0</v>
          </cell>
          <cell r="L29">
            <v>0</v>
          </cell>
        </row>
        <row r="30">
          <cell r="G30">
            <v>0</v>
          </cell>
          <cell r="H30">
            <v>0</v>
          </cell>
          <cell r="J30">
            <v>4099</v>
          </cell>
          <cell r="K30">
            <v>0</v>
          </cell>
          <cell r="L30">
            <v>0</v>
          </cell>
        </row>
        <row r="31">
          <cell r="G31">
            <v>0</v>
          </cell>
          <cell r="H31">
            <v>0</v>
          </cell>
          <cell r="J31">
            <v>4785</v>
          </cell>
          <cell r="K31">
            <v>0</v>
          </cell>
          <cell r="L31">
            <v>0</v>
          </cell>
        </row>
        <row r="32">
          <cell r="G32">
            <v>0</v>
          </cell>
          <cell r="H32">
            <v>0</v>
          </cell>
          <cell r="J32">
            <v>7660</v>
          </cell>
          <cell r="K32">
            <v>0</v>
          </cell>
          <cell r="L32">
            <v>0</v>
          </cell>
        </row>
        <row r="33">
          <cell r="G33">
            <v>0</v>
          </cell>
          <cell r="H33">
            <v>0</v>
          </cell>
          <cell r="J33">
            <v>53</v>
          </cell>
          <cell r="K33">
            <v>0</v>
          </cell>
          <cell r="L33">
            <v>0</v>
          </cell>
        </row>
        <row r="34">
          <cell r="G34">
            <v>0</v>
          </cell>
          <cell r="H34">
            <v>0</v>
          </cell>
          <cell r="J34">
            <v>80</v>
          </cell>
          <cell r="K34">
            <v>0</v>
          </cell>
          <cell r="L34">
            <v>0</v>
          </cell>
        </row>
        <row r="35">
          <cell r="G35">
            <v>0</v>
          </cell>
          <cell r="H35">
            <v>0</v>
          </cell>
          <cell r="J35">
            <v>119</v>
          </cell>
          <cell r="K35">
            <v>0</v>
          </cell>
          <cell r="L35">
            <v>0</v>
          </cell>
        </row>
        <row r="36">
          <cell r="G36">
            <v>0</v>
          </cell>
          <cell r="H36">
            <v>0</v>
          </cell>
          <cell r="J36">
            <v>163</v>
          </cell>
          <cell r="K36">
            <v>0</v>
          </cell>
          <cell r="L36">
            <v>0</v>
          </cell>
        </row>
        <row r="37">
          <cell r="G37">
            <v>0</v>
          </cell>
          <cell r="H37">
            <v>0</v>
          </cell>
          <cell r="J37">
            <v>228</v>
          </cell>
          <cell r="K37">
            <v>0</v>
          </cell>
          <cell r="L37">
            <v>0</v>
          </cell>
        </row>
        <row r="38">
          <cell r="G38">
            <v>0</v>
          </cell>
          <cell r="H38">
            <v>0</v>
          </cell>
          <cell r="J38">
            <v>351</v>
          </cell>
          <cell r="K38">
            <v>0</v>
          </cell>
          <cell r="L38">
            <v>0</v>
          </cell>
        </row>
        <row r="39">
          <cell r="G39">
            <v>0</v>
          </cell>
          <cell r="H39">
            <v>0</v>
          </cell>
          <cell r="J39">
            <v>613</v>
          </cell>
          <cell r="K39">
            <v>0</v>
          </cell>
          <cell r="L39">
            <v>0</v>
          </cell>
        </row>
        <row r="40">
          <cell r="G40">
            <v>0</v>
          </cell>
          <cell r="H40">
            <v>0</v>
          </cell>
          <cell r="J40">
            <v>930</v>
          </cell>
          <cell r="K40">
            <v>0</v>
          </cell>
          <cell r="L40">
            <v>0</v>
          </cell>
        </row>
        <row r="41">
          <cell r="G41">
            <v>0</v>
          </cell>
          <cell r="H41">
            <v>0</v>
          </cell>
          <cell r="J41">
            <v>1431</v>
          </cell>
          <cell r="K41">
            <v>0</v>
          </cell>
          <cell r="L41">
            <v>0</v>
          </cell>
        </row>
        <row r="42">
          <cell r="G42">
            <v>0</v>
          </cell>
          <cell r="H42">
            <v>0</v>
          </cell>
          <cell r="J42">
            <v>56</v>
          </cell>
          <cell r="K42">
            <v>0</v>
          </cell>
          <cell r="L42">
            <v>0</v>
          </cell>
        </row>
        <row r="43">
          <cell r="G43">
            <v>0</v>
          </cell>
          <cell r="H43">
            <v>0</v>
          </cell>
          <cell r="J43">
            <v>92</v>
          </cell>
          <cell r="K43">
            <v>0</v>
          </cell>
          <cell r="L43">
            <v>0</v>
          </cell>
        </row>
        <row r="44">
          <cell r="G44">
            <v>0</v>
          </cell>
          <cell r="H44">
            <v>0</v>
          </cell>
          <cell r="J44">
            <v>135</v>
          </cell>
          <cell r="K44">
            <v>0</v>
          </cell>
          <cell r="L44">
            <v>0</v>
          </cell>
        </row>
        <row r="45">
          <cell r="G45">
            <v>0</v>
          </cell>
          <cell r="H45">
            <v>0</v>
          </cell>
          <cell r="J45">
            <v>2520</v>
          </cell>
          <cell r="K45">
            <v>0</v>
          </cell>
          <cell r="L45">
            <v>0</v>
          </cell>
        </row>
        <row r="46">
          <cell r="G46">
            <v>0</v>
          </cell>
          <cell r="H46">
            <v>0</v>
          </cell>
          <cell r="J46">
            <v>3140</v>
          </cell>
          <cell r="K46">
            <v>0</v>
          </cell>
          <cell r="L46">
            <v>0</v>
          </cell>
        </row>
        <row r="47">
          <cell r="G47">
            <v>0</v>
          </cell>
          <cell r="H47">
            <v>0</v>
          </cell>
          <cell r="J47">
            <v>7691</v>
          </cell>
          <cell r="K47">
            <v>0</v>
          </cell>
          <cell r="L47">
            <v>0</v>
          </cell>
        </row>
        <row r="48">
          <cell r="G48">
            <v>0</v>
          </cell>
          <cell r="H48">
            <v>0</v>
          </cell>
          <cell r="J48">
            <v>1173</v>
          </cell>
          <cell r="K48">
            <v>0</v>
          </cell>
          <cell r="L48">
            <v>0</v>
          </cell>
        </row>
        <row r="49">
          <cell r="G49">
            <v>0</v>
          </cell>
          <cell r="H49">
            <v>0</v>
          </cell>
          <cell r="J49">
            <v>3436</v>
          </cell>
          <cell r="K49">
            <v>0</v>
          </cell>
          <cell r="L49">
            <v>0</v>
          </cell>
        </row>
        <row r="50">
          <cell r="G50">
            <v>0</v>
          </cell>
          <cell r="H50">
            <v>0</v>
          </cell>
          <cell r="J50">
            <v>243</v>
          </cell>
          <cell r="K50">
            <v>0</v>
          </cell>
          <cell r="L50">
            <v>0</v>
          </cell>
        </row>
        <row r="51">
          <cell r="G51">
            <v>0</v>
          </cell>
          <cell r="H51">
            <v>0</v>
          </cell>
          <cell r="J51">
            <v>351</v>
          </cell>
          <cell r="K51">
            <v>0</v>
          </cell>
          <cell r="L51">
            <v>0</v>
          </cell>
        </row>
        <row r="52">
          <cell r="G52">
            <v>0</v>
          </cell>
          <cell r="H52">
            <v>0</v>
          </cell>
          <cell r="J52">
            <v>459</v>
          </cell>
          <cell r="K52">
            <v>0</v>
          </cell>
          <cell r="L52">
            <v>0</v>
          </cell>
        </row>
        <row r="53">
          <cell r="G53">
            <v>0</v>
          </cell>
          <cell r="H53">
            <v>0</v>
          </cell>
          <cell r="J53">
            <v>819</v>
          </cell>
          <cell r="K53">
            <v>0</v>
          </cell>
          <cell r="L53">
            <v>0</v>
          </cell>
        </row>
        <row r="54">
          <cell r="G54">
            <v>0</v>
          </cell>
          <cell r="H54">
            <v>0</v>
          </cell>
          <cell r="J54">
            <v>1043</v>
          </cell>
          <cell r="K54">
            <v>0</v>
          </cell>
          <cell r="L54">
            <v>0</v>
          </cell>
        </row>
        <row r="55">
          <cell r="G55">
            <v>0</v>
          </cell>
          <cell r="H55">
            <v>0</v>
          </cell>
          <cell r="J55">
            <v>1611</v>
          </cell>
          <cell r="K55">
            <v>0</v>
          </cell>
          <cell r="L55">
            <v>0</v>
          </cell>
        </row>
        <row r="56">
          <cell r="G56">
            <v>0</v>
          </cell>
          <cell r="H56">
            <v>0</v>
          </cell>
          <cell r="J56">
            <v>2287</v>
          </cell>
          <cell r="K56">
            <v>0</v>
          </cell>
          <cell r="L56">
            <v>0</v>
          </cell>
        </row>
        <row r="57">
          <cell r="G57">
            <v>0</v>
          </cell>
          <cell r="H57">
            <v>0</v>
          </cell>
          <cell r="J57">
            <v>3073</v>
          </cell>
          <cell r="K57">
            <v>0</v>
          </cell>
          <cell r="L57">
            <v>0</v>
          </cell>
        </row>
        <row r="58">
          <cell r="G58">
            <v>0</v>
          </cell>
          <cell r="H58">
            <v>0</v>
          </cell>
          <cell r="J58">
            <v>3735</v>
          </cell>
          <cell r="K58">
            <v>0</v>
          </cell>
          <cell r="L58">
            <v>0</v>
          </cell>
        </row>
        <row r="59">
          <cell r="G59">
            <v>0</v>
          </cell>
          <cell r="H59">
            <v>0</v>
          </cell>
          <cell r="J59">
            <v>5402</v>
          </cell>
          <cell r="K59">
            <v>0</v>
          </cell>
          <cell r="L59">
            <v>0</v>
          </cell>
        </row>
        <row r="60">
          <cell r="G60">
            <v>0</v>
          </cell>
          <cell r="H60">
            <v>0</v>
          </cell>
          <cell r="J60">
            <v>5445</v>
          </cell>
          <cell r="K60">
            <v>0</v>
          </cell>
          <cell r="L60">
            <v>0</v>
          </cell>
        </row>
        <row r="61">
          <cell r="G61">
            <v>0</v>
          </cell>
          <cell r="H61">
            <v>0</v>
          </cell>
          <cell r="J61">
            <v>9495</v>
          </cell>
          <cell r="K61">
            <v>0</v>
          </cell>
          <cell r="L61">
            <v>0</v>
          </cell>
        </row>
        <row r="62">
          <cell r="G62">
            <v>0</v>
          </cell>
          <cell r="H62">
            <v>0</v>
          </cell>
          <cell r="J62">
            <v>11070</v>
          </cell>
          <cell r="K62">
            <v>0</v>
          </cell>
          <cell r="L62">
            <v>0</v>
          </cell>
        </row>
        <row r="63">
          <cell r="G63">
            <v>0</v>
          </cell>
          <cell r="H63">
            <v>0</v>
          </cell>
          <cell r="J63">
            <v>13140</v>
          </cell>
          <cell r="K63">
            <v>0</v>
          </cell>
          <cell r="L63">
            <v>0</v>
          </cell>
        </row>
        <row r="64">
          <cell r="G64">
            <v>0</v>
          </cell>
          <cell r="H64">
            <v>0</v>
          </cell>
          <cell r="J64">
            <v>477</v>
          </cell>
          <cell r="K64">
            <v>0</v>
          </cell>
          <cell r="L64">
            <v>0</v>
          </cell>
        </row>
        <row r="65">
          <cell r="G65">
            <v>0</v>
          </cell>
          <cell r="H65">
            <v>0</v>
          </cell>
          <cell r="J65">
            <v>603</v>
          </cell>
          <cell r="K65">
            <v>0</v>
          </cell>
          <cell r="L65">
            <v>0</v>
          </cell>
        </row>
        <row r="66">
          <cell r="G66">
            <v>0</v>
          </cell>
          <cell r="H66">
            <v>0</v>
          </cell>
          <cell r="J66">
            <v>725</v>
          </cell>
          <cell r="K66">
            <v>0</v>
          </cell>
          <cell r="L66">
            <v>0</v>
          </cell>
        </row>
        <row r="67">
          <cell r="G67">
            <v>0</v>
          </cell>
          <cell r="H67">
            <v>0</v>
          </cell>
          <cell r="J67">
            <v>914</v>
          </cell>
          <cell r="K67">
            <v>0</v>
          </cell>
          <cell r="L67">
            <v>0</v>
          </cell>
        </row>
        <row r="68">
          <cell r="G68">
            <v>0</v>
          </cell>
          <cell r="H68">
            <v>0</v>
          </cell>
          <cell r="J68">
            <v>1632</v>
          </cell>
          <cell r="K68">
            <v>0</v>
          </cell>
          <cell r="L68">
            <v>0</v>
          </cell>
        </row>
        <row r="69">
          <cell r="G69">
            <v>0</v>
          </cell>
          <cell r="H69">
            <v>0</v>
          </cell>
          <cell r="J69">
            <v>2160</v>
          </cell>
          <cell r="K69">
            <v>0</v>
          </cell>
          <cell r="L69">
            <v>0</v>
          </cell>
        </row>
        <row r="70">
          <cell r="G70">
            <v>0</v>
          </cell>
          <cell r="H70">
            <v>0</v>
          </cell>
          <cell r="J70">
            <v>3327</v>
          </cell>
          <cell r="K70">
            <v>0</v>
          </cell>
          <cell r="L70">
            <v>0</v>
          </cell>
        </row>
        <row r="71">
          <cell r="G71">
            <v>0</v>
          </cell>
          <cell r="H71">
            <v>0</v>
          </cell>
          <cell r="J71">
            <v>5772</v>
          </cell>
          <cell r="K71">
            <v>0</v>
          </cell>
          <cell r="L71">
            <v>0</v>
          </cell>
        </row>
        <row r="72">
          <cell r="G72">
            <v>0</v>
          </cell>
          <cell r="H72">
            <v>0</v>
          </cell>
          <cell r="J72">
            <v>501</v>
          </cell>
          <cell r="K72">
            <v>0</v>
          </cell>
          <cell r="L72">
            <v>0</v>
          </cell>
        </row>
        <row r="73">
          <cell r="G73">
            <v>0</v>
          </cell>
          <cell r="H73">
            <v>0</v>
          </cell>
          <cell r="J73">
            <v>762</v>
          </cell>
          <cell r="K73">
            <v>0</v>
          </cell>
          <cell r="L73">
            <v>0</v>
          </cell>
        </row>
        <row r="74">
          <cell r="G74">
            <v>0</v>
          </cell>
          <cell r="H74">
            <v>0</v>
          </cell>
          <cell r="J74">
            <v>1055</v>
          </cell>
          <cell r="K74">
            <v>0</v>
          </cell>
          <cell r="L74">
            <v>0</v>
          </cell>
        </row>
        <row r="75">
          <cell r="G75">
            <v>0</v>
          </cell>
          <cell r="H75">
            <v>0</v>
          </cell>
          <cell r="J75">
            <v>1338</v>
          </cell>
          <cell r="K75">
            <v>0</v>
          </cell>
          <cell r="L75">
            <v>0</v>
          </cell>
        </row>
        <row r="76">
          <cell r="G76">
            <v>0</v>
          </cell>
          <cell r="H76">
            <v>0</v>
          </cell>
          <cell r="J76">
            <v>2400</v>
          </cell>
          <cell r="K76">
            <v>0</v>
          </cell>
          <cell r="L76">
            <v>0</v>
          </cell>
        </row>
        <row r="77">
          <cell r="G77">
            <v>0</v>
          </cell>
          <cell r="H77">
            <v>0</v>
          </cell>
          <cell r="J77">
            <v>3231</v>
          </cell>
          <cell r="K77">
            <v>0</v>
          </cell>
          <cell r="L77">
            <v>0</v>
          </cell>
        </row>
        <row r="78">
          <cell r="G78">
            <v>0</v>
          </cell>
          <cell r="H78">
            <v>0</v>
          </cell>
          <cell r="J78">
            <v>5202</v>
          </cell>
          <cell r="K78">
            <v>0</v>
          </cell>
          <cell r="L78">
            <v>0</v>
          </cell>
        </row>
        <row r="79">
          <cell r="G79">
            <v>0</v>
          </cell>
          <cell r="H79">
            <v>0</v>
          </cell>
          <cell r="J79">
            <v>8728</v>
          </cell>
          <cell r="K79">
            <v>0</v>
          </cell>
          <cell r="L79">
            <v>0</v>
          </cell>
        </row>
        <row r="80">
          <cell r="G80">
            <v>0</v>
          </cell>
          <cell r="H80">
            <v>0</v>
          </cell>
          <cell r="J80">
            <v>990</v>
          </cell>
          <cell r="K80">
            <v>0</v>
          </cell>
          <cell r="L80">
            <v>0</v>
          </cell>
        </row>
        <row r="81">
          <cell r="G81">
            <v>0</v>
          </cell>
          <cell r="H81">
            <v>0</v>
          </cell>
          <cell r="J81">
            <v>1305</v>
          </cell>
          <cell r="K81">
            <v>0</v>
          </cell>
          <cell r="L81">
            <v>0</v>
          </cell>
        </row>
        <row r="82">
          <cell r="G82">
            <v>0</v>
          </cell>
          <cell r="H82">
            <v>0</v>
          </cell>
          <cell r="J82">
            <v>1701</v>
          </cell>
          <cell r="K82">
            <v>0</v>
          </cell>
          <cell r="L82">
            <v>0</v>
          </cell>
        </row>
        <row r="83">
          <cell r="G83">
            <v>0</v>
          </cell>
          <cell r="H83">
            <v>0</v>
          </cell>
          <cell r="J83">
            <v>3060</v>
          </cell>
          <cell r="K83">
            <v>0</v>
          </cell>
          <cell r="L83">
            <v>0</v>
          </cell>
        </row>
        <row r="84">
          <cell r="G84">
            <v>0</v>
          </cell>
          <cell r="H84">
            <v>0</v>
          </cell>
          <cell r="J84">
            <v>4086</v>
          </cell>
          <cell r="K84">
            <v>0</v>
          </cell>
          <cell r="L84">
            <v>0</v>
          </cell>
        </row>
        <row r="85">
          <cell r="G85">
            <v>0</v>
          </cell>
          <cell r="H85">
            <v>0</v>
          </cell>
          <cell r="J85">
            <v>6660</v>
          </cell>
          <cell r="K85">
            <v>0</v>
          </cell>
          <cell r="L85">
            <v>0</v>
          </cell>
        </row>
        <row r="86">
          <cell r="G86">
            <v>0</v>
          </cell>
          <cell r="H86">
            <v>0</v>
          </cell>
          <cell r="J86">
            <v>11250</v>
          </cell>
          <cell r="K86">
            <v>0</v>
          </cell>
          <cell r="L86">
            <v>0</v>
          </cell>
        </row>
        <row r="87">
          <cell r="G87">
            <v>0</v>
          </cell>
          <cell r="H87">
            <v>0</v>
          </cell>
          <cell r="J87">
            <v>7020</v>
          </cell>
          <cell r="K87">
            <v>0</v>
          </cell>
          <cell r="L87">
            <v>0</v>
          </cell>
        </row>
        <row r="88">
          <cell r="G88">
            <v>0</v>
          </cell>
          <cell r="H88">
            <v>0</v>
          </cell>
          <cell r="J88">
            <v>7830</v>
          </cell>
          <cell r="K88">
            <v>0</v>
          </cell>
          <cell r="L88">
            <v>0</v>
          </cell>
        </row>
        <row r="89">
          <cell r="G89">
            <v>0</v>
          </cell>
          <cell r="H89">
            <v>0</v>
          </cell>
          <cell r="J89">
            <v>13410</v>
          </cell>
          <cell r="K89">
            <v>0</v>
          </cell>
          <cell r="L89">
            <v>0</v>
          </cell>
        </row>
        <row r="90">
          <cell r="G90">
            <v>0</v>
          </cell>
          <cell r="H90">
            <v>0</v>
          </cell>
          <cell r="J90">
            <v>7920</v>
          </cell>
          <cell r="K90">
            <v>0</v>
          </cell>
          <cell r="L90">
            <v>0</v>
          </cell>
        </row>
        <row r="91">
          <cell r="G91">
            <v>0</v>
          </cell>
          <cell r="H91">
            <v>0</v>
          </cell>
          <cell r="J91">
            <v>8730</v>
          </cell>
          <cell r="K91">
            <v>0</v>
          </cell>
          <cell r="L91">
            <v>0</v>
          </cell>
        </row>
        <row r="92">
          <cell r="G92">
            <v>0</v>
          </cell>
          <cell r="H92">
            <v>0</v>
          </cell>
          <cell r="J92">
            <v>15300</v>
          </cell>
          <cell r="K92">
            <v>0</v>
          </cell>
          <cell r="L92">
            <v>0</v>
          </cell>
        </row>
        <row r="93">
          <cell r="G93">
            <v>0</v>
          </cell>
          <cell r="H93">
            <v>0</v>
          </cell>
          <cell r="J93">
            <v>463</v>
          </cell>
          <cell r="K93">
            <v>0</v>
          </cell>
          <cell r="L93">
            <v>0</v>
          </cell>
        </row>
        <row r="94">
          <cell r="G94">
            <v>0</v>
          </cell>
          <cell r="H94">
            <v>0</v>
          </cell>
          <cell r="J94">
            <v>565</v>
          </cell>
          <cell r="K94">
            <v>0</v>
          </cell>
          <cell r="L94">
            <v>0</v>
          </cell>
        </row>
        <row r="95">
          <cell r="G95">
            <v>0</v>
          </cell>
          <cell r="H95">
            <v>0</v>
          </cell>
          <cell r="J95">
            <v>690</v>
          </cell>
          <cell r="K95">
            <v>0</v>
          </cell>
          <cell r="L95">
            <v>0</v>
          </cell>
        </row>
        <row r="96">
          <cell r="G96">
            <v>0</v>
          </cell>
          <cell r="H96">
            <v>0</v>
          </cell>
          <cell r="J96">
            <v>787</v>
          </cell>
          <cell r="K96">
            <v>0</v>
          </cell>
          <cell r="L96">
            <v>0</v>
          </cell>
        </row>
        <row r="97">
          <cell r="G97">
            <v>0</v>
          </cell>
          <cell r="H97">
            <v>0</v>
          </cell>
          <cell r="J97">
            <v>909</v>
          </cell>
          <cell r="K97">
            <v>0</v>
          </cell>
          <cell r="L97">
            <v>0</v>
          </cell>
        </row>
        <row r="98">
          <cell r="G98">
            <v>0</v>
          </cell>
          <cell r="H98">
            <v>0</v>
          </cell>
          <cell r="J98">
            <v>972</v>
          </cell>
          <cell r="K98">
            <v>0</v>
          </cell>
          <cell r="L98">
            <v>0</v>
          </cell>
        </row>
        <row r="99">
          <cell r="G99">
            <v>0</v>
          </cell>
          <cell r="H99">
            <v>0</v>
          </cell>
          <cell r="J99">
            <v>1211</v>
          </cell>
          <cell r="K99">
            <v>0</v>
          </cell>
          <cell r="L99">
            <v>0</v>
          </cell>
        </row>
        <row r="100">
          <cell r="G100">
            <v>0</v>
          </cell>
          <cell r="H100">
            <v>0</v>
          </cell>
          <cell r="J100">
            <v>1319</v>
          </cell>
          <cell r="K100">
            <v>0</v>
          </cell>
          <cell r="L100">
            <v>0</v>
          </cell>
        </row>
        <row r="101">
          <cell r="G101">
            <v>0</v>
          </cell>
          <cell r="H101">
            <v>0</v>
          </cell>
          <cell r="J101">
            <v>1514</v>
          </cell>
          <cell r="K101">
            <v>0</v>
          </cell>
          <cell r="L101">
            <v>0</v>
          </cell>
        </row>
        <row r="102">
          <cell r="G102">
            <v>0</v>
          </cell>
          <cell r="H102">
            <v>0</v>
          </cell>
          <cell r="J102">
            <v>1679</v>
          </cell>
          <cell r="K102">
            <v>0</v>
          </cell>
          <cell r="L102">
            <v>0</v>
          </cell>
        </row>
        <row r="103">
          <cell r="G103">
            <v>0</v>
          </cell>
          <cell r="H103">
            <v>0</v>
          </cell>
          <cell r="J103">
            <v>2175</v>
          </cell>
          <cell r="K103">
            <v>0</v>
          </cell>
          <cell r="L103">
            <v>0</v>
          </cell>
        </row>
        <row r="104">
          <cell r="G104">
            <v>0</v>
          </cell>
          <cell r="H104">
            <v>0</v>
          </cell>
          <cell r="J104">
            <v>2459</v>
          </cell>
          <cell r="K104">
            <v>0</v>
          </cell>
          <cell r="L104">
            <v>0</v>
          </cell>
        </row>
        <row r="105">
          <cell r="G105">
            <v>0</v>
          </cell>
          <cell r="H105">
            <v>0</v>
          </cell>
          <cell r="J105">
            <v>3108</v>
          </cell>
          <cell r="K105">
            <v>0</v>
          </cell>
          <cell r="L105">
            <v>0</v>
          </cell>
        </row>
        <row r="106">
          <cell r="G106">
            <v>0</v>
          </cell>
          <cell r="H106">
            <v>0</v>
          </cell>
          <cell r="J106">
            <v>3391</v>
          </cell>
          <cell r="K106">
            <v>0</v>
          </cell>
          <cell r="L106">
            <v>0</v>
          </cell>
        </row>
        <row r="107">
          <cell r="G107">
            <v>0</v>
          </cell>
          <cell r="H107">
            <v>0</v>
          </cell>
          <cell r="J107">
            <v>3795</v>
          </cell>
          <cell r="K107">
            <v>0</v>
          </cell>
          <cell r="L107">
            <v>0</v>
          </cell>
        </row>
        <row r="108">
          <cell r="G108">
            <v>0</v>
          </cell>
          <cell r="H108">
            <v>0</v>
          </cell>
          <cell r="J108">
            <v>1204</v>
          </cell>
          <cell r="K108">
            <v>0</v>
          </cell>
          <cell r="L108">
            <v>0</v>
          </cell>
        </row>
        <row r="109">
          <cell r="G109">
            <v>0</v>
          </cell>
          <cell r="H109">
            <v>0</v>
          </cell>
          <cell r="J109">
            <v>637</v>
          </cell>
          <cell r="K109">
            <v>0</v>
          </cell>
          <cell r="L109">
            <v>0</v>
          </cell>
        </row>
        <row r="110">
          <cell r="G110">
            <v>0</v>
          </cell>
          <cell r="H110">
            <v>0</v>
          </cell>
          <cell r="J110">
            <v>693</v>
          </cell>
          <cell r="K110">
            <v>0</v>
          </cell>
          <cell r="L110">
            <v>0</v>
          </cell>
        </row>
        <row r="111">
          <cell r="G111">
            <v>0</v>
          </cell>
          <cell r="H111">
            <v>0</v>
          </cell>
          <cell r="J111">
            <v>802</v>
          </cell>
          <cell r="K111">
            <v>0</v>
          </cell>
          <cell r="L111">
            <v>0</v>
          </cell>
        </row>
        <row r="112">
          <cell r="G112">
            <v>0</v>
          </cell>
          <cell r="H112">
            <v>0</v>
          </cell>
          <cell r="J112">
            <v>775</v>
          </cell>
          <cell r="K112">
            <v>0</v>
          </cell>
          <cell r="L112">
            <v>0</v>
          </cell>
        </row>
        <row r="113">
          <cell r="G113">
            <v>0</v>
          </cell>
          <cell r="H113">
            <v>0</v>
          </cell>
          <cell r="J113">
            <v>1543</v>
          </cell>
          <cell r="K113">
            <v>0</v>
          </cell>
          <cell r="L113">
            <v>0</v>
          </cell>
        </row>
        <row r="114">
          <cell r="G114">
            <v>0</v>
          </cell>
          <cell r="H114">
            <v>0</v>
          </cell>
          <cell r="J114">
            <v>4309</v>
          </cell>
          <cell r="K114">
            <v>0</v>
          </cell>
          <cell r="L114">
            <v>0</v>
          </cell>
        </row>
        <row r="115">
          <cell r="G115">
            <v>0</v>
          </cell>
          <cell r="H115">
            <v>0</v>
          </cell>
          <cell r="J115">
            <v>637</v>
          </cell>
          <cell r="K115">
            <v>0</v>
          </cell>
          <cell r="L115">
            <v>0</v>
          </cell>
        </row>
        <row r="116">
          <cell r="G116">
            <v>0</v>
          </cell>
          <cell r="H116">
            <v>0</v>
          </cell>
          <cell r="J116">
            <v>714</v>
          </cell>
          <cell r="K116">
            <v>0</v>
          </cell>
          <cell r="L116">
            <v>0</v>
          </cell>
        </row>
        <row r="117">
          <cell r="G117">
            <v>0</v>
          </cell>
          <cell r="H117">
            <v>0</v>
          </cell>
          <cell r="J117">
            <v>3354</v>
          </cell>
          <cell r="K117">
            <v>0</v>
          </cell>
          <cell r="L117">
            <v>0</v>
          </cell>
        </row>
        <row r="118">
          <cell r="G118">
            <v>0</v>
          </cell>
          <cell r="H118">
            <v>0</v>
          </cell>
          <cell r="J118">
            <v>1540</v>
          </cell>
          <cell r="K118">
            <v>0</v>
          </cell>
          <cell r="L118">
            <v>0</v>
          </cell>
        </row>
        <row r="119">
          <cell r="G119">
            <v>0</v>
          </cell>
          <cell r="H119">
            <v>0</v>
          </cell>
          <cell r="J119">
            <v>624</v>
          </cell>
          <cell r="K119">
            <v>0</v>
          </cell>
          <cell r="L119">
            <v>0</v>
          </cell>
        </row>
        <row r="120">
          <cell r="G120">
            <v>0</v>
          </cell>
          <cell r="H120">
            <v>0</v>
          </cell>
          <cell r="J120">
            <v>783</v>
          </cell>
          <cell r="K120">
            <v>0</v>
          </cell>
          <cell r="L120">
            <v>0</v>
          </cell>
        </row>
        <row r="121">
          <cell r="G121">
            <v>0</v>
          </cell>
          <cell r="H121">
            <v>0</v>
          </cell>
          <cell r="J121">
            <v>1158</v>
          </cell>
          <cell r="K121">
            <v>0</v>
          </cell>
          <cell r="L121">
            <v>0</v>
          </cell>
        </row>
        <row r="122">
          <cell r="G122">
            <v>0</v>
          </cell>
          <cell r="H122">
            <v>0</v>
          </cell>
          <cell r="J122">
            <v>1372</v>
          </cell>
          <cell r="K122">
            <v>0</v>
          </cell>
          <cell r="L122">
            <v>0</v>
          </cell>
        </row>
        <row r="123">
          <cell r="G123">
            <v>0</v>
          </cell>
          <cell r="H123">
            <v>0</v>
          </cell>
          <cell r="J123">
            <v>1575</v>
          </cell>
          <cell r="K123">
            <v>0</v>
          </cell>
          <cell r="L123">
            <v>0</v>
          </cell>
        </row>
        <row r="124">
          <cell r="G124">
            <v>0</v>
          </cell>
          <cell r="H124">
            <v>0</v>
          </cell>
          <cell r="J124">
            <v>2283</v>
          </cell>
          <cell r="K124">
            <v>0</v>
          </cell>
          <cell r="L124">
            <v>0</v>
          </cell>
        </row>
        <row r="125">
          <cell r="G125">
            <v>0</v>
          </cell>
          <cell r="H125">
            <v>0</v>
          </cell>
          <cell r="J125">
            <v>466</v>
          </cell>
          <cell r="K125">
            <v>0</v>
          </cell>
          <cell r="L125">
            <v>0</v>
          </cell>
        </row>
        <row r="126">
          <cell r="G126">
            <v>0</v>
          </cell>
          <cell r="H126">
            <v>0</v>
          </cell>
          <cell r="J126">
            <v>843</v>
          </cell>
          <cell r="K126">
            <v>0</v>
          </cell>
          <cell r="L126">
            <v>0</v>
          </cell>
        </row>
        <row r="127">
          <cell r="G127">
            <v>0</v>
          </cell>
          <cell r="H127">
            <v>0</v>
          </cell>
          <cell r="J127">
            <v>932</v>
          </cell>
          <cell r="K127">
            <v>0</v>
          </cell>
          <cell r="L127">
            <v>0</v>
          </cell>
        </row>
        <row r="128">
          <cell r="G128">
            <v>0</v>
          </cell>
          <cell r="H128">
            <v>0</v>
          </cell>
          <cell r="J128">
            <v>1192</v>
          </cell>
          <cell r="K128">
            <v>0</v>
          </cell>
          <cell r="L128">
            <v>0</v>
          </cell>
        </row>
        <row r="129">
          <cell r="G129">
            <v>0</v>
          </cell>
          <cell r="H129">
            <v>0</v>
          </cell>
          <cell r="J129">
            <v>1566</v>
          </cell>
          <cell r="K129">
            <v>0</v>
          </cell>
          <cell r="L129">
            <v>0</v>
          </cell>
        </row>
        <row r="130">
          <cell r="G130">
            <v>0</v>
          </cell>
          <cell r="H130">
            <v>0</v>
          </cell>
          <cell r="J130">
            <v>1921</v>
          </cell>
          <cell r="K130">
            <v>0</v>
          </cell>
          <cell r="L130">
            <v>0</v>
          </cell>
        </row>
        <row r="131">
          <cell r="G131">
            <v>0</v>
          </cell>
          <cell r="H131">
            <v>0</v>
          </cell>
          <cell r="J131">
            <v>2535</v>
          </cell>
          <cell r="K131">
            <v>0</v>
          </cell>
          <cell r="L131">
            <v>0</v>
          </cell>
        </row>
        <row r="132">
          <cell r="G132">
            <v>0</v>
          </cell>
          <cell r="H132">
            <v>0</v>
          </cell>
          <cell r="J132">
            <v>3538</v>
          </cell>
          <cell r="K132">
            <v>0</v>
          </cell>
          <cell r="L132">
            <v>0</v>
          </cell>
        </row>
        <row r="133">
          <cell r="G133">
            <v>0</v>
          </cell>
          <cell r="H133">
            <v>0</v>
          </cell>
          <cell r="J133">
            <v>4503</v>
          </cell>
          <cell r="K133">
            <v>0</v>
          </cell>
          <cell r="L133">
            <v>0</v>
          </cell>
        </row>
        <row r="134">
          <cell r="G134">
            <v>0</v>
          </cell>
          <cell r="H134">
            <v>0</v>
          </cell>
          <cell r="J134">
            <v>5043</v>
          </cell>
          <cell r="K134">
            <v>0</v>
          </cell>
          <cell r="L134">
            <v>0</v>
          </cell>
        </row>
        <row r="135">
          <cell r="G135">
            <v>0</v>
          </cell>
          <cell r="H135">
            <v>0</v>
          </cell>
          <cell r="J135">
            <v>8072</v>
          </cell>
          <cell r="K135">
            <v>0</v>
          </cell>
          <cell r="L135">
            <v>0</v>
          </cell>
        </row>
        <row r="136">
          <cell r="G136">
            <v>0</v>
          </cell>
          <cell r="H136">
            <v>0</v>
          </cell>
          <cell r="J136">
            <v>1140</v>
          </cell>
          <cell r="K136">
            <v>0</v>
          </cell>
          <cell r="L136">
            <v>0</v>
          </cell>
        </row>
        <row r="137">
          <cell r="G137">
            <v>0</v>
          </cell>
          <cell r="H137">
            <v>0</v>
          </cell>
          <cell r="J137">
            <v>1500</v>
          </cell>
          <cell r="K137">
            <v>0</v>
          </cell>
          <cell r="L137">
            <v>0</v>
          </cell>
        </row>
        <row r="138">
          <cell r="G138">
            <v>0</v>
          </cell>
          <cell r="H138">
            <v>0</v>
          </cell>
          <cell r="J138">
            <v>6400</v>
          </cell>
          <cell r="K138">
            <v>0</v>
          </cell>
          <cell r="L138">
            <v>0</v>
          </cell>
        </row>
        <row r="139">
          <cell r="G139">
            <v>0</v>
          </cell>
          <cell r="H139">
            <v>0</v>
          </cell>
          <cell r="J139">
            <v>7800</v>
          </cell>
          <cell r="K139">
            <v>0</v>
          </cell>
          <cell r="L139">
            <v>0</v>
          </cell>
        </row>
        <row r="140">
          <cell r="G140">
            <v>0</v>
          </cell>
          <cell r="H140">
            <v>0</v>
          </cell>
          <cell r="J140">
            <v>11300</v>
          </cell>
          <cell r="K140">
            <v>0</v>
          </cell>
          <cell r="L140">
            <v>0</v>
          </cell>
        </row>
        <row r="141">
          <cell r="G141">
            <v>0</v>
          </cell>
          <cell r="H141">
            <v>0</v>
          </cell>
          <cell r="J141">
            <v>19300</v>
          </cell>
          <cell r="K141">
            <v>0</v>
          </cell>
          <cell r="L141">
            <v>0</v>
          </cell>
        </row>
        <row r="142">
          <cell r="G142">
            <v>0</v>
          </cell>
          <cell r="H142">
            <v>0</v>
          </cell>
          <cell r="J142">
            <v>25900</v>
          </cell>
          <cell r="K142">
            <v>0</v>
          </cell>
          <cell r="L142">
            <v>0</v>
          </cell>
        </row>
        <row r="143">
          <cell r="G143">
            <v>0</v>
          </cell>
          <cell r="H143">
            <v>0</v>
          </cell>
          <cell r="J143">
            <v>40560</v>
          </cell>
          <cell r="K143">
            <v>0</v>
          </cell>
          <cell r="L143">
            <v>0</v>
          </cell>
        </row>
        <row r="144">
          <cell r="G144">
            <v>0</v>
          </cell>
          <cell r="H144">
            <v>0</v>
          </cell>
          <cell r="J144">
            <v>48670</v>
          </cell>
          <cell r="K144">
            <v>0</v>
          </cell>
          <cell r="L144">
            <v>0</v>
          </cell>
        </row>
        <row r="145">
          <cell r="G145">
            <v>0</v>
          </cell>
          <cell r="H145">
            <v>0</v>
          </cell>
          <cell r="J145">
            <v>220</v>
          </cell>
          <cell r="K145">
            <v>0</v>
          </cell>
          <cell r="L145">
            <v>0</v>
          </cell>
        </row>
        <row r="146">
          <cell r="G146">
            <v>0</v>
          </cell>
          <cell r="H146">
            <v>0</v>
          </cell>
          <cell r="J146">
            <v>260</v>
          </cell>
          <cell r="K146">
            <v>0</v>
          </cell>
          <cell r="L146">
            <v>0</v>
          </cell>
        </row>
        <row r="147">
          <cell r="G147">
            <v>0</v>
          </cell>
          <cell r="H147">
            <v>0</v>
          </cell>
          <cell r="J147">
            <v>299</v>
          </cell>
          <cell r="K147">
            <v>0</v>
          </cell>
          <cell r="L147">
            <v>0</v>
          </cell>
        </row>
        <row r="148">
          <cell r="G148">
            <v>0</v>
          </cell>
          <cell r="H148">
            <v>0</v>
          </cell>
          <cell r="J148">
            <v>357</v>
          </cell>
          <cell r="K148">
            <v>0</v>
          </cell>
          <cell r="L148">
            <v>0</v>
          </cell>
        </row>
        <row r="149">
          <cell r="G149">
            <v>0</v>
          </cell>
          <cell r="H149">
            <v>0</v>
          </cell>
          <cell r="J149">
            <v>697</v>
          </cell>
          <cell r="K149">
            <v>0</v>
          </cell>
          <cell r="L149">
            <v>0</v>
          </cell>
        </row>
        <row r="150">
          <cell r="G150">
            <v>0</v>
          </cell>
          <cell r="H150">
            <v>0</v>
          </cell>
          <cell r="J150">
            <v>975</v>
          </cell>
          <cell r="K150">
            <v>0</v>
          </cell>
          <cell r="L150">
            <v>0</v>
          </cell>
        </row>
        <row r="151">
          <cell r="G151">
            <v>0</v>
          </cell>
          <cell r="H151">
            <v>0</v>
          </cell>
          <cell r="J151">
            <v>1278</v>
          </cell>
          <cell r="K151">
            <v>0</v>
          </cell>
          <cell r="L151">
            <v>0</v>
          </cell>
        </row>
        <row r="152">
          <cell r="G152">
            <v>0</v>
          </cell>
          <cell r="H152">
            <v>0</v>
          </cell>
          <cell r="J152">
            <v>1813</v>
          </cell>
          <cell r="K152">
            <v>0</v>
          </cell>
          <cell r="L152">
            <v>0</v>
          </cell>
        </row>
        <row r="153">
          <cell r="G153">
            <v>0</v>
          </cell>
          <cell r="H153">
            <v>0</v>
          </cell>
          <cell r="J153">
            <v>2335</v>
          </cell>
          <cell r="K153">
            <v>0</v>
          </cell>
          <cell r="L153">
            <v>0</v>
          </cell>
        </row>
        <row r="154">
          <cell r="G154">
            <v>0</v>
          </cell>
          <cell r="H154">
            <v>0</v>
          </cell>
          <cell r="J154">
            <v>3558</v>
          </cell>
          <cell r="K154">
            <v>0</v>
          </cell>
          <cell r="L154">
            <v>0</v>
          </cell>
        </row>
        <row r="155">
          <cell r="G155">
            <v>0</v>
          </cell>
          <cell r="H155">
            <v>0</v>
          </cell>
          <cell r="J155">
            <v>4214</v>
          </cell>
          <cell r="K155">
            <v>0</v>
          </cell>
          <cell r="L155">
            <v>0</v>
          </cell>
        </row>
        <row r="156">
          <cell r="G156">
            <v>0</v>
          </cell>
          <cell r="H156">
            <v>0</v>
          </cell>
          <cell r="J156">
            <v>195</v>
          </cell>
          <cell r="K156">
            <v>0</v>
          </cell>
          <cell r="L156">
            <v>0</v>
          </cell>
        </row>
        <row r="157">
          <cell r="G157">
            <v>0</v>
          </cell>
          <cell r="H157">
            <v>0</v>
          </cell>
          <cell r="J157">
            <v>285</v>
          </cell>
          <cell r="K157">
            <v>0</v>
          </cell>
          <cell r="L157">
            <v>0</v>
          </cell>
        </row>
        <row r="158">
          <cell r="G158">
            <v>0</v>
          </cell>
          <cell r="H158">
            <v>0</v>
          </cell>
          <cell r="J158">
            <v>470</v>
          </cell>
          <cell r="K158">
            <v>0</v>
          </cell>
          <cell r="L158">
            <v>0</v>
          </cell>
        </row>
        <row r="159">
          <cell r="G159">
            <v>0</v>
          </cell>
          <cell r="H159">
            <v>0</v>
          </cell>
          <cell r="J159">
            <v>700</v>
          </cell>
          <cell r="K159">
            <v>0</v>
          </cell>
          <cell r="L159">
            <v>0</v>
          </cell>
        </row>
        <row r="160">
          <cell r="G160">
            <v>0</v>
          </cell>
          <cell r="H160">
            <v>0</v>
          </cell>
          <cell r="J160">
            <v>820</v>
          </cell>
          <cell r="K160">
            <v>0</v>
          </cell>
          <cell r="L160">
            <v>0</v>
          </cell>
        </row>
        <row r="161">
          <cell r="G161">
            <v>0</v>
          </cell>
          <cell r="H161">
            <v>0</v>
          </cell>
          <cell r="J161">
            <v>1235</v>
          </cell>
          <cell r="K161">
            <v>0</v>
          </cell>
          <cell r="L161">
            <v>0</v>
          </cell>
        </row>
        <row r="162">
          <cell r="G162">
            <v>0</v>
          </cell>
          <cell r="H162">
            <v>0</v>
          </cell>
          <cell r="J162">
            <v>1715</v>
          </cell>
          <cell r="K162">
            <v>0</v>
          </cell>
          <cell r="L162">
            <v>0</v>
          </cell>
        </row>
        <row r="163">
          <cell r="G163">
            <v>0</v>
          </cell>
          <cell r="H163">
            <v>0</v>
          </cell>
          <cell r="J163">
            <v>2430</v>
          </cell>
          <cell r="K163">
            <v>0</v>
          </cell>
          <cell r="L163">
            <v>0</v>
          </cell>
        </row>
        <row r="164">
          <cell r="G164">
            <v>0</v>
          </cell>
          <cell r="H164">
            <v>0</v>
          </cell>
          <cell r="J164">
            <v>3575</v>
          </cell>
          <cell r="K164">
            <v>0</v>
          </cell>
          <cell r="L164">
            <v>0</v>
          </cell>
        </row>
        <row r="165">
          <cell r="G165">
            <v>0</v>
          </cell>
          <cell r="H165">
            <v>0</v>
          </cell>
          <cell r="J165">
            <v>310</v>
          </cell>
          <cell r="K165">
            <v>0</v>
          </cell>
          <cell r="L165">
            <v>0</v>
          </cell>
        </row>
        <row r="166">
          <cell r="G166">
            <v>0</v>
          </cell>
          <cell r="H166">
            <v>0</v>
          </cell>
          <cell r="J166">
            <v>460</v>
          </cell>
          <cell r="K166">
            <v>0</v>
          </cell>
          <cell r="L166">
            <v>0</v>
          </cell>
        </row>
        <row r="167">
          <cell r="G167">
            <v>0</v>
          </cell>
          <cell r="H167">
            <v>0</v>
          </cell>
          <cell r="J167">
            <v>640</v>
          </cell>
          <cell r="K167">
            <v>0</v>
          </cell>
          <cell r="L167">
            <v>0</v>
          </cell>
        </row>
        <row r="168">
          <cell r="G168">
            <v>0</v>
          </cell>
          <cell r="H168">
            <v>0</v>
          </cell>
          <cell r="J168">
            <v>970</v>
          </cell>
          <cell r="K168">
            <v>0</v>
          </cell>
          <cell r="L168">
            <v>0</v>
          </cell>
        </row>
        <row r="169">
          <cell r="G169">
            <v>0</v>
          </cell>
          <cell r="H169">
            <v>0</v>
          </cell>
          <cell r="J169">
            <v>1300</v>
          </cell>
          <cell r="K169">
            <v>0</v>
          </cell>
          <cell r="L169">
            <v>0</v>
          </cell>
        </row>
        <row r="170">
          <cell r="G170">
            <v>0</v>
          </cell>
          <cell r="H170">
            <v>0</v>
          </cell>
          <cell r="J170">
            <v>1600</v>
          </cell>
          <cell r="K170">
            <v>0</v>
          </cell>
          <cell r="L170">
            <v>0</v>
          </cell>
        </row>
        <row r="171">
          <cell r="G171">
            <v>0</v>
          </cell>
          <cell r="H171">
            <v>0</v>
          </cell>
          <cell r="J171">
            <v>2540</v>
          </cell>
          <cell r="K171">
            <v>0</v>
          </cell>
          <cell r="L171">
            <v>0</v>
          </cell>
        </row>
        <row r="172">
          <cell r="G172">
            <v>0</v>
          </cell>
          <cell r="H172">
            <v>0</v>
          </cell>
          <cell r="J172">
            <v>3280</v>
          </cell>
          <cell r="K172">
            <v>0</v>
          </cell>
          <cell r="L172">
            <v>0</v>
          </cell>
        </row>
        <row r="173">
          <cell r="G173">
            <v>0</v>
          </cell>
          <cell r="H173">
            <v>0</v>
          </cell>
          <cell r="J173">
            <v>6660</v>
          </cell>
          <cell r="K173">
            <v>0</v>
          </cell>
          <cell r="L173">
            <v>0</v>
          </cell>
        </row>
        <row r="174">
          <cell r="G174">
            <v>0</v>
          </cell>
          <cell r="H174">
            <v>0</v>
          </cell>
          <cell r="J174">
            <v>20000</v>
          </cell>
          <cell r="K174">
            <v>0</v>
          </cell>
          <cell r="L174">
            <v>0</v>
          </cell>
        </row>
        <row r="175">
          <cell r="G175">
            <v>0</v>
          </cell>
          <cell r="H175">
            <v>0</v>
          </cell>
          <cell r="J175">
            <v>57</v>
          </cell>
          <cell r="K175">
            <v>0</v>
          </cell>
          <cell r="L175">
            <v>0</v>
          </cell>
        </row>
        <row r="176">
          <cell r="G176">
            <v>0</v>
          </cell>
          <cell r="H176">
            <v>0</v>
          </cell>
          <cell r="J176">
            <v>75</v>
          </cell>
          <cell r="K176">
            <v>0</v>
          </cell>
          <cell r="L176">
            <v>0</v>
          </cell>
        </row>
        <row r="177">
          <cell r="G177">
            <v>0</v>
          </cell>
          <cell r="H177">
            <v>0</v>
          </cell>
          <cell r="J177">
            <v>112</v>
          </cell>
          <cell r="K177">
            <v>0</v>
          </cell>
          <cell r="L177">
            <v>0</v>
          </cell>
        </row>
        <row r="178">
          <cell r="G178">
            <v>0</v>
          </cell>
          <cell r="H178">
            <v>0</v>
          </cell>
          <cell r="J178">
            <v>299</v>
          </cell>
          <cell r="K178">
            <v>0</v>
          </cell>
          <cell r="L178">
            <v>0</v>
          </cell>
        </row>
        <row r="179">
          <cell r="G179">
            <v>0</v>
          </cell>
          <cell r="H179">
            <v>0</v>
          </cell>
          <cell r="J179">
            <v>403</v>
          </cell>
          <cell r="K179">
            <v>0</v>
          </cell>
          <cell r="L179">
            <v>0</v>
          </cell>
        </row>
        <row r="180">
          <cell r="G180">
            <v>0</v>
          </cell>
          <cell r="H180">
            <v>0</v>
          </cell>
          <cell r="J180">
            <v>455</v>
          </cell>
          <cell r="K180">
            <v>0</v>
          </cell>
          <cell r="L180">
            <v>0</v>
          </cell>
        </row>
        <row r="181">
          <cell r="G181">
            <v>0</v>
          </cell>
          <cell r="H181">
            <v>0</v>
          </cell>
          <cell r="J181">
            <v>2080</v>
          </cell>
          <cell r="K181">
            <v>0</v>
          </cell>
          <cell r="L181">
            <v>0</v>
          </cell>
        </row>
        <row r="182">
          <cell r="G182">
            <v>0</v>
          </cell>
          <cell r="H182">
            <v>0</v>
          </cell>
          <cell r="J182">
            <v>3380</v>
          </cell>
          <cell r="K182">
            <v>0</v>
          </cell>
          <cell r="L182">
            <v>0</v>
          </cell>
        </row>
        <row r="183">
          <cell r="G183">
            <v>0</v>
          </cell>
          <cell r="H183">
            <v>0</v>
          </cell>
          <cell r="J183">
            <v>4550</v>
          </cell>
          <cell r="K183">
            <v>0</v>
          </cell>
          <cell r="L183">
            <v>0</v>
          </cell>
        </row>
        <row r="184">
          <cell r="G184">
            <v>0</v>
          </cell>
          <cell r="H184">
            <v>0</v>
          </cell>
          <cell r="J184">
            <v>5200</v>
          </cell>
          <cell r="K184">
            <v>0</v>
          </cell>
          <cell r="L184">
            <v>0</v>
          </cell>
        </row>
        <row r="185">
          <cell r="G185">
            <v>0</v>
          </cell>
          <cell r="H185">
            <v>0</v>
          </cell>
          <cell r="J185">
            <v>8450</v>
          </cell>
          <cell r="K185">
            <v>0</v>
          </cell>
          <cell r="L185">
            <v>0</v>
          </cell>
        </row>
        <row r="186">
          <cell r="G186">
            <v>0</v>
          </cell>
          <cell r="H186">
            <v>0</v>
          </cell>
          <cell r="J186">
            <v>10400</v>
          </cell>
          <cell r="K186">
            <v>0</v>
          </cell>
          <cell r="L186">
            <v>0</v>
          </cell>
        </row>
        <row r="187">
          <cell r="G187">
            <v>0</v>
          </cell>
          <cell r="H187">
            <v>0</v>
          </cell>
          <cell r="J187">
            <v>12350</v>
          </cell>
          <cell r="K187">
            <v>0</v>
          </cell>
          <cell r="L187">
            <v>0</v>
          </cell>
        </row>
        <row r="188">
          <cell r="G188">
            <v>0</v>
          </cell>
          <cell r="H188">
            <v>0</v>
          </cell>
          <cell r="J188">
            <v>140</v>
          </cell>
          <cell r="K188">
            <v>0</v>
          </cell>
          <cell r="L188">
            <v>0</v>
          </cell>
        </row>
        <row r="189">
          <cell r="G189">
            <v>0</v>
          </cell>
          <cell r="H189">
            <v>0</v>
          </cell>
          <cell r="J189">
            <v>190</v>
          </cell>
          <cell r="K189">
            <v>0</v>
          </cell>
          <cell r="L189">
            <v>0</v>
          </cell>
        </row>
        <row r="190">
          <cell r="G190">
            <v>0</v>
          </cell>
          <cell r="H190">
            <v>0</v>
          </cell>
          <cell r="J190">
            <v>260</v>
          </cell>
          <cell r="K190">
            <v>0</v>
          </cell>
          <cell r="L190">
            <v>0</v>
          </cell>
        </row>
        <row r="191">
          <cell r="G191">
            <v>0</v>
          </cell>
          <cell r="H191">
            <v>0</v>
          </cell>
          <cell r="J191">
            <v>490</v>
          </cell>
          <cell r="K191">
            <v>0</v>
          </cell>
          <cell r="L191">
            <v>0</v>
          </cell>
        </row>
        <row r="192">
          <cell r="G192">
            <v>0</v>
          </cell>
          <cell r="H192">
            <v>0</v>
          </cell>
          <cell r="J192">
            <v>740</v>
          </cell>
          <cell r="K192">
            <v>0</v>
          </cell>
          <cell r="L192">
            <v>0</v>
          </cell>
        </row>
        <row r="193">
          <cell r="G193">
            <v>0</v>
          </cell>
          <cell r="H193">
            <v>0</v>
          </cell>
          <cell r="J193">
            <v>1180</v>
          </cell>
          <cell r="K193">
            <v>0</v>
          </cell>
          <cell r="L193">
            <v>0</v>
          </cell>
        </row>
        <row r="194">
          <cell r="G194">
            <v>0</v>
          </cell>
          <cell r="H194">
            <v>0</v>
          </cell>
          <cell r="J194">
            <v>2180</v>
          </cell>
          <cell r="K194">
            <v>0</v>
          </cell>
          <cell r="L194">
            <v>0</v>
          </cell>
        </row>
        <row r="195">
          <cell r="G195">
            <v>0</v>
          </cell>
          <cell r="H195">
            <v>0</v>
          </cell>
          <cell r="J195">
            <v>85800</v>
          </cell>
          <cell r="K195">
            <v>0</v>
          </cell>
          <cell r="L195">
            <v>0</v>
          </cell>
        </row>
        <row r="196">
          <cell r="G196">
            <v>0</v>
          </cell>
          <cell r="H196">
            <v>0</v>
          </cell>
          <cell r="J196">
            <v>2240</v>
          </cell>
          <cell r="K196">
            <v>0</v>
          </cell>
          <cell r="L196">
            <v>0</v>
          </cell>
        </row>
        <row r="197">
          <cell r="G197">
            <v>0</v>
          </cell>
          <cell r="H197">
            <v>0</v>
          </cell>
          <cell r="J197">
            <v>3070</v>
          </cell>
          <cell r="K197">
            <v>0</v>
          </cell>
          <cell r="L197">
            <v>0</v>
          </cell>
        </row>
        <row r="198">
          <cell r="G198">
            <v>0</v>
          </cell>
          <cell r="H198">
            <v>0</v>
          </cell>
          <cell r="J198">
            <v>4750</v>
          </cell>
          <cell r="K198">
            <v>0</v>
          </cell>
          <cell r="L198">
            <v>0</v>
          </cell>
        </row>
        <row r="199">
          <cell r="G199">
            <v>0</v>
          </cell>
          <cell r="H199">
            <v>0</v>
          </cell>
          <cell r="J199">
            <v>8360</v>
          </cell>
          <cell r="K199">
            <v>0</v>
          </cell>
          <cell r="L199">
            <v>0</v>
          </cell>
        </row>
        <row r="200">
          <cell r="G200">
            <v>0</v>
          </cell>
          <cell r="H200">
            <v>0</v>
          </cell>
          <cell r="J200">
            <v>1875</v>
          </cell>
          <cell r="K200">
            <v>0</v>
          </cell>
          <cell r="L200">
            <v>0</v>
          </cell>
        </row>
        <row r="201">
          <cell r="G201">
            <v>0</v>
          </cell>
          <cell r="H201">
            <v>0</v>
          </cell>
          <cell r="J201">
            <v>2500</v>
          </cell>
          <cell r="K201">
            <v>0</v>
          </cell>
          <cell r="L201">
            <v>0</v>
          </cell>
        </row>
        <row r="202">
          <cell r="G202">
            <v>0</v>
          </cell>
          <cell r="H202">
            <v>0</v>
          </cell>
          <cell r="J202">
            <v>3250</v>
          </cell>
          <cell r="K202">
            <v>0</v>
          </cell>
          <cell r="L202">
            <v>0</v>
          </cell>
        </row>
        <row r="203">
          <cell r="G203">
            <v>0</v>
          </cell>
          <cell r="H203">
            <v>0</v>
          </cell>
          <cell r="J203">
            <v>4625</v>
          </cell>
          <cell r="K203">
            <v>0</v>
          </cell>
          <cell r="L203">
            <v>0</v>
          </cell>
        </row>
        <row r="204">
          <cell r="G204">
            <v>0</v>
          </cell>
          <cell r="H204">
            <v>0</v>
          </cell>
          <cell r="J204">
            <v>7500</v>
          </cell>
          <cell r="K204">
            <v>0</v>
          </cell>
          <cell r="L204">
            <v>0</v>
          </cell>
        </row>
        <row r="205">
          <cell r="G205">
            <v>0</v>
          </cell>
          <cell r="H205">
            <v>0</v>
          </cell>
          <cell r="J205">
            <v>11813</v>
          </cell>
          <cell r="K205">
            <v>0</v>
          </cell>
          <cell r="L205">
            <v>0</v>
          </cell>
        </row>
        <row r="206">
          <cell r="G206">
            <v>0</v>
          </cell>
          <cell r="H206">
            <v>0</v>
          </cell>
          <cell r="J206">
            <v>21250</v>
          </cell>
          <cell r="K206">
            <v>0</v>
          </cell>
          <cell r="L206">
            <v>0</v>
          </cell>
        </row>
        <row r="207">
          <cell r="G207">
            <v>0</v>
          </cell>
          <cell r="H207">
            <v>0</v>
          </cell>
          <cell r="J207">
            <v>2308</v>
          </cell>
          <cell r="K207">
            <v>0</v>
          </cell>
          <cell r="L207">
            <v>0</v>
          </cell>
        </row>
        <row r="208">
          <cell r="G208">
            <v>0</v>
          </cell>
          <cell r="H208">
            <v>0</v>
          </cell>
          <cell r="J208">
            <v>540</v>
          </cell>
          <cell r="K208">
            <v>0</v>
          </cell>
          <cell r="L208">
            <v>0</v>
          </cell>
        </row>
        <row r="209">
          <cell r="G209">
            <v>0</v>
          </cell>
          <cell r="H209">
            <v>0</v>
          </cell>
          <cell r="J209">
            <v>560</v>
          </cell>
          <cell r="K209">
            <v>0</v>
          </cell>
          <cell r="L209">
            <v>0</v>
          </cell>
        </row>
        <row r="210">
          <cell r="G210">
            <v>0</v>
          </cell>
          <cell r="H210">
            <v>0</v>
          </cell>
          <cell r="J210">
            <v>440</v>
          </cell>
          <cell r="K210">
            <v>0</v>
          </cell>
          <cell r="L210">
            <v>0</v>
          </cell>
        </row>
        <row r="211">
          <cell r="G211">
            <v>0</v>
          </cell>
          <cell r="H211">
            <v>0</v>
          </cell>
          <cell r="J211">
            <v>2639</v>
          </cell>
          <cell r="K211">
            <v>0</v>
          </cell>
          <cell r="L211">
            <v>0</v>
          </cell>
        </row>
        <row r="212">
          <cell r="G212">
            <v>0</v>
          </cell>
          <cell r="H212">
            <v>0</v>
          </cell>
          <cell r="J212">
            <v>4203</v>
          </cell>
          <cell r="K212">
            <v>0</v>
          </cell>
          <cell r="L212">
            <v>0</v>
          </cell>
        </row>
        <row r="213">
          <cell r="G213">
            <v>0</v>
          </cell>
          <cell r="H213">
            <v>0</v>
          </cell>
          <cell r="J213">
            <v>5571</v>
          </cell>
          <cell r="K213">
            <v>0</v>
          </cell>
          <cell r="L213">
            <v>0</v>
          </cell>
        </row>
        <row r="214">
          <cell r="G214">
            <v>0</v>
          </cell>
          <cell r="H214">
            <v>0</v>
          </cell>
          <cell r="J214">
            <v>180</v>
          </cell>
          <cell r="K214">
            <v>0</v>
          </cell>
          <cell r="L214">
            <v>0</v>
          </cell>
        </row>
        <row r="215">
          <cell r="G215">
            <v>0</v>
          </cell>
          <cell r="H215">
            <v>0</v>
          </cell>
          <cell r="J215">
            <v>200</v>
          </cell>
          <cell r="K215">
            <v>0</v>
          </cell>
          <cell r="L215">
            <v>0</v>
          </cell>
        </row>
        <row r="216">
          <cell r="G216">
            <v>0</v>
          </cell>
          <cell r="H216">
            <v>0</v>
          </cell>
          <cell r="J216">
            <v>220</v>
          </cell>
          <cell r="K216">
            <v>0</v>
          </cell>
          <cell r="L216">
            <v>0</v>
          </cell>
        </row>
        <row r="217">
          <cell r="G217">
            <v>0</v>
          </cell>
          <cell r="H217">
            <v>0</v>
          </cell>
          <cell r="J217">
            <v>160</v>
          </cell>
          <cell r="K217">
            <v>0</v>
          </cell>
          <cell r="L217">
            <v>0</v>
          </cell>
        </row>
        <row r="218">
          <cell r="G218">
            <v>0</v>
          </cell>
          <cell r="H218">
            <v>0</v>
          </cell>
          <cell r="J218">
            <v>1411</v>
          </cell>
          <cell r="K218">
            <v>0</v>
          </cell>
          <cell r="L218">
            <v>0</v>
          </cell>
        </row>
        <row r="219">
          <cell r="G219">
            <v>0</v>
          </cell>
          <cell r="H219">
            <v>0</v>
          </cell>
          <cell r="J219">
            <v>1370</v>
          </cell>
          <cell r="K219">
            <v>0</v>
          </cell>
          <cell r="L219">
            <v>0</v>
          </cell>
        </row>
        <row r="220">
          <cell r="G220">
            <v>0</v>
          </cell>
          <cell r="H220">
            <v>0</v>
          </cell>
          <cell r="J220">
            <v>1750</v>
          </cell>
          <cell r="K220">
            <v>0</v>
          </cell>
          <cell r="L220">
            <v>0</v>
          </cell>
        </row>
        <row r="221">
          <cell r="G221">
            <v>0</v>
          </cell>
          <cell r="H221">
            <v>0</v>
          </cell>
          <cell r="J221">
            <v>2220</v>
          </cell>
          <cell r="K221">
            <v>0</v>
          </cell>
          <cell r="L221">
            <v>0</v>
          </cell>
        </row>
        <row r="222">
          <cell r="G222">
            <v>0</v>
          </cell>
          <cell r="H222">
            <v>0</v>
          </cell>
          <cell r="J222">
            <v>2740</v>
          </cell>
          <cell r="K222">
            <v>0</v>
          </cell>
          <cell r="L222">
            <v>0</v>
          </cell>
        </row>
        <row r="223">
          <cell r="G223">
            <v>0</v>
          </cell>
          <cell r="H223">
            <v>0</v>
          </cell>
          <cell r="J223">
            <v>3420</v>
          </cell>
          <cell r="K223">
            <v>0</v>
          </cell>
          <cell r="L223">
            <v>0</v>
          </cell>
        </row>
        <row r="224">
          <cell r="G224">
            <v>0</v>
          </cell>
          <cell r="H224">
            <v>0</v>
          </cell>
          <cell r="J224">
            <v>4050</v>
          </cell>
          <cell r="K224">
            <v>0</v>
          </cell>
          <cell r="L224">
            <v>0</v>
          </cell>
        </row>
        <row r="225">
          <cell r="G225">
            <v>0</v>
          </cell>
          <cell r="H225">
            <v>0</v>
          </cell>
          <cell r="J225">
            <v>4680</v>
          </cell>
          <cell r="K225">
            <v>0</v>
          </cell>
          <cell r="L225">
            <v>0</v>
          </cell>
        </row>
        <row r="226">
          <cell r="G226">
            <v>0</v>
          </cell>
          <cell r="H226">
            <v>0</v>
          </cell>
          <cell r="J226">
            <v>4050</v>
          </cell>
          <cell r="K226">
            <v>0</v>
          </cell>
          <cell r="L226">
            <v>0</v>
          </cell>
        </row>
        <row r="227">
          <cell r="G227">
            <v>0</v>
          </cell>
          <cell r="H227">
            <v>0</v>
          </cell>
          <cell r="J227">
            <v>7200</v>
          </cell>
          <cell r="K227">
            <v>0</v>
          </cell>
          <cell r="L227">
            <v>0</v>
          </cell>
        </row>
        <row r="228">
          <cell r="G228">
            <v>0</v>
          </cell>
          <cell r="H228">
            <v>0</v>
          </cell>
          <cell r="J228">
            <v>8910</v>
          </cell>
          <cell r="K228">
            <v>0</v>
          </cell>
          <cell r="L228">
            <v>0</v>
          </cell>
        </row>
        <row r="229">
          <cell r="G229">
            <v>0</v>
          </cell>
          <cell r="H229">
            <v>0</v>
          </cell>
          <cell r="J229">
            <v>11160</v>
          </cell>
          <cell r="K229">
            <v>0</v>
          </cell>
          <cell r="L229">
            <v>0</v>
          </cell>
        </row>
        <row r="230">
          <cell r="G230">
            <v>0</v>
          </cell>
          <cell r="H230">
            <v>0</v>
          </cell>
          <cell r="J230">
            <v>18720</v>
          </cell>
          <cell r="K230">
            <v>0</v>
          </cell>
          <cell r="L230">
            <v>0</v>
          </cell>
        </row>
        <row r="231">
          <cell r="G231">
            <v>0</v>
          </cell>
          <cell r="H231">
            <v>0</v>
          </cell>
          <cell r="J231">
            <v>22500</v>
          </cell>
          <cell r="K231">
            <v>0</v>
          </cell>
          <cell r="L231">
            <v>0</v>
          </cell>
        </row>
        <row r="232">
          <cell r="G232">
            <v>0</v>
          </cell>
          <cell r="H232">
            <v>0</v>
          </cell>
          <cell r="J232">
            <v>15430</v>
          </cell>
          <cell r="K232">
            <v>0</v>
          </cell>
          <cell r="L232">
            <v>0</v>
          </cell>
        </row>
        <row r="233">
          <cell r="G233">
            <v>0</v>
          </cell>
          <cell r="H233">
            <v>0</v>
          </cell>
          <cell r="J233">
            <v>19310</v>
          </cell>
          <cell r="K233">
            <v>0</v>
          </cell>
          <cell r="L233">
            <v>0</v>
          </cell>
        </row>
        <row r="234">
          <cell r="G234">
            <v>0</v>
          </cell>
          <cell r="H234">
            <v>0</v>
          </cell>
          <cell r="J234">
            <v>25040</v>
          </cell>
          <cell r="K234">
            <v>0</v>
          </cell>
          <cell r="L234">
            <v>0</v>
          </cell>
        </row>
        <row r="235">
          <cell r="G235">
            <v>0</v>
          </cell>
          <cell r="H235">
            <v>0</v>
          </cell>
          <cell r="J235">
            <v>28750</v>
          </cell>
          <cell r="K235">
            <v>0</v>
          </cell>
          <cell r="L235">
            <v>0</v>
          </cell>
        </row>
        <row r="236">
          <cell r="G236">
            <v>0</v>
          </cell>
          <cell r="H236">
            <v>0</v>
          </cell>
          <cell r="J236">
            <v>3500</v>
          </cell>
          <cell r="K236">
            <v>0</v>
          </cell>
          <cell r="L236">
            <v>0</v>
          </cell>
        </row>
        <row r="237">
          <cell r="G237">
            <v>0</v>
          </cell>
          <cell r="H237">
            <v>0</v>
          </cell>
          <cell r="J237">
            <v>13050</v>
          </cell>
          <cell r="K237">
            <v>0</v>
          </cell>
          <cell r="L237">
            <v>0</v>
          </cell>
        </row>
        <row r="238">
          <cell r="G238">
            <v>0</v>
          </cell>
          <cell r="H238">
            <v>0</v>
          </cell>
          <cell r="J238">
            <v>19300</v>
          </cell>
          <cell r="K238">
            <v>0</v>
          </cell>
          <cell r="L238">
            <v>0</v>
          </cell>
        </row>
        <row r="239">
          <cell r="G239">
            <v>0</v>
          </cell>
          <cell r="H239">
            <v>0</v>
          </cell>
          <cell r="J239">
            <v>23940</v>
          </cell>
          <cell r="K239">
            <v>0</v>
          </cell>
          <cell r="L239">
            <v>0</v>
          </cell>
        </row>
        <row r="240">
          <cell r="G240">
            <v>0</v>
          </cell>
          <cell r="H240">
            <v>0</v>
          </cell>
          <cell r="J240">
            <v>2070</v>
          </cell>
          <cell r="K240">
            <v>0</v>
          </cell>
          <cell r="L240">
            <v>0</v>
          </cell>
        </row>
        <row r="241">
          <cell r="G241">
            <v>0</v>
          </cell>
          <cell r="H241">
            <v>0</v>
          </cell>
          <cell r="J241">
            <v>4160</v>
          </cell>
          <cell r="K241">
            <v>0</v>
          </cell>
          <cell r="L241">
            <v>0</v>
          </cell>
        </row>
        <row r="242">
          <cell r="G242">
            <v>0</v>
          </cell>
          <cell r="H242">
            <v>0</v>
          </cell>
          <cell r="J242">
            <v>1800</v>
          </cell>
          <cell r="K242">
            <v>0</v>
          </cell>
          <cell r="L242">
            <v>0</v>
          </cell>
        </row>
        <row r="243">
          <cell r="G243">
            <v>0</v>
          </cell>
          <cell r="H243">
            <v>0</v>
          </cell>
          <cell r="J243">
            <v>110</v>
          </cell>
          <cell r="K243">
            <v>0</v>
          </cell>
          <cell r="L243">
            <v>0</v>
          </cell>
        </row>
        <row r="244">
          <cell r="G244">
            <v>0</v>
          </cell>
          <cell r="H244">
            <v>0</v>
          </cell>
          <cell r="J244">
            <v>140</v>
          </cell>
          <cell r="K244">
            <v>0</v>
          </cell>
          <cell r="L244">
            <v>0</v>
          </cell>
        </row>
        <row r="245">
          <cell r="G245">
            <v>0</v>
          </cell>
          <cell r="H245">
            <v>0</v>
          </cell>
          <cell r="J245">
            <v>52000</v>
          </cell>
          <cell r="K245">
            <v>0</v>
          </cell>
          <cell r="L245">
            <v>0</v>
          </cell>
        </row>
        <row r="246">
          <cell r="G246">
            <v>0</v>
          </cell>
          <cell r="H246">
            <v>0</v>
          </cell>
          <cell r="J246">
            <v>19500</v>
          </cell>
          <cell r="K246">
            <v>0</v>
          </cell>
          <cell r="L246">
            <v>0</v>
          </cell>
        </row>
        <row r="247">
          <cell r="G247">
            <v>0</v>
          </cell>
          <cell r="H247">
            <v>0</v>
          </cell>
          <cell r="J247">
            <v>16500</v>
          </cell>
          <cell r="K247">
            <v>0</v>
          </cell>
          <cell r="L247">
            <v>0</v>
          </cell>
        </row>
        <row r="248">
          <cell r="G248">
            <v>0</v>
          </cell>
          <cell r="H248">
            <v>0</v>
          </cell>
          <cell r="J248">
            <v>29500</v>
          </cell>
          <cell r="K248">
            <v>0</v>
          </cell>
          <cell r="L248">
            <v>0</v>
          </cell>
        </row>
        <row r="249">
          <cell r="G249">
            <v>0</v>
          </cell>
          <cell r="H249">
            <v>0</v>
          </cell>
          <cell r="J249">
            <v>21000</v>
          </cell>
          <cell r="K249">
            <v>0</v>
          </cell>
          <cell r="L249">
            <v>0</v>
          </cell>
        </row>
        <row r="250">
          <cell r="G250">
            <v>0</v>
          </cell>
          <cell r="H250">
            <v>0</v>
          </cell>
          <cell r="J250">
            <v>21000</v>
          </cell>
          <cell r="K250">
            <v>0</v>
          </cell>
          <cell r="L250">
            <v>0</v>
          </cell>
        </row>
        <row r="251">
          <cell r="G251">
            <v>0</v>
          </cell>
          <cell r="H251">
            <v>0</v>
          </cell>
          <cell r="J251">
            <v>17000</v>
          </cell>
          <cell r="K251">
            <v>0</v>
          </cell>
          <cell r="L251">
            <v>0</v>
          </cell>
        </row>
        <row r="252">
          <cell r="G252">
            <v>0</v>
          </cell>
          <cell r="H252">
            <v>0</v>
          </cell>
          <cell r="J252">
            <v>6000</v>
          </cell>
          <cell r="K252">
            <v>0</v>
          </cell>
          <cell r="L252">
            <v>0</v>
          </cell>
        </row>
        <row r="253">
          <cell r="G253">
            <v>0</v>
          </cell>
          <cell r="H253">
            <v>0</v>
          </cell>
          <cell r="J253">
            <v>2750</v>
          </cell>
          <cell r="K253">
            <v>0</v>
          </cell>
          <cell r="L253">
            <v>0</v>
          </cell>
        </row>
        <row r="254">
          <cell r="G254">
            <v>0</v>
          </cell>
          <cell r="H254">
            <v>0</v>
          </cell>
          <cell r="J254">
            <v>6500</v>
          </cell>
          <cell r="K254">
            <v>0</v>
          </cell>
          <cell r="L254">
            <v>0</v>
          </cell>
        </row>
        <row r="255">
          <cell r="G255">
            <v>0</v>
          </cell>
          <cell r="H255">
            <v>0</v>
          </cell>
          <cell r="J255">
            <v>15000</v>
          </cell>
          <cell r="K255">
            <v>0</v>
          </cell>
          <cell r="L255">
            <v>0</v>
          </cell>
        </row>
        <row r="256">
          <cell r="G256">
            <v>0</v>
          </cell>
          <cell r="H256">
            <v>0</v>
          </cell>
          <cell r="J256">
            <v>350000</v>
          </cell>
          <cell r="K256">
            <v>0</v>
          </cell>
          <cell r="L256">
            <v>0</v>
          </cell>
        </row>
        <row r="257">
          <cell r="G257">
            <v>0</v>
          </cell>
          <cell r="H257">
            <v>0</v>
          </cell>
          <cell r="J257">
            <v>65000</v>
          </cell>
          <cell r="K257">
            <v>0</v>
          </cell>
          <cell r="L257">
            <v>0</v>
          </cell>
        </row>
        <row r="258">
          <cell r="G258">
            <v>0</v>
          </cell>
          <cell r="H258">
            <v>0</v>
          </cell>
          <cell r="J258">
            <v>72000</v>
          </cell>
          <cell r="K258">
            <v>0</v>
          </cell>
          <cell r="L258">
            <v>0</v>
          </cell>
        </row>
        <row r="259">
          <cell r="G259">
            <v>0</v>
          </cell>
          <cell r="H259">
            <v>0</v>
          </cell>
          <cell r="J259">
            <v>120000</v>
          </cell>
          <cell r="K259">
            <v>0</v>
          </cell>
          <cell r="L259">
            <v>0</v>
          </cell>
        </row>
        <row r="260">
          <cell r="G260">
            <v>0</v>
          </cell>
          <cell r="H260">
            <v>0</v>
          </cell>
          <cell r="J260">
            <v>130000</v>
          </cell>
          <cell r="K260">
            <v>0</v>
          </cell>
          <cell r="L260">
            <v>0</v>
          </cell>
        </row>
        <row r="261">
          <cell r="G261">
            <v>0</v>
          </cell>
          <cell r="H261">
            <v>0</v>
          </cell>
          <cell r="J261">
            <v>1440</v>
          </cell>
          <cell r="K261">
            <v>0</v>
          </cell>
          <cell r="L261">
            <v>0</v>
          </cell>
        </row>
        <row r="262">
          <cell r="G262">
            <v>0</v>
          </cell>
          <cell r="H262">
            <v>0</v>
          </cell>
          <cell r="J262">
            <v>1362</v>
          </cell>
          <cell r="K262">
            <v>0</v>
          </cell>
          <cell r="L262">
            <v>0</v>
          </cell>
        </row>
        <row r="263">
          <cell r="G263">
            <v>0</v>
          </cell>
          <cell r="H263">
            <v>0</v>
          </cell>
          <cell r="J263">
            <v>1820</v>
          </cell>
          <cell r="K263">
            <v>0</v>
          </cell>
          <cell r="L263">
            <v>0</v>
          </cell>
        </row>
        <row r="264">
          <cell r="G264">
            <v>0</v>
          </cell>
          <cell r="H264">
            <v>0</v>
          </cell>
          <cell r="J264">
            <v>1100</v>
          </cell>
          <cell r="K264">
            <v>0</v>
          </cell>
          <cell r="L264">
            <v>0</v>
          </cell>
        </row>
        <row r="265">
          <cell r="G265">
            <v>0</v>
          </cell>
          <cell r="H265">
            <v>0</v>
          </cell>
          <cell r="J265">
            <v>1450</v>
          </cell>
          <cell r="K265">
            <v>0</v>
          </cell>
          <cell r="L265">
            <v>0</v>
          </cell>
        </row>
        <row r="266">
          <cell r="G266">
            <v>0</v>
          </cell>
          <cell r="H266">
            <v>0</v>
          </cell>
          <cell r="J266">
            <v>90000</v>
          </cell>
          <cell r="K266">
            <v>0</v>
          </cell>
          <cell r="L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98100</v>
          </cell>
          <cell r="K267">
            <v>0</v>
          </cell>
          <cell r="L267">
            <v>0</v>
          </cell>
          <cell r="M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380000</v>
          </cell>
          <cell r="K268">
            <v>0</v>
          </cell>
          <cell r="L268">
            <v>0</v>
          </cell>
          <cell r="M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8000000</v>
          </cell>
          <cell r="K269">
            <v>0</v>
          </cell>
          <cell r="L269">
            <v>0</v>
          </cell>
          <cell r="M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8000000</v>
          </cell>
          <cell r="K270">
            <v>0</v>
          </cell>
          <cell r="L270">
            <v>0</v>
          </cell>
          <cell r="M270">
            <v>0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2000000</v>
          </cell>
          <cell r="K271">
            <v>0</v>
          </cell>
          <cell r="L271">
            <v>0</v>
          </cell>
          <cell r="M271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3200000</v>
          </cell>
          <cell r="K272">
            <v>0</v>
          </cell>
          <cell r="L272">
            <v>0</v>
          </cell>
          <cell r="M272">
            <v>0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1700000</v>
          </cell>
          <cell r="K273">
            <v>0</v>
          </cell>
          <cell r="L273">
            <v>0</v>
          </cell>
          <cell r="M273">
            <v>0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4000000</v>
          </cell>
          <cell r="K274">
            <v>0</v>
          </cell>
          <cell r="L274">
            <v>0</v>
          </cell>
          <cell r="M274">
            <v>0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680000</v>
          </cell>
          <cell r="K275">
            <v>0</v>
          </cell>
          <cell r="L275">
            <v>0</v>
          </cell>
          <cell r="M275">
            <v>0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1600000</v>
          </cell>
          <cell r="K276">
            <v>0</v>
          </cell>
          <cell r="L276">
            <v>0</v>
          </cell>
          <cell r="M276">
            <v>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600000</v>
          </cell>
          <cell r="K277">
            <v>0</v>
          </cell>
          <cell r="L277">
            <v>0</v>
          </cell>
          <cell r="M277">
            <v>0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1600000</v>
          </cell>
          <cell r="K278">
            <v>0</v>
          </cell>
          <cell r="L278">
            <v>0</v>
          </cell>
          <cell r="M278">
            <v>0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827000</v>
          </cell>
          <cell r="K279">
            <v>0</v>
          </cell>
          <cell r="L279">
            <v>0</v>
          </cell>
          <cell r="M279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110000</v>
          </cell>
          <cell r="K280">
            <v>0</v>
          </cell>
          <cell r="L280">
            <v>0</v>
          </cell>
          <cell r="M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3500000</v>
          </cell>
          <cell r="K281">
            <v>0</v>
          </cell>
          <cell r="L281">
            <v>0</v>
          </cell>
          <cell r="M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345000</v>
          </cell>
          <cell r="K282">
            <v>0</v>
          </cell>
          <cell r="L282">
            <v>0</v>
          </cell>
          <cell r="M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230000</v>
          </cell>
          <cell r="K283">
            <v>0</v>
          </cell>
          <cell r="L283">
            <v>0</v>
          </cell>
          <cell r="M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100000</v>
          </cell>
          <cell r="K284">
            <v>0</v>
          </cell>
          <cell r="L284">
            <v>0</v>
          </cell>
          <cell r="M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4500000</v>
          </cell>
          <cell r="K285">
            <v>0</v>
          </cell>
          <cell r="L285">
            <v>0</v>
          </cell>
          <cell r="M285">
            <v>0</v>
          </cell>
        </row>
        <row r="286">
          <cell r="G286">
            <v>0</v>
          </cell>
          <cell r="H286">
            <v>0</v>
          </cell>
          <cell r="I286">
            <v>0</v>
          </cell>
          <cell r="J286">
            <v>380000</v>
          </cell>
          <cell r="K286">
            <v>0</v>
          </cell>
          <cell r="L286">
            <v>0</v>
          </cell>
          <cell r="M286">
            <v>0</v>
          </cell>
        </row>
        <row r="287">
          <cell r="G287">
            <v>0</v>
          </cell>
          <cell r="H287">
            <v>0</v>
          </cell>
          <cell r="I287">
            <v>0</v>
          </cell>
          <cell r="J287">
            <v>150000</v>
          </cell>
          <cell r="K287">
            <v>0</v>
          </cell>
          <cell r="L287">
            <v>0</v>
          </cell>
          <cell r="M287">
            <v>0</v>
          </cell>
        </row>
        <row r="288">
          <cell r="G288">
            <v>0</v>
          </cell>
          <cell r="H288">
            <v>0</v>
          </cell>
          <cell r="I288">
            <v>0</v>
          </cell>
          <cell r="J288">
            <v>1000000</v>
          </cell>
          <cell r="K288">
            <v>0</v>
          </cell>
          <cell r="L288">
            <v>0</v>
          </cell>
          <cell r="M288">
            <v>0</v>
          </cell>
        </row>
        <row r="289">
          <cell r="G289">
            <v>0</v>
          </cell>
          <cell r="H289">
            <v>0</v>
          </cell>
          <cell r="I289">
            <v>0</v>
          </cell>
          <cell r="J289">
            <v>450000</v>
          </cell>
          <cell r="K289">
            <v>0</v>
          </cell>
          <cell r="L289">
            <v>0</v>
          </cell>
          <cell r="M289">
            <v>0</v>
          </cell>
        </row>
        <row r="290">
          <cell r="G290">
            <v>0</v>
          </cell>
          <cell r="H290">
            <v>0</v>
          </cell>
          <cell r="I290">
            <v>0</v>
          </cell>
          <cell r="J290">
            <v>2400</v>
          </cell>
          <cell r="K290">
            <v>0</v>
          </cell>
          <cell r="L290">
            <v>0</v>
          </cell>
          <cell r="M290">
            <v>0</v>
          </cell>
        </row>
        <row r="291">
          <cell r="G291">
            <v>0</v>
          </cell>
          <cell r="H291">
            <v>0</v>
          </cell>
          <cell r="I291">
            <v>0</v>
          </cell>
          <cell r="J291">
            <v>5000</v>
          </cell>
          <cell r="K291">
            <v>0</v>
          </cell>
          <cell r="L291">
            <v>0</v>
          </cell>
          <cell r="M291">
            <v>0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23000</v>
          </cell>
          <cell r="K292">
            <v>0</v>
          </cell>
          <cell r="L292">
            <v>0</v>
          </cell>
          <cell r="M292">
            <v>0</v>
          </cell>
        </row>
        <row r="293">
          <cell r="G293">
            <v>0</v>
          </cell>
          <cell r="H293">
            <v>0</v>
          </cell>
          <cell r="I293">
            <v>0</v>
          </cell>
          <cell r="J293">
            <v>450</v>
          </cell>
          <cell r="K293">
            <v>0</v>
          </cell>
          <cell r="L293">
            <v>0</v>
          </cell>
          <cell r="M293">
            <v>0</v>
          </cell>
        </row>
        <row r="294">
          <cell r="G294">
            <v>0</v>
          </cell>
          <cell r="H294">
            <v>0</v>
          </cell>
          <cell r="I294">
            <v>0</v>
          </cell>
          <cell r="J294">
            <v>4290</v>
          </cell>
          <cell r="K294">
            <v>0</v>
          </cell>
          <cell r="L294">
            <v>0</v>
          </cell>
          <cell r="M294">
            <v>0</v>
          </cell>
        </row>
        <row r="295">
          <cell r="G295">
            <v>0</v>
          </cell>
          <cell r="H295">
            <v>0</v>
          </cell>
          <cell r="I295">
            <v>0</v>
          </cell>
          <cell r="J295">
            <v>4000</v>
          </cell>
          <cell r="K295">
            <v>0</v>
          </cell>
          <cell r="L295">
            <v>0</v>
          </cell>
          <cell r="M295">
            <v>0</v>
          </cell>
        </row>
        <row r="296">
          <cell r="G296">
            <v>0</v>
          </cell>
          <cell r="H296">
            <v>0</v>
          </cell>
          <cell r="I296">
            <v>0</v>
          </cell>
          <cell r="J296">
            <v>11000</v>
          </cell>
          <cell r="K296">
            <v>0</v>
          </cell>
          <cell r="L296">
            <v>0</v>
          </cell>
          <cell r="M296">
            <v>0</v>
          </cell>
        </row>
        <row r="297">
          <cell r="G297">
            <v>0</v>
          </cell>
          <cell r="H297">
            <v>0</v>
          </cell>
          <cell r="I297">
            <v>0</v>
          </cell>
          <cell r="J297">
            <v>130000</v>
          </cell>
          <cell r="K297">
            <v>0</v>
          </cell>
          <cell r="L297">
            <v>0</v>
          </cell>
          <cell r="M297">
            <v>0</v>
          </cell>
        </row>
        <row r="298">
          <cell r="G298">
            <v>0</v>
          </cell>
          <cell r="H298">
            <v>0</v>
          </cell>
          <cell r="I298">
            <v>0</v>
          </cell>
          <cell r="J298">
            <v>9000</v>
          </cell>
          <cell r="K298">
            <v>0</v>
          </cell>
          <cell r="L298">
            <v>0</v>
          </cell>
          <cell r="M298">
            <v>0</v>
          </cell>
        </row>
        <row r="299">
          <cell r="G299">
            <v>0</v>
          </cell>
          <cell r="H299">
            <v>0</v>
          </cell>
          <cell r="I299">
            <v>0</v>
          </cell>
          <cell r="J299">
            <v>1500</v>
          </cell>
          <cell r="K299">
            <v>0</v>
          </cell>
          <cell r="L299">
            <v>0</v>
          </cell>
          <cell r="M299">
            <v>0</v>
          </cell>
        </row>
        <row r="300">
          <cell r="G300">
            <v>0</v>
          </cell>
          <cell r="H300">
            <v>0</v>
          </cell>
          <cell r="I300">
            <v>0</v>
          </cell>
          <cell r="J300">
            <v>1300</v>
          </cell>
          <cell r="K300">
            <v>0</v>
          </cell>
          <cell r="L300">
            <v>0</v>
          </cell>
          <cell r="M300">
            <v>0</v>
          </cell>
        </row>
        <row r="301">
          <cell r="G301">
            <v>0</v>
          </cell>
          <cell r="H301">
            <v>0</v>
          </cell>
          <cell r="I301">
            <v>0</v>
          </cell>
          <cell r="J301">
            <v>315</v>
          </cell>
          <cell r="K301">
            <v>0</v>
          </cell>
          <cell r="L301">
            <v>0</v>
          </cell>
          <cell r="M301">
            <v>0</v>
          </cell>
        </row>
        <row r="302"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</row>
        <row r="303"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</row>
        <row r="305"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</row>
        <row r="306">
          <cell r="G306">
            <v>0</v>
          </cell>
          <cell r="H306">
            <v>0</v>
          </cell>
          <cell r="I306">
            <v>0</v>
          </cell>
          <cell r="J306">
            <v>35000</v>
          </cell>
          <cell r="K306">
            <v>0</v>
          </cell>
          <cell r="L306">
            <v>0</v>
          </cell>
          <cell r="M306">
            <v>0</v>
          </cell>
        </row>
        <row r="307">
          <cell r="G307">
            <v>0</v>
          </cell>
          <cell r="H307">
            <v>0</v>
          </cell>
          <cell r="I307">
            <v>0</v>
          </cell>
          <cell r="J307">
            <v>80000</v>
          </cell>
          <cell r="K307">
            <v>0</v>
          </cell>
          <cell r="L307">
            <v>0</v>
          </cell>
          <cell r="M307">
            <v>0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850000</v>
          </cell>
          <cell r="K308">
            <v>0</v>
          </cell>
          <cell r="L308">
            <v>0</v>
          </cell>
          <cell r="M308">
            <v>0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16000000</v>
          </cell>
          <cell r="K309">
            <v>0</v>
          </cell>
          <cell r="L309">
            <v>0</v>
          </cell>
          <cell r="M309">
            <v>0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150000</v>
          </cell>
          <cell r="K310">
            <v>0</v>
          </cell>
          <cell r="L310">
            <v>0</v>
          </cell>
          <cell r="M310">
            <v>0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18000</v>
          </cell>
          <cell r="K312">
            <v>0</v>
          </cell>
          <cell r="L312">
            <v>0</v>
          </cell>
          <cell r="M312">
            <v>0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167600</v>
          </cell>
          <cell r="K314">
            <v>0</v>
          </cell>
          <cell r="L314">
            <v>0</v>
          </cell>
          <cell r="M314">
            <v>0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45000</v>
          </cell>
          <cell r="K315">
            <v>0</v>
          </cell>
          <cell r="L315">
            <v>0</v>
          </cell>
          <cell r="M315">
            <v>0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110000</v>
          </cell>
          <cell r="K319">
            <v>0</v>
          </cell>
          <cell r="L319">
            <v>0</v>
          </cell>
          <cell r="M319">
            <v>0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18000</v>
          </cell>
          <cell r="K320">
            <v>0</v>
          </cell>
          <cell r="L320">
            <v>0</v>
          </cell>
          <cell r="M320">
            <v>0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18000</v>
          </cell>
          <cell r="K321">
            <v>0</v>
          </cell>
          <cell r="L321">
            <v>0</v>
          </cell>
          <cell r="M321">
            <v>0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18000</v>
          </cell>
          <cell r="K322">
            <v>0</v>
          </cell>
          <cell r="L322">
            <v>0</v>
          </cell>
          <cell r="M322">
            <v>0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53000</v>
          </cell>
          <cell r="K323">
            <v>0</v>
          </cell>
          <cell r="L323">
            <v>0</v>
          </cell>
          <cell r="M323">
            <v>0</v>
          </cell>
        </row>
        <row r="324">
          <cell r="G324">
            <v>0</v>
          </cell>
          <cell r="H324">
            <v>76964</v>
          </cell>
          <cell r="I324">
            <v>0</v>
          </cell>
          <cell r="J324">
            <v>74371</v>
          </cell>
          <cell r="K324">
            <v>0</v>
          </cell>
          <cell r="L324">
            <v>3926</v>
          </cell>
          <cell r="M324">
            <v>0</v>
          </cell>
        </row>
        <row r="325">
          <cell r="G325">
            <v>0</v>
          </cell>
          <cell r="H325">
            <v>82430</v>
          </cell>
          <cell r="I325">
            <v>0</v>
          </cell>
          <cell r="J325">
            <v>83276</v>
          </cell>
          <cell r="K325">
            <v>0</v>
          </cell>
          <cell r="L325">
            <v>4221</v>
          </cell>
          <cell r="M325">
            <v>0</v>
          </cell>
        </row>
        <row r="326">
          <cell r="G326">
            <v>0</v>
          </cell>
          <cell r="H326">
            <v>134667</v>
          </cell>
          <cell r="I326">
            <v>0</v>
          </cell>
          <cell r="J326">
            <v>37226</v>
          </cell>
          <cell r="K326">
            <v>0</v>
          </cell>
          <cell r="L326">
            <v>4221</v>
          </cell>
          <cell r="M326">
            <v>0</v>
          </cell>
        </row>
        <row r="327">
          <cell r="G327">
            <v>0</v>
          </cell>
          <cell r="H327">
            <v>64360</v>
          </cell>
          <cell r="I327">
            <v>0</v>
          </cell>
          <cell r="J327">
            <v>27678</v>
          </cell>
          <cell r="K327">
            <v>0</v>
          </cell>
          <cell r="L327">
            <v>3926</v>
          </cell>
          <cell r="M327">
            <v>0</v>
          </cell>
        </row>
        <row r="328">
          <cell r="G328">
            <v>0</v>
          </cell>
          <cell r="H328">
            <v>47360</v>
          </cell>
          <cell r="I328">
            <v>0</v>
          </cell>
          <cell r="J328">
            <v>18428</v>
          </cell>
          <cell r="K328">
            <v>0</v>
          </cell>
          <cell r="L328">
            <v>3926</v>
          </cell>
          <cell r="M328">
            <v>0</v>
          </cell>
        </row>
        <row r="329">
          <cell r="G329">
            <v>0</v>
          </cell>
          <cell r="H329">
            <v>82430</v>
          </cell>
          <cell r="I329">
            <v>0</v>
          </cell>
          <cell r="J329">
            <v>23276</v>
          </cell>
          <cell r="K329">
            <v>0</v>
          </cell>
          <cell r="L329">
            <v>4221</v>
          </cell>
          <cell r="M329">
            <v>0</v>
          </cell>
        </row>
        <row r="330">
          <cell r="G330">
            <v>0</v>
          </cell>
          <cell r="H330">
            <v>77698</v>
          </cell>
          <cell r="I330">
            <v>0</v>
          </cell>
          <cell r="J330">
            <v>20426</v>
          </cell>
          <cell r="K330">
            <v>0</v>
          </cell>
          <cell r="L330">
            <v>4221</v>
          </cell>
          <cell r="M330">
            <v>0</v>
          </cell>
        </row>
        <row r="331">
          <cell r="G331">
            <v>0</v>
          </cell>
          <cell r="H331">
            <v>33414</v>
          </cell>
          <cell r="I331">
            <v>0</v>
          </cell>
          <cell r="J331">
            <v>2126</v>
          </cell>
          <cell r="K331">
            <v>0</v>
          </cell>
          <cell r="L331">
            <v>4221</v>
          </cell>
          <cell r="M331">
            <v>0</v>
          </cell>
        </row>
        <row r="332">
          <cell r="G332">
            <v>0</v>
          </cell>
          <cell r="H332">
            <v>57561</v>
          </cell>
          <cell r="I332">
            <v>0</v>
          </cell>
          <cell r="J332">
            <v>2126</v>
          </cell>
          <cell r="K332">
            <v>0</v>
          </cell>
          <cell r="L332">
            <v>4221</v>
          </cell>
          <cell r="M332">
            <v>0</v>
          </cell>
        </row>
        <row r="333">
          <cell r="G333">
            <v>0</v>
          </cell>
          <cell r="H333">
            <v>24955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237891</v>
          </cell>
          <cell r="K334">
            <v>0</v>
          </cell>
          <cell r="L334">
            <v>0</v>
          </cell>
          <cell r="M334">
            <v>0</v>
          </cell>
        </row>
        <row r="335">
          <cell r="G335">
            <v>0</v>
          </cell>
          <cell r="H335">
            <v>0</v>
          </cell>
          <cell r="I335">
            <v>0</v>
          </cell>
          <cell r="J335">
            <v>1500000</v>
          </cell>
          <cell r="K335">
            <v>0</v>
          </cell>
          <cell r="L335">
            <v>0</v>
          </cell>
          <cell r="M335">
            <v>0</v>
          </cell>
        </row>
        <row r="336">
          <cell r="G336">
            <v>0</v>
          </cell>
          <cell r="H336">
            <v>0</v>
          </cell>
          <cell r="I336">
            <v>0</v>
          </cell>
          <cell r="J336">
            <v>2500000</v>
          </cell>
          <cell r="K336">
            <v>0</v>
          </cell>
          <cell r="L336">
            <v>0</v>
          </cell>
          <cell r="M336">
            <v>0</v>
          </cell>
        </row>
        <row r="337">
          <cell r="G337">
            <v>15795000</v>
          </cell>
          <cell r="H337">
            <v>0</v>
          </cell>
          <cell r="I337">
            <v>0</v>
          </cell>
          <cell r="J337">
            <v>1755000</v>
          </cell>
          <cell r="K337">
            <v>15795000</v>
          </cell>
          <cell r="L337">
            <v>0</v>
          </cell>
          <cell r="M337">
            <v>0</v>
          </cell>
        </row>
        <row r="338">
          <cell r="G338">
            <v>26400000</v>
          </cell>
          <cell r="H338">
            <v>0</v>
          </cell>
          <cell r="I338">
            <v>0</v>
          </cell>
          <cell r="J338">
            <v>2200000</v>
          </cell>
          <cell r="K338">
            <v>26400000</v>
          </cell>
          <cell r="L338">
            <v>0</v>
          </cell>
          <cell r="M338">
            <v>0</v>
          </cell>
        </row>
        <row r="339">
          <cell r="G339">
            <v>0</v>
          </cell>
          <cell r="H339">
            <v>0</v>
          </cell>
          <cell r="I339">
            <v>0</v>
          </cell>
          <cell r="J339">
            <v>1650000</v>
          </cell>
          <cell r="K339">
            <v>0</v>
          </cell>
          <cell r="L339">
            <v>0</v>
          </cell>
          <cell r="M339">
            <v>0</v>
          </cell>
        </row>
        <row r="340">
          <cell r="G340">
            <v>0</v>
          </cell>
          <cell r="H340">
            <v>0</v>
          </cell>
          <cell r="I340">
            <v>0</v>
          </cell>
          <cell r="J340">
            <v>48373</v>
          </cell>
          <cell r="K340">
            <v>0</v>
          </cell>
          <cell r="L340">
            <v>0</v>
          </cell>
          <cell r="M340">
            <v>0</v>
          </cell>
        </row>
        <row r="341">
          <cell r="G341">
            <v>630000</v>
          </cell>
          <cell r="H341">
            <v>0</v>
          </cell>
          <cell r="I341">
            <v>0</v>
          </cell>
          <cell r="J341">
            <v>35000</v>
          </cell>
          <cell r="K341">
            <v>630000</v>
          </cell>
          <cell r="L341">
            <v>0</v>
          </cell>
          <cell r="M341">
            <v>0</v>
          </cell>
        </row>
        <row r="342">
          <cell r="G342">
            <v>0</v>
          </cell>
          <cell r="H342">
            <v>12477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</row>
        <row r="343">
          <cell r="G343">
            <v>11200000</v>
          </cell>
          <cell r="H343">
            <v>0</v>
          </cell>
          <cell r="I343">
            <v>0</v>
          </cell>
          <cell r="J343">
            <v>200000</v>
          </cell>
          <cell r="K343">
            <v>11200000</v>
          </cell>
          <cell r="L343">
            <v>0</v>
          </cell>
          <cell r="M343">
            <v>0</v>
          </cell>
        </row>
        <row r="344">
          <cell r="G344">
            <v>0</v>
          </cell>
          <cell r="H344">
            <v>0</v>
          </cell>
          <cell r="I344">
            <v>0</v>
          </cell>
          <cell r="J344">
            <v>170000</v>
          </cell>
          <cell r="K344">
            <v>0</v>
          </cell>
          <cell r="L344">
            <v>0</v>
          </cell>
          <cell r="M344">
            <v>0</v>
          </cell>
        </row>
        <row r="345">
          <cell r="G345">
            <v>0</v>
          </cell>
          <cell r="H345">
            <v>0</v>
          </cell>
          <cell r="I345">
            <v>0</v>
          </cell>
          <cell r="J345">
            <v>210000</v>
          </cell>
          <cell r="K345">
            <v>0</v>
          </cell>
          <cell r="L345">
            <v>0</v>
          </cell>
          <cell r="M345">
            <v>0</v>
          </cell>
        </row>
        <row r="346">
          <cell r="G346">
            <v>0</v>
          </cell>
          <cell r="H346">
            <v>0</v>
          </cell>
          <cell r="I346">
            <v>0</v>
          </cell>
          <cell r="J346">
            <v>250000</v>
          </cell>
          <cell r="K346">
            <v>0</v>
          </cell>
          <cell r="L346">
            <v>0</v>
          </cell>
          <cell r="M346">
            <v>0</v>
          </cell>
        </row>
        <row r="347">
          <cell r="G347">
            <v>261990</v>
          </cell>
          <cell r="H347">
            <v>0</v>
          </cell>
          <cell r="I347">
            <v>0</v>
          </cell>
          <cell r="J347">
            <v>14555</v>
          </cell>
          <cell r="K347">
            <v>261990</v>
          </cell>
          <cell r="L347">
            <v>0</v>
          </cell>
          <cell r="M347">
            <v>0</v>
          </cell>
        </row>
        <row r="348">
          <cell r="G348">
            <v>355590</v>
          </cell>
          <cell r="H348">
            <v>0</v>
          </cell>
          <cell r="I348">
            <v>0</v>
          </cell>
          <cell r="J348">
            <v>19755</v>
          </cell>
          <cell r="K348">
            <v>355590</v>
          </cell>
          <cell r="L348">
            <v>0</v>
          </cell>
          <cell r="M348">
            <v>0</v>
          </cell>
        </row>
        <row r="349">
          <cell r="G349">
            <v>1440768</v>
          </cell>
          <cell r="H349">
            <v>0</v>
          </cell>
          <cell r="I349">
            <v>0</v>
          </cell>
          <cell r="J349">
            <v>12864</v>
          </cell>
          <cell r="K349">
            <v>1440768</v>
          </cell>
          <cell r="L349">
            <v>0</v>
          </cell>
          <cell r="M349">
            <v>0</v>
          </cell>
        </row>
        <row r="350">
          <cell r="G350">
            <v>1871408</v>
          </cell>
          <cell r="H350">
            <v>0</v>
          </cell>
          <cell r="I350">
            <v>0</v>
          </cell>
          <cell r="J350">
            <v>16709</v>
          </cell>
          <cell r="K350">
            <v>1871408</v>
          </cell>
          <cell r="L350">
            <v>0</v>
          </cell>
          <cell r="M350">
            <v>0</v>
          </cell>
        </row>
        <row r="351">
          <cell r="G351">
            <v>0</v>
          </cell>
          <cell r="H351">
            <v>0</v>
          </cell>
          <cell r="I351">
            <v>0</v>
          </cell>
          <cell r="J351">
            <v>12500000</v>
          </cell>
          <cell r="K351">
            <v>0</v>
          </cell>
          <cell r="L351">
            <v>0</v>
          </cell>
          <cell r="M351">
            <v>0</v>
          </cell>
        </row>
        <row r="352">
          <cell r="G352">
            <v>0</v>
          </cell>
          <cell r="H352">
            <v>0</v>
          </cell>
          <cell r="I352">
            <v>0</v>
          </cell>
          <cell r="J352">
            <v>3500000</v>
          </cell>
          <cell r="K352">
            <v>0</v>
          </cell>
          <cell r="L352">
            <v>0</v>
          </cell>
          <cell r="M352">
            <v>0</v>
          </cell>
        </row>
        <row r="353">
          <cell r="G353">
            <v>0</v>
          </cell>
          <cell r="H353">
            <v>0</v>
          </cell>
          <cell r="I353">
            <v>0</v>
          </cell>
          <cell r="J353">
            <v>470000</v>
          </cell>
          <cell r="K353">
            <v>0</v>
          </cell>
          <cell r="L353">
            <v>0</v>
          </cell>
          <cell r="M353">
            <v>0</v>
          </cell>
        </row>
        <row r="354">
          <cell r="G354">
            <v>0</v>
          </cell>
          <cell r="H354">
            <v>0</v>
          </cell>
          <cell r="I354">
            <v>0</v>
          </cell>
          <cell r="J354">
            <v>3500000</v>
          </cell>
          <cell r="K354">
            <v>0</v>
          </cell>
          <cell r="L354">
            <v>0</v>
          </cell>
          <cell r="M354">
            <v>0</v>
          </cell>
        </row>
        <row r="355">
          <cell r="G355">
            <v>0</v>
          </cell>
          <cell r="H355">
            <v>0</v>
          </cell>
          <cell r="I355">
            <v>0</v>
          </cell>
          <cell r="J355">
            <v>900000</v>
          </cell>
          <cell r="K355">
            <v>0</v>
          </cell>
          <cell r="L355">
            <v>0</v>
          </cell>
          <cell r="M355">
            <v>0</v>
          </cell>
        </row>
        <row r="356">
          <cell r="G356">
            <v>0</v>
          </cell>
          <cell r="H356">
            <v>116611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</row>
        <row r="357">
          <cell r="G357">
            <v>0</v>
          </cell>
          <cell r="H357">
            <v>0</v>
          </cell>
          <cell r="I357">
            <v>0</v>
          </cell>
          <cell r="J357">
            <v>60000</v>
          </cell>
          <cell r="K357">
            <v>0</v>
          </cell>
          <cell r="L357">
            <v>0</v>
          </cell>
          <cell r="M357">
            <v>0</v>
          </cell>
        </row>
        <row r="358">
          <cell r="G358">
            <v>0</v>
          </cell>
          <cell r="H358">
            <v>0</v>
          </cell>
          <cell r="I358">
            <v>0</v>
          </cell>
          <cell r="J358">
            <v>15900</v>
          </cell>
          <cell r="K358">
            <v>0</v>
          </cell>
          <cell r="L358">
            <v>0</v>
          </cell>
          <cell r="M358">
            <v>0</v>
          </cell>
        </row>
        <row r="359">
          <cell r="G359">
            <v>0</v>
          </cell>
          <cell r="H359">
            <v>0</v>
          </cell>
          <cell r="I359">
            <v>0</v>
          </cell>
          <cell r="J359">
            <v>130000</v>
          </cell>
          <cell r="K359">
            <v>0</v>
          </cell>
          <cell r="L359">
            <v>0</v>
          </cell>
          <cell r="M359">
            <v>0</v>
          </cell>
        </row>
        <row r="360"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65065</v>
          </cell>
          <cell r="M360">
            <v>0</v>
          </cell>
        </row>
        <row r="361">
          <cell r="G361">
            <v>0</v>
          </cell>
          <cell r="H361">
            <v>0</v>
          </cell>
          <cell r="I361">
            <v>0</v>
          </cell>
          <cell r="J361">
            <v>894000</v>
          </cell>
          <cell r="K361">
            <v>0</v>
          </cell>
          <cell r="L361">
            <v>0</v>
          </cell>
          <cell r="M361">
            <v>0</v>
          </cell>
        </row>
        <row r="362">
          <cell r="G362">
            <v>0</v>
          </cell>
          <cell r="H362">
            <v>0</v>
          </cell>
          <cell r="I362">
            <v>0</v>
          </cell>
          <cell r="J362">
            <v>920000</v>
          </cell>
          <cell r="K362">
            <v>0</v>
          </cell>
          <cell r="L362">
            <v>0</v>
          </cell>
          <cell r="M362">
            <v>0</v>
          </cell>
        </row>
        <row r="363">
          <cell r="G363">
            <v>0</v>
          </cell>
          <cell r="H363">
            <v>0</v>
          </cell>
          <cell r="I363">
            <v>0</v>
          </cell>
          <cell r="J363">
            <v>31690000</v>
          </cell>
          <cell r="K363">
            <v>0</v>
          </cell>
          <cell r="L363">
            <v>0</v>
          </cell>
          <cell r="M363">
            <v>0</v>
          </cell>
        </row>
        <row r="364">
          <cell r="G364">
            <v>0</v>
          </cell>
          <cell r="H364">
            <v>0</v>
          </cell>
          <cell r="I364">
            <v>0</v>
          </cell>
          <cell r="J364">
            <v>10430000</v>
          </cell>
          <cell r="K364">
            <v>0</v>
          </cell>
          <cell r="L364">
            <v>0</v>
          </cell>
          <cell r="M364">
            <v>0</v>
          </cell>
        </row>
        <row r="365">
          <cell r="G365">
            <v>0</v>
          </cell>
          <cell r="H365">
            <v>0</v>
          </cell>
          <cell r="I365">
            <v>0</v>
          </cell>
          <cell r="J365">
            <v>6633997</v>
          </cell>
          <cell r="K365">
            <v>0</v>
          </cell>
          <cell r="L365">
            <v>0</v>
          </cell>
          <cell r="M365">
            <v>0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7453545</v>
          </cell>
          <cell r="K366">
            <v>0</v>
          </cell>
          <cell r="L366">
            <v>0</v>
          </cell>
          <cell r="M366">
            <v>0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17690000</v>
          </cell>
          <cell r="K367">
            <v>0</v>
          </cell>
          <cell r="L367">
            <v>0</v>
          </cell>
          <cell r="M367">
            <v>0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18170000</v>
          </cell>
          <cell r="K368">
            <v>0</v>
          </cell>
          <cell r="L368">
            <v>0</v>
          </cell>
          <cell r="M368">
            <v>0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28840000</v>
          </cell>
          <cell r="K369">
            <v>0</v>
          </cell>
          <cell r="L369">
            <v>0</v>
          </cell>
          <cell r="M369">
            <v>0</v>
          </cell>
        </row>
        <row r="370">
          <cell r="G370">
            <v>0</v>
          </cell>
          <cell r="H370">
            <v>0</v>
          </cell>
          <cell r="I370">
            <v>0</v>
          </cell>
          <cell r="J370">
            <v>28840000</v>
          </cell>
          <cell r="K370">
            <v>0</v>
          </cell>
          <cell r="L370">
            <v>0</v>
          </cell>
          <cell r="M370">
            <v>0</v>
          </cell>
        </row>
        <row r="371">
          <cell r="G371">
            <v>0</v>
          </cell>
          <cell r="H371">
            <v>0</v>
          </cell>
          <cell r="I371">
            <v>0</v>
          </cell>
          <cell r="J371">
            <v>20250000</v>
          </cell>
          <cell r="K371">
            <v>0</v>
          </cell>
          <cell r="L371">
            <v>0</v>
          </cell>
          <cell r="M371">
            <v>0</v>
          </cell>
        </row>
        <row r="372">
          <cell r="G372">
            <v>0</v>
          </cell>
          <cell r="H372">
            <v>0</v>
          </cell>
          <cell r="I372">
            <v>0</v>
          </cell>
          <cell r="J372">
            <v>7978883</v>
          </cell>
          <cell r="K372">
            <v>0</v>
          </cell>
          <cell r="L372">
            <v>0</v>
          </cell>
          <cell r="M372">
            <v>0</v>
          </cell>
        </row>
        <row r="373">
          <cell r="G373">
            <v>0</v>
          </cell>
          <cell r="H373">
            <v>0</v>
          </cell>
          <cell r="I373">
            <v>0</v>
          </cell>
          <cell r="J373">
            <v>10110000</v>
          </cell>
          <cell r="K373">
            <v>0</v>
          </cell>
          <cell r="L373">
            <v>0</v>
          </cell>
          <cell r="M373">
            <v>0</v>
          </cell>
        </row>
        <row r="374">
          <cell r="G374">
            <v>0</v>
          </cell>
          <cell r="H374">
            <v>0</v>
          </cell>
          <cell r="I374">
            <v>0</v>
          </cell>
          <cell r="J374">
            <v>9180000</v>
          </cell>
          <cell r="K374">
            <v>0</v>
          </cell>
          <cell r="L374">
            <v>0</v>
          </cell>
          <cell r="M374">
            <v>0</v>
          </cell>
        </row>
        <row r="375">
          <cell r="G375">
            <v>0</v>
          </cell>
          <cell r="H375">
            <v>0</v>
          </cell>
          <cell r="I375">
            <v>0</v>
          </cell>
          <cell r="J375">
            <v>11830000</v>
          </cell>
          <cell r="K375">
            <v>0</v>
          </cell>
          <cell r="L375">
            <v>0</v>
          </cell>
          <cell r="M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11800000</v>
          </cell>
          <cell r="K376">
            <v>0</v>
          </cell>
          <cell r="L376">
            <v>0</v>
          </cell>
          <cell r="M376">
            <v>0</v>
          </cell>
        </row>
        <row r="377">
          <cell r="G377">
            <v>0</v>
          </cell>
          <cell r="H377">
            <v>0</v>
          </cell>
          <cell r="I377">
            <v>0</v>
          </cell>
          <cell r="J377">
            <v>6780000</v>
          </cell>
          <cell r="K377">
            <v>0</v>
          </cell>
          <cell r="L377">
            <v>0</v>
          </cell>
          <cell r="M377">
            <v>0</v>
          </cell>
        </row>
        <row r="378">
          <cell r="G378">
            <v>0</v>
          </cell>
          <cell r="H378">
            <v>0</v>
          </cell>
          <cell r="I378">
            <v>0</v>
          </cell>
          <cell r="J378">
            <v>7355928</v>
          </cell>
          <cell r="K378">
            <v>0</v>
          </cell>
          <cell r="L378">
            <v>0</v>
          </cell>
          <cell r="M378">
            <v>0</v>
          </cell>
        </row>
        <row r="379">
          <cell r="G379">
            <v>0</v>
          </cell>
          <cell r="H379">
            <v>0</v>
          </cell>
          <cell r="I379">
            <v>0</v>
          </cell>
          <cell r="J379">
            <v>7173944</v>
          </cell>
          <cell r="K379">
            <v>0</v>
          </cell>
          <cell r="L379">
            <v>0</v>
          </cell>
          <cell r="M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1635622</v>
          </cell>
          <cell r="K380">
            <v>0</v>
          </cell>
          <cell r="L380">
            <v>0</v>
          </cell>
          <cell r="M380">
            <v>0</v>
          </cell>
        </row>
        <row r="381">
          <cell r="G381">
            <v>0</v>
          </cell>
          <cell r="H381">
            <v>0</v>
          </cell>
          <cell r="I381">
            <v>0</v>
          </cell>
          <cell r="J381">
            <v>322000</v>
          </cell>
          <cell r="K381">
            <v>0</v>
          </cell>
          <cell r="L381">
            <v>0</v>
          </cell>
          <cell r="M381">
            <v>0</v>
          </cell>
        </row>
        <row r="382">
          <cell r="G382">
            <v>0</v>
          </cell>
          <cell r="H382">
            <v>0</v>
          </cell>
          <cell r="I382">
            <v>0</v>
          </cell>
          <cell r="J382">
            <v>3152000</v>
          </cell>
          <cell r="K382">
            <v>0</v>
          </cell>
          <cell r="L382">
            <v>0</v>
          </cell>
          <cell r="M382">
            <v>0</v>
          </cell>
        </row>
        <row r="383">
          <cell r="G383">
            <v>0</v>
          </cell>
          <cell r="H383">
            <v>0</v>
          </cell>
          <cell r="I383">
            <v>0</v>
          </cell>
          <cell r="J383">
            <v>382000</v>
          </cell>
          <cell r="K383">
            <v>0</v>
          </cell>
          <cell r="L383">
            <v>0</v>
          </cell>
          <cell r="M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651000</v>
          </cell>
          <cell r="K384">
            <v>0</v>
          </cell>
          <cell r="L384">
            <v>0</v>
          </cell>
          <cell r="M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1560000</v>
          </cell>
          <cell r="K385">
            <v>0</v>
          </cell>
          <cell r="L385">
            <v>0</v>
          </cell>
          <cell r="M385">
            <v>0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358000</v>
          </cell>
          <cell r="K386">
            <v>0</v>
          </cell>
          <cell r="L386">
            <v>0</v>
          </cell>
          <cell r="M386">
            <v>0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1060000</v>
          </cell>
          <cell r="K387">
            <v>0</v>
          </cell>
          <cell r="L387">
            <v>0</v>
          </cell>
          <cell r="M387">
            <v>0</v>
          </cell>
        </row>
        <row r="388">
          <cell r="G388">
            <v>0</v>
          </cell>
          <cell r="H388">
            <v>0</v>
          </cell>
          <cell r="I388">
            <v>0</v>
          </cell>
          <cell r="J388">
            <v>1002000</v>
          </cell>
          <cell r="K388">
            <v>0</v>
          </cell>
          <cell r="L388">
            <v>0</v>
          </cell>
          <cell r="M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693000</v>
          </cell>
          <cell r="K389">
            <v>0</v>
          </cell>
          <cell r="L389">
            <v>0</v>
          </cell>
          <cell r="M389">
            <v>0</v>
          </cell>
        </row>
        <row r="390">
          <cell r="G390">
            <v>0</v>
          </cell>
          <cell r="H390">
            <v>0</v>
          </cell>
          <cell r="I390">
            <v>0</v>
          </cell>
          <cell r="J390">
            <v>120000</v>
          </cell>
          <cell r="K390">
            <v>0</v>
          </cell>
          <cell r="L390">
            <v>0</v>
          </cell>
          <cell r="M390">
            <v>0</v>
          </cell>
        </row>
        <row r="391">
          <cell r="G391">
            <v>0</v>
          </cell>
          <cell r="H391">
            <v>0</v>
          </cell>
          <cell r="I391">
            <v>0</v>
          </cell>
          <cell r="J391">
            <v>3500000</v>
          </cell>
          <cell r="K391">
            <v>0</v>
          </cell>
          <cell r="L391">
            <v>0</v>
          </cell>
          <cell r="M391">
            <v>0</v>
          </cell>
        </row>
        <row r="392">
          <cell r="G392">
            <v>0</v>
          </cell>
          <cell r="H392">
            <v>0</v>
          </cell>
          <cell r="I392">
            <v>0</v>
          </cell>
          <cell r="J392">
            <v>274000</v>
          </cell>
          <cell r="K392">
            <v>0</v>
          </cell>
          <cell r="L392">
            <v>0</v>
          </cell>
          <cell r="M392">
            <v>0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85000</v>
          </cell>
          <cell r="K393">
            <v>0</v>
          </cell>
          <cell r="L393">
            <v>0</v>
          </cell>
          <cell r="M393">
            <v>0</v>
          </cell>
        </row>
        <row r="394">
          <cell r="G394">
            <v>0</v>
          </cell>
          <cell r="H394">
            <v>0</v>
          </cell>
          <cell r="I394">
            <v>0</v>
          </cell>
          <cell r="J394">
            <v>1350000</v>
          </cell>
          <cell r="K394">
            <v>0</v>
          </cell>
          <cell r="L394">
            <v>0</v>
          </cell>
          <cell r="M394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399000</v>
          </cell>
          <cell r="K395">
            <v>0</v>
          </cell>
          <cell r="L395">
            <v>0</v>
          </cell>
          <cell r="M395">
            <v>0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1029000</v>
          </cell>
          <cell r="K396">
            <v>0</v>
          </cell>
          <cell r="L396">
            <v>0</v>
          </cell>
          <cell r="M396">
            <v>0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1407000</v>
          </cell>
          <cell r="K397">
            <v>0</v>
          </cell>
          <cell r="L397">
            <v>0</v>
          </cell>
          <cell r="M397">
            <v>0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11000000</v>
          </cell>
          <cell r="K398">
            <v>0</v>
          </cell>
          <cell r="L398">
            <v>0</v>
          </cell>
          <cell r="M398">
            <v>0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13100000</v>
          </cell>
          <cell r="K399">
            <v>0</v>
          </cell>
          <cell r="L399">
            <v>0</v>
          </cell>
          <cell r="M399">
            <v>0</v>
          </cell>
        </row>
        <row r="400">
          <cell r="G400">
            <v>0</v>
          </cell>
          <cell r="H400">
            <v>0</v>
          </cell>
          <cell r="I400">
            <v>0</v>
          </cell>
          <cell r="J400">
            <v>2500000</v>
          </cell>
          <cell r="K400">
            <v>0</v>
          </cell>
          <cell r="L400">
            <v>0</v>
          </cell>
          <cell r="M400">
            <v>0</v>
          </cell>
        </row>
        <row r="401">
          <cell r="G401">
            <v>0</v>
          </cell>
          <cell r="H401">
            <v>0</v>
          </cell>
          <cell r="I401">
            <v>0</v>
          </cell>
          <cell r="J401">
            <v>11863000</v>
          </cell>
          <cell r="K401">
            <v>0</v>
          </cell>
          <cell r="L401">
            <v>0</v>
          </cell>
          <cell r="M401">
            <v>0</v>
          </cell>
        </row>
        <row r="402">
          <cell r="G402">
            <v>0</v>
          </cell>
          <cell r="H402">
            <v>222840</v>
          </cell>
          <cell r="I402">
            <v>0</v>
          </cell>
          <cell r="J402">
            <v>53982</v>
          </cell>
          <cell r="K402">
            <v>0</v>
          </cell>
          <cell r="L402">
            <v>166</v>
          </cell>
          <cell r="M402">
            <v>0</v>
          </cell>
        </row>
        <row r="403">
          <cell r="G403">
            <v>0</v>
          </cell>
          <cell r="H403">
            <v>3467006</v>
          </cell>
          <cell r="I403">
            <v>0</v>
          </cell>
          <cell r="J403">
            <v>2959507</v>
          </cell>
          <cell r="K403">
            <v>0</v>
          </cell>
          <cell r="L403">
            <v>12569</v>
          </cell>
          <cell r="M403">
            <v>0</v>
          </cell>
        </row>
        <row r="404">
          <cell r="G404">
            <v>0</v>
          </cell>
          <cell r="H404">
            <v>138725</v>
          </cell>
          <cell r="I404">
            <v>0</v>
          </cell>
          <cell r="J404">
            <v>37894</v>
          </cell>
          <cell r="K404">
            <v>0</v>
          </cell>
          <cell r="L404">
            <v>623</v>
          </cell>
          <cell r="M404">
            <v>0</v>
          </cell>
        </row>
        <row r="405">
          <cell r="G405">
            <v>0</v>
          </cell>
          <cell r="H405">
            <v>1238</v>
          </cell>
          <cell r="I405">
            <v>0</v>
          </cell>
          <cell r="J405">
            <v>488</v>
          </cell>
          <cell r="K405">
            <v>0</v>
          </cell>
          <cell r="L405">
            <v>156</v>
          </cell>
          <cell r="M405">
            <v>0</v>
          </cell>
        </row>
        <row r="406">
          <cell r="G406">
            <v>0</v>
          </cell>
          <cell r="H406">
            <v>2870</v>
          </cell>
          <cell r="I406">
            <v>0</v>
          </cell>
          <cell r="J406">
            <v>344</v>
          </cell>
          <cell r="K406">
            <v>0</v>
          </cell>
          <cell r="L406">
            <v>364</v>
          </cell>
          <cell r="M406">
            <v>0</v>
          </cell>
        </row>
        <row r="407">
          <cell r="G407">
            <v>0</v>
          </cell>
          <cell r="H407">
            <v>500644</v>
          </cell>
          <cell r="I407">
            <v>0</v>
          </cell>
          <cell r="J407">
            <v>213145</v>
          </cell>
          <cell r="K407">
            <v>0</v>
          </cell>
          <cell r="L407">
            <v>1990</v>
          </cell>
          <cell r="M407">
            <v>0</v>
          </cell>
        </row>
        <row r="408">
          <cell r="G408">
            <v>0</v>
          </cell>
          <cell r="H408">
            <v>1015942</v>
          </cell>
          <cell r="I408">
            <v>0</v>
          </cell>
          <cell r="J408">
            <v>781263</v>
          </cell>
          <cell r="K408">
            <v>0</v>
          </cell>
          <cell r="L408">
            <v>3585</v>
          </cell>
          <cell r="M408">
            <v>0</v>
          </cell>
        </row>
        <row r="409">
          <cell r="G409">
            <v>0</v>
          </cell>
          <cell r="H409">
            <v>65612</v>
          </cell>
          <cell r="I409">
            <v>0</v>
          </cell>
          <cell r="J409">
            <v>47394</v>
          </cell>
          <cell r="K409">
            <v>0</v>
          </cell>
          <cell r="L409">
            <v>254</v>
          </cell>
          <cell r="M409">
            <v>0</v>
          </cell>
        </row>
        <row r="410">
          <cell r="G410">
            <v>0</v>
          </cell>
          <cell r="H410">
            <v>92762</v>
          </cell>
          <cell r="I410">
            <v>0</v>
          </cell>
          <cell r="J410">
            <v>51522</v>
          </cell>
          <cell r="K410">
            <v>0</v>
          </cell>
          <cell r="L410">
            <v>360</v>
          </cell>
          <cell r="M410">
            <v>0</v>
          </cell>
        </row>
        <row r="411">
          <cell r="G411">
            <v>0</v>
          </cell>
          <cell r="H411">
            <v>79987</v>
          </cell>
          <cell r="I411">
            <v>0</v>
          </cell>
          <cell r="J411">
            <v>76970</v>
          </cell>
          <cell r="K411">
            <v>0</v>
          </cell>
          <cell r="L411">
            <v>0</v>
          </cell>
          <cell r="M411">
            <v>0</v>
          </cell>
        </row>
        <row r="412"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</row>
        <row r="413"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</row>
        <row r="414"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</row>
        <row r="415"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</row>
        <row r="416"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</row>
        <row r="417"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</row>
        <row r="427">
          <cell r="G427">
            <v>0</v>
          </cell>
          <cell r="H427">
            <v>47911</v>
          </cell>
          <cell r="I427">
            <v>0</v>
          </cell>
        </row>
        <row r="428">
          <cell r="G428">
            <v>0</v>
          </cell>
          <cell r="H428">
            <v>59146</v>
          </cell>
          <cell r="I428">
            <v>0</v>
          </cell>
        </row>
        <row r="429">
          <cell r="G429">
            <v>0</v>
          </cell>
          <cell r="H429">
            <v>66547</v>
          </cell>
          <cell r="I429">
            <v>0</v>
          </cell>
        </row>
        <row r="430">
          <cell r="G430">
            <v>0</v>
          </cell>
          <cell r="H430">
            <v>97565</v>
          </cell>
          <cell r="I430">
            <v>0</v>
          </cell>
        </row>
        <row r="431">
          <cell r="G431">
            <v>0</v>
          </cell>
          <cell r="H431">
            <v>52369</v>
          </cell>
          <cell r="I431">
            <v>0</v>
          </cell>
        </row>
        <row r="432">
          <cell r="G432">
            <v>0</v>
          </cell>
          <cell r="H432">
            <v>176615</v>
          </cell>
          <cell r="I432">
            <v>0</v>
          </cell>
        </row>
        <row r="433">
          <cell r="G433">
            <v>0</v>
          </cell>
          <cell r="H433">
            <v>50009</v>
          </cell>
          <cell r="I433">
            <v>0</v>
          </cell>
        </row>
        <row r="434">
          <cell r="G434">
            <v>0</v>
          </cell>
          <cell r="H434">
            <v>48674</v>
          </cell>
          <cell r="I434">
            <v>0</v>
          </cell>
        </row>
        <row r="435">
          <cell r="G435">
            <v>0</v>
          </cell>
          <cell r="H435">
            <v>73980</v>
          </cell>
          <cell r="I435">
            <v>0</v>
          </cell>
        </row>
        <row r="436">
          <cell r="G436">
            <v>0</v>
          </cell>
          <cell r="H436">
            <v>60168</v>
          </cell>
          <cell r="I436">
            <v>0</v>
          </cell>
        </row>
        <row r="437">
          <cell r="G437">
            <v>0</v>
          </cell>
          <cell r="H437">
            <v>75788</v>
          </cell>
          <cell r="I437">
            <v>0</v>
          </cell>
        </row>
        <row r="438">
          <cell r="G438">
            <v>0</v>
          </cell>
          <cell r="H438">
            <v>91475</v>
          </cell>
          <cell r="I438">
            <v>0</v>
          </cell>
        </row>
        <row r="439">
          <cell r="G439">
            <v>0</v>
          </cell>
          <cell r="H439">
            <v>48674</v>
          </cell>
          <cell r="I439">
            <v>0</v>
          </cell>
        </row>
        <row r="440">
          <cell r="G440">
            <v>0</v>
          </cell>
          <cell r="H440">
            <v>64758</v>
          </cell>
          <cell r="I440">
            <v>0</v>
          </cell>
        </row>
        <row r="441">
          <cell r="G441">
            <v>0</v>
          </cell>
          <cell r="H441">
            <v>48833</v>
          </cell>
          <cell r="I441">
            <v>0</v>
          </cell>
        </row>
        <row r="442">
          <cell r="G442">
            <v>0</v>
          </cell>
          <cell r="H442">
            <v>66531</v>
          </cell>
          <cell r="I442">
            <v>0</v>
          </cell>
        </row>
        <row r="443">
          <cell r="G443">
            <v>0</v>
          </cell>
          <cell r="H443">
            <v>0</v>
          </cell>
          <cell r="I443">
            <v>0</v>
          </cell>
        </row>
        <row r="444">
          <cell r="G444">
            <v>0</v>
          </cell>
          <cell r="H444">
            <v>0</v>
          </cell>
          <cell r="I444">
            <v>0</v>
          </cell>
        </row>
        <row r="445">
          <cell r="G445">
            <v>0</v>
          </cell>
          <cell r="H445">
            <v>88314</v>
          </cell>
          <cell r="I445">
            <v>0</v>
          </cell>
        </row>
        <row r="446">
          <cell r="G446">
            <v>0</v>
          </cell>
          <cell r="H446">
            <v>69598</v>
          </cell>
          <cell r="I446">
            <v>0</v>
          </cell>
        </row>
        <row r="447">
          <cell r="G447">
            <v>0</v>
          </cell>
          <cell r="H447">
            <v>64758</v>
          </cell>
          <cell r="I447">
            <v>0</v>
          </cell>
        </row>
        <row r="448">
          <cell r="G448">
            <v>0</v>
          </cell>
          <cell r="H448">
            <v>33755</v>
          </cell>
          <cell r="I448">
            <v>0</v>
          </cell>
        </row>
        <row r="449">
          <cell r="G449">
            <v>0</v>
          </cell>
          <cell r="H449">
            <v>91475</v>
          </cell>
          <cell r="I449">
            <v>0</v>
          </cell>
        </row>
        <row r="450">
          <cell r="G450">
            <v>0</v>
          </cell>
          <cell r="H450">
            <v>73980</v>
          </cell>
          <cell r="I45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중노임"/>
      <sheetName val="Sheet1"/>
      <sheetName val="Sheet2"/>
      <sheetName val="Sheet3"/>
      <sheetName val="원가계산서"/>
      <sheetName val="내역서"/>
      <sheetName val="일위대가목록"/>
      <sheetName val="식재일위"/>
      <sheetName val="시설일위대가"/>
      <sheetName val="기초일위대가"/>
      <sheetName val="노임단가"/>
      <sheetName val="단가조사"/>
      <sheetName val="중기집계"/>
      <sheetName val="중기일위"/>
      <sheetName val="중기단가"/>
      <sheetName val="0.시설토공집계"/>
      <sheetName val="1.시설자재집계"/>
      <sheetName val="1.시설자재집계(진짜별산만)"/>
      <sheetName val="2.시설수량집계"/>
      <sheetName val="높은음자리의자"/>
      <sheetName val="등의자"/>
      <sheetName val="평의자"/>
      <sheetName val="사각의자"/>
      <sheetName val="앉음벽"/>
      <sheetName val="파고라(사각)"/>
      <sheetName val="파고라(둥근형)"/>
      <sheetName val="파고라(반원형)"/>
      <sheetName val="평상"/>
      <sheetName val="문주"/>
      <sheetName val="바람개비"/>
      <sheetName val="열주"/>
      <sheetName val="장독대"/>
      <sheetName val="장승"/>
      <sheetName val="풍경"/>
      <sheetName val="솟대"/>
      <sheetName val="자전거보관대"/>
      <sheetName val="스카이시소"/>
      <sheetName val="스페이스네트"/>
      <sheetName val="조합놀이대A"/>
      <sheetName val="조합놀이대B"/>
      <sheetName val="조합놀이대C"/>
      <sheetName val="흔들놀이(3종)"/>
      <sheetName val="농구지주대"/>
      <sheetName val="링메달리기"/>
      <sheetName val="몸통균형잡기"/>
      <sheetName val="오금펴기상세도"/>
      <sheetName val="온몸펴기"/>
      <sheetName val="윗몸일으키기"/>
      <sheetName val="철봉"/>
      <sheetName val="팔굽혀펴기"/>
      <sheetName val="평행봉"/>
      <sheetName val="허리돌리기"/>
      <sheetName val="배드민턴지주대"/>
      <sheetName val="계단"/>
      <sheetName val="음수대(진짜)"/>
      <sheetName val="입구안내문주"/>
      <sheetName val="입구안내Wall"/>
      <sheetName val="자연석쌓기"/>
      <sheetName val="핸드레일"/>
      <sheetName val="휀스"/>
      <sheetName val="휴지통"/>
      <sheetName val="라인벨트설치(배드민턴)"/>
      <sheetName val="danga"/>
      <sheetName val="ilch"/>
      <sheetName val="0000000"/>
      <sheetName val="VXXXXXX"/>
      <sheetName val="1000000"/>
      <sheetName val="laroux"/>
      <sheetName val="자재집계표"/>
      <sheetName val="전체분우수자재증감 "/>
      <sheetName val="토공"/>
      <sheetName val="공종별집계 "/>
      <sheetName val="L형및U형측구집계"/>
      <sheetName val="우수관집계"/>
      <sheetName val="집수정집계"/>
      <sheetName val="우수맨홀집계"/>
      <sheetName val="우수받이집계"/>
      <sheetName val="BOX집계"/>
      <sheetName val="유입정집계"/>
      <sheetName val="맹암거집계"/>
      <sheetName val="Y-WORK"/>
      <sheetName val="3.하중산정4.지지력"/>
      <sheetName val="공사원가"/>
      <sheetName val="내역"/>
      <sheetName val="대가목록"/>
      <sheetName val="일위대가"/>
      <sheetName val="자재단가"/>
      <sheetName val="원형맨홀수량"/>
      <sheetName val="총괄표"/>
      <sheetName val="내역(전체)"/>
      <sheetName val="수목표준대가"/>
      <sheetName val="말뚝지지력산정"/>
      <sheetName val="H-pile(298x299)"/>
      <sheetName val="H-pile(250x250)"/>
      <sheetName val="ABUT수량-A1"/>
      <sheetName val="공사원가계산서"/>
      <sheetName val="지주목시비량산출서"/>
      <sheetName val="플랜트 설치"/>
      <sheetName val="공사현황"/>
      <sheetName val="목록"/>
      <sheetName val="정부노임단가"/>
      <sheetName val="조작대(1연)"/>
      <sheetName val="전차선로 물량표"/>
      <sheetName val="공통가설"/>
      <sheetName val="000000"/>
      <sheetName val="중기사용료산출근거"/>
      <sheetName val="단가산출2"/>
      <sheetName val="단가 및 재료비"/>
      <sheetName val="소일위대가코드표"/>
      <sheetName val="단면가정"/>
      <sheetName val="표지 (2)"/>
      <sheetName val="복지"/>
      <sheetName val="EKOG10건축"/>
      <sheetName val="기초일위"/>
      <sheetName val="시설일위"/>
      <sheetName val="일위목록"/>
      <sheetName val="ITEM"/>
      <sheetName val="COPING"/>
      <sheetName val="crude.SLAB RE-bar"/>
      <sheetName val="CRUDE RE-bar"/>
      <sheetName val="을"/>
      <sheetName val="조경"/>
      <sheetName val="SLAB&quot;1&quot;"/>
      <sheetName val="Sheet10"/>
      <sheetName val="WORK"/>
      <sheetName val="내역서 "/>
      <sheetName val="자재단가비교표"/>
      <sheetName val="교각1"/>
      <sheetName val="1-1"/>
      <sheetName val="견적서"/>
      <sheetName val="일위대가표"/>
      <sheetName val="전기"/>
      <sheetName val="갑지(추정)"/>
      <sheetName val="입찰안"/>
      <sheetName val="실행철강하도"/>
      <sheetName val="TOT"/>
      <sheetName val="ITB COST"/>
      <sheetName val="노무코드"/>
      <sheetName val="자재코드"/>
      <sheetName val="노임"/>
      <sheetName val="대우단가(풍산)"/>
      <sheetName val="경비"/>
      <sheetName val="2.대외공문"/>
      <sheetName val="포장복구집계"/>
      <sheetName val="부표총괄"/>
      <sheetName val="품셈1-17"/>
      <sheetName val="작성"/>
      <sheetName val="코드표"/>
      <sheetName val="날개벽(시점좌측)"/>
      <sheetName val="#3_일위대가목록"/>
      <sheetName val="소업1교"/>
      <sheetName val="CODE"/>
      <sheetName val="1.우편집중내역서"/>
      <sheetName val="1.2.1 마루높이결정"/>
      <sheetName val="beam"/>
      <sheetName val="점수계산1-2"/>
      <sheetName val="0_시설토공집계"/>
      <sheetName val="1_시설자재집계"/>
      <sheetName val="1_시설자재집계(진짜별산만)"/>
      <sheetName val="2_시설수량집계"/>
      <sheetName val="3_하중산정4_지지력"/>
      <sheetName val="전체분우수자재증감_"/>
      <sheetName val="공종별집계_"/>
      <sheetName val="플랜트_설치"/>
      <sheetName val="집계표"/>
      <sheetName val="DATA"/>
      <sheetName val="갑지"/>
      <sheetName val="설계조건"/>
      <sheetName val="안정계산"/>
      <sheetName val="단가표"/>
      <sheetName val="양산물금"/>
      <sheetName val="개요"/>
      <sheetName val="대공종"/>
      <sheetName val="현장관리비"/>
      <sheetName val="경산"/>
      <sheetName val="200"/>
      <sheetName val="손익분석"/>
      <sheetName val="횡배수관"/>
      <sheetName val="건축내역"/>
      <sheetName val="자동차폐수처리장"/>
      <sheetName val="#2_일위대가목록"/>
      <sheetName val="마산방향철근집계"/>
      <sheetName val="진주방향"/>
      <sheetName val="마산방향"/>
      <sheetName val="NEYOK"/>
      <sheetName val="기계내역서"/>
      <sheetName val="실행간접비용"/>
      <sheetName val="물가자료"/>
      <sheetName val="신규 수주분(사용자 정의)"/>
      <sheetName val="XL4Poppy"/>
      <sheetName val="#REF"/>
      <sheetName val="간지"/>
      <sheetName val="지급자재"/>
      <sheetName val="직공비"/>
      <sheetName val="guard(mac)"/>
      <sheetName val="기본"/>
      <sheetName val="내역표지"/>
      <sheetName val="TB-내역서"/>
      <sheetName val="공내역"/>
      <sheetName val="전체내역"/>
      <sheetName val="2000년1차"/>
      <sheetName val="2000전체분"/>
      <sheetName val="ⴭⴭⴭⴭⴭ"/>
      <sheetName val="3BL공동구 수량"/>
      <sheetName val="토공(우물통,기타) "/>
      <sheetName val="부대공"/>
      <sheetName val="월말"/>
      <sheetName val="포장공사"/>
      <sheetName val="(C)원내역"/>
      <sheetName val="데이타"/>
      <sheetName val="식재인부"/>
      <sheetName val="시설물일위"/>
      <sheetName val="가설공사"/>
      <sheetName val="단가결정"/>
      <sheetName val="내역아"/>
      <sheetName val="울타리"/>
      <sheetName val="데리네이타현황"/>
      <sheetName val="06 일위대가목록"/>
      <sheetName val="공종"/>
      <sheetName val="철콘공사"/>
      <sheetName val="단가"/>
      <sheetName val="지장물C"/>
      <sheetName val="기둥(원형)"/>
      <sheetName val="P3"/>
      <sheetName val="수량산출"/>
      <sheetName val="단가대비"/>
      <sheetName val="산출내역서집계표"/>
      <sheetName val="Macro(전선)"/>
      <sheetName val="품셈TABLE"/>
      <sheetName val="현장지지물물량"/>
      <sheetName val="전선 및 전선관"/>
      <sheetName val="설계내역서"/>
      <sheetName val="현장식당(1)"/>
      <sheetName val="총괄내역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____"/>
      <sheetName val="___"/>
      <sheetName val="炷舅?XLS]데이타'!$E$124"/>
      <sheetName val="ls]노임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설명"/>
      <sheetName val="노임단가"/>
      <sheetName val="단가조사"/>
      <sheetName val="간접"/>
      <sheetName val="炷舅?XLS"/>
      <sheetName val="ls"/>
      <sheetName val="토공사"/>
      <sheetName val="소일위대가코드표"/>
      <sheetName val="품셈집계표"/>
      <sheetName val="자재조사표(참고용)"/>
      <sheetName val="일반부표집계표"/>
      <sheetName val="건축2"/>
      <sheetName val="수목일위"/>
      <sheetName val="수목데이타"/>
      <sheetName val="원가계산"/>
      <sheetName val=""/>
      <sheetName val="수목표준대가"/>
      <sheetName val="6호기"/>
      <sheetName val="Sheet1"/>
      <sheetName val="Customer Databas"/>
      <sheetName val="AS포장복구 "/>
      <sheetName val="2000.11월설계내역"/>
      <sheetName val="품셈TABLE"/>
      <sheetName val="기타 정보통신공사"/>
      <sheetName val="자재단가조사표-수목"/>
      <sheetName val="원내역"/>
      <sheetName val="단가대비표"/>
      <sheetName val="표지 (2)"/>
      <sheetName val="공종단가"/>
      <sheetName val="참고"/>
      <sheetName val="공사개요"/>
      <sheetName val="장비별표(오거보링)(Ø400)(12M)"/>
      <sheetName val="1"/>
      <sheetName val="2"/>
      <sheetName val="3"/>
      <sheetName val="4"/>
      <sheetName val="5"/>
      <sheetName val="시설물일위"/>
      <sheetName val="가설공사"/>
      <sheetName val="단가결정"/>
      <sheetName val="내역아"/>
      <sheetName val="울타리"/>
      <sheetName val="문학간접"/>
      <sheetName val="가설공사비"/>
      <sheetName val="도로구조공사비"/>
      <sheetName val="도로토공공사비"/>
      <sheetName val="여수토공사비"/>
      <sheetName val="䈘목(중국단풍-)"/>
      <sheetName val="갑  지"/>
      <sheetName val="접속도로1"/>
      <sheetName val="평가데이터"/>
      <sheetName val="unit 4"/>
      <sheetName val="화재 탐지 설비"/>
      <sheetName val="Total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수량산출서"/>
      <sheetName val="간선계산"/>
      <sheetName val="전익자재"/>
      <sheetName val="기초일위"/>
      <sheetName val="시설일위"/>
      <sheetName val="조명일위"/>
      <sheetName val="1차증가원가계산"/>
      <sheetName val="직재"/>
      <sheetName val="재집"/>
      <sheetName val="금액"/>
      <sheetName val="골조시행"/>
      <sheetName val="내역"/>
      <sheetName val="공종별원가계산"/>
      <sheetName val="이름표지정"/>
      <sheetName val="노임이"/>
      <sheetName val="49"/>
      <sheetName val="일위대가(가설)"/>
      <sheetName val="기본단가표"/>
      <sheetName val="data"/>
      <sheetName val="직접경비"/>
      <sheetName val="직접인건비"/>
      <sheetName val="금액내역서"/>
      <sheetName val="총괄내역"/>
      <sheetName val="Sheet2"/>
      <sheetName val="철근총괄집계표"/>
      <sheetName val="#REF"/>
      <sheetName val="집수정(600-700)"/>
      <sheetName val="토사(PE)"/>
      <sheetName val="DATE"/>
      <sheetName val="Sheet3"/>
      <sheetName val="터파기및재료"/>
      <sheetName val="빗물받이(910-510-410)"/>
      <sheetName val="우수"/>
      <sheetName val="9811"/>
      <sheetName val="건축-물가변동"/>
      <sheetName val="데리네이타현황"/>
      <sheetName val="현장관리비"/>
      <sheetName val="준검 내역서"/>
      <sheetName val="단가 및 재료비"/>
      <sheetName val="단가산출2"/>
      <sheetName val="금융비용"/>
      <sheetName val="교사기준면적(초등)"/>
      <sheetName val="일위대가"/>
      <sheetName val="2000년1차"/>
      <sheetName val="2000전체분"/>
      <sheetName val="EACT10"/>
      <sheetName val="Sheet1 (2)"/>
      <sheetName val="공종목록표"/>
      <sheetName val="단가산출"/>
      <sheetName val="노무,재료"/>
      <sheetName val="남양내역"/>
      <sheetName val="전주2本1"/>
      <sheetName val="조명시설"/>
      <sheetName val="1.설계조건"/>
      <sheetName val="연습"/>
      <sheetName val="Sheet4"/>
      <sheetName val="가감수량"/>
      <sheetName val="맨홀수량산출"/>
      <sheetName val="총괄내역서"/>
      <sheetName val="전체"/>
      <sheetName val="INPUT"/>
      <sheetName val="견적시담(송포2공구)"/>
      <sheetName val="별표집계"/>
      <sheetName val="2공구산출내역"/>
      <sheetName val="10공구일위"/>
      <sheetName val="정렬"/>
      <sheetName val="5 일위목록"/>
      <sheetName val="7 단가조사"/>
      <sheetName val="6 일위대가"/>
      <sheetName val="산출내역서집계표"/>
      <sheetName val="DC-O-4-S(설명서)"/>
      <sheetName val="Mc1"/>
      <sheetName val="DANGA"/>
      <sheetName val="ABUT수량-A1"/>
      <sheetName val="토공산출(주차장)"/>
      <sheetName val="현장관리"/>
      <sheetName val="공통가설"/>
      <sheetName val="매입"/>
      <sheetName val="토공산출 (아파트)"/>
      <sheetName val="개인"/>
      <sheetName val="단가"/>
      <sheetName val="품셈"/>
      <sheetName val="단가산출1"/>
      <sheetName val="자재단가"/>
      <sheetName val="A"/>
      <sheetName val="Ⅶ-2.현장경비산출"/>
      <sheetName val="E.P.T수량산출서"/>
      <sheetName val="9509"/>
      <sheetName val="기계경비적용기준"/>
      <sheetName val="참조"/>
      <sheetName val="횡배수관토공수량"/>
      <sheetName val="배수내역"/>
      <sheetName val="DT"/>
      <sheetName val="롤러"/>
      <sheetName val="펌프차타설"/>
      <sheetName val="참조M"/>
      <sheetName val="시설물기초"/>
      <sheetName val="파일의이용"/>
      <sheetName val="수목단가"/>
      <sheetName val="시설수량표"/>
      <sheetName val="식재수량표"/>
      <sheetName val="관공일위대가"/>
      <sheetName val="시멘트"/>
      <sheetName val="비목군분류일위"/>
      <sheetName val="입찰"/>
      <sheetName val="현경"/>
      <sheetName val="기초자료입력"/>
      <sheetName val="전기혼잡제경비(45)"/>
      <sheetName val="현장"/>
      <sheetName val="전기"/>
      <sheetName val="철콘"/>
      <sheetName val="년도별시공"/>
      <sheetName val="중기사용료산출근거"/>
      <sheetName val="물가자료"/>
      <sheetName val="BID"/>
      <sheetName val="식재일위"/>
      <sheetName val="간접비"/>
      <sheetName val="123"/>
      <sheetName val="기초자료"/>
      <sheetName val="평가내역"/>
      <sheetName val="공내역"/>
      <sheetName val="노임(1차)"/>
      <sheetName val="계수시트"/>
      <sheetName val="일위목록"/>
      <sheetName val="세부내역"/>
      <sheetName val="조건"/>
      <sheetName val="일위대가-1"/>
      <sheetName val="내역(APT)"/>
      <sheetName val="골조대비내역"/>
      <sheetName val="기계설비-물가변동"/>
      <sheetName val="일위대가목차"/>
      <sheetName val="수안보-MBR1"/>
      <sheetName val="일위"/>
      <sheetName val="공사별 가중치 산출근거(토목)"/>
      <sheetName val="가중치근거(조경)"/>
      <sheetName val="식재"/>
      <sheetName val="시설물"/>
      <sheetName val="식재출력용"/>
      <sheetName val="유지관리"/>
      <sheetName val="부하계산서"/>
      <sheetName val="예가표"/>
      <sheetName val="에너지동"/>
      <sheetName val="경산"/>
      <sheetName val="카렌스센터계량기설치공사"/>
      <sheetName val="내역서01"/>
      <sheetName val="2.대외공문"/>
      <sheetName val="토목주소"/>
      <sheetName val="공사비예산서(토목분)"/>
      <sheetName val="공구원가계산"/>
      <sheetName val="공사요율산출표"/>
      <sheetName val="수량산출"/>
      <sheetName val="자재 집계표"/>
      <sheetName val="말고개터널조명전압강하"/>
      <sheetName val="예산명세서"/>
      <sheetName val="설계명세서"/>
      <sheetName val="자료입력"/>
      <sheetName val="준공정산"/>
      <sheetName val="총괄표"/>
      <sheetName val="대가표(품셈)"/>
      <sheetName val="조명율표"/>
      <sheetName val="GAS"/>
      <sheetName val="전선 및 전선관"/>
      <sheetName val="투찰금액"/>
      <sheetName val="1차 내역서"/>
      <sheetName val="귀래 설계 공내역서"/>
      <sheetName val="설계내역서"/>
      <sheetName val="단가표 (2)"/>
      <sheetName val="충주"/>
      <sheetName val="개소별수량산출"/>
      <sheetName val="총괄표1"/>
      <sheetName val="DB@Acess"/>
      <sheetName val="Civil"/>
      <sheetName val="퇴직금(울산천상)"/>
      <sheetName val="금융"/>
      <sheetName val="실행간접비용"/>
      <sheetName val="合成単価作成表-BLDG"/>
      <sheetName val="삭제금지단가"/>
      <sheetName val="설계서"/>
      <sheetName val="공사기본내용입력"/>
      <sheetName val="공통"/>
      <sheetName val="동해title"/>
      <sheetName val="운동장 (2)"/>
      <sheetName val="기성청구"/>
      <sheetName val="설계내역일위"/>
      <sheetName val="일반부표"/>
      <sheetName val="견적"/>
      <sheetName val="부하계산"/>
      <sheetName val="설계예산서"/>
      <sheetName val="토공수량"/>
      <sheetName val="설계내"/>
      <sheetName val="SG"/>
      <sheetName val="견적율"/>
      <sheetName val="밸브설치"/>
      <sheetName val="입력자료"/>
      <sheetName val="BH"/>
      <sheetName val="상 부"/>
      <sheetName val="JUCKEYK"/>
      <sheetName val="단위단가"/>
      <sheetName val="EQT-ESTN"/>
      <sheetName val="토공집계"/>
      <sheetName val="퍼스트"/>
      <sheetName val="자단"/>
      <sheetName val="인공산출"/>
      <sheetName val="지주목시비량산출서"/>
      <sheetName val="담장산출"/>
      <sheetName val="약품설비"/>
      <sheetName val="사급자재"/>
      <sheetName val="교육종류"/>
      <sheetName val="주요항목별"/>
      <sheetName val="날개벽(좌,우=60도-4개)"/>
      <sheetName val="입찰안"/>
      <sheetName val="공종집계"/>
      <sheetName val="자료"/>
      <sheetName val="간선"/>
      <sheetName val="전압"/>
      <sheetName val="조도"/>
      <sheetName val="동력"/>
      <sheetName val="제수"/>
      <sheetName val="공기"/>
      <sheetName val="예산갑지"/>
      <sheetName val="건축내역서"/>
      <sheetName val="설비내역서"/>
      <sheetName val="전기내역서"/>
      <sheetName val="가격비"/>
      <sheetName val="산출근거"/>
      <sheetName val="炷舅_XLS_데이타'!$E$124"/>
      <sheetName val="ls_노임"/>
      <sheetName val="炷舅_XLS"/>
      <sheetName val="D&amp;P특기사항"/>
      <sheetName val="MOTOR"/>
      <sheetName val="가도공"/>
      <sheetName val="부대공Ⅱ"/>
      <sheetName val="현관"/>
      <sheetName val="인원"/>
      <sheetName val="1안"/>
      <sheetName val="공통비총괄표"/>
      <sheetName val="내역서2안"/>
      <sheetName val="중기일위대가"/>
      <sheetName val="단가비교"/>
      <sheetName val="JUCK"/>
      <sheetName val="정화조방수미장"/>
      <sheetName val="코드"/>
      <sheetName val="지수"/>
      <sheetName val="대치판정"/>
      <sheetName val="인건비"/>
      <sheetName val="설계내역"/>
      <sheetName val="03하반기내역서"/>
      <sheetName val="04상반기"/>
      <sheetName val="약품공급2"/>
      <sheetName val="공작물조직표(용배수)"/>
      <sheetName val="기기리스트"/>
      <sheetName val="11월"/>
      <sheetName val="평교-내역"/>
      <sheetName val="SCHE"/>
      <sheetName val="1호인버트수량"/>
      <sheetName val="석축설면"/>
      <sheetName val="법면단"/>
      <sheetName val="설계조건"/>
      <sheetName val="안정계산"/>
      <sheetName val="단면검토"/>
      <sheetName val="지급자재"/>
      <sheetName val="정부노임단가"/>
      <sheetName val="기성내역서표지"/>
      <sheetName val="기타_정보통신공사"/>
      <sheetName val="Customer_Databas"/>
      <sheetName val="AS포장복구_"/>
      <sheetName val="2000_11월설계내역"/>
      <sheetName val="표지_(2)"/>
      <sheetName val="갑__지"/>
      <sheetName val="unit_4"/>
      <sheetName val="화재_탐지_설비"/>
      <sheetName val="준검_내역서"/>
      <sheetName val="Sheet1_(2)"/>
      <sheetName val="단가_및_재료비"/>
      <sheetName val="1_설계조건"/>
      <sheetName val="Ⅶ-2_현장경비산출"/>
      <sheetName val="토공산출_(아파트)"/>
      <sheetName val="5_일위목록"/>
      <sheetName val="7_단가조사"/>
      <sheetName val="6_일위대가"/>
      <sheetName val="E_P_T수량산출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노무비"/>
      <sheetName val="3.바닥판  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간지"/>
      <sheetName val="배수공"/>
      <sheetName val="기초1"/>
      <sheetName val="WORK"/>
      <sheetName val="평형별수량표"/>
      <sheetName val="가설개략"/>
      <sheetName val="을지"/>
      <sheetName val="평당"/>
      <sheetName val="매입세"/>
      <sheetName val="창호"/>
      <sheetName val="EQUIP-H"/>
      <sheetName val="7단가"/>
      <sheetName val="구조물공1(51~56)"/>
      <sheetName val="전기일위대가"/>
      <sheetName val="기성내역"/>
      <sheetName val="설계"/>
      <sheetName val="Sheet6"/>
      <sheetName val="실행철강하도"/>
      <sheetName val="소야공정계획표"/>
      <sheetName val="노무비단가"/>
      <sheetName val="EJ"/>
      <sheetName val="토공집계표"/>
      <sheetName val="설계예시"/>
      <sheetName val="일위집계표"/>
      <sheetName val="귀래_설계_공내역서"/>
      <sheetName val="자재_집계표"/>
      <sheetName val="전선_및_전선관"/>
      <sheetName val="잡비"/>
      <sheetName val=" 견적서"/>
      <sheetName val="근거(기밀댐퍼)"/>
      <sheetName val="FB25JN"/>
      <sheetName val="제잡비"/>
      <sheetName val="토집"/>
      <sheetName val="시공"/>
      <sheetName val="4-10"/>
      <sheetName val="날개벽수량표"/>
      <sheetName val="bearing"/>
      <sheetName val="단가표_(2)"/>
      <sheetName val="참조(2)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총괄"/>
      <sheetName val="단목"/>
      <sheetName val="토목수량"/>
      <sheetName val="천방교접속"/>
      <sheetName val="9GNG운반"/>
      <sheetName val="당초내역서"/>
      <sheetName val="가설"/>
      <sheetName val="구조포설"/>
      <sheetName val="복구"/>
      <sheetName val="부대"/>
      <sheetName val="부호표"/>
      <sheetName val="토공"/>
      <sheetName val="수량집계표"/>
      <sheetName val="공종별수량집계"/>
      <sheetName val="전계가"/>
      <sheetName val="전기공사"/>
      <sheetName val="1차_내역서"/>
      <sheetName val="가로등"/>
      <sheetName val="PAINT"/>
      <sheetName val="TEL"/>
      <sheetName val="실행"/>
      <sheetName val="신표지1"/>
      <sheetName val="시추주상도"/>
      <sheetName val="주관사업"/>
      <sheetName val="배수판"/>
      <sheetName val="GAS저장소"/>
      <sheetName val="라인마킹"/>
      <sheetName val="위험물저장소"/>
      <sheetName val="일반창고동"/>
      <sheetName val="설계가"/>
      <sheetName val="절감계산"/>
      <sheetName val="PW3"/>
      <sheetName val="PW4"/>
      <sheetName val="SC1"/>
      <sheetName val="PE"/>
      <sheetName val="PM"/>
      <sheetName val="TR"/>
      <sheetName val="공정코드"/>
      <sheetName val="01"/>
      <sheetName val="6PILE  (돌출)"/>
      <sheetName val="COVER"/>
      <sheetName val="자판실행"/>
      <sheetName val="우배수"/>
      <sheetName val="원형맨홀수량"/>
      <sheetName val="을"/>
      <sheetName val="3.공통공사대비"/>
      <sheetName val="전차선로 물량표"/>
      <sheetName val="한강운반비"/>
      <sheetName val="자재"/>
      <sheetName val="공통(20-91)"/>
      <sheetName val="가스내역"/>
      <sheetName val="2000,9월 일위"/>
      <sheetName val="품의서(0217)"/>
      <sheetName val="토목"/>
      <sheetName val="Y-WORK"/>
      <sheetName val="1.가설"/>
      <sheetName val="4.목공사"/>
      <sheetName val="덕소내역"/>
      <sheetName val="22인공"/>
      <sheetName val="JOIN(2span)"/>
      <sheetName val="바닥판"/>
      <sheetName val="주빔의 설계"/>
      <sheetName val="철근량산정및사용성검토"/>
      <sheetName val="입력DATA"/>
      <sheetName val="계약내역서(을지)"/>
      <sheetName val="사전공사"/>
      <sheetName val="부안일위"/>
      <sheetName val="위치조서"/>
      <sheetName val="과세내역(세부)"/>
      <sheetName val="적용기준"/>
      <sheetName val="cable-data"/>
      <sheetName val="가격조사서"/>
      <sheetName val="부대내역"/>
      <sheetName val="제잡비집계"/>
      <sheetName val="가설건물"/>
      <sheetName val="70%"/>
      <sheetName val="ITEM"/>
      <sheetName val="터널조도"/>
      <sheetName val="품셈표"/>
      <sheetName val="계산내역(설비)"/>
      <sheetName val="영업.일1"/>
      <sheetName val="가스(내역)"/>
      <sheetName val="와동25-3(변경)"/>
      <sheetName val="교대시점"/>
      <sheetName val="목차 "/>
      <sheetName val="계획서"/>
      <sheetName val="연장"/>
      <sheetName val="위치도(점용허가용)"/>
      <sheetName val="신청서"/>
      <sheetName val="기초공"/>
      <sheetName val="기둥(원형)"/>
      <sheetName val="수로단위수량"/>
      <sheetName val="인사자료총집계"/>
      <sheetName val="수목데이타 "/>
      <sheetName val="재료단가"/>
      <sheetName val="동력부하계산"/>
      <sheetName val="공사발의서"/>
      <sheetName val="S0"/>
      <sheetName val="이름정의"/>
      <sheetName val="초기화면"/>
      <sheetName val="기계실 D200"/>
      <sheetName val="2호맨홀공제수량"/>
      <sheetName val="인부신상자료"/>
      <sheetName val="직접공사비집계표_7"/>
      <sheetName val="공통가설_8"/>
      <sheetName val="기타시설"/>
      <sheetName val="아파트_9"/>
      <sheetName val="주민복지관"/>
      <sheetName val="지하주차장"/>
      <sheetName val="각종단가"/>
      <sheetName val="1공구내역서(1)"/>
      <sheetName val="참고자료"/>
      <sheetName val="원형1호맨홀토공수량"/>
      <sheetName val="건축(을)"/>
      <sheetName val="List"/>
      <sheetName val="10"/>
      <sheetName val="11"/>
      <sheetName val="6"/>
      <sheetName val="7"/>
      <sheetName val="8"/>
      <sheetName val="9"/>
      <sheetName val="개요"/>
      <sheetName val="수량"/>
      <sheetName val="발생토"/>
      <sheetName val="일위대가목록"/>
      <sheetName val="말뚝지지력산정"/>
      <sheetName val="邅☳"/>
      <sheetName val="3.하중산정4.지지력"/>
      <sheetName val="타견적(을)"/>
      <sheetName val="부시수량"/>
      <sheetName val="연돌일위집계"/>
      <sheetName val="토공실행"/>
      <sheetName val="간선토공재집"/>
      <sheetName val="지선토공재집"/>
      <sheetName val="단면가정"/>
      <sheetName val="원가"/>
      <sheetName val="우수공"/>
      <sheetName val="구조물철거타공정이월"/>
      <sheetName val="현장조사"/>
      <sheetName val="요약&amp;결과"/>
      <sheetName val="기준액"/>
      <sheetName val="설계변경조서"/>
      <sheetName val="대공종"/>
      <sheetName val="수량집계"/>
      <sheetName val="A-4"/>
      <sheetName val="설계기준"/>
      <sheetName val="2.2.10.샤시등"/>
      <sheetName val="내역1"/>
      <sheetName val="부하(성남)"/>
      <sheetName val="공사비집계표"/>
      <sheetName val="기계경비일람"/>
      <sheetName val="예정(3)"/>
      <sheetName val="G.R300경비"/>
      <sheetName val="무시"/>
      <sheetName val="하수급견적대비"/>
      <sheetName val="3차준공"/>
      <sheetName val="MAIN"/>
      <sheetName val="N賃率-職"/>
      <sheetName val="GAEYO"/>
      <sheetName val="TB-내역서"/>
      <sheetName val="성곽내역서"/>
      <sheetName val="Sheet13"/>
      <sheetName val="발전기"/>
      <sheetName val="Sheet14"/>
      <sheetName val="전등설비"/>
      <sheetName val="sub"/>
      <sheetName val="통합내역"/>
      <sheetName val="재정비직인"/>
      <sheetName val="견적서"/>
      <sheetName val="98지급계획"/>
      <sheetName val="진주방향"/>
      <sheetName val="실행(표지,갑,을)"/>
    </sheetNames>
    <sheetDataSet>
      <sheetData sheetId="0"/>
      <sheetData sheetId="1"/>
      <sheetData sheetId="2"/>
      <sheetData sheetId="3" refreshError="1"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4"/>
      <sheetData sheetId="5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DATA"/>
      <sheetName val="데이타"/>
      <sheetName val="식재인부"/>
      <sheetName val="견적990322"/>
      <sheetName val="구의33고"/>
      <sheetName val="1입력"/>
      <sheetName val="6호기"/>
      <sheetName val="산출근거"/>
      <sheetName val="설계조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9">
          <cell r="J19">
            <v>350</v>
          </cell>
        </row>
        <row r="116">
          <cell r="F116">
            <v>2.5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통합"/>
      <sheetName val="철근단면적"/>
      <sheetName val="내민받침"/>
      <sheetName val="말뚝지지력산정"/>
      <sheetName val="Y-WORK"/>
      <sheetName val="데이타"/>
    </sheetNames>
    <sheetDataSet>
      <sheetData sheetId="0" refreshError="1"/>
      <sheetData sheetId="1" refreshError="1"/>
      <sheetData sheetId="2" refreshError="1">
        <row r="2">
          <cell r="C2">
            <v>0.71330000000000005</v>
          </cell>
        </row>
        <row r="8">
          <cell r="C8">
            <v>6.4240000000000004</v>
          </cell>
        </row>
        <row r="9">
          <cell r="C9">
            <v>7.9420000000000002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각수량집계표"/>
      <sheetName val="P1"/>
      <sheetName val="P2"/>
      <sheetName val="P3"/>
      <sheetName val="1.설계조건"/>
      <sheetName val="철근단면적"/>
      <sheetName val="통합"/>
      <sheetName val="MOTOR"/>
      <sheetName val="Sheet1"/>
      <sheetName val="말뚝지지력산정"/>
      <sheetName val="대로근거"/>
      <sheetName val="조명시설"/>
      <sheetName val="견적990322"/>
      <sheetName val="단면가정"/>
      <sheetName val="DATA"/>
      <sheetName val="총괄내역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_x0000_ÿ"/>
      <sheetName val="총괄내역서"/>
      <sheetName val="내역서"/>
      <sheetName val="일위대가총괄"/>
      <sheetName val="일위대가"/>
      <sheetName val="단가대비표"/>
      <sheetName val="단가산출"/>
      <sheetName val="99노임기준"/>
      <sheetName val="말뚝지지력산정"/>
      <sheetName val="****"/>
      <sheetName val="단가조사"/>
      <sheetName val="철근단면적"/>
      <sheetName val="통합"/>
      <sheetName val="교각1"/>
      <sheetName val="단면 (2)"/>
      <sheetName val="Y-WORK"/>
      <sheetName val="hvac(제어동)"/>
      <sheetName val="계수시트"/>
      <sheetName val="원가계산서"/>
      <sheetName val="단면가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갑지들"/>
      <sheetName val="총괄표"/>
      <sheetName val="원가계산서"/>
      <sheetName val="신우"/>
      <sheetName val="부하(성남)"/>
      <sheetName val="일위대가"/>
      <sheetName val="인건비"/>
      <sheetName val="실행철강하도"/>
      <sheetName val="데이타"/>
      <sheetName val="부하계산서"/>
      <sheetName val="수량산출"/>
      <sheetName val="토목"/>
      <sheetName val="말뚝지지력산정"/>
      <sheetName val="Y-WORK"/>
      <sheetName val="철근단면적"/>
      <sheetName val="통합"/>
      <sheetName val="대로근거"/>
      <sheetName val="중로근거"/>
      <sheetName val="옹벽수량집계"/>
      <sheetName val="NEAYU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적표"/>
      <sheetName val="토공집계표"/>
      <sheetName val="토공분석표"/>
      <sheetName val="집계표"/>
      <sheetName val="자재대"/>
      <sheetName val="간지"/>
      <sheetName val="표지"/>
      <sheetName val="1.설계조건"/>
      <sheetName val="말뚝지지력산정"/>
      <sheetName val="대로근거"/>
      <sheetName val="중로근거"/>
      <sheetName val="내역서 "/>
      <sheetName val="단가"/>
      <sheetName val="#REF"/>
      <sheetName val="을"/>
      <sheetName val="SLAB&quot;1&quot;"/>
      <sheetName val="철근단면적"/>
      <sheetName val="식생블럭단위수량"/>
      <sheetName val="자재단가"/>
      <sheetName val="DATA"/>
      <sheetName val="데이타"/>
      <sheetName val="산출근거"/>
      <sheetName val="Front"/>
      <sheetName val="wall"/>
      <sheetName val="입찰안"/>
      <sheetName val="단위수량"/>
      <sheetName val="9GNG운반"/>
      <sheetName val="자료"/>
      <sheetName val="1.설계기준"/>
      <sheetName val="설계내역서"/>
      <sheetName val="하도금액분계"/>
      <sheetName val="단면가정"/>
      <sheetName val="기둥(원형)"/>
      <sheetName val="견적990322"/>
      <sheetName val="교각1"/>
      <sheetName val="ABUT수량-A1"/>
      <sheetName val="danga"/>
      <sheetName val="ilch"/>
      <sheetName val="DATE"/>
      <sheetName val="8.PILE  (돌출)"/>
      <sheetName val="일위대가9803"/>
      <sheetName val="구조물철거타공정이월"/>
      <sheetName val="대전21토목내역서"/>
      <sheetName val="Sheet1"/>
      <sheetName val="TYPE-A"/>
      <sheetName val="기기리스트"/>
      <sheetName val="원형맨홀수량"/>
      <sheetName val="내역서"/>
      <sheetName val="일위대가표"/>
      <sheetName val="대비"/>
      <sheetName val="가도공"/>
      <sheetName val="방음벽기초(H=4m)"/>
      <sheetName val="터파기및재료"/>
      <sheetName val="Macro(전선)"/>
      <sheetName val="토량1-1"/>
      <sheetName val="종배수관(신)"/>
      <sheetName val="적용단위길이"/>
      <sheetName val="자료입력"/>
      <sheetName val="종배수관면벽신"/>
      <sheetName val="guard(mac)"/>
      <sheetName val="1062-X방향 "/>
      <sheetName val="BID"/>
      <sheetName val="노임"/>
      <sheetName val="코드표"/>
      <sheetName val="Y-WORK"/>
      <sheetName val="WVAL"/>
      <sheetName val="총괄표"/>
      <sheetName val="ITEM"/>
      <sheetName val="용산1(해보)"/>
      <sheetName val="총집계"/>
      <sheetName val="분석"/>
      <sheetName val="수량산출근거"/>
      <sheetName val="INPUT(덕도방향-시점)"/>
      <sheetName val="설계예산"/>
      <sheetName val="sw1"/>
      <sheetName val="토목"/>
      <sheetName val="70%"/>
      <sheetName val="H-pile(298x299)"/>
      <sheetName val="H-pile(250x250)"/>
      <sheetName val="개산공사비"/>
      <sheetName val="WORK"/>
      <sheetName val="역T형"/>
      <sheetName val="COPING"/>
      <sheetName val="CPM챠트"/>
      <sheetName val="hvac내역서(제어동)"/>
      <sheetName val="관리,공감"/>
      <sheetName val="물량표S"/>
      <sheetName val="PAINT"/>
      <sheetName val="SUMMARY"/>
      <sheetName val="물량표"/>
      <sheetName val="물량표(신)"/>
      <sheetName val="hvac(제어동)"/>
      <sheetName val="업체별기성내역"/>
      <sheetName val="주차구획선수량"/>
      <sheetName val="금융비용"/>
      <sheetName val="시설물기초"/>
      <sheetName val="Macro1"/>
      <sheetName val="노임이"/>
      <sheetName val="전기"/>
      <sheetName val="CODE"/>
      <sheetName val="연령현황"/>
      <sheetName val="설계조건"/>
      <sheetName val="99노임기준"/>
      <sheetName val="은행"/>
      <sheetName val="설명서 "/>
      <sheetName val="1"/>
      <sheetName val="보온자재단가표"/>
      <sheetName val="전체"/>
      <sheetName val="음료실행"/>
      <sheetName val="갑지(추정)"/>
      <sheetName val="일반부표"/>
      <sheetName val="N賃率-職"/>
      <sheetName val="제직재"/>
      <sheetName val="설직재-1"/>
      <sheetName val="제-노임"/>
      <sheetName val="단면 (2)"/>
      <sheetName val="INPUT"/>
      <sheetName val="합계금액"/>
      <sheetName val="플랜트 설치"/>
      <sheetName val="6PILE  (돌출)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단가산출서1"/>
      <sheetName val="식재총괄"/>
      <sheetName val="좌측"/>
      <sheetName val="금액내역서"/>
      <sheetName val="내역서_"/>
      <sheetName val="몰탈재료산출"/>
      <sheetName val="일위대가(가설)"/>
      <sheetName val="노임단가"/>
      <sheetName val="COMPARISON TABLE"/>
      <sheetName val="crude.SLAB RE-bar"/>
      <sheetName val="CRUDE RE-bar"/>
      <sheetName val="부대공Ⅱ"/>
      <sheetName val="송라터널총괄"/>
      <sheetName val="1,2,3,4,5단위수량"/>
      <sheetName val="참조"/>
      <sheetName val="W3단면"/>
      <sheetName val="철근량"/>
      <sheetName val="원형1호맨홀토공수량"/>
      <sheetName val="본체"/>
      <sheetName val="3BL공동구 수량"/>
      <sheetName val="인명부"/>
      <sheetName val="가중치"/>
      <sheetName val="2호맨홀공제수량"/>
      <sheetName val="토공총괄집계"/>
      <sheetName val="하수급견적대비"/>
      <sheetName val="토목품셈"/>
      <sheetName val="우수공"/>
      <sheetName val="실행철강하도"/>
      <sheetName val="교대(A1)"/>
      <sheetName val="3.하중산정4.지지력"/>
      <sheetName val="표지 (2)"/>
      <sheetName val="수량산출"/>
      <sheetName val="Total"/>
      <sheetName val="지장물C"/>
      <sheetName val="수입"/>
      <sheetName val="조경"/>
      <sheetName val="SILICATE"/>
      <sheetName val="TB-내역서"/>
      <sheetName val="전기일위대가"/>
      <sheetName val="산근(PE,300)"/>
      <sheetName val="특2호하천산근"/>
      <sheetName val="특2호부관하천산근"/>
      <sheetName val="신규 수주분(사용자 정의)"/>
      <sheetName val="안정계산"/>
      <sheetName val="단면검토"/>
      <sheetName val="DATA2000"/>
      <sheetName val="내역"/>
      <sheetName val="총괄내역서"/>
      <sheetName val="내력서"/>
      <sheetName val="가로등내역서"/>
      <sheetName val="1.우편집중내역서"/>
      <sheetName val="신우"/>
      <sheetName val="지급자재"/>
      <sheetName val="정렬"/>
      <sheetName val="안산기계장치"/>
      <sheetName val="데리네이타현황"/>
      <sheetName val="기계경비(시간당)"/>
      <sheetName val="램머"/>
      <sheetName val="TEL"/>
      <sheetName val="전력"/>
      <sheetName val="기안"/>
      <sheetName val="주경기-오배수"/>
      <sheetName val="식재일위대가"/>
      <sheetName val="설계변경원가계산총괄표"/>
      <sheetName val="품셈TABLE"/>
      <sheetName val="식재인부"/>
      <sheetName val="공사비산출내역"/>
      <sheetName val="마산방향철근집계"/>
      <sheetName val="진주방향"/>
      <sheetName val="마산방향"/>
      <sheetName val="일위대가(계측기설치)"/>
      <sheetName val="한강운반비"/>
      <sheetName val="DATA 입력란"/>
      <sheetName val="소방현물"/>
      <sheetName val="찍기"/>
      <sheetName val="정부노임단가"/>
      <sheetName val="견적조건"/>
      <sheetName val="개략"/>
      <sheetName val="옥룡잡비"/>
      <sheetName val="2.입력sheet"/>
      <sheetName val="Sheet2"/>
      <sheetName val="뚝토공"/>
      <sheetName val="내역및총괄"/>
      <sheetName val="토적계산서"/>
      <sheetName val="M1"/>
      <sheetName val="슬래브"/>
      <sheetName val="직공비"/>
      <sheetName val="(3.품질관리 시험 총괄표)"/>
      <sheetName val="배수통관(좌)"/>
      <sheetName val="차액보증"/>
      <sheetName val="공사비예산서(토목분)"/>
      <sheetName val="조작대(1연)"/>
      <sheetName val="산출내역서집계표"/>
      <sheetName val="토목주소"/>
      <sheetName val="프랜트면허"/>
      <sheetName val="별표 "/>
      <sheetName val="조명율표"/>
      <sheetName val="단가조사-2"/>
      <sheetName val="VE절감"/>
      <sheetName val="세목전체"/>
      <sheetName val="2000년1차"/>
      <sheetName val="2.가정단면"/>
      <sheetName val="토공(우물통,기타) "/>
      <sheetName val="날개벽수량표"/>
      <sheetName val="수량집계표"/>
      <sheetName val="수량BOQ"/>
      <sheetName val="거래처등록"/>
      <sheetName val="20관리비율"/>
      <sheetName val="도장수량(하1)"/>
      <sheetName val="주형"/>
      <sheetName val="물가자료"/>
      <sheetName val="건축공사"/>
      <sheetName val="지주목시비량산출서"/>
      <sheetName val="일반공사"/>
      <sheetName val="원하도급내역서(당초)"/>
      <sheetName val="공통가설"/>
      <sheetName val="견적서"/>
      <sheetName val="손익분석"/>
      <sheetName val="일위대가(건축)"/>
      <sheetName val="관경별우수관집계"/>
      <sheetName val="법면"/>
      <sheetName val="부대공"/>
      <sheetName val="구조물공"/>
      <sheetName val="중기일위대가"/>
      <sheetName val="포장공"/>
      <sheetName val="토공"/>
      <sheetName val="배수공1"/>
      <sheetName val="98수문일위"/>
      <sheetName val="포장복구집계"/>
      <sheetName val="전력구구조물산근"/>
      <sheetName val="1TL종점(1)"/>
      <sheetName val="도로경계블럭연장조서"/>
      <sheetName val="절취및터파기"/>
      <sheetName val="맨홀수량"/>
      <sheetName val="토사(PE)"/>
      <sheetName val="Sheet1 (2)"/>
      <sheetName val="덕전리"/>
      <sheetName val="포장물량집계"/>
      <sheetName val="교각계산"/>
      <sheetName val="spiral"/>
      <sheetName val="1. 설계조건 2.단면가정 3. 하중계산"/>
      <sheetName val="기계내역"/>
      <sheetName val="유림골조"/>
      <sheetName val="Sheet3"/>
      <sheetName val="현장일반사항"/>
      <sheetName val="우수관"/>
      <sheetName val="일위대가1"/>
      <sheetName val="UEC영화관본공사내역"/>
      <sheetName val="COL"/>
      <sheetName val="간지9)"/>
      <sheetName val="7.PILE  (돌출)"/>
      <sheetName val="별총"/>
      <sheetName val="BOX전기내역"/>
      <sheetName val="소운반"/>
      <sheetName val="표  지"/>
      <sheetName val="견적대비"/>
      <sheetName val="단가조사서"/>
      <sheetName val="목차"/>
      <sheetName val="통영LNG입찰현황"/>
      <sheetName val="실행대비"/>
      <sheetName val="공량산출서"/>
      <sheetName val="내역표지"/>
      <sheetName val="총괄"/>
      <sheetName val="물가시세표"/>
      <sheetName val="BOX(1.5X1.5)"/>
      <sheetName val="U-TYPE(1)"/>
      <sheetName val="대비표"/>
      <sheetName val="1.2.1 마루높이결정"/>
      <sheetName val="기계시공"/>
      <sheetName val="날개벽(시점좌측)"/>
      <sheetName val="설계기준"/>
      <sheetName val="갑지1"/>
      <sheetName val="입찰보고"/>
      <sheetName val="토공총괄표"/>
      <sheetName val="BOILING검토"/>
      <sheetName val="차선도색현황"/>
      <sheetName val="A-4"/>
      <sheetName val="예상"/>
      <sheetName val="DIAPHRAGM"/>
      <sheetName val="1_설계조건"/>
      <sheetName val="plan&amp;section_of_foundation"/>
      <sheetName val="working_load_at_the_btm_ft_"/>
      <sheetName val="stability_check"/>
      <sheetName val="design_criteria"/>
      <sheetName val="design_load"/>
      <sheetName val="지급자재조서"/>
      <sheetName val="단면 _2_"/>
      <sheetName val="sheeet2"/>
      <sheetName val="개요"/>
      <sheetName val="신표지1"/>
      <sheetName val="원형측구(B-type)"/>
      <sheetName val="변경후-SHEET"/>
      <sheetName val="단가조사"/>
      <sheetName val="부하계산서"/>
      <sheetName val="슬래브(유곡)"/>
      <sheetName val="터널구조물산근"/>
      <sheetName val="CTEMCOST"/>
      <sheetName val="DESCRIPTION"/>
      <sheetName val="공사내역"/>
      <sheetName val="증감내역서"/>
      <sheetName val=" 냉각수펌프"/>
      <sheetName val="설계명세"/>
      <sheetName val="바닥판(1)"/>
      <sheetName val="ITB COST"/>
      <sheetName val="3CHBDC"/>
      <sheetName val="사급자재"/>
      <sheetName val="CAT_5"/>
      <sheetName val="간접비내역-1"/>
      <sheetName val="2000용수잠관-수량집계"/>
      <sheetName val="&lt;목록&gt;"/>
      <sheetName val="기계경비일람"/>
      <sheetName val="BID9697"/>
      <sheetName val="단가(1)"/>
      <sheetName val="관경"/>
      <sheetName val="토목내역"/>
      <sheetName val="시행후면적"/>
      <sheetName val="시가지우회도로공내역서"/>
      <sheetName val="o현장경비"/>
      <sheetName val="※참고자료※"/>
      <sheetName val="대운산출"/>
      <sheetName val="세부내역"/>
      <sheetName val="SLIDES"/>
      <sheetName val="노무비계"/>
      <sheetName val="Dike for 49T03 &amp; 49T04"/>
      <sheetName val="Dike for 49T02, 05~07, 19 (1)"/>
      <sheetName val="Pier 3"/>
      <sheetName val="집계"/>
      <sheetName val="수량산출서 갑지"/>
      <sheetName val="단가(반정1교-원주)"/>
      <sheetName val="Sheet10"/>
      <sheetName val="보차도경계석"/>
      <sheetName val="Sheet5"/>
      <sheetName val="Sheet15"/>
      <sheetName val="상수도공-간지"/>
      <sheetName val="용수량(생활용수)"/>
      <sheetName val="옹벽"/>
      <sheetName val="6호기"/>
      <sheetName val="주식"/>
      <sheetName val="집계표(육상)"/>
      <sheetName val="조건표"/>
      <sheetName val="갑지"/>
      <sheetName val="참조M"/>
      <sheetName val="하중"/>
      <sheetName val="Baby일위대가"/>
      <sheetName val="기자재비"/>
      <sheetName val="상시"/>
      <sheetName val="type-F"/>
      <sheetName val="약품공급2"/>
      <sheetName val="2011.(4)"/>
      <sheetName val="원가계산서"/>
      <sheetName val="횡배수관"/>
      <sheetName val="간선계산"/>
      <sheetName val="기둥(하중)"/>
      <sheetName val="ENE-CAL 1"/>
      <sheetName val="costing_CV"/>
      <sheetName val="costing_ESDV"/>
      <sheetName val="costing_Misc"/>
      <sheetName val="costing_MOV"/>
      <sheetName val="costing_Press"/>
      <sheetName val="자압"/>
      <sheetName val="공사현황"/>
      <sheetName val="지구단위계획"/>
      <sheetName val="입력시트"/>
      <sheetName val="(A)내역서"/>
      <sheetName val="XL4Poppy"/>
      <sheetName val="소업1교"/>
      <sheetName val="CON포장수량"/>
      <sheetName val="CONUNIT"/>
      <sheetName val="웅진교-S2"/>
      <sheetName val="방음벽기초"/>
      <sheetName val="PAD TR보호대기초"/>
      <sheetName val="가로등기초"/>
      <sheetName val="대림경상68억"/>
      <sheetName val="평균터파기"/>
      <sheetName val="석축"/>
      <sheetName val="상승요인분석"/>
      <sheetName val="ACUNIT"/>
      <sheetName val="품의"/>
      <sheetName val="-몰탈콘크리트"/>
      <sheetName val="현황산출서"/>
      <sheetName val="기초일위"/>
      <sheetName val="수목단가"/>
      <sheetName val="시설수량표"/>
      <sheetName val="시설일위"/>
      <sheetName val="식재수량표"/>
      <sheetName val="식재일위"/>
      <sheetName val="맨홀평균높이"/>
      <sheetName val="PD-5(직선)"/>
      <sheetName val="결과조달"/>
      <sheetName val="재집"/>
      <sheetName val="직재"/>
      <sheetName val="예산작성기준(전기)"/>
      <sheetName val="자재목록"/>
      <sheetName val="입력"/>
      <sheetName val="전선 및 전선관"/>
      <sheetName val="시선유도표지집계표"/>
      <sheetName val="woo(mac)"/>
      <sheetName val="수량집계"/>
      <sheetName val="주요자재집계표"/>
      <sheetName val="계단"/>
      <sheetName val="수로단위수량"/>
      <sheetName val="계산서(곡선부)"/>
      <sheetName val="-치수표(곡선부)"/>
      <sheetName val="배수내역"/>
      <sheetName val="설정"/>
      <sheetName val="코드"/>
      <sheetName val="유림총괄"/>
      <sheetName val="11.자재단가"/>
      <sheetName val="수정내역서"/>
      <sheetName val="설계예산서"/>
      <sheetName val="예산대비"/>
      <sheetName val="배수공"/>
      <sheetName val="2000전체분"/>
      <sheetName val="인천제철"/>
      <sheetName val="날개벽"/>
      <sheetName val="2002년12월"/>
      <sheetName val="통합"/>
      <sheetName val="GAEYO"/>
      <sheetName val="기초공"/>
      <sheetName val="1호맨홀토공"/>
      <sheetName val="현장관리비"/>
      <sheetName val="공종별수량집계"/>
      <sheetName val="MOTOR"/>
      <sheetName val="공내역"/>
      <sheetName val="inter"/>
      <sheetName val="내역서(전기)"/>
      <sheetName val="WEON"/>
      <sheetName val="각사별공사비분개 "/>
      <sheetName val="단가일람"/>
      <sheetName val="단위량당중기"/>
      <sheetName val="P3"/>
      <sheetName val="산근"/>
      <sheetName val="기둥"/>
      <sheetName val="저판(버림100)"/>
      <sheetName val="계화배수"/>
      <sheetName val="준검 내역서"/>
      <sheetName val="전차선로 물량표"/>
      <sheetName val="Sheet6"/>
      <sheetName val="북방3터널"/>
      <sheetName val="설계기준 및 하중계산"/>
      <sheetName val="실행"/>
      <sheetName val="예산내역서"/>
      <sheetName val="BOX-1515"/>
      <sheetName val="BOX-1510"/>
      <sheetName val="산근목록"/>
      <sheetName val="맨홀수량산출"/>
      <sheetName val="원가입력"/>
      <sheetName val="ASP"/>
      <sheetName val="재료"/>
      <sheetName val="전계가"/>
      <sheetName val="0226"/>
      <sheetName val="기계경비"/>
      <sheetName val="수목표준대가"/>
      <sheetName val="공통부대비"/>
      <sheetName val="M_DB"/>
      <sheetName val="TYPE"/>
      <sheetName val="costing_FE"/>
      <sheetName val="공종집계"/>
      <sheetName val="역T형(H=6.0) (2)"/>
      <sheetName val="중기집계"/>
      <sheetName val="단가산출"/>
      <sheetName val="2공구산출내역"/>
      <sheetName val="대정2공구"/>
      <sheetName val="중기사용료산출근거"/>
      <sheetName val="단가 및 재료비"/>
      <sheetName val="포장직선구간"/>
      <sheetName val="품셈총괄표"/>
      <sheetName val="FOOTING단면력"/>
      <sheetName val="SUMDO"/>
      <sheetName val="ENDDO"/>
      <sheetName val="PLDB"/>
      <sheetName val="AAA"/>
      <sheetName val="M-HOUR"/>
      <sheetName val="공기"/>
      <sheetName val="00000"/>
      <sheetName val="공구"/>
      <sheetName val="점수계산1-2"/>
      <sheetName val="국공유지및사유지"/>
      <sheetName val="내역(전체)"/>
      <sheetName val="Model"/>
      <sheetName val="CONSTRUCTION COMPONENT"/>
      <sheetName val="wk prgs"/>
      <sheetName val="측구공"/>
      <sheetName val="맨홀토공수량"/>
      <sheetName val="추정공사비_산출내역1.xlsx"/>
      <sheetName val="배수철근"/>
      <sheetName val="견적대비 견적서"/>
      <sheetName val="음봉방향"/>
      <sheetName val="깨기"/>
      <sheetName val="Macro(차단기)"/>
      <sheetName val="터널조도"/>
      <sheetName val="도급예산내역서봉투"/>
      <sheetName val="공사원가계산서"/>
      <sheetName val="도급예산내역서총괄표"/>
      <sheetName val="분전함신설"/>
      <sheetName val="설계산출표지"/>
      <sheetName val="을부담운반비"/>
      <sheetName val="운반비산출"/>
      <sheetName val="접지1종"/>
      <sheetName val="EQ"/>
      <sheetName val="BOQ"/>
      <sheetName val="공정별 수량산출서"/>
      <sheetName val="일반시방서"/>
      <sheetName val="일위대가(조경)"/>
      <sheetName val="자재 및 폐기물견적(2008)"/>
      <sheetName val="2000년하반기"/>
      <sheetName val="자재 집계표"/>
      <sheetName val="IMPEADENCE MAP 취수장"/>
      <sheetName val="2. 공원조도"/>
      <sheetName val="Berm"/>
      <sheetName val="화단 철거"/>
      <sheetName val="수지예산"/>
      <sheetName val="예정(3)"/>
      <sheetName val="기초(중마오수)"/>
      <sheetName val="일위대가목차"/>
      <sheetName val="옥내아파트(전기)"/>
      <sheetName val="인건비"/>
      <sheetName val="입력값"/>
      <sheetName val="중동공구"/>
      <sheetName val="결재갑지"/>
      <sheetName val="간접비계산"/>
      <sheetName val="6PILE__(돌출)"/>
      <sheetName val="2.2 S-Curve"/>
      <sheetName val="건축집계"/>
      <sheetName val="소비자가"/>
      <sheetName val="BSD (2)"/>
      <sheetName val="접속 SLAB,BRACKET 설계"/>
      <sheetName val="편입용지조서"/>
      <sheetName val="대우단가(풍산)"/>
      <sheetName val="EP0618"/>
      <sheetName val="LKVL-CK-HT-GD1"/>
      <sheetName val="TONGKE-HT"/>
      <sheetName val="현장별계약현황('98.10.31)"/>
      <sheetName val="공사내역서(을)실행"/>
      <sheetName val="가정급수관"/>
      <sheetName val="경산"/>
      <sheetName val="가압장(토목)"/>
      <sheetName val="RFP002"/>
      <sheetName val="01"/>
      <sheetName val="Rooms"/>
      <sheetName val="Chiet tinh dz35"/>
      <sheetName val="영동(D)"/>
      <sheetName val="TABLE DB"/>
      <sheetName val="쌍용 data base"/>
      <sheetName val="업무분장"/>
      <sheetName val="수량-가로등"/>
      <sheetName val="H-PILE수량집계"/>
      <sheetName val="해평견적"/>
      <sheetName val="돌담교 상부수량"/>
      <sheetName val="기초단가"/>
      <sheetName val="중기손료"/>
      <sheetName val="건축내역"/>
      <sheetName val="건축"/>
      <sheetName val="8.석축단위(H=1.5M)"/>
      <sheetName val="설계명세서"/>
      <sheetName val="원가계산"/>
      <sheetName val="#3_일위대가목록"/>
      <sheetName val="차수공개요"/>
      <sheetName val="골재산출"/>
      <sheetName val="당초"/>
      <sheetName val="PIPING"/>
      <sheetName val="#2_일위대가목록"/>
      <sheetName val="중기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갑"/>
      <sheetName val="종합"/>
      <sheetName val="죽성계단"/>
      <sheetName val="원가2(교)"/>
      <sheetName val="원가3(교)"/>
      <sheetName val="대가 (2)"/>
      <sheetName val="Sheet1"/>
      <sheetName val="Sheet2"/>
      <sheetName val="Sheet3"/>
      <sheetName val="#REF"/>
      <sheetName val="H-pile(298x299)"/>
      <sheetName val="H-pile(250x250)"/>
      <sheetName val="일위대가"/>
      <sheetName val="내역서"/>
      <sheetName val="Y-WORK"/>
      <sheetName val="죽성초외"/>
      <sheetName val="터파기및재료"/>
      <sheetName val="조명시설"/>
      <sheetName val="말뚝지지력산정"/>
      <sheetName val="1.설계조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  <sheetName val="갑지들"/>
      <sheetName val="총괄표"/>
      <sheetName val="원가계산서"/>
      <sheetName val="DATA 입력란"/>
      <sheetName val="1. 설계조건 2.단면가정 3. 하중계산"/>
      <sheetName val="인건_측정"/>
      <sheetName val="부하계산서"/>
      <sheetName val="인건비"/>
      <sheetName val="일위대가"/>
      <sheetName val="기초일위"/>
      <sheetName val="시설일위"/>
      <sheetName val="식재일위"/>
      <sheetName val="일위목록"/>
      <sheetName val="노임"/>
      <sheetName val="조명시설"/>
      <sheetName val="원주복~1"/>
      <sheetName val="물가자료"/>
      <sheetName val="단가조사"/>
      <sheetName val="wall"/>
      <sheetName val="2공구산출내역"/>
      <sheetName val="노임단가"/>
      <sheetName val="DATE"/>
      <sheetName val="단위중량"/>
      <sheetName val="가로등내역서"/>
      <sheetName val="패널"/>
      <sheetName val="SULKEA"/>
      <sheetName val="기본1"/>
      <sheetName val="수정일위대가"/>
      <sheetName val="관급단가"/>
      <sheetName val="일위대가표"/>
      <sheetName val="1.수인터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안정검토"/>
      <sheetName val="단면설계"/>
      <sheetName val="공칭철근단면적,충격계수"/>
      <sheetName val="Sheet1"/>
      <sheetName val="H-pile(298x299)"/>
      <sheetName val="H-pile(250x250)"/>
      <sheetName val="일위대가"/>
      <sheetName val="인건-측정"/>
      <sheetName val="날개벽"/>
      <sheetName val="type-F"/>
    </sheetNames>
    <sheetDataSet>
      <sheetData sheetId="0" refreshError="1">
        <row r="7">
          <cell r="J7">
            <v>1.8</v>
          </cell>
        </row>
        <row r="9">
          <cell r="J9">
            <v>2</v>
          </cell>
        </row>
        <row r="45">
          <cell r="O45">
            <v>240</v>
          </cell>
        </row>
        <row r="77">
          <cell r="K77">
            <v>143.19999999999999</v>
          </cell>
        </row>
        <row r="83">
          <cell r="R83">
            <v>0.2</v>
          </cell>
          <cell r="U83">
            <v>1.3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">
    <sheetNames>
      <sheetName val="laroux"/>
      <sheetName val="대-산출"/>
      <sheetName val="대-전기인건"/>
      <sheetName val="중-기계산출"/>
      <sheetName val="중-전기인건"/>
      <sheetName val="표준일위"/>
      <sheetName val="물가조사"/>
      <sheetName val="임률"/>
      <sheetName val="대가정리"/>
      <sheetName val="Sheet1"/>
      <sheetName val="DATA"/>
      <sheetName val="표지"/>
      <sheetName val="원가계산서 "/>
      <sheetName val="집계표 (1)"/>
      <sheetName val="집계표(2)"/>
      <sheetName val="내역서(1차공사분)"/>
      <sheetName val="#REF"/>
      <sheetName val="수량산출"/>
      <sheetName val="데이타"/>
      <sheetName val="자재단가비교표"/>
      <sheetName val="내역서"/>
      <sheetName val="포장복구집계"/>
      <sheetName val="I一般比"/>
      <sheetName val="N賃率-職"/>
      <sheetName val="안정검토(온1)"/>
      <sheetName val="단가"/>
      <sheetName val="반중력식옹벽"/>
      <sheetName val="암거단위-1련"/>
      <sheetName val="화산경계"/>
      <sheetName val="과천MAIN"/>
      <sheetName val="수량산출서"/>
      <sheetName val="공사수행방안"/>
      <sheetName val="노임단가"/>
      <sheetName val="일위대가"/>
      <sheetName val="ABUT수량-A1"/>
      <sheetName val="도배공사언고"/>
      <sheetName val="총괄표"/>
      <sheetName val="INPUT"/>
      <sheetName val="집수정"/>
      <sheetName val="청천내"/>
      <sheetName val="건축-물가변동"/>
      <sheetName val="NEGO"/>
      <sheetName val="현장일보"/>
      <sheetName val="전차선로 물량표"/>
      <sheetName val="1.설계조건"/>
      <sheetName val="성남일위"/>
      <sheetName val="외주"/>
      <sheetName val="노원열병합  건축공사기성내역서"/>
      <sheetName val="귀래 설계 공내역서"/>
      <sheetName val="상수도토공집계표"/>
      <sheetName val="반중력식옹벽3.5"/>
      <sheetName val="일위대가-1"/>
      <sheetName val="Front"/>
      <sheetName val="wall"/>
      <sheetName val="간접"/>
      <sheetName val="ETC"/>
      <sheetName val="견적율"/>
      <sheetName val="산출금액내역"/>
      <sheetName val="내역서-전체낙찰율"/>
      <sheetName val="날개벽"/>
      <sheetName val="암거단위"/>
      <sheetName val="전기일위대가"/>
      <sheetName val="실행철강하도"/>
      <sheetName val="COST"/>
      <sheetName val="갑지1"/>
      <sheetName val="일위대가(계측기설치)"/>
      <sheetName val="IMPEADENCE MAP 취수장"/>
      <sheetName val="별표 "/>
      <sheetName val="POL6차-PIPING"/>
      <sheetName val="을"/>
      <sheetName val="환율"/>
      <sheetName val="예비품"/>
      <sheetName val="안정검토"/>
      <sheetName val="MCC제원"/>
      <sheetName val="시중노임단가"/>
      <sheetName val="현장관리비"/>
      <sheetName val="사급자재"/>
      <sheetName val="CTEMCOST"/>
      <sheetName val="예가표"/>
      <sheetName val="Sheet2"/>
      <sheetName val="설직재-1"/>
      <sheetName val="신우"/>
      <sheetName val="공사원가계산서"/>
      <sheetName val="직노"/>
      <sheetName val="단가대비표"/>
      <sheetName val="일위대가(가설)"/>
      <sheetName val="횡배수관토공수량"/>
      <sheetName val="입찰안"/>
      <sheetName val="b_balju_cho"/>
      <sheetName val="Curves"/>
      <sheetName val="Tables"/>
      <sheetName val="수목표준대가"/>
      <sheetName val="내역서1999.8최종"/>
      <sheetName val="평균높이산출근거"/>
      <sheetName val="횡배수관위치조서"/>
      <sheetName val="인건비"/>
      <sheetName val="5.모델링"/>
      <sheetName val="2.단면가정"/>
      <sheetName val="노임"/>
      <sheetName val="일위목록"/>
      <sheetName val="손익분석"/>
      <sheetName val="설계명세서"/>
      <sheetName val="공사"/>
      <sheetName val="소비자가"/>
      <sheetName val="집계표"/>
      <sheetName val="Sheet6"/>
      <sheetName val="시행후면적"/>
      <sheetName val="직재"/>
      <sheetName val="일위_파일"/>
      <sheetName val="식재가격"/>
      <sheetName val="식재총괄"/>
      <sheetName val="const."/>
      <sheetName val="부안일위"/>
      <sheetName val="단가조사"/>
      <sheetName val="설비내역서"/>
      <sheetName val="건축내역서"/>
      <sheetName val="전기내역서"/>
      <sheetName val="Option"/>
      <sheetName val="SP-B1"/>
      <sheetName val="건축내역"/>
      <sheetName val="자재단가표"/>
      <sheetName val="인건-측정"/>
      <sheetName val="조명시설"/>
      <sheetName val="Total"/>
      <sheetName val="제수"/>
      <sheetName val="공기"/>
      <sheetName val="일위대가 (100%)"/>
      <sheetName val="표지 (2)"/>
      <sheetName val="NEYOK"/>
      <sheetName val="FRP내역서"/>
      <sheetName val="일위"/>
      <sheetName val="금액"/>
      <sheetName val="원가계산서"/>
      <sheetName val="단가산출"/>
      <sheetName val="플랜트 설치"/>
      <sheetName val="단가 "/>
      <sheetName val="내역"/>
      <sheetName val="지우지마세요"/>
      <sheetName val="7단가"/>
      <sheetName val="내역서-CCTV"/>
      <sheetName val="영1"/>
      <sheetName val="WEIGHT LIST"/>
      <sheetName val="계산근거"/>
      <sheetName val="DATE"/>
      <sheetName val="기준"/>
      <sheetName val="9811"/>
      <sheetName val="목표세부명세"/>
      <sheetName val="원하대비"/>
      <sheetName val="원도급"/>
      <sheetName val="하도급"/>
      <sheetName val="중갑지"/>
      <sheetName val="노임이"/>
      <sheetName val="견"/>
      <sheetName val="횡배수관집현황(2공구)"/>
      <sheetName val="작성기준"/>
      <sheetName val="관급단가"/>
      <sheetName val="FD"/>
      <sheetName val="LD"/>
      <sheetName val="GAEYO"/>
      <sheetName val="연동내역"/>
      <sheetName val="노 무 비"/>
      <sheetName val="내역서1"/>
      <sheetName val="노무비"/>
      <sheetName val="__"/>
      <sheetName val="copy"/>
      <sheetName val="토목내역서"/>
      <sheetName val="빙장비사양"/>
      <sheetName val="장비사양"/>
      <sheetName val="전기일위목록"/>
      <sheetName val="1단계"/>
      <sheetName val="토목"/>
      <sheetName val="기계설비-물가변동"/>
      <sheetName val="한강운반비"/>
      <sheetName val="J형측구단위수량"/>
      <sheetName val="YES-T"/>
      <sheetName val="평가내역"/>
      <sheetName val="연결임시"/>
      <sheetName val="SUN 2000. 10 가격"/>
      <sheetName val="단위중량표"/>
      <sheetName val="Sheet3"/>
      <sheetName val="입력"/>
      <sheetName val="인건비 "/>
      <sheetName val="부하LOAD"/>
      <sheetName val="중기사용료"/>
      <sheetName val="XXXXXX"/>
      <sheetName val="원가계산"/>
      <sheetName val="견적"/>
      <sheetName val="기본DATA"/>
      <sheetName val="계약내력"/>
      <sheetName val="ES조서출력하기"/>
      <sheetName val="AV시스템"/>
      <sheetName val="조도계산"/>
      <sheetName val="갑지"/>
      <sheetName val="P.M 별"/>
      <sheetName val="현대물량"/>
      <sheetName val="품셈TABLE"/>
      <sheetName val="노무비 "/>
      <sheetName val="집계"/>
      <sheetName val="요율"/>
      <sheetName val="터파기및재료"/>
      <sheetName val="직접인건비"/>
      <sheetName val="Y-WORK"/>
      <sheetName val="변압기 및 발전기 용량"/>
      <sheetName val="전기"/>
      <sheetName val="매립"/>
      <sheetName val="Sheet13"/>
      <sheetName val="발전기"/>
      <sheetName val="Sheet14"/>
      <sheetName val="현장관리비집계표"/>
      <sheetName val="조건입력"/>
      <sheetName val="조건입력(2)"/>
      <sheetName val="장비선정"/>
      <sheetName val="냉천부속동"/>
      <sheetName val="일위(PN)"/>
      <sheetName val="98수문일위"/>
      <sheetName val="약품설비"/>
      <sheetName val="여수토공사비"/>
      <sheetName val="가설공사내역"/>
      <sheetName val="401"/>
      <sheetName val="Sheet4"/>
      <sheetName val="갑지(추정)"/>
      <sheetName val="자재단가"/>
      <sheetName val="전신환매도율"/>
      <sheetName val="H-PILE수량집계"/>
      <sheetName val="A-4"/>
      <sheetName val="차선도색현황"/>
      <sheetName val="실행대비"/>
      <sheetName val="경비"/>
      <sheetName val="공사개요"/>
      <sheetName val="코드표"/>
      <sheetName val="COVER"/>
      <sheetName val="횡배수관"/>
      <sheetName val="대비"/>
      <sheetName val="집수정(600-700)"/>
      <sheetName val="전계가"/>
      <sheetName val="설계내역서"/>
      <sheetName val="APT"/>
      <sheetName val="건축공사 집계표"/>
      <sheetName val="골조"/>
      <sheetName val="본공사"/>
      <sheetName val="소방"/>
      <sheetName val="대치판정"/>
      <sheetName val="Working(wo WTs)"/>
      <sheetName val="송전기본"/>
      <sheetName val="노단"/>
      <sheetName val="R&amp;D"/>
      <sheetName val="교통대책내역"/>
      <sheetName val="982월원안"/>
      <sheetName val="SCHEDULE"/>
      <sheetName val="2원료가나다."/>
      <sheetName val="SYS별 부하목록"/>
      <sheetName val="cable data"/>
      <sheetName val="철거산출근거"/>
      <sheetName val="하부철근수량"/>
      <sheetName val="전기혼잡제경비(45)"/>
      <sheetName val="guard(mac)"/>
      <sheetName val="사용성검토"/>
      <sheetName val="일위대가목록"/>
      <sheetName val="샘플표지"/>
      <sheetName val="2. 공원조도(전통공원)"/>
      <sheetName val="조명율표"/>
      <sheetName val="EP0618"/>
      <sheetName val="CAT_5"/>
      <sheetName val=" 냉각수펌프"/>
      <sheetName val="기계상세"/>
      <sheetName val="일반부표"/>
      <sheetName val="설비"/>
      <sheetName val="견적대비 견적서"/>
      <sheetName val="공조기"/>
      <sheetName val="목창호"/>
      <sheetName val="Activity(new)"/>
      <sheetName val="Total(new)"/>
      <sheetName val="FB25JN"/>
      <sheetName val="산출"/>
      <sheetName val="총괄내역서"/>
      <sheetName val="시설물일위"/>
      <sheetName val="노임변동률"/>
      <sheetName val="기존단가 (2)"/>
      <sheetName val="J直材4"/>
      <sheetName val="구천"/>
      <sheetName val="공내역"/>
      <sheetName val="일위대가표"/>
      <sheetName val="총괄"/>
      <sheetName val="인수공"/>
      <sheetName val="배수내역 (2)"/>
      <sheetName val="용지매수"/>
      <sheetName val="BQ"/>
      <sheetName val="돈암사업"/>
      <sheetName val="약품공급2"/>
      <sheetName val="일위목차"/>
      <sheetName val="예산서표지"/>
      <sheetName val="홍보비디오"/>
      <sheetName val="내역서2안"/>
      <sheetName val="경산"/>
      <sheetName val="인제내역"/>
      <sheetName val="P-J"/>
      <sheetName val="È£Ç¥"/>
      <sheetName val="도급"/>
      <sheetName val="견적대비표"/>
      <sheetName val="단"/>
      <sheetName val="건축공사"/>
      <sheetName val="내역서(기성청구)"/>
      <sheetName val="NAI"/>
      <sheetName val="6동"/>
      <sheetName val="건축집계표"/>
      <sheetName val="토목집계표"/>
      <sheetName val="집계표(설비)"/>
      <sheetName val="SUMMARY"/>
      <sheetName val="PAINT"/>
      <sheetName val="수용가조서"/>
      <sheetName val="비탈면보호공수량산출"/>
      <sheetName val="산_3_2"/>
      <sheetName val="산_3_1"/>
      <sheetName val="_REF"/>
      <sheetName val="산_3_2_2"/>
      <sheetName val="BOQ건축"/>
      <sheetName val="제품정보"/>
      <sheetName val="장비부하"/>
      <sheetName val="변수"/>
      <sheetName val="dV&amp;Cl"/>
      <sheetName val="CAP"/>
      <sheetName val="R"/>
      <sheetName val="하남내역"/>
      <sheetName val="서울1"/>
      <sheetName val="설계기준"/>
      <sheetName val="내역1"/>
      <sheetName val="설계조건"/>
      <sheetName val="역T형"/>
      <sheetName val="말뚝설계"/>
      <sheetName val="가로내역"/>
      <sheetName val="제-노임"/>
      <sheetName val="교각계산"/>
      <sheetName val="접속도로1"/>
      <sheetName val="T13(P68~72,78)"/>
      <sheetName val="TRE TABLE"/>
      <sheetName val="단위단가"/>
      <sheetName val="부하"/>
      <sheetName val="별표집계"/>
      <sheetName val="정렬"/>
      <sheetName val="MixBed"/>
      <sheetName val="CondPol"/>
      <sheetName val="6호기"/>
      <sheetName val="SAM"/>
      <sheetName val="프랜트면허"/>
      <sheetName val="시화점실행"/>
      <sheetName val="원가"/>
      <sheetName val="원효펌프교체020812"/>
      <sheetName val="수리결과"/>
      <sheetName val="전기 원가계산서"/>
      <sheetName val="단가비교표"/>
      <sheetName val="제경비율"/>
      <sheetName val="단가표"/>
      <sheetName val="2002상반기노임기준"/>
      <sheetName val="자료"/>
      <sheetName val="토사(PE)"/>
      <sheetName val="수량산출1"/>
      <sheetName val="입출재고현황 (2)"/>
      <sheetName val="합천내역"/>
      <sheetName val="공사비"/>
      <sheetName val="단중표"/>
      <sheetName val="설 계"/>
      <sheetName val="실행내역"/>
      <sheetName val="1안"/>
      <sheetName val="배수통관토공수량"/>
      <sheetName val="9."/>
      <sheetName val="부대공"/>
      <sheetName val="포장공"/>
      <sheetName val="토공"/>
      <sheetName val="소일위대가코드표"/>
      <sheetName val="2.대외공문"/>
      <sheetName val="성곽내역서"/>
      <sheetName val="목차"/>
      <sheetName val="토적계산"/>
      <sheetName val="목재훈증"/>
      <sheetName val="예산명세서"/>
      <sheetName val="자료입력"/>
      <sheetName val="제경집계"/>
      <sheetName val="날개벽수량표"/>
      <sheetName val="국공유지및사유지"/>
      <sheetName val="개소별수량산출"/>
      <sheetName val="깨기"/>
      <sheetName val="수토공단위당"/>
      <sheetName val="FACTOR"/>
      <sheetName val="(관급)수량산출서"/>
      <sheetName val="(도급)수량산출서"/>
      <sheetName val="일위대가목록표"/>
      <sheetName val="제품목록"/>
      <sheetName val="측량요율"/>
      <sheetName val="패널"/>
      <sheetName val="재료"/>
      <sheetName val="설치자재"/>
      <sheetName val="제품"/>
      <sheetName val="견적계산"/>
      <sheetName val="재고현황"/>
      <sheetName val="예총"/>
      <sheetName val="9GNG운반"/>
      <sheetName val="자재"/>
      <sheetName val="20관리비율"/>
      <sheetName val="전통건설"/>
      <sheetName val="분석가정"/>
      <sheetName val="원가계산서_"/>
      <sheetName val="집계표_(1)"/>
      <sheetName val="별표_"/>
      <sheetName val="1_설계조건"/>
      <sheetName val="전차선로_물량표"/>
      <sheetName val="귀래_설계_공내역서"/>
      <sheetName val="품셈"/>
      <sheetName val="대로근거"/>
      <sheetName val="중로근거"/>
      <sheetName val="BID"/>
      <sheetName val="신표지1"/>
      <sheetName val="중기(목록)"/>
      <sheetName val="일위대가(목록)"/>
      <sheetName val="산근(목록)"/>
      <sheetName val="재료비"/>
      <sheetName val="대,유,램"/>
      <sheetName val="49일위"/>
      <sheetName val="공사비명세서"/>
      <sheetName val="단가결정"/>
      <sheetName val="전체"/>
      <sheetName val="변경비교-을"/>
      <sheetName val="4.Footing Design"/>
      <sheetName val="2.Load Calculation"/>
      <sheetName val="3.Check For Stability"/>
      <sheetName val="JUCKEYK"/>
      <sheetName val="기계관급기자재비"/>
      <sheetName val="건축관급공사비"/>
      <sheetName val="토목관급공사비"/>
      <sheetName val="2000년1차"/>
      <sheetName val="미드수량"/>
      <sheetName val="철근총괄집계표"/>
      <sheetName val="빗물받이(910-510-410)"/>
      <sheetName val="우수"/>
      <sheetName val="Sheet1 (2)"/>
      <sheetName val="일위대가서식"/>
      <sheetName val="조경"/>
      <sheetName val="포장재료집계표"/>
      <sheetName val="-몰탈콘크리트"/>
      <sheetName val="-배수구조물공토공"/>
      <sheetName val="횡배수관재료-"/>
      <sheetName val="계산서(직선부)"/>
      <sheetName val="콘크리트측구연장"/>
      <sheetName val="SLAB"/>
      <sheetName val="부하계산서"/>
      <sheetName val="설계서(1)"/>
      <sheetName val="적용기준"/>
      <sheetName val="hvac(제어동)"/>
      <sheetName val="COVER-P"/>
      <sheetName val="내역단가"/>
      <sheetName val="일위단가"/>
      <sheetName val="9.단가조사서"/>
      <sheetName val="6.일위목록"/>
      <sheetName val="BLR-S"/>
      <sheetName val="총괄내역단가"/>
      <sheetName val="SELTDATA"/>
      <sheetName val="방송노임"/>
      <sheetName val="eq_data"/>
      <sheetName val="예산내역서"/>
      <sheetName val="설계예산서"/>
      <sheetName val="기계경비일람"/>
      <sheetName val="도"/>
      <sheetName val="산출기준자료"/>
      <sheetName val="1.설계기준"/>
      <sheetName val="관급"/>
      <sheetName val="아래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계산서"/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2공구산출내역"/>
      <sheetName val="시설물기초"/>
      <sheetName val="Sheet3"/>
      <sheetName val="부하(성남)"/>
      <sheetName val="내역서"/>
      <sheetName val="인건비"/>
      <sheetName val="노임단가"/>
      <sheetName val="도급"/>
      <sheetName val="Sheet1"/>
      <sheetName val="기초견적단가"/>
      <sheetName val="SD"/>
      <sheetName val="원형맨홀수량"/>
      <sheetName val="공통가설"/>
      <sheetName val="물가자료"/>
      <sheetName val="안정검토"/>
      <sheetName val="도로경계블럭단위수량"/>
      <sheetName val="도로경계블럭단위토공"/>
      <sheetName val="L형측구단위수량"/>
      <sheetName val="L형측구연장조서"/>
      <sheetName val="코드"/>
      <sheetName val="일위대가"/>
      <sheetName val="지급자재"/>
      <sheetName val="토목"/>
      <sheetName val="식재일위"/>
      <sheetName val="기초일위"/>
      <sheetName val="시설일위"/>
      <sheetName val="조명일위"/>
      <sheetName val="전선 및 전선관"/>
      <sheetName val="인건-측정"/>
      <sheetName val="남단 RAMP-A 상부공 수량 집계표"/>
      <sheetName val="남단 RAMP-A 상부철근수량 집계표 "/>
      <sheetName val="SAS1 수량 집계표"/>
      <sheetName val="SAS2 수량 집계표"/>
      <sheetName val="SAS3 수량 집계표"/>
      <sheetName val="SAS4 수량 집계표"/>
      <sheetName val="남단 RAMP-A 강재 수량 집계표"/>
      <sheetName val="남단 RAMP-A 하부공 수량 집계표"/>
      <sheetName val="남단 RAMP-A 교대수량 집계표"/>
      <sheetName val="남단 RAMP-A 교대철근수량 집계표"/>
      <sheetName val="남단 RAMP-A 교각수량 집계표"/>
      <sheetName val="남단 RAMP-A 교각철근수량집계표 "/>
      <sheetName val="남단 RAMP-A 옹벽수량집계표"/>
      <sheetName val="남단 RAMP-A 옹벽철근수량 집계표"/>
      <sheetName val="남단 RAMP-A U-TYPE 옹벽수량집계표"/>
      <sheetName val="남단 RAMP-A 우물통 수량 집계표"/>
      <sheetName val="남단 RAMP-A 우물통 철근수량 집계표"/>
      <sheetName val="남단 RAMP-A 현장 타설 말뚝 수량 집계표"/>
      <sheetName val="남단 RAMP-A RCD 철근수량 집계표"/>
      <sheetName val="남단 RAMP-A 교대 현장 타설 말뚝 수량 집계표"/>
      <sheetName val="남단 RAMP-A RCD 철근수량 집계표(교대)"/>
      <sheetName val="남단 RAMP-A 교각 현장 타설 말뚝 수량 집계표"/>
      <sheetName val="남단 RAMP-A 교각 RCD 철근수량집계표"/>
      <sheetName val="남단 RAMP-A 토공수량 집계표"/>
      <sheetName val="남단 RAMP-A 교대 토공수량 집계표"/>
      <sheetName val="남단 RAMP-A 교각 토공수량 집계표"/>
      <sheetName val="남단 RAMP-A 우물통 토공수량 집계표"/>
      <sheetName val="남단 RAMP-A 현장타설말뚝 토공수량 집계표"/>
      <sheetName val="남단 RAMP-A 교대 현장타설말뚝 토공수량 집계표"/>
      <sheetName val="남단 RAMP-A 교각 현장타설말뚝 토공수량 집계표"/>
      <sheetName val="남단 RAMP-A 가시설 집계표"/>
      <sheetName val="상부공(RAMP-A) 수량 집계표"/>
      <sheetName val="NAS1 수량 집계표"/>
      <sheetName val="NAS2 수량 집계표"/>
      <sheetName val="북단(RAMP-A)교각수량 집계표"/>
      <sheetName val="북단(RAMP-A)교대수량 집계표"/>
      <sheetName val="북단(RAMP-A) 하부일반수량 집계표"/>
      <sheetName val="북단(RAMP-A) U-TYPE 수량 집계표"/>
      <sheetName val="북단(RAMP-A)우물통 수량 집계표"/>
      <sheetName val="북단(RAMP-A)현장 타설 말뚝 수량 집계표"/>
      <sheetName val="교각 현장 타설 말뚝 수량 집계표(북단RAMP-A)"/>
      <sheetName val="교대 현장 타설 말뚝 수량 집계표(북단RAMP-A)"/>
      <sheetName val="북단(RAMP-A)강재 수량 집계표"/>
      <sheetName val="본선 철근수량 집계표"/>
      <sheetName val="북단(PL.GIRDER)철근수량 집계표 "/>
      <sheetName val="본선(PL.GIRDER)토공수량 집계표"/>
      <sheetName val="북단(PL.GIRDER)토공수량 집계표"/>
      <sheetName val="CRUDE RE-bar"/>
      <sheetName val="을지"/>
      <sheetName val="ITEM"/>
      <sheetName val="자재별집계"/>
      <sheetName val="총재료집계"/>
      <sheetName val="개거재료집계"/>
      <sheetName val="개거수량산출"/>
      <sheetName val="개거위치조서"/>
      <sheetName val="덮개재료집계"/>
      <sheetName val="덮개수량산출"/>
      <sheetName val="덮개위치조서"/>
      <sheetName val="토적계산"/>
      <sheetName val="폐기물산출"/>
      <sheetName val="깨기재료집계"/>
      <sheetName val="깨기수량산출"/>
      <sheetName val="깨기위치조서"/>
      <sheetName val="중보용수로취입수문재료표"/>
      <sheetName val="중보용수로취입수문"/>
      <sheetName val="중보용수로취입수깨기수량"/>
      <sheetName val="#REF"/>
      <sheetName val="도로단위당"/>
      <sheetName val="익산"/>
      <sheetName val="CONCRETE"/>
      <sheetName val="조도계산서 (도서)"/>
      <sheetName val="45,46"/>
      <sheetName val="일위대가표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목차"/>
      <sheetName val="기계경비"/>
      <sheetName val="입찰안"/>
      <sheetName val="말뚝지지력산정"/>
      <sheetName val="BID"/>
      <sheetName val="Sheet1"/>
      <sheetName val="일위대가"/>
      <sheetName val="설계조건"/>
      <sheetName val="type-F"/>
      <sheetName val="토공계산서(부체도로)"/>
      <sheetName val="6호기"/>
      <sheetName val="SUMMARY(S)"/>
      <sheetName val="소업1교"/>
      <sheetName val="정부노임단가"/>
      <sheetName val="물량표"/>
      <sheetName val="P54"/>
      <sheetName val="1.설계조건"/>
      <sheetName val="부하계산서"/>
      <sheetName val="수량산출서"/>
      <sheetName val="사용성검토"/>
      <sheetName val="Sheet5"/>
      <sheetName val="YG-NEWNY"/>
      <sheetName val="배점표"/>
      <sheetName val="2010년 보험료"/>
      <sheetName val="담장산출"/>
      <sheetName val="교각1"/>
      <sheetName val="조경"/>
      <sheetName val="Total"/>
      <sheetName val="지장물C"/>
      <sheetName val="진주방향"/>
      <sheetName val="전기일위대가"/>
      <sheetName val="hvac(제어동)"/>
      <sheetName val="옹벽1"/>
      <sheetName val="건축내역서"/>
      <sheetName val="설비"/>
      <sheetName val="차액보증"/>
      <sheetName val="안정검토"/>
      <sheetName val="통합"/>
      <sheetName val="노임단가"/>
      <sheetName val="경비_원본"/>
    </sheetNames>
    <sheetDataSet>
      <sheetData sheetId="0" refreshError="1">
        <row r="3">
          <cell r="D3" t="str">
            <v>톤당</v>
          </cell>
        </row>
        <row r="4">
          <cell r="D4" t="str">
            <v>톤당</v>
          </cell>
        </row>
        <row r="5">
          <cell r="D5" t="str">
            <v>톤당</v>
          </cell>
        </row>
        <row r="6">
          <cell r="D6" t="str">
            <v>톤당</v>
          </cell>
        </row>
        <row r="7">
          <cell r="D7" t="str">
            <v>톤당</v>
          </cell>
        </row>
        <row r="8">
          <cell r="D8" t="str">
            <v>톤당</v>
          </cell>
        </row>
        <row r="9">
          <cell r="D9" t="str">
            <v>톤당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산출서 (2)"/>
      <sheetName val="Sheet1"/>
      <sheetName val="Sheet2"/>
      <sheetName val="Sheet3"/>
      <sheetName val="교각1"/>
      <sheetName val="일위대가목차"/>
      <sheetName val="말뚝지지력산정"/>
      <sheetName val="단면 (2)"/>
      <sheetName val="터파기및재료"/>
      <sheetName val="guard(mac)"/>
      <sheetName val="노임단가"/>
      <sheetName val="자재단가"/>
      <sheetName val="Book2"/>
      <sheetName val="PROJECT BRIEF(EX.NEW)"/>
      <sheetName val="LEGEND"/>
      <sheetName val="입찰안"/>
      <sheetName val="06 일위대가목록"/>
      <sheetName val="수량산출서_(2)"/>
      <sheetName val="06_일위대가목록"/>
      <sheetName val="97노임단가"/>
      <sheetName val="입력란"/>
      <sheetName val="설계조건"/>
      <sheetName val="ABUT수량-A1"/>
      <sheetName val="중기조종사 단위단가"/>
      <sheetName val="간선계산"/>
      <sheetName val="암거공"/>
      <sheetName val="Sheet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옹벽"/>
      <sheetName val="보차도경계석"/>
      <sheetName val="시중노임단가"/>
      <sheetName val="안정검토"/>
      <sheetName val="일위대가목차"/>
      <sheetName val="수량산출"/>
    </sheetNames>
    <sheetDataSet>
      <sheetData sheetId="0" refreshError="1">
        <row r="284">
          <cell r="B284">
            <v>7</v>
          </cell>
        </row>
        <row r="308">
          <cell r="AA308">
            <v>53.88000000000001</v>
          </cell>
        </row>
        <row r="322">
          <cell r="H322">
            <v>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데이타"/>
      <sheetName val="조도"/>
      <sheetName val="DATA"/>
      <sheetName val="Sheet1"/>
      <sheetName val="Sheet2"/>
      <sheetName val="담장산출"/>
      <sheetName val="노무비"/>
      <sheetName val="수목표준대가"/>
      <sheetName val="노임단가"/>
      <sheetName val="터널조도"/>
      <sheetName val="노임"/>
      <sheetName val="단가조사"/>
      <sheetName val="일위목록"/>
      <sheetName val="요율"/>
      <sheetName val="수량산출서"/>
      <sheetName val="4-7.중앙전기실(노임단가)"/>
      <sheetName val="ⴭⴭⴭⴭⴭ"/>
      <sheetName val="ILLU"/>
      <sheetName val="G.R300경비"/>
      <sheetName val="코드표"/>
      <sheetName val="증감대비"/>
      <sheetName val="일위대가"/>
      <sheetName val="경산"/>
      <sheetName val="7단가"/>
      <sheetName val="건축"/>
      <sheetName val="비탈면보호공수량산출"/>
      <sheetName val="식재가격"/>
      <sheetName val="식재총괄"/>
      <sheetName val="BID"/>
      <sheetName val="9509"/>
      <sheetName val="전기"/>
      <sheetName val="???"/>
      <sheetName val="냉천부속동"/>
      <sheetName val="건축내역"/>
      <sheetName val="일위대가목차"/>
      <sheetName val="Y-WORK"/>
      <sheetName val="설비"/>
      <sheetName val="BQ(실행)"/>
      <sheetName val="A갑지"/>
      <sheetName val="토사(PE)"/>
      <sheetName val="DATE"/>
      <sheetName val="COVER"/>
      <sheetName val="내역서"/>
      <sheetName val="File_관급"/>
      <sheetName val="공정집계"/>
      <sheetName val="COST"/>
      <sheetName val="#REF"/>
      <sheetName val="인건비 "/>
      <sheetName val="기계경비(시간당)"/>
      <sheetName val="램머"/>
      <sheetName val="전기일위대가"/>
      <sheetName val="TEL"/>
      <sheetName val="대비"/>
      <sheetName val="전산망"/>
      <sheetName val="데리네이타현황"/>
      <sheetName val="NEGO"/>
      <sheetName val="기성내역서표지"/>
      <sheetName val="단가산출2"/>
      <sheetName val="단가 및 재료비"/>
      <sheetName val="단가산출1"/>
      <sheetName val="Customer Databas"/>
      <sheetName val="01상노임"/>
      <sheetName val="I一般比"/>
      <sheetName val="N賃率-職"/>
      <sheetName val="점수계산1-2"/>
      <sheetName val="내역"/>
      <sheetName val="입찰안"/>
      <sheetName val="인건비"/>
      <sheetName val="설계조건"/>
      <sheetName val="자료"/>
      <sheetName val="공주-교대(A1)"/>
      <sheetName val="Sheet3"/>
      <sheetName val="COPING"/>
      <sheetName val="MOTOR"/>
      <sheetName val="CABdata"/>
      <sheetName val="단위일위"/>
      <sheetName val="노임9월"/>
      <sheetName val="무산소조"/>
      <sheetName val="안정계산"/>
      <sheetName val="단면검토"/>
      <sheetName val="2000년1차"/>
      <sheetName val="6공구(당초)"/>
      <sheetName val="개요"/>
      <sheetName val="직노"/>
      <sheetName val="11.1 단면hwp"/>
      <sheetName val="µ¥ÀÌÅ¸"/>
      <sheetName val="Á¶µµ"/>
      <sheetName val="³ëÀÓ"/>
      <sheetName val="G.R300°æºñ"/>
      <sheetName val="ºñÅ»¸éº¸È£°ø¼ö·®»êÃâ"/>
      <sheetName val="³ëÀÓ´Ü°¡"/>
      <sheetName val="ÀÏÀ§¸ñ·Ï"/>
      <sheetName val="¿äÀ²"/>
      <sheetName val="ÀÏÀ§´ë°¡"/>
      <sheetName val="ÅÍ³ÎÁ¶µµ"/>
      <sheetName val="ÄÚµåÇ¥"/>
      <sheetName val="´Ü°¡Á¶»ç"/>
      <sheetName val="포장복구집계"/>
      <sheetName val="진주방향"/>
      <sheetName val="종배수관면벽신"/>
      <sheetName val="적용단위길이"/>
      <sheetName val="기계경비"/>
      <sheetName val="일반자재"/>
      <sheetName val="배수공"/>
      <sheetName val="단락전류-A"/>
      <sheetName val="EQ-R1"/>
      <sheetName val="옹벽"/>
      <sheetName val="wall"/>
      <sheetName val="일위대가(가설)"/>
      <sheetName val="1단계"/>
      <sheetName val="터파기및재료"/>
      <sheetName val="수안보-MBR1"/>
      <sheetName val="소비자가"/>
      <sheetName val="단가 "/>
      <sheetName val="일위총괄표"/>
      <sheetName val="집계표"/>
      <sheetName val="설비내역서"/>
      <sheetName val="건축내역서"/>
      <sheetName val="전기내역서"/>
      <sheetName val="남양주부대"/>
      <sheetName val="을"/>
      <sheetName val="내역서(총)"/>
      <sheetName val="공통가설"/>
      <sheetName val="비교1"/>
      <sheetName val="첨부1"/>
      <sheetName val="자재단가"/>
      <sheetName val="DATA 입력부"/>
      <sheetName val="경비_원본"/>
      <sheetName val="수량-가로등"/>
      <sheetName val="자재"/>
      <sheetName val="1.설계조건"/>
      <sheetName val="제잡비 산출내역(실적공사비)"/>
      <sheetName val="단가"/>
      <sheetName val="날개벽"/>
      <sheetName val="단가산출"/>
      <sheetName val="사용성검토"/>
      <sheetName val="토목"/>
      <sheetName val="유류사용"/>
      <sheetName val="1-1"/>
      <sheetName val="SLAB&quot;1&quot;"/>
      <sheetName val="INFO"/>
      <sheetName val="2.냉난방설비공사"/>
      <sheetName val="7.자동제어공사"/>
      <sheetName val="산수배수"/>
      <sheetName val="금융비용"/>
      <sheetName val="일위집계(기존)"/>
      <sheetName val="내역서(기계)"/>
      <sheetName val="CODE"/>
      <sheetName val="통합"/>
      <sheetName val="ABUT수량-A1"/>
      <sheetName val="전기산출"/>
      <sheetName val="중기사용료산출근거"/>
      <sheetName val="MATERIAL"/>
      <sheetName val="단 box"/>
      <sheetName val="NEYOK"/>
      <sheetName val="°æ»ê"/>
      <sheetName val="토공계산서(부체도로)"/>
      <sheetName val="산업"/>
      <sheetName val="calculation"/>
      <sheetName val="AS복구"/>
      <sheetName val="중기터파기"/>
      <sheetName val="변수값"/>
      <sheetName val="중기상차"/>
      <sheetName val="b_balju"/>
      <sheetName val="주공기준"/>
      <sheetName val="공종구간"/>
      <sheetName val="단가비교"/>
      <sheetName val="b_balju_cho"/>
      <sheetName val="도급"/>
      <sheetName val="Front"/>
      <sheetName val="조도계산"/>
      <sheetName val="9811"/>
      <sheetName val="가격조사"/>
      <sheetName val="손익분석"/>
      <sheetName val="6호기"/>
      <sheetName val="1차 내역서"/>
      <sheetName val="노임이"/>
      <sheetName val="부표총괄"/>
      <sheetName val="EACT10"/>
      <sheetName val="시중노임(공사)"/>
      <sheetName val="건축내역(도급)"/>
      <sheetName val="교각1"/>
      <sheetName val="갑지(추정)"/>
      <sheetName val="노무"/>
      <sheetName val="6PILE  (돌출)"/>
      <sheetName val="노단"/>
      <sheetName val="수량인공"/>
      <sheetName val="원형1호맨홀토공수량"/>
      <sheetName val="노원열병합  건축공사기성내역서"/>
      <sheetName val="2.가정단면"/>
      <sheetName val="장비"/>
      <sheetName val="자동차폐수처리장"/>
      <sheetName val="10.공통-노임단가"/>
      <sheetName val="TRE TABLE"/>
      <sheetName val="ASEM내역"/>
      <sheetName val="조건표"/>
      <sheetName val="예산명세서"/>
      <sheetName val="설계명세서"/>
      <sheetName val="자료입력"/>
      <sheetName val="AC포장수량"/>
      <sheetName val="난간벽단위"/>
      <sheetName val="교각별수량"/>
      <sheetName val="LIST"/>
      <sheetName val="WORK"/>
      <sheetName val="횡배수관"/>
      <sheetName val="제잡비1"/>
      <sheetName val="조명율표"/>
      <sheetName val="CATCH BASIN"/>
      <sheetName val="대로근거"/>
      <sheetName val="내역서(갑)"/>
      <sheetName val="단위중량"/>
      <sheetName val="변압기 및 발전기 용량"/>
      <sheetName val="제품"/>
      <sheetName val="산출근거"/>
      <sheetName val="Sheet1 (2)"/>
      <sheetName val="중간부"/>
      <sheetName val="인부노임"/>
      <sheetName val="예산변경사항"/>
      <sheetName val="첨부파일"/>
      <sheetName val="관급"/>
      <sheetName val="출력-내역서"/>
      <sheetName val="견적서세부내용"/>
      <sheetName val="견적내용입력"/>
      <sheetName val="발신정보"/>
      <sheetName val="예정(3)"/>
      <sheetName val="동원(3)"/>
      <sheetName val="말뚝지지력산정"/>
      <sheetName val="옹벽기초자료"/>
      <sheetName val="현황산출서"/>
      <sheetName val="원가계산서 "/>
      <sheetName val="Macro(전선)"/>
      <sheetName val="자재단가비교표"/>
      <sheetName val="플랜트 설치"/>
      <sheetName val="내부부하"/>
      <sheetName val="부대대비"/>
      <sheetName val="냉연집계"/>
      <sheetName val="실행내역 "/>
      <sheetName val="도급정산"/>
      <sheetName val="공종목록표"/>
      <sheetName val="사급자재"/>
      <sheetName val="물가"/>
      <sheetName val="맨홀수량산출"/>
      <sheetName val="기둥(원형)"/>
      <sheetName val="단면 (2)"/>
      <sheetName val="노임단가표"/>
      <sheetName val="단가조사서"/>
      <sheetName val="토 적 표"/>
      <sheetName val="간선계산"/>
      <sheetName val="수량산출"/>
      <sheetName val="세부내역"/>
      <sheetName val="2001년 건설노임"/>
      <sheetName val="CIVIL"/>
      <sheetName val="예산M12A"/>
      <sheetName val="일위목차"/>
      <sheetName val="정부노임단가"/>
      <sheetName val="동해title"/>
      <sheetName val="공정코드"/>
      <sheetName val="실행내역"/>
      <sheetName val="목차"/>
      <sheetName val="측량노임단가"/>
      <sheetName val="토공2"/>
      <sheetName val="토공1"/>
      <sheetName val="구조물토공1"/>
      <sheetName val="토공3"/>
      <sheetName val="자재단가-1"/>
      <sheetName val="공통가설비"/>
      <sheetName val="안정검토"/>
      <sheetName val="WEIGHT LIST"/>
      <sheetName val="POL6차-PIPING"/>
      <sheetName val="산#2-1 (2)"/>
      <sheetName val="산#3-1"/>
      <sheetName val="(A)내역서"/>
      <sheetName val="Sheet15"/>
      <sheetName val="총괄표"/>
      <sheetName val="인공산출"/>
      <sheetName val="부대내역"/>
      <sheetName val="말고개터널조명전압강하"/>
      <sheetName val="건축(충일분)"/>
      <sheetName val="방송일위대가"/>
      <sheetName val="3.하중산정4.지지력"/>
      <sheetName val="단가코드"/>
      <sheetName val="교통대책내역"/>
      <sheetName val="내역분기"/>
      <sheetName val="자재단가표"/>
      <sheetName val="계수시트"/>
      <sheetName val="XL4Poppy"/>
      <sheetName val="설계산출기초"/>
      <sheetName val="설계산출표지"/>
      <sheetName val="도급예산내역서총괄표"/>
      <sheetName val="을부담운반비"/>
      <sheetName val="운반비산출"/>
      <sheetName val="직공비"/>
      <sheetName val="비목군단가비교표"/>
      <sheetName val="INPUT(덕도방향-시점)"/>
      <sheetName val="원가계산서"/>
      <sheetName val="하수급견적대비"/>
      <sheetName val="건축집계표"/>
      <sheetName val="2009노임(공사)"/>
      <sheetName val="공문"/>
      <sheetName val="전장품(관리용)"/>
      <sheetName val="견적서"/>
      <sheetName val="기자재대비표"/>
      <sheetName val="2004,상노임"/>
      <sheetName val="96노임기준"/>
      <sheetName val="시설물일위"/>
      <sheetName val="input"/>
      <sheetName val="DATA(광속)"/>
      <sheetName val="교각계산"/>
      <sheetName val="G_R300경비"/>
      <sheetName val="단가_"/>
      <sheetName val="4-7_중앙전기실(노임단가)"/>
      <sheetName val="성곽내역서"/>
      <sheetName val="수량명세서"/>
      <sheetName val="토공수량산출"/>
      <sheetName val="토적계산서"/>
      <sheetName val="전선 및 전선관"/>
      <sheetName val="관리비"/>
      <sheetName val="내역(2000년)"/>
      <sheetName val="일위노임단가"/>
      <sheetName val="Mc1"/>
      <sheetName val="7´Ü°¡"/>
      <sheetName val="¼ö¸ñÇ¥ÁØ´ë°¡"/>
      <sheetName val="IìéÚõÝï"/>
      <sheetName val="NìüëÒ-òÅ"/>
      <sheetName val="°ÇÃà³»¿ª"/>
      <sheetName val="Áõ°¨´ëºñ"/>
      <sheetName val="³»¿ª¼­"/>
      <sheetName val="A°©Áö"/>
      <sheetName val="4-7.Áß¾ÓÀü±â½Ç(³ëÀÓ´Ü°¡)"/>
      <sheetName val="°ÇÃà"/>
      <sheetName val="½ÄÀç°¡°Ý"/>
      <sheetName val="½ÄÀçÃÑ°ý"/>
      <sheetName val="Àü±â"/>
      <sheetName val="´ãÀå»êÃâ"/>
      <sheetName val="Åä»ç(PE)"/>
      <sheetName val="11.1 ´Ü¸éhwp"/>
      <sheetName val="6È£±â"/>
      <sheetName val="ÀÎ°Çºñ "/>
      <sheetName val="´ëºñ"/>
      <sheetName val="BQ(½ÇÇà)"/>
      <sheetName val="Á¡¼ö°è»ê1-2"/>
      <sheetName val="³ë¹«ºñ"/>
      <sheetName val="±â°è°æºñ(½Ã°£´ç)"/>
      <sheetName val="·¥¸Ó"/>
      <sheetName val="Àü±âÀÏÀ§´ë°¡"/>
      <sheetName val="File_°ü±Þ"/>
      <sheetName val="°øÁ¤Áý°è"/>
      <sheetName val="ÀÔÂû¾È"/>
      <sheetName val="³»¿ª"/>
      <sheetName val="Æ÷Àåº¹±¸Áý°è"/>
      <sheetName val="1Â÷ ³»¿ª¼­"/>
      <sheetName val="°øÅë°¡¼³"/>
      <sheetName val="01»ó³ëÀÓ"/>
      <sheetName val="½ÃÁß³ëÀÓ(°ø»ç)"/>
      <sheetName val="³ëÀÓ9¿ù"/>
      <sheetName val="¹«»ê¼ÒÁ¶"/>
      <sheetName val="¼³°èÁ¶°Ç"/>
      <sheetName val="¾ÈÁ¤°è»ê"/>
      <sheetName val="´Ü¸é°ËÅä"/>
      <sheetName val="ÅÍÆÄ±â¹×Àç·á"/>
      <sheetName val="Àü»ê¸Á"/>
      <sheetName val="µ¥¸®³×ÀÌÅ¸ÇöÈ²"/>
      <sheetName val="Á÷³ë"/>
      <sheetName val="Á¾¹è¼ö°ü¸éº®½Å"/>
      <sheetName val="Àû¿ë´ÜÀ§±æÀÌ"/>
      <sheetName val="2000³â1Â÷"/>
      <sheetName val="6°ø±¸(´çÃÊ)"/>
      <sheetName val="°³¿ä"/>
      <sheetName val="ÀÚ·á"/>
      <sheetName val="´Ü¶ôÀü·ù-A"/>
      <sheetName val="±â°è°æºñ"/>
      <sheetName val="ÀÏ¹ÝÀÚÀç"/>
      <sheetName val="¹è¼ö°ø"/>
      <sheetName val="ÁøÁÖ¹æÇâ"/>
      <sheetName val="¼ö¾Èº¸-MBR1"/>
      <sheetName val="°øÁÖ-±³´ë(A1)"/>
      <sheetName val="³ÃÃµºÎ¼Óµ¿"/>
      <sheetName val="´Ü°¡"/>
      <sheetName val="ÀÎ°Çºñ"/>
      <sheetName val="¿¹»ê¸í¼¼¼­"/>
      <sheetName val="¼³°è¸í¼¼¼­"/>
      <sheetName val="ÀÚ·áÀÔ·Â"/>
      <sheetName val="À»"/>
      <sheetName val="´Ü°¡ºñ±³"/>
      <sheetName val="°æºñ_¿øº»"/>
      <sheetName val="¼ö·®-°¡·Îµî"/>
      <sheetName val="´ÜÀ§ÀÏÀ§"/>
      <sheetName val="¿ø°¡°è»ê¼­"/>
      <sheetName val="¼³ºñ"/>
      <sheetName val="°ÇÃàÁý°èÇ¥"/>
      <sheetName val="»ê¾÷"/>
      <sheetName val="ÀÚÀç´Ü°¡"/>
      <sheetName val="¼ÒºñÀÚ°¡"/>
      <sheetName val="´Ü°¡ "/>
      <sheetName val="ÀÏÀ§ÃÑ°ýÇ¥"/>
      <sheetName val="1´Ü°è"/>
      <sheetName val="¼ö·®»êÃâ¼­"/>
      <sheetName val="³ë¹«"/>
      <sheetName val="Åä¸ñ"/>
      <sheetName val="공조기"/>
      <sheetName val="기본일위"/>
      <sheetName val="경  비 "/>
      <sheetName val="재료비"/>
      <sheetName val="4동급수"/>
      <sheetName val="차수"/>
      <sheetName val="신규 수주분(사용자 정의)"/>
      <sheetName val="비용"/>
      <sheetName val="시설물"/>
      <sheetName val="식재출력용"/>
      <sheetName val="식재"/>
      <sheetName val="유지관리"/>
      <sheetName val="과천MAIN"/>
      <sheetName val="h-013211-2"/>
      <sheetName val="2경간"/>
      <sheetName val="3련 BOX"/>
      <sheetName val="실행대비"/>
      <sheetName val="남대문빌딩"/>
      <sheetName val="지급자재"/>
      <sheetName val="노무비 "/>
      <sheetName val="일위대가(건축)"/>
      <sheetName val="NEWDRAW"/>
      <sheetName val="TB-내역서"/>
      <sheetName val="을지"/>
      <sheetName val="금액집계"/>
      <sheetName val="현장관리비"/>
      <sheetName val="고창터널(고창방향)"/>
      <sheetName val="아스.노면절삭"/>
      <sheetName val="평가데이터"/>
      <sheetName val="토공유동표"/>
      <sheetName val="발주설계서(당초)"/>
      <sheetName val="기초자료"/>
      <sheetName val="일위"/>
      <sheetName val="배선DATA"/>
      <sheetName val="전동기DATA"/>
      <sheetName val="type-F"/>
      <sheetName val="문산방향-교대(A2)"/>
      <sheetName val="우수토적(진입도로)"/>
      <sheetName val="연결임시"/>
      <sheetName val="비용display"/>
      <sheetName val="기초일위"/>
      <sheetName val="시설일위"/>
      <sheetName val="조명일위"/>
      <sheetName val="2000,9월 일위"/>
      <sheetName val="관로내역원"/>
      <sheetName val="갑지"/>
      <sheetName val="쌍송교"/>
      <sheetName val="재집"/>
      <sheetName val="직재"/>
      <sheetName val="Total"/>
      <sheetName val="guard(mac)"/>
      <sheetName val="관기성공.내"/>
      <sheetName val="실행내역서 "/>
      <sheetName val="102역사"/>
      <sheetName val="Sheet5"/>
      <sheetName val="차도조도계산"/>
      <sheetName val="개소별수량산출"/>
      <sheetName val="danga"/>
      <sheetName val="ilch"/>
      <sheetName val="실행철강하도"/>
      <sheetName val="소업1교"/>
      <sheetName val="소총괄표1"/>
      <sheetName val="SIL98"/>
      <sheetName val="상반기손익차2총괄"/>
      <sheetName val="단가대비"/>
      <sheetName val="1"/>
      <sheetName val="SUMMARYMCA"/>
      <sheetName val="설변물량"/>
      <sheetName val="일위집계"/>
      <sheetName val="DESIGN CRITERIA"/>
      <sheetName val="부하계산"/>
      <sheetName val="sheets"/>
      <sheetName val="중기조종사 단위단가"/>
      <sheetName val="dt0301"/>
      <sheetName val="dtt0301"/>
      <sheetName val="부하계산서"/>
      <sheetName val="2. 공원조도(전통공원)"/>
      <sheetName val="자단"/>
      <sheetName val="95WBS"/>
      <sheetName val="지주토목내역서"/>
      <sheetName val="철콘공사"/>
      <sheetName val="일위대가 (100%)"/>
      <sheetName val="계산근거"/>
      <sheetName val="월별손익"/>
      <sheetName val="배수장토목공사비"/>
      <sheetName val="수량집계"/>
      <sheetName val="총괄집계표"/>
      <sheetName val="감액총괄표"/>
      <sheetName val="원가"/>
      <sheetName val="공내역"/>
      <sheetName val="Noname 1"/>
      <sheetName val="각종장비전압강하계산"/>
      <sheetName val="공사설명서"/>
      <sheetName val="공사계획서"/>
      <sheetName val="기계내역"/>
      <sheetName val="공통가설공사"/>
      <sheetName val="견적업체"/>
      <sheetName val="제출내역 (2)"/>
      <sheetName val="교대시점"/>
      <sheetName val="총2000실2000연"/>
      <sheetName val="내2"/>
      <sheetName val="상부공"/>
      <sheetName val="내역표지"/>
      <sheetName val="투찰(하수)"/>
      <sheetName val="공내역서"/>
      <sheetName val="견"/>
      <sheetName val="8.2TON"/>
      <sheetName val="돈암사업"/>
      <sheetName val="TOTAL3"/>
      <sheetName val="목록1"/>
      <sheetName val="목록2"/>
      <sheetName val="중기"/>
      <sheetName val="총괄내역서"/>
      <sheetName val="관접합및부설"/>
      <sheetName val="SP"/>
      <sheetName val="경비2내역"/>
      <sheetName val="공사원가계산서"/>
      <sheetName val="일위대가표(무)"/>
      <sheetName val="일위대가산출기초"/>
      <sheetName val="ITEM"/>
      <sheetName val="토공"/>
      <sheetName val="일위대가표"/>
      <sheetName val="토목주소"/>
      <sheetName val="수목데이타 "/>
      <sheetName val="노임단"/>
      <sheetName val="부대공"/>
      <sheetName val="운반공"/>
      <sheetName val="자재단"/>
      <sheetName val="장비단"/>
      <sheetName val="품셈표"/>
      <sheetName val="대운반(신설-관급)"/>
      <sheetName val="단가비교표"/>
      <sheetName val="ZONE.1"/>
      <sheetName val="기둥(하중)"/>
      <sheetName val="노임표"/>
      <sheetName val="CAT_5"/>
      <sheetName val="BSD (2)"/>
      <sheetName val="적용률"/>
      <sheetName val="일위_파일"/>
      <sheetName val="순공사비"/>
      <sheetName val="간접비내역-1"/>
      <sheetName val="2_냉난방설비공사"/>
      <sheetName val="기본"/>
      <sheetName val="남양구조시험동"/>
      <sheetName val="납부서"/>
      <sheetName val="금광1터널"/>
      <sheetName val="총괄"/>
      <sheetName val="효성CB 1P기초"/>
      <sheetName val="현장경비"/>
      <sheetName val="내역1"/>
      <sheetName val="내역서2안"/>
      <sheetName val="1.설계기준"/>
      <sheetName val="대치판정"/>
      <sheetName val="TOTAL_BOQ"/>
      <sheetName val="공종"/>
      <sheetName val="4)유동표"/>
      <sheetName val="JUCKEYK"/>
      <sheetName val="WO"/>
      <sheetName val="VXXXXXXX"/>
      <sheetName val="건축원가"/>
      <sheetName val="인건비_"/>
      <sheetName val="G_R300°æºñ"/>
      <sheetName val="11_1_단면hwp"/>
      <sheetName val="TRE_TABLE"/>
      <sheetName val="Customer_Databas"/>
      <sheetName val="7_자동제어공사"/>
      <sheetName val="DATA_입력부"/>
      <sheetName val="1_설계조건"/>
      <sheetName val="제잡비_산출내역(실적공사비)"/>
      <sheetName val="단가_및_재료비"/>
      <sheetName val="변압기_및_발전기_용량"/>
      <sheetName val="Sheet1_(2)"/>
      <sheetName val="토_적_표"/>
      <sheetName val="노원열병합__건축공사기성내역서"/>
      <sheetName val="YOEMAGUM"/>
      <sheetName val="설계내역(2001)"/>
      <sheetName val="노임목록"/>
      <sheetName val="자재목록"/>
      <sheetName val="중기목록"/>
      <sheetName val="공사요율"/>
      <sheetName val="11"/>
      <sheetName val="RAHMEN"/>
      <sheetName val="장비비"/>
      <sheetName val="송라터널총괄"/>
      <sheetName val="중로근거"/>
      <sheetName val="전체현황"/>
      <sheetName val="참조"/>
      <sheetName val="8.PILE  (돌출)"/>
      <sheetName val="자 110% &amp; 노 70%"/>
      <sheetName val="신리"/>
      <sheetName val="sw1"/>
      <sheetName val="실적원가"/>
      <sheetName val="토공(우물통,기타) "/>
      <sheetName val="Imp-Data"/>
      <sheetName val="다심-cable"/>
      <sheetName val="1C-cable"/>
      <sheetName val="견적을지"/>
      <sheetName val="기계경비산출기준"/>
      <sheetName val="Manual Valve List"/>
      <sheetName val="기초자료입력"/>
      <sheetName val="집계장(대목_실행)"/>
      <sheetName val="DATA1"/>
      <sheetName val="참고자료"/>
      <sheetName val="2010노임(공사)"/>
      <sheetName val="6. 직접경비"/>
      <sheetName val="본부소개"/>
      <sheetName val="견적990322"/>
      <sheetName val="960318-1"/>
      <sheetName val="Macro1"/>
      <sheetName val="Macro3"/>
      <sheetName val="Macro2"/>
      <sheetName val="백암비스타내역"/>
      <sheetName val="__MAIN"/>
      <sheetName val="전등"/>
      <sheetName val="가로등기초"/>
      <sheetName val="진접"/>
      <sheetName val="철근단면적"/>
      <sheetName val="말뚝기초"/>
      <sheetName val="본사업"/>
      <sheetName val="SG"/>
      <sheetName val="가시설단위수량"/>
      <sheetName val="신우"/>
      <sheetName val="견적집계표"/>
      <sheetName val="협조전"/>
      <sheetName val="TYPE-A"/>
      <sheetName val="000000"/>
      <sheetName val="토공(완충)"/>
      <sheetName val="___"/>
      <sheetName val="남양시작동자105노65기1.3화1.2"/>
      <sheetName val="단가표"/>
      <sheetName val="2"/>
      <sheetName val="예산M2"/>
      <sheetName val="배관"/>
      <sheetName val="기둥"/>
      <sheetName val="저판(버림100)"/>
      <sheetName val="Sheet9"/>
      <sheetName val="간선"/>
      <sheetName val="전기자료"/>
      <sheetName val="발전기"/>
      <sheetName val="Sheet10"/>
      <sheetName val="Sheet14"/>
      <sheetName val="Sheet13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산출"/>
    </sheetNames>
    <sheetDataSet>
      <sheetData sheetId="0" refreshError="1"/>
      <sheetData sheetId="1" refreshError="1">
        <row r="23">
          <cell r="R23">
            <v>0</v>
          </cell>
          <cell r="S23" t="str">
            <v>J</v>
          </cell>
          <cell r="U23" t="str">
            <v>FCL 20W</v>
          </cell>
          <cell r="V23">
            <v>900</v>
          </cell>
        </row>
        <row r="24">
          <cell r="R24">
            <v>0.7</v>
          </cell>
          <cell r="S24" t="str">
            <v>I</v>
          </cell>
          <cell r="U24" t="str">
            <v>FCL 30W</v>
          </cell>
          <cell r="V24">
            <v>1370</v>
          </cell>
        </row>
        <row r="25">
          <cell r="R25">
            <v>0.9</v>
          </cell>
          <cell r="S25" t="str">
            <v>H</v>
          </cell>
          <cell r="U25" t="str">
            <v>FCL 32W</v>
          </cell>
          <cell r="V25">
            <v>1690</v>
          </cell>
        </row>
        <row r="26">
          <cell r="R26">
            <v>1.1200000000000001</v>
          </cell>
          <cell r="S26" t="str">
            <v>G</v>
          </cell>
          <cell r="U26" t="str">
            <v>FCL 40W</v>
          </cell>
          <cell r="V26">
            <v>2310</v>
          </cell>
        </row>
        <row r="27">
          <cell r="R27">
            <v>1.38</v>
          </cell>
          <cell r="S27" t="str">
            <v>F</v>
          </cell>
          <cell r="U27" t="str">
            <v>FL 1/20W</v>
          </cell>
          <cell r="V27">
            <v>1010</v>
          </cell>
        </row>
        <row r="28">
          <cell r="R28">
            <v>1.75</v>
          </cell>
          <cell r="S28" t="str">
            <v>E</v>
          </cell>
          <cell r="U28" t="str">
            <v>FL 1/32W</v>
          </cell>
          <cell r="V28">
            <v>2860</v>
          </cell>
        </row>
        <row r="29">
          <cell r="R29">
            <v>2.25</v>
          </cell>
          <cell r="S29" t="str">
            <v>D</v>
          </cell>
          <cell r="U29" t="str">
            <v>FL 1/40W</v>
          </cell>
          <cell r="V29">
            <v>2610</v>
          </cell>
        </row>
        <row r="30">
          <cell r="R30">
            <v>2.75</v>
          </cell>
          <cell r="S30" t="str">
            <v>C</v>
          </cell>
          <cell r="U30" t="str">
            <v>FL 2/20W</v>
          </cell>
          <cell r="V30">
            <v>2020</v>
          </cell>
        </row>
        <row r="31">
          <cell r="R31">
            <v>3.5</v>
          </cell>
          <cell r="S31" t="str">
            <v>B</v>
          </cell>
          <cell r="U31" t="str">
            <v>FL 2/32W</v>
          </cell>
          <cell r="V31">
            <v>5720</v>
          </cell>
        </row>
        <row r="32">
          <cell r="R32">
            <v>4.5</v>
          </cell>
          <cell r="S32" t="str">
            <v>A</v>
          </cell>
          <cell r="U32" t="str">
            <v>FL 2/40W</v>
          </cell>
          <cell r="V32">
            <v>5220</v>
          </cell>
        </row>
        <row r="33">
          <cell r="U33" t="str">
            <v>FUL 13W</v>
          </cell>
          <cell r="V33">
            <v>800</v>
          </cell>
        </row>
        <row r="34">
          <cell r="U34" t="str">
            <v>FUL 17W</v>
          </cell>
          <cell r="V34">
            <v>1070</v>
          </cell>
        </row>
        <row r="35">
          <cell r="U35" t="str">
            <v>FUL 27W</v>
          </cell>
          <cell r="V35">
            <v>1550</v>
          </cell>
        </row>
        <row r="36">
          <cell r="U36" t="str">
            <v>IL 100W</v>
          </cell>
          <cell r="V36">
            <v>1250</v>
          </cell>
        </row>
        <row r="37">
          <cell r="U37" t="str">
            <v>IL 150W</v>
          </cell>
          <cell r="V37">
            <v>2090</v>
          </cell>
        </row>
        <row r="38">
          <cell r="U38" t="str">
            <v>IL 200W</v>
          </cell>
          <cell r="V38">
            <v>2920</v>
          </cell>
        </row>
        <row r="39">
          <cell r="U39" t="str">
            <v>IL 20W</v>
          </cell>
          <cell r="V39">
            <v>130</v>
          </cell>
        </row>
        <row r="40">
          <cell r="U40" t="str">
            <v>IL 30W</v>
          </cell>
          <cell r="V40">
            <v>240</v>
          </cell>
        </row>
        <row r="41">
          <cell r="U41" t="str">
            <v>IL 40W</v>
          </cell>
          <cell r="V41">
            <v>350</v>
          </cell>
        </row>
        <row r="42">
          <cell r="U42" t="str">
            <v>IL 60W</v>
          </cell>
          <cell r="V42">
            <v>630</v>
          </cell>
        </row>
        <row r="43">
          <cell r="U43" t="str">
            <v>MH 100W</v>
          </cell>
          <cell r="V43">
            <v>6500</v>
          </cell>
        </row>
        <row r="44">
          <cell r="U44" t="str">
            <v>MH 175W</v>
          </cell>
          <cell r="V44">
            <v>14000</v>
          </cell>
        </row>
        <row r="45">
          <cell r="U45" t="str">
            <v>MH 250W</v>
          </cell>
          <cell r="V45">
            <v>20500</v>
          </cell>
        </row>
        <row r="46">
          <cell r="U46" t="str">
            <v>MH 400W</v>
          </cell>
          <cell r="V46">
            <v>34000</v>
          </cell>
        </row>
        <row r="47">
          <cell r="U47" t="str">
            <v>NH 100W</v>
          </cell>
          <cell r="V47">
            <v>9000</v>
          </cell>
        </row>
        <row r="48">
          <cell r="U48" t="str">
            <v>NH 150W</v>
          </cell>
          <cell r="V48">
            <v>14000</v>
          </cell>
        </row>
        <row r="49">
          <cell r="U49" t="str">
            <v>NH 200W</v>
          </cell>
          <cell r="V49">
            <v>25000</v>
          </cell>
        </row>
        <row r="50">
          <cell r="U50" t="str">
            <v>NH 70W</v>
          </cell>
          <cell r="V50">
            <v>6200</v>
          </cell>
        </row>
      </sheetData>
      <sheetData sheetId="2" refreshError="1"/>
      <sheetData sheetId="3" refreshError="1">
        <row r="6">
          <cell r="E6" t="str">
            <v>A</v>
          </cell>
          <cell r="F6">
            <v>0.82</v>
          </cell>
        </row>
        <row r="7">
          <cell r="E7" t="str">
            <v>B</v>
          </cell>
          <cell r="F7">
            <v>0.79</v>
          </cell>
        </row>
        <row r="8">
          <cell r="E8" t="str">
            <v>C</v>
          </cell>
          <cell r="F8">
            <v>0.76</v>
          </cell>
        </row>
        <row r="9">
          <cell r="E9" t="str">
            <v>D</v>
          </cell>
          <cell r="F9">
            <v>0.72</v>
          </cell>
        </row>
        <row r="10">
          <cell r="E10" t="str">
            <v>E</v>
          </cell>
          <cell r="F10">
            <v>0.68</v>
          </cell>
        </row>
        <row r="11">
          <cell r="E11" t="str">
            <v>F</v>
          </cell>
          <cell r="F11">
            <v>0.62</v>
          </cell>
        </row>
        <row r="12">
          <cell r="E12" t="str">
            <v>G</v>
          </cell>
          <cell r="F12">
            <v>0.56999999999999995</v>
          </cell>
        </row>
        <row r="13">
          <cell r="E13" t="str">
            <v>H</v>
          </cell>
          <cell r="F13">
            <v>0.49</v>
          </cell>
        </row>
        <row r="14">
          <cell r="E14" t="str">
            <v>I</v>
          </cell>
          <cell r="F14">
            <v>0.42</v>
          </cell>
        </row>
        <row r="15">
          <cell r="E15" t="str">
            <v>J</v>
          </cell>
          <cell r="F15">
            <v>0.33</v>
          </cell>
        </row>
        <row r="17">
          <cell r="E17" t="str">
            <v>A</v>
          </cell>
          <cell r="F17">
            <v>0.74</v>
          </cell>
        </row>
        <row r="18">
          <cell r="E18" t="str">
            <v>B</v>
          </cell>
          <cell r="F18">
            <v>0.71</v>
          </cell>
        </row>
        <row r="19">
          <cell r="E19" t="str">
            <v>C</v>
          </cell>
          <cell r="F19">
            <v>0.67</v>
          </cell>
        </row>
        <row r="20">
          <cell r="E20" t="str">
            <v>D</v>
          </cell>
          <cell r="F20">
            <v>0.64</v>
          </cell>
        </row>
        <row r="21">
          <cell r="E21" t="str">
            <v>E</v>
          </cell>
          <cell r="F21">
            <v>0.59</v>
          </cell>
        </row>
        <row r="22">
          <cell r="E22" t="str">
            <v>F</v>
          </cell>
          <cell r="F22">
            <v>0.53</v>
          </cell>
        </row>
        <row r="23">
          <cell r="E23" t="str">
            <v>G</v>
          </cell>
          <cell r="F23">
            <v>0.49</v>
          </cell>
        </row>
        <row r="24">
          <cell r="E24" t="str">
            <v>H</v>
          </cell>
          <cell r="F24">
            <v>0.42</v>
          </cell>
        </row>
        <row r="25">
          <cell r="E25" t="str">
            <v>I</v>
          </cell>
          <cell r="F25">
            <v>0.36</v>
          </cell>
        </row>
        <row r="26">
          <cell r="E26" t="str">
            <v>J</v>
          </cell>
          <cell r="F26">
            <v>0.28000000000000003</v>
          </cell>
        </row>
        <row r="50">
          <cell r="E50" t="str">
            <v>A</v>
          </cell>
          <cell r="F50">
            <v>0.72</v>
          </cell>
        </row>
        <row r="51">
          <cell r="E51" t="str">
            <v>B</v>
          </cell>
          <cell r="F51">
            <v>0.68</v>
          </cell>
        </row>
        <row r="52">
          <cell r="E52" t="str">
            <v>C</v>
          </cell>
          <cell r="F52">
            <v>0.63</v>
          </cell>
        </row>
        <row r="53">
          <cell r="E53" t="str">
            <v>D</v>
          </cell>
          <cell r="F53">
            <v>0.59</v>
          </cell>
        </row>
        <row r="54">
          <cell r="E54" t="str">
            <v>E</v>
          </cell>
          <cell r="F54">
            <v>0.54</v>
          </cell>
        </row>
        <row r="55">
          <cell r="E55" t="str">
            <v>F</v>
          </cell>
          <cell r="F55">
            <v>0.48</v>
          </cell>
        </row>
        <row r="56">
          <cell r="E56" t="str">
            <v>G</v>
          </cell>
          <cell r="F56">
            <v>0.43</v>
          </cell>
        </row>
        <row r="57">
          <cell r="E57" t="str">
            <v>H</v>
          </cell>
          <cell r="F57">
            <v>0.39</v>
          </cell>
        </row>
        <row r="58">
          <cell r="E58" t="str">
            <v>I</v>
          </cell>
          <cell r="F58">
            <v>0.31</v>
          </cell>
        </row>
        <row r="59">
          <cell r="E59" t="str">
            <v>J</v>
          </cell>
          <cell r="F59">
            <v>0.24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합"/>
      <sheetName val="type-F"/>
      <sheetName val="안정검토"/>
      <sheetName val="옹벽"/>
      <sheetName val="데이타"/>
      <sheetName val="DATA"/>
      <sheetName val="방음벽 기초 일반수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집계"/>
      <sheetName val="F철근집계"/>
      <sheetName val="type-F"/>
      <sheetName val="안정검토"/>
      <sheetName val="H-pile(298x299)"/>
      <sheetName val="H-pile(250x250)"/>
      <sheetName val="통합"/>
      <sheetName val="단가"/>
      <sheetName val="1.설계조건"/>
      <sheetName val="일위대가"/>
      <sheetName val="단면치수"/>
      <sheetName val="Sheet1"/>
      <sheetName val="데이타"/>
      <sheetName val="DATA"/>
      <sheetName val="조명시설"/>
      <sheetName val="역T형"/>
      <sheetName val="말뚝지지력산정"/>
      <sheetName val="직재"/>
    </sheetNames>
    <sheetDataSet>
      <sheetData sheetId="0"/>
      <sheetData sheetId="1"/>
      <sheetData sheetId="2" refreshError="1">
        <row r="411">
          <cell r="AS411">
            <v>5.6829999999999989</v>
          </cell>
        </row>
        <row r="415">
          <cell r="AS415">
            <v>46.018999999999998</v>
          </cell>
        </row>
        <row r="419">
          <cell r="AS419">
            <v>202.292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기초공"/>
      <sheetName val="기둥(원형)"/>
      <sheetName val="식재하위"/>
      <sheetName val="시설,관리하위"/>
      <sheetName val="일위(포장,우배수)"/>
      <sheetName val="광섬유,열주"/>
      <sheetName val="시설"/>
      <sheetName val="단산목록(L)"/>
      <sheetName val="단가산출(L)"/>
      <sheetName val="이식수상하차"/>
      <sheetName val="이식수운반"/>
      <sheetName val="단산목록(C)"/>
      <sheetName val="단가산출(C)"/>
      <sheetName val="단가산출(아스콘T=3)"/>
      <sheetName val="중기목록"/>
      <sheetName val="중기사용"/>
      <sheetName val="철거수량표"/>
      <sheetName val="이식수량표"/>
      <sheetName val="식재수량"/>
      <sheetName val="시설물수량표"/>
      <sheetName val="포장수량표"/>
      <sheetName val="단가조사(변경2)"/>
      <sheetName val="단가조사"/>
      <sheetName val="경산"/>
      <sheetName val="차액보증"/>
      <sheetName val="일위대가목차"/>
      <sheetName val="직노"/>
      <sheetName val="WORK"/>
      <sheetName val="데이타"/>
      <sheetName val="BID"/>
      <sheetName val="일위"/>
      <sheetName val="터파기및재료"/>
      <sheetName val="I.설계조건"/>
      <sheetName val="토공(우물통,기타) "/>
      <sheetName val="부하계산서"/>
      <sheetName val="Sheet1"/>
      <sheetName val="날개벽"/>
      <sheetName val="danga"/>
      <sheetName val="ilch"/>
      <sheetName val="옹벽1"/>
      <sheetName val="내역서"/>
      <sheetName val="Customize Your Invoice"/>
      <sheetName val="#REF"/>
      <sheetName val="소비자가"/>
      <sheetName val="시설물"/>
      <sheetName val="경비2내역"/>
      <sheetName val="수량산출"/>
      <sheetName val="말뚝지지력산정"/>
      <sheetName val="BSD (2)"/>
      <sheetName val="설계조건"/>
      <sheetName val="단면검토"/>
      <sheetName val="보도경계블럭"/>
      <sheetName val="1.설계조건"/>
      <sheetName val="원가계산서 "/>
      <sheetName val="담장산출"/>
      <sheetName val="통합"/>
      <sheetName val="상호참고자료"/>
      <sheetName val="공사기본내용입력"/>
      <sheetName val="발주처자료입력"/>
      <sheetName val="회사기본자료"/>
      <sheetName val="하자보증자료"/>
      <sheetName val="기술자자료입력"/>
      <sheetName val="공사비집계"/>
      <sheetName val="input"/>
      <sheetName val="type-F"/>
      <sheetName val="전기일위대가"/>
      <sheetName val="토공(완충)"/>
      <sheetName val="토공 total"/>
      <sheetName val="수량산출서"/>
      <sheetName val="재집"/>
      <sheetName val="직재"/>
      <sheetName val="Proposal"/>
      <sheetName val="자재단가비교표"/>
      <sheetName val="대비"/>
      <sheetName val="일위(거제)_"/>
      <sheetName val="내역(청마)_(2)"/>
      <sheetName val="공사_Scope_표지"/>
      <sheetName val="공사_Scope"/>
      <sheetName val="별표"/>
      <sheetName val="기계시공"/>
      <sheetName val="data"/>
      <sheetName val="공사비예산서(토목분)"/>
      <sheetName val="예산M12A"/>
      <sheetName val="골재산출"/>
      <sheetName val="역T형"/>
      <sheetName val="TEL"/>
      <sheetName val="단가조사표"/>
      <sheetName val="_x0000_"/>
      <sheetName val="기계내역"/>
      <sheetName val="목차"/>
      <sheetName val="4)유동표"/>
      <sheetName val="식생블럭단위수량"/>
      <sheetName val="내역서(갑)"/>
      <sheetName val="2002상반기노임기준"/>
      <sheetName val="평내중"/>
      <sheetName val="MOTOR"/>
      <sheetName val="단가"/>
      <sheetName val="일반문틀 설치"/>
      <sheetName val="샌딩 에폭시 도장"/>
      <sheetName val="스텐문틀설치"/>
      <sheetName val="단면가정"/>
      <sheetName val="을"/>
      <sheetName val="노원열병합  건축공사기성내역서"/>
      <sheetName val="노임단가"/>
      <sheetName val="역T형옹벽단위수량"/>
      <sheetName val="안정검토"/>
      <sheetName val="ABUT수량-A1"/>
      <sheetName val="guard(mac)"/>
      <sheetName val="설계내역서"/>
      <sheetName val="식재인부"/>
      <sheetName val="2공구산출내역"/>
      <sheetName val="J直材4"/>
      <sheetName val="변화치수"/>
      <sheetName val="토공계산서(부체도로)"/>
      <sheetName val="말뚝물량"/>
      <sheetName val="날개벽(좌,우=45도,75도)"/>
      <sheetName val="Y-WORK"/>
      <sheetName val="F-Assump"/>
      <sheetName val="입찰안"/>
      <sheetName val="DATE"/>
      <sheetName val="Macro(전선)"/>
      <sheetName val="자재단가표"/>
      <sheetName val="CTEMCOST"/>
      <sheetName val="건축원가계산서"/>
      <sheetName val="Galaxy 소비자가격표"/>
      <sheetName val="건축내역"/>
      <sheetName val="신우"/>
      <sheetName val="1차증가원가계산"/>
      <sheetName val=" 견적서"/>
      <sheetName val="사통"/>
      <sheetName val="RAHMEN"/>
      <sheetName val="5지구단위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LF자재단가"/>
      <sheetName val="(A)내역서"/>
      <sheetName val="내역서"/>
      <sheetName val="8설7발"/>
      <sheetName val="기초공"/>
      <sheetName val="기둥(원형)"/>
      <sheetName val="약품공급2"/>
      <sheetName val="수량산출서"/>
      <sheetName val="산출내역서"/>
      <sheetName val="검토"/>
      <sheetName val="자재"/>
      <sheetName val="말뚝물량"/>
      <sheetName val="집계표"/>
      <sheetName val="ABUT수량-A1"/>
      <sheetName val="건축내역"/>
      <sheetName val="본체"/>
      <sheetName val="일위대가목차"/>
      <sheetName val="요율"/>
      <sheetName val="봉양~조차장간고하개명(신설)"/>
      <sheetName val="자재단가비교표"/>
      <sheetName val="암거 제원표"/>
      <sheetName val="교각계산"/>
      <sheetName val="전기,계장"/>
      <sheetName val="단가"/>
      <sheetName val="시설물일위"/>
      <sheetName val="전기내역서(총계)"/>
      <sheetName val="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집계표"/>
      <sheetName val="재료집계표"/>
      <sheetName val="현황산출서"/>
      <sheetName val="역T형옹벽수량"/>
      <sheetName val="옹벽기초자료"/>
      <sheetName val="단위수량"/>
      <sheetName val="옹벽치수표"/>
      <sheetName val="Sheet1 (2)"/>
      <sheetName val="일반수량총괄집계"/>
      <sheetName val="type-F"/>
      <sheetName val="장비집계"/>
      <sheetName val="안정검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공종별 총괄표"/>
      <sheetName val="1.내역서"/>
      <sheetName val="관급자재대"/>
      <sheetName val="환율 및 인건비(중기)"/>
      <sheetName val="중기사용료 목록표"/>
      <sheetName val="2.중기사용료"/>
      <sheetName val="단가산출서 목록표"/>
      <sheetName val="4.단가산출서"/>
      <sheetName val="일반자재 단가표"/>
      <sheetName val="관급자재 단가표 "/>
      <sheetName val="Macro1"/>
      <sheetName val="Macro2"/>
      <sheetName val="Module1"/>
      <sheetName val="Macro3"/>
      <sheetName val="Macro4"/>
      <sheetName val="Macro5"/>
      <sheetName val="옹벽"/>
      <sheetName val="현황산출서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>
        <row r="1">
          <cell r="E1" t="str">
            <v>GO목차</v>
          </cell>
        </row>
        <row r="2">
          <cell r="E2" t="e">
            <v>#VALUE!</v>
          </cell>
        </row>
        <row r="3">
          <cell r="E3" t="b">
            <v>1</v>
          </cell>
        </row>
        <row r="4">
          <cell r="E4" t="b">
            <v>1</v>
          </cell>
        </row>
      </sheetData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운"/>
      <sheetName val="영동전자"/>
      <sheetName val="참소리"/>
      <sheetName val="일위대가"/>
      <sheetName val="단가산출서"/>
      <sheetName val="직노"/>
      <sheetName val="Macro1"/>
      <sheetName val="내역서"/>
      <sheetName val="건축공사실행"/>
      <sheetName val="기초공"/>
      <sheetName val="기둥(원형)"/>
      <sheetName val="일반공사"/>
      <sheetName val="현황산출서"/>
      <sheetName val="데이타"/>
      <sheetName val="금액"/>
      <sheetName val="신우"/>
      <sheetName val="일위대가(가설)"/>
      <sheetName val="터파기및재료"/>
      <sheetName val="암거날개벽재료집계"/>
      <sheetName val="집계표"/>
      <sheetName val="ABUT수량-A1"/>
      <sheetName val="부하계산서"/>
      <sheetName val="옹벽1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토적집계표"/>
      <sheetName val="토적표"/>
      <sheetName val="3BL공동구 수량"/>
      <sheetName val="3BL수량집계"/>
      <sheetName val="45BL공동구수량"/>
      <sheetName val="50BL공동구 수량 "/>
      <sheetName val="45,50BL수량집계"/>
      <sheetName val="수량집계표"/>
      <sheetName val="통합"/>
      <sheetName val="옹벽"/>
      <sheetName val="Macro1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공사원가"/>
      <sheetName val="내역서집계표"/>
      <sheetName val="내역서99-4"/>
      <sheetName val="일위대가집계표"/>
      <sheetName val="정부노임단가"/>
      <sheetName val="단가조사서"/>
      <sheetName val="견적중기"/>
      <sheetName val="중기산출근거"/>
      <sheetName val="중기집계표"/>
      <sheetName val="중기계산"/>
      <sheetName val="주입율"/>
      <sheetName val="토공일위"/>
      <sheetName val="공통일위"/>
      <sheetName val="일반토목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RCD-장비운반"/>
      <sheetName val="RCD-STAND파일압입"/>
      <sheetName val="RCD-장비이동및거치"/>
      <sheetName val="RCD-굴착(풍화암)"/>
      <sheetName val="RCD-굴착(기반암)"/>
      <sheetName val="RCD-슬라임처리"/>
      <sheetName val="RCD-말뚝조성공"/>
      <sheetName val="RCD-두부정리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가시-쓰암천공"/>
      <sheetName val="3BL공동구 수량"/>
      <sheetName val="단가표"/>
      <sheetName val="데이타"/>
      <sheetName val="식재인부"/>
      <sheetName val="말뚝물량"/>
      <sheetName val="가시-파으박기(디젤햄머)"/>
      <sheetName val="99-05-10-서울대관련(내역서-1수정중)"/>
      <sheetName val="계화배수"/>
      <sheetName val="수량산출서"/>
      <sheetName val="일위대가"/>
      <sheetName val="내역서"/>
      <sheetName val="일위대가목차"/>
      <sheetName val="전기일위대가"/>
      <sheetName val="BSD (2)"/>
      <sheetName val="교통대책내역"/>
      <sheetName val="대비"/>
      <sheetName val="Proposal"/>
      <sheetName val="Total"/>
      <sheetName val="관람석제출"/>
      <sheetName val="차액보증"/>
      <sheetName val="hvac내역서(제어동)"/>
      <sheetName val="도급"/>
      <sheetName val="가공비"/>
      <sheetName val="Sheet1"/>
      <sheetName val="영동(D)"/>
      <sheetName val="Customer Databas"/>
      <sheetName val="JUCKEYK"/>
      <sheetName val="INPUT"/>
      <sheetName val="Cover"/>
      <sheetName val="교각1"/>
      <sheetName val="건축내역"/>
      <sheetName val="세부내역"/>
      <sheetName val="견적서"/>
      <sheetName val="CODE"/>
      <sheetName val="경비2내역"/>
      <sheetName val="FB25JN"/>
      <sheetName val="공사비 내역 (가)"/>
      <sheetName val="수량산출"/>
      <sheetName val="금액내역서"/>
      <sheetName val="예산서"/>
      <sheetName val="물량표"/>
      <sheetName val="토공사"/>
      <sheetName val="토목"/>
      <sheetName val="20관리비율"/>
      <sheetName val="금액집계"/>
      <sheetName val="보도경계블럭"/>
      <sheetName val="내역서(총)"/>
      <sheetName val="N賃率-職"/>
      <sheetName val=" 견적서"/>
      <sheetName val="예산M12A"/>
      <sheetName val="TEL"/>
      <sheetName val="소비자가"/>
      <sheetName val="투찰"/>
      <sheetName val="공사비집계"/>
      <sheetName val="wall"/>
      <sheetName val="토공(완충)"/>
      <sheetName val="full (2)"/>
      <sheetName val="건축집계표"/>
      <sheetName val="unit 4"/>
      <sheetName val="설계조건"/>
      <sheetName val="안정계산"/>
      <sheetName val="단면검토"/>
      <sheetName val="BLOCK(1)"/>
      <sheetName val="단면(RW1)"/>
      <sheetName val="list price"/>
      <sheetName val="BSD _2_"/>
      <sheetName val="도급양식"/>
      <sheetName val="설계서"/>
      <sheetName val="건축원가계산서"/>
      <sheetName val="준검 내역서"/>
      <sheetName val="전산망"/>
      <sheetName val="fitting"/>
      <sheetName val="공사비내역서"/>
      <sheetName val="내역"/>
      <sheetName val="RCD-두부정리_x0000_ꘄŤ_x0000__x0004__x0000__x0000__x0000__x0000__x0000__x0000_휰Ť_x0000__x0000__x0000__x0000__x0000__x0000__x0000__x0000_ꐨŤ"/>
      <sheetName val="영업소실적"/>
      <sheetName val="7.5.2 BOQ Summary "/>
      <sheetName val="을"/>
      <sheetName val="factor"/>
      <sheetName val="여과지동"/>
      <sheetName val="기초자료"/>
      <sheetName val="서울대규장각(가시설흙막이)"/>
      <sheetName val="단면가정"/>
      <sheetName val="GRDBS"/>
      <sheetName val="조명시설"/>
      <sheetName val="BID"/>
      <sheetName val="공사원가계산서"/>
      <sheetName val="6호기"/>
      <sheetName val="변화치수"/>
      <sheetName val="건축내역서"/>
      <sheetName val="Y-WORK"/>
      <sheetName val="단가표 "/>
      <sheetName val="상 부"/>
      <sheetName val="ABUT수량-A1"/>
      <sheetName val="날개벽(좌,우=45도,75도)"/>
      <sheetName val="DATE"/>
      <sheetName val="FRT_O"/>
      <sheetName val="FAB_I"/>
      <sheetName val="기초공"/>
      <sheetName val="기둥(원형)"/>
      <sheetName val="난방열교"/>
      <sheetName val="급탕열교"/>
      <sheetName val="OHU"/>
      <sheetName val="터파기및재료"/>
      <sheetName val="Macro(전선)"/>
      <sheetName val="설계개요"/>
      <sheetName val="8월현금흐름표"/>
      <sheetName val="DI1"/>
      <sheetName val="UR2-Calculation"/>
      <sheetName val="Sheet5"/>
      <sheetName val="날개벽"/>
      <sheetName val="공사비예산서(토목분)"/>
      <sheetName val="옹벽"/>
      <sheetName val="단면치수"/>
      <sheetName val="내역집계표_소방"/>
      <sheetName val="Sheet3"/>
      <sheetName val="노임변동률"/>
      <sheetName val="단가조사-1"/>
      <sheetName val="단가조사-2"/>
      <sheetName val="차수"/>
      <sheetName val="PAINT"/>
      <sheetName val="지급자재"/>
      <sheetName val="SE-611"/>
      <sheetName val="말뚝지지력산정"/>
      <sheetName val="SUMMARY"/>
      <sheetName val="설변물량"/>
      <sheetName val="APT내역"/>
      <sheetName val="Sheet15"/>
      <sheetName val="#REF"/>
      <sheetName val="(2)"/>
      <sheetName val="부표총괄"/>
      <sheetName val="지장물C"/>
      <sheetName val="제경비"/>
      <sheetName val="원가"/>
      <sheetName val="공통비"/>
      <sheetName val="DATA"/>
      <sheetName val="연습"/>
      <sheetName val="Sheet2"/>
      <sheetName val="원가계산"/>
      <sheetName val="건축"/>
      <sheetName val="직접비"/>
      <sheetName val="시추주상도"/>
      <sheetName val="DR(SUM)"/>
      <sheetName val="TL(SUM)"/>
      <sheetName val="도급잔고내역"/>
      <sheetName val="노임"/>
      <sheetName val="Sheet4"/>
      <sheetName val="RCD-STRAND_PILE_압입및굴착4"/>
      <sheetName val="RCD-STRAND_PILE_압입및굴착"/>
      <sheetName val="RCD-STRAND_PILE_압입및굴착1"/>
      <sheetName val="RCD-STRAND_PILE_압입및굴착2"/>
      <sheetName val="RCD-STRAND_PILE_압입및굴착3"/>
      <sheetName val="SS"/>
      <sheetName val="소방사항"/>
      <sheetName val="CALCULATION"/>
      <sheetName val="DESIGN_CRETERIA"/>
      <sheetName val="노원열병합  건축공사기성내역서"/>
      <sheetName val="2.설계제원"/>
      <sheetName val="단가대비표"/>
      <sheetName val="REQDELTA"/>
      <sheetName val="회사99"/>
      <sheetName val="A"/>
      <sheetName val="ELECTRIC"/>
      <sheetName val="danga"/>
      <sheetName val="ilch"/>
      <sheetName val="단위수량"/>
      <sheetName val="맨홀토공수량"/>
      <sheetName val="차량구입"/>
      <sheetName val="WO"/>
      <sheetName val="수량분배표"/>
      <sheetName val="단중표"/>
      <sheetName val="재집"/>
      <sheetName val="직재"/>
      <sheetName val="data1"/>
      <sheetName val="원형맨홀수량"/>
      <sheetName val="공사비총괄표"/>
      <sheetName val="전기"/>
      <sheetName val="입찰안"/>
      <sheetName val="hvac(제어동)"/>
      <sheetName val="MOTOR"/>
      <sheetName val="일위목록"/>
      <sheetName val="견"/>
      <sheetName val="RCD-두부정리?ꘄŤ?_x0004_??????휰Ť????????ꐨŤ"/>
      <sheetName val="공문"/>
      <sheetName val="간접비"/>
      <sheetName val="FAB별"/>
      <sheetName val="부대대비"/>
      <sheetName val="냉연집계"/>
      <sheetName val="SPEC"/>
      <sheetName val="대전월평내역"/>
      <sheetName val="표지"/>
      <sheetName val="분전반"/>
      <sheetName val="BSD_(2)"/>
      <sheetName val="3BL공동구_수량"/>
      <sheetName val="공사비_내역_(가)"/>
      <sheetName val="Customer_Databas"/>
      <sheetName val="금액"/>
      <sheetName val="광진통합기성내역"/>
      <sheetName val="1단계"/>
      <sheetName val="직노"/>
      <sheetName val="산출내역서집계표"/>
      <sheetName val="1.우편집중내역서"/>
      <sheetName val="RCD-두부정리_x0000_ꘄŤ_x0004__x0000_휰ŤꐨŤ&amp;)[99-05-10-서울"/>
      <sheetName val="I.설계조건"/>
      <sheetName val="조경"/>
      <sheetName val="노무비"/>
      <sheetName val="횡배수관토공수량"/>
      <sheetName val="3.일반설비"/>
      <sheetName val="공사개요"/>
      <sheetName val="3련 BOX"/>
      <sheetName val="1.설계기준"/>
      <sheetName val="당초수량"/>
      <sheetName val="COPING"/>
      <sheetName val="대치판정"/>
      <sheetName val="kimre scrubber"/>
      <sheetName val="W1"/>
      <sheetName val="b_gunmul"/>
      <sheetName val="b_balju (2)"/>
      <sheetName val="출역 "/>
      <sheetName val="토사(PE)"/>
      <sheetName val="단면 (2)"/>
      <sheetName val="문학간접"/>
      <sheetName val="BQ"/>
      <sheetName val="시멘트"/>
      <sheetName val="가설공사내역"/>
      <sheetName val="TB-내역서"/>
      <sheetName val="RCD-두부정리?ꘄŤ_x0004_?휰ŤꐨŤ&amp;)[99-05-10-서울"/>
      <sheetName val="EACT10"/>
      <sheetName val="I一般比"/>
      <sheetName val="A-4"/>
      <sheetName val="화산경계"/>
      <sheetName val="간선계산"/>
      <sheetName val="단가산출"/>
      <sheetName val="단가산출서 (2)"/>
      <sheetName val="단가산출서"/>
      <sheetName val="백암비스타내역"/>
      <sheetName val="통신물량"/>
      <sheetName val="갑지1"/>
      <sheetName val="작성"/>
      <sheetName val="단가조사"/>
      <sheetName val="DATA(BAC)"/>
      <sheetName val="품종별-이름"/>
      <sheetName val="부대공"/>
      <sheetName val="갑지(추정)"/>
      <sheetName val="dg"/>
      <sheetName val="CAL"/>
      <sheetName val="시행예산"/>
      <sheetName val="입출재고현황 (2)"/>
      <sheetName val="품셈TABLE"/>
      <sheetName val="현금"/>
      <sheetName val="제원.설계조건"/>
      <sheetName val="WORK"/>
      <sheetName val="RCD-두부정리_ꘄŤ__x0004_______휰Ť________ꐨŤ"/>
      <sheetName val="을 2"/>
      <sheetName val="표지 (2)"/>
      <sheetName val="을지"/>
      <sheetName val="신우"/>
      <sheetName val="을 1"/>
      <sheetName val="손익분석"/>
      <sheetName val="direct"/>
      <sheetName val="wage"/>
      <sheetName val="지주목시비량산출서"/>
      <sheetName val="list_price"/>
      <sheetName val="_견적서"/>
      <sheetName val="상_부"/>
      <sheetName val="BSD__2_"/>
      <sheetName val="준검_내역서"/>
      <sheetName val="full_(2)"/>
      <sheetName val="unit_4"/>
      <sheetName val="단가조사표"/>
      <sheetName val="단가대비"/>
      <sheetName val="견적내용입력"/>
      <sheetName val="견적서세부내용"/>
      <sheetName val="개요"/>
      <sheetName val="공통가설"/>
      <sheetName val="8.PILE  (돌출)"/>
      <sheetName val="GiaVT"/>
      <sheetName val="gVL"/>
      <sheetName val="설직재-1"/>
      <sheetName val="h-013211-2"/>
      <sheetName val="사용자정의"/>
      <sheetName val="제품표준규격"/>
      <sheetName val="발주수량표"/>
      <sheetName val="본사인상전"/>
      <sheetName val="설명서"/>
      <sheetName val="예정공정표"/>
      <sheetName val="표지1"/>
      <sheetName val="토공계산서(부체도로)"/>
      <sheetName val="내역표지"/>
      <sheetName val="BRAZIL"/>
      <sheetName val="기계내역서"/>
      <sheetName val="통합"/>
      <sheetName val="실행예산"/>
      <sheetName val="원가계산서"/>
      <sheetName val="실행내역"/>
      <sheetName val="원가입력"/>
      <sheetName val="Indirect Cost"/>
      <sheetName val="자재집계표"/>
      <sheetName val="총괄표"/>
      <sheetName val="노임이"/>
      <sheetName val="9GNG운반"/>
      <sheetName val="CAPVC"/>
      <sheetName val="ET2TOT"/>
      <sheetName val="경산"/>
      <sheetName val="설계명세서"/>
      <sheetName val="98수문일위"/>
      <sheetName val="실행철강하도"/>
      <sheetName val="3BL공동구_수량1"/>
      <sheetName val="BSD_(2)1"/>
      <sheetName val="Customer_Databas1"/>
      <sheetName val="full_(2)1"/>
      <sheetName val="unit_41"/>
      <sheetName val="_견적서1"/>
      <sheetName val="공사비_내역_(가)1"/>
      <sheetName val="BSD__2_1"/>
      <sheetName val="준검_내역서1"/>
      <sheetName val="단가표_"/>
      <sheetName val="b_balju_(2)"/>
      <sheetName val="RCD-두부정리ꘄŤ휰ŤꐨŤ"/>
      <sheetName val="노원열병합__건축공사기성내역서"/>
      <sheetName val="list_price1"/>
      <sheetName val="상_부1"/>
      <sheetName val="7_5_2_BOQ_Summary_"/>
      <sheetName val="I_설계조건"/>
      <sheetName val="2_설계제원"/>
      <sheetName val="1_우편집중내역서"/>
      <sheetName val="RCD-두부정리ꘄŤ휰ŤꐨŤ&amp;)[99-05-10-서울"/>
      <sheetName val="단가산출서_(2)"/>
      <sheetName val="RCD-두부정리?ꘄŤ???????휰Ť????????ꐨŤ"/>
      <sheetName val="RCD-두부정리?ꘄŤ?휰ŤꐨŤ&amp;)[99-05-10-서울"/>
      <sheetName val="kimre_scrubber"/>
      <sheetName val="출역_"/>
      <sheetName val="을_2"/>
      <sheetName val="표지_(2)"/>
      <sheetName val="을_1"/>
      <sheetName val="design criteria"/>
      <sheetName val="plan&amp;section of foundation"/>
      <sheetName val="내역서 "/>
      <sheetName val="Earthwork"/>
      <sheetName val="관급단가"/>
      <sheetName val="기본일위"/>
      <sheetName val="부재예실"/>
      <sheetName val="물가연동제"/>
      <sheetName val="공틀공사"/>
      <sheetName val="재무가정"/>
      <sheetName val="직접인건비"/>
      <sheetName val="노임단가"/>
      <sheetName val="간접"/>
      <sheetName val="집계표"/>
      <sheetName val="세부내역서(전기)"/>
      <sheetName val="F4-F7"/>
      <sheetName val="정공공사"/>
      <sheetName val="깨기"/>
      <sheetName val="기타 정보통신공사"/>
      <sheetName val="CAL."/>
      <sheetName val="PRICE-COMP"/>
      <sheetName val="발신정보"/>
      <sheetName val="내역(전체)"/>
      <sheetName val="7682LA SKD(12.4)"/>
      <sheetName val="AH-1 "/>
      <sheetName val="구분자"/>
      <sheetName val="퇴비산출근거"/>
      <sheetName val="교육종류"/>
      <sheetName val="롤러"/>
      <sheetName val="eq_data"/>
    </sheetNames>
    <sheetDataSet>
      <sheetData sheetId="0" refreshError="1"/>
      <sheetData sheetId="1"/>
      <sheetData sheetId="2"/>
      <sheetData sheetId="3"/>
      <sheetData sheetId="4"/>
      <sheetData sheetId="5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 refreshError="1"/>
      <sheetData sheetId="172"/>
      <sheetData sheetId="173"/>
      <sheetData sheetId="174"/>
      <sheetData sheetId="175"/>
      <sheetData sheetId="176" refreshError="1"/>
      <sheetData sheetId="177"/>
      <sheetData sheetId="178"/>
      <sheetData sheetId="179" refreshError="1"/>
      <sheetData sheetId="180"/>
      <sheetData sheetId="181"/>
      <sheetData sheetId="182" refreshError="1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/>
      <sheetData sheetId="215"/>
      <sheetData sheetId="216" refreshError="1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기초공"/>
      <sheetName val="기둥(원형)"/>
      <sheetName val="대비"/>
      <sheetName val="IMPEADENCE MAP 취수장"/>
      <sheetName val="데이타"/>
      <sheetName val="정부노임단가"/>
      <sheetName val="REP-NG"/>
      <sheetName val="3BL공동구 수량"/>
      <sheetName val="낙찰표"/>
      <sheetName val="원형맨홀수량"/>
      <sheetName val="일위대가"/>
      <sheetName val=" 견적서"/>
      <sheetName val="TEL"/>
      <sheetName val="direct"/>
      <sheetName val="wage"/>
      <sheetName val="관급단가"/>
      <sheetName val="과천MAIN"/>
      <sheetName val="내역서"/>
      <sheetName val="일위대가목차"/>
      <sheetName val="ABUT수량-A1"/>
      <sheetName val="표지"/>
      <sheetName val="차액보증"/>
      <sheetName val="공사비증감"/>
      <sheetName val="토목내역"/>
      <sheetName val="원가"/>
      <sheetName val="Y-WORK"/>
      <sheetName val="3.하중산정4.지지력"/>
      <sheetName val="45,46"/>
      <sheetName val="터파기및재료"/>
      <sheetName val="수량산출서"/>
      <sheetName val="단가표 "/>
      <sheetName val="설계조건"/>
      <sheetName val="날개벽"/>
      <sheetName val="변화치수"/>
      <sheetName val="안정계산"/>
      <sheetName val="단면검토"/>
      <sheetName val="DATA"/>
      <sheetName val="단가조사표"/>
      <sheetName val="Sheet3"/>
      <sheetName val="Sheet1"/>
      <sheetName val="보차도경계석"/>
      <sheetName val="전기일위대가"/>
      <sheetName val="시운전연료비"/>
      <sheetName val="원가계산"/>
      <sheetName val="설계명세서"/>
      <sheetName val="수량산출"/>
      <sheetName val="Macro1"/>
      <sheetName val="진주방향"/>
      <sheetName val="산근"/>
      <sheetName val="화산경계"/>
      <sheetName val="단면(RW1)"/>
      <sheetName val="물량표"/>
      <sheetName val="음료실행"/>
      <sheetName val="건축원가계산서"/>
      <sheetName val="품셈TABLE"/>
      <sheetName val="실행예산"/>
      <sheetName val="금액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하(성남)"/>
      <sheetName val="표지"/>
      <sheetName val="변압기용량"/>
      <sheetName val="전압조건"/>
      <sheetName val="전압(성남)"/>
      <sheetName val="부하조건"/>
      <sheetName val="인건비"/>
      <sheetName val="TABLE"/>
      <sheetName val="하조서"/>
      <sheetName val="내역서"/>
      <sheetName val="부하계산서"/>
      <sheetName val="CONCRETE"/>
      <sheetName val="내역서(전기)"/>
      <sheetName val="인건-측정"/>
      <sheetName val="건축공사실행"/>
      <sheetName val="원형1호맨홀토공수량"/>
      <sheetName val="3BL공동구 수량"/>
      <sheetName val="정부노임단가"/>
      <sheetName val="기초공"/>
      <sheetName val="기둥(원형)"/>
      <sheetName val="치수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"/>
      <sheetName val="DATA"/>
      <sheetName val="부하(성남)"/>
      <sheetName val="CONCRETE"/>
      <sheetName val="1.설계조건"/>
      <sheetName val="차선도색현황"/>
      <sheetName val="LOPCALC"/>
      <sheetName val="데이타"/>
      <sheetName val="맨홀수량집계"/>
      <sheetName val="3BL공동구 수량"/>
      <sheetName val="변화치수"/>
      <sheetName val="원형맨홀수량"/>
      <sheetName val="현장"/>
      <sheetName val="방송노임"/>
      <sheetName val="2F 회의실견적(5_14 일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danga"/>
      <sheetName val="ilch"/>
      <sheetName val="단면가정"/>
      <sheetName val="공통가설"/>
      <sheetName val="Y-WORK"/>
      <sheetName val="일위대가목차"/>
      <sheetName val="맨홀수량집계"/>
      <sheetName val="2F 회의실견적(5_14 일대)"/>
      <sheetName val="교각계산"/>
      <sheetName val="정부노임단가"/>
      <sheetName val="을"/>
      <sheetName val="토목내역"/>
      <sheetName val="3BL공동구 수량"/>
      <sheetName val="JUCKEYK"/>
      <sheetName val="일위대가"/>
      <sheetName val="LEGEND"/>
      <sheetName val="직공비"/>
      <sheetName val="내역서"/>
      <sheetName val="평가데이터"/>
      <sheetName val="DATA"/>
      <sheetName val="기본단가표"/>
      <sheetName val="직노"/>
      <sheetName val="계화배수"/>
      <sheetName val="I一般比"/>
      <sheetName val="일위대가표"/>
      <sheetName val="INPUT(덕도방향-시점)"/>
      <sheetName val="기둥(원형)"/>
      <sheetName val="토공"/>
      <sheetName val="code"/>
      <sheetName val="VXXXXXXX"/>
      <sheetName val="SLAB&quot;1&quot;"/>
      <sheetName val="품셈"/>
      <sheetName val="내역"/>
      <sheetName val="일반물자(한국통신)"/>
      <sheetName val="모니터"/>
      <sheetName val="포장절단"/>
      <sheetName val="1월"/>
      <sheetName val="조작대(1연)"/>
      <sheetName val="우배수"/>
      <sheetName val="조건표"/>
      <sheetName val="DATA-1"/>
      <sheetName val="20관리비율"/>
      <sheetName val="날개벽(시점좌측)"/>
      <sheetName val="정보매체A동"/>
      <sheetName val="차액보증"/>
      <sheetName val="현장"/>
      <sheetName val="전기"/>
      <sheetName val="연령현황"/>
      <sheetName val=" 견적서"/>
      <sheetName val="총괄-1"/>
      <sheetName val="가공비"/>
      <sheetName val="작성"/>
      <sheetName val="산출내역"/>
      <sheetName val="96수출"/>
      <sheetName val="공사비명세서"/>
      <sheetName val="TABLE"/>
      <sheetName val="Sheet5"/>
      <sheetName val="COPING"/>
      <sheetName val="3.하중산정4.지지력"/>
      <sheetName val="토공(완충)"/>
      <sheetName val="input"/>
      <sheetName val="1-1"/>
      <sheetName val="SORCE1"/>
      <sheetName val="가시설단위수량"/>
      <sheetName val="원형맨홀수량"/>
      <sheetName val="수량3"/>
      <sheetName val="투찰"/>
      <sheetName val="교각1"/>
      <sheetName val="단위수량"/>
      <sheetName val="집계표"/>
      <sheetName val="열린교실"/>
      <sheetName val="TB-내역서"/>
      <sheetName val="설산1.나"/>
      <sheetName val="본사S"/>
      <sheetName val="증감분석"/>
      <sheetName val="변화치수"/>
      <sheetName val="가설건물"/>
      <sheetName val="공사비예산서(토목분)"/>
      <sheetName val="공통부대비"/>
      <sheetName val="부대내역"/>
      <sheetName val="표지"/>
      <sheetName val="대비"/>
      <sheetName val="설계조건"/>
      <sheetName val="안정계산"/>
      <sheetName val="대치판정"/>
      <sheetName val="목록"/>
      <sheetName val="데이타"/>
      <sheetName val="기성내역"/>
      <sheetName val="설계변경원가계산총괄표"/>
      <sheetName val="BID"/>
      <sheetName val="Sheet4"/>
      <sheetName val="Total"/>
      <sheetName val="부하(성남)"/>
      <sheetName val="쌍송교"/>
      <sheetName val="일반맨홀수량집계(A-7 LINE)"/>
      <sheetName val="일반맨홀수량집계"/>
      <sheetName val="LOPCALC"/>
      <sheetName val="관람석제출"/>
      <sheetName val="케이블"/>
      <sheetName val="CONCRETE"/>
      <sheetName val="EACT10"/>
      <sheetName val="자재"/>
      <sheetName val="목표세부명세"/>
      <sheetName val="공문"/>
      <sheetName val="N賃率-職"/>
      <sheetName val="마산방향철근집계"/>
      <sheetName val="진주방향"/>
      <sheetName val="마산방향"/>
      <sheetName val="토목품셈"/>
      <sheetName val="품목"/>
      <sheetName val="물량산출근거"/>
      <sheetName val="공사개요"/>
      <sheetName val="예산서"/>
      <sheetName val="b_gunmul"/>
      <sheetName val="b_balju (2)"/>
      <sheetName val="J直材4"/>
      <sheetName val="연부97-1"/>
      <sheetName val="갑지1"/>
      <sheetName val="공정집계_국별"/>
      <sheetName val="적용률"/>
      <sheetName val="#REF"/>
      <sheetName val="기본일위"/>
      <sheetName val="노임단가"/>
      <sheetName val="부속동"/>
      <sheetName val="금액내역서"/>
      <sheetName val="Sheet1"/>
      <sheetName val="영업.일1"/>
      <sheetName val="광혁기성"/>
      <sheetName val="인테리어세부내역"/>
      <sheetName val="피엘"/>
      <sheetName val="Macro1"/>
      <sheetName val="기초공"/>
      <sheetName val="공사비"/>
      <sheetName val="내역1"/>
      <sheetName val="건축내역"/>
      <sheetName val="CAT_5"/>
      <sheetName val="방송노임"/>
      <sheetName val="총괄"/>
      <sheetName val="깨기"/>
      <sheetName val="백암비스타내역"/>
      <sheetName val="입찰안"/>
      <sheetName val="단가"/>
      <sheetName val="2F_회의실견적(5_14_일대)"/>
      <sheetName val="3BL공동구_수량"/>
      <sheetName val="내역서2안"/>
      <sheetName val="기계경비"/>
      <sheetName val="인건비(환율)"/>
      <sheetName val="월선수금"/>
      <sheetName val="단가표 "/>
      <sheetName val="woo(mac)"/>
      <sheetName val="방송일위대가"/>
      <sheetName val="제품"/>
      <sheetName val="SILICATE"/>
      <sheetName val="guard(mac)"/>
      <sheetName val="06-BATCH "/>
      <sheetName val="간선계산"/>
      <sheetName val="경산"/>
      <sheetName val="WORK"/>
      <sheetName val="1.우편집중내역서"/>
      <sheetName val="실행내역"/>
      <sheetName val="Tables"/>
      <sheetName val="일위대가목록"/>
      <sheetName val="기흥하도용"/>
      <sheetName val="L형옹벽(key)"/>
      <sheetName val="DATE"/>
      <sheetName val="세부내역"/>
      <sheetName val="전기품산출"/>
      <sheetName val="단면(RW1)"/>
      <sheetName val="BSD (2)"/>
      <sheetName val="원가계산서"/>
      <sheetName val="옹벽"/>
      <sheetName val="경비2내역"/>
      <sheetName val="배수장공사비명세서"/>
      <sheetName val="전기일위대가"/>
      <sheetName val="Sheet2"/>
      <sheetName val="BEND LOSS"/>
      <sheetName val="1단계"/>
      <sheetName val="정렬"/>
      <sheetName val="자재단가비교표"/>
      <sheetName val="KMT물량"/>
      <sheetName val="DATA1"/>
      <sheetName val="전장품(관리용)"/>
      <sheetName val="기둥"/>
      <sheetName val="저판(버림100)"/>
      <sheetName val="97년추정손익계산서"/>
      <sheetName val="RING WALL"/>
      <sheetName val="TYPE-A"/>
      <sheetName val="D-3503"/>
      <sheetName val="수량산출"/>
      <sheetName val="공구원가계산"/>
      <sheetName val="단가조사서"/>
      <sheetName val="내역서-CCTV"/>
      <sheetName val="공종집계"/>
      <sheetName val="ETC"/>
      <sheetName val="2공구산출내역"/>
      <sheetName val="허용전류-IEC"/>
      <sheetName val="허용전류-IEC DATA"/>
      <sheetName val="단가산출2"/>
      <sheetName val="DATA(BAC)"/>
      <sheetName val="배수관공"/>
      <sheetName val="ITB COST"/>
      <sheetName val="P.M 별"/>
      <sheetName val="960318-1"/>
      <sheetName val="설직재-1"/>
      <sheetName val="제직재"/>
      <sheetName val="제-노임"/>
      <sheetName val="부하"/>
      <sheetName val="주경기-오배수"/>
      <sheetName val="단중표"/>
      <sheetName val="단면검토"/>
      <sheetName val="기계내역"/>
      <sheetName val="CIVIL"/>
      <sheetName val="공통가설공사"/>
      <sheetName val="내역서(갑)"/>
      <sheetName val="전압강하계산"/>
      <sheetName val="날개벽"/>
      <sheetName val="간노_콘"/>
      <sheetName val="소비자가"/>
      <sheetName val="남양시작동자105노65기1.3화1.2"/>
      <sheetName val="삼성전기"/>
      <sheetName val="Sheet1 (2)"/>
      <sheetName val="부재력정리"/>
      <sheetName val="A-4"/>
      <sheetName val="입찰보고"/>
      <sheetName val="현장관리비내역서"/>
      <sheetName val="2.냉난방설비공사"/>
      <sheetName val="A"/>
      <sheetName val="민속촌메뉴"/>
      <sheetName val="하중계산"/>
      <sheetName val="직재"/>
      <sheetName val="ASP"/>
      <sheetName val="중기사용료산출근거"/>
      <sheetName val="단가 및 재료비"/>
      <sheetName val="XL4Poppy"/>
      <sheetName val="설계명세서(선로)"/>
      <sheetName val="원형1호맨홀토공수량"/>
      <sheetName val="식재품셈"/>
      <sheetName val="보도경계블럭"/>
      <sheetName val="ABUT수량-A1"/>
      <sheetName val="단가조사"/>
      <sheetName val="BLOCK(1)"/>
      <sheetName val="샘플표지"/>
      <sheetName val="대,유,램"/>
      <sheetName val="우각부보강"/>
      <sheetName val="지장물C"/>
      <sheetName val="보차도경계석"/>
      <sheetName val="금액"/>
      <sheetName val="단가산출1"/>
      <sheetName val="Sheet3"/>
      <sheetName val="cross beam"/>
      <sheetName val="안정검토"/>
      <sheetName val="설계명세서"/>
      <sheetName val="3_하중산정4_지지력"/>
      <sheetName val="_견적서"/>
      <sheetName val="설산1_나"/>
      <sheetName val="일반맨홀수량집계(A-7_LINE)"/>
      <sheetName val="b_balju_(2)"/>
      <sheetName val="2F_회의실견적(5_14_일대)1"/>
      <sheetName val="3_하중산정4_지지력1"/>
      <sheetName val="3BL공동구_수량1"/>
      <sheetName val="_견적서1"/>
      <sheetName val="설산1_나1"/>
      <sheetName val="일반맨홀수량집계(A-7_LINE)1"/>
      <sheetName val="b_balju_(2)1"/>
      <sheetName val="단가표_"/>
      <sheetName val="영업_일1"/>
      <sheetName val="BSD_(2)"/>
      <sheetName val="BEND_LOSS"/>
      <sheetName val="1_우편집중내역서"/>
      <sheetName val="06-BATCH_"/>
      <sheetName val="RING_WALL"/>
      <sheetName val="허용전류-IEC_DATA"/>
      <sheetName val="ITB_COST"/>
      <sheetName val="P_M_별"/>
      <sheetName val="남양시작동자105노65기1_3화1_2"/>
      <sheetName val="Sheet1_(2)"/>
      <sheetName val="2_냉난방설비공사"/>
      <sheetName val="TEL"/>
      <sheetName val="Customer Databas"/>
      <sheetName val="월별수입"/>
      <sheetName val="FRT_O"/>
      <sheetName val="FAB_I"/>
      <sheetName val="내역서form"/>
      <sheetName val="마감물량3"/>
      <sheetName val="빙장비사양"/>
      <sheetName val="장비사양"/>
      <sheetName val="감시제어"/>
      <sheetName val="목차임시"/>
      <sheetName val="견적대비"/>
      <sheetName val="적용기준"/>
      <sheetName val="공사비내역서"/>
      <sheetName val="시설물일위"/>
      <sheetName val="계수시트"/>
      <sheetName val="항목별"/>
      <sheetName val="합천내역"/>
      <sheetName val="내외국인총괄"/>
      <sheetName val="1을"/>
      <sheetName val="총계"/>
      <sheetName val="주관사업"/>
      <sheetName val="Sheet6"/>
      <sheetName val="FACTOR"/>
      <sheetName val="지중자재단가"/>
      <sheetName val="계산근거"/>
      <sheetName val="물가자료"/>
      <sheetName val="리터팬내장형"/>
      <sheetName val="집1"/>
      <sheetName val="CPM챠트"/>
      <sheetName val="환율"/>
      <sheetName val="FAB별"/>
      <sheetName val="CP-E2 (품셈표)"/>
      <sheetName val="치수표"/>
      <sheetName val="보합"/>
      <sheetName val="을지"/>
      <sheetName val="단면 (2)"/>
      <sheetName val="Mc1"/>
      <sheetName val="copy"/>
      <sheetName val="서식"/>
      <sheetName val="말뚝지지력산정"/>
      <sheetName val="별표"/>
      <sheetName val="단"/>
      <sheetName val="단가일람"/>
      <sheetName val="갑지(추정)"/>
      <sheetName val="터파기및재료"/>
      <sheetName val="SLAB"/>
      <sheetName val="ITEM"/>
      <sheetName val="토사(PE)"/>
      <sheetName val="1.설계조건"/>
      <sheetName val="공사요율"/>
      <sheetName val="단가견적조사표"/>
      <sheetName val="UserData"/>
      <sheetName val="공사비 내역 (가)"/>
      <sheetName val="11.단가비교표_"/>
      <sheetName val="16.기계경비산출내역_"/>
      <sheetName val="기초자료"/>
      <sheetName val="견적집계표"/>
      <sheetName val="수량산출서"/>
      <sheetName val="특2호하천산근"/>
      <sheetName val="특2호부관하천산근"/>
      <sheetName val="산근(PE,300)"/>
      <sheetName val="상부하중"/>
      <sheetName val="풍하중1"/>
      <sheetName val="HW"/>
      <sheetName val="DS-최종"/>
      <sheetName val="한강운반비"/>
      <sheetName val="개요"/>
      <sheetName val="5지구단위"/>
      <sheetName val="CABLE SIZE-3"/>
      <sheetName val="4.2유효폭의 계산"/>
      <sheetName val="도급"/>
      <sheetName val="폐토수익화 "/>
      <sheetName val="종합일지"/>
      <sheetName val=" HIT-&gt;HMC 견적(3900)"/>
      <sheetName val="조도계산서 (도서)"/>
      <sheetName val="PRE"/>
      <sheetName val="PLCAL"/>
      <sheetName val="IMPEADENCE MAP 취수장"/>
      <sheetName val="실행내역 "/>
      <sheetName val="출력X"/>
      <sheetName val="일위"/>
      <sheetName val="기별"/>
      <sheetName val="내역(입찰)"/>
      <sheetName val="b_balju"/>
      <sheetName val="와동25-3(변경)"/>
      <sheetName val="금액집계"/>
      <sheetName val="공주-교대(A1)"/>
      <sheetName val="Parts"/>
      <sheetName val="Menu A"/>
      <sheetName val="2.가정단면"/>
      <sheetName val="설계"/>
      <sheetName val="배"/>
      <sheetName val="동관마찰손실표"/>
      <sheetName val="특별교실"/>
      <sheetName val="제원.설계조건"/>
      <sheetName val="기초1"/>
      <sheetName val="C-직노1"/>
      <sheetName val="단가표"/>
      <sheetName val="_산근2_"/>
      <sheetName val="_산근4_"/>
      <sheetName val="_산근5_"/>
      <sheetName val="토공(우물통,기타) "/>
      <sheetName val="SANTOGO"/>
      <sheetName val="SANBAISU"/>
      <sheetName val="전체"/>
      <sheetName val="선로정수계산"/>
      <sheetName val="CALCULATION"/>
      <sheetName val="조명시설"/>
      <sheetName val="wall"/>
      <sheetName val="F-Assump"/>
      <sheetName val="송라터널총괄"/>
      <sheetName val="교각1(좌)"/>
      <sheetName val="2F È¸ÀÇ½Ç°ßÀû(5_14 ÀÏ´ë)"/>
      <sheetName val="À»"/>
      <sheetName val="ÀÏÀ§´ë°¡"/>
      <sheetName val="´Ü¸é°¡Á¤"/>
      <sheetName val="Á÷°øºñ"/>
      <sheetName val="³»¿ª¼­"/>
      <sheetName val="Á÷³ë"/>
      <sheetName val="°èÈ­¹è¼ö"/>
      <sheetName val="IìéÚõÝï"/>
      <sheetName val="1¿ù"/>
      <sheetName val="Á¤º¸¸ÅÃ¼Aµ¿"/>
      <sheetName val="±âº»´Ü°¡Ç¥"/>
      <sheetName val="20°ü¸®ºñÀ²"/>
      <sheetName val="Æò°¡µ¥ÀÌÅÍ"/>
      <sheetName val="³¯°³º®(½ÃÁ¡ÁÂÃø)"/>
      <sheetName val="Á¤ºÎ³ëÀÓ´Ü°¡"/>
      <sheetName val="°øÅë°¡¼³"/>
      <sheetName val="ÀÏÀ§´ë°¡¸ñÂ÷"/>
      <sheetName val="¸ÇÈ¦¼ö·®Áý°è"/>
      <sheetName val="¹°·®»êÃâ±Ù°Å"/>
      <sheetName val="°ø»ç°³¿ä"/>
      <sheetName val="TB-³»¿ª¼­"/>
      <sheetName val="INPUT(´öµµ¹æÇâ-½ÃÁ¡)"/>
      <sheetName val="³»¿ª"/>
      <sheetName val="Åä¸ñ³»¿ª"/>
      <sheetName val="3BL°øµ¿±¸ ¼ö·®"/>
      <sheetName val="ÀÏÀ§´ë°¡Ç¥"/>
      <sheetName val="±³°¢°è»ê"/>
      <sheetName val="±âµÕ(¿øÇü)"/>
      <sheetName val="Åä°ø"/>
      <sheetName val="Áý°èÇ¥"/>
      <sheetName val="ÀÏ¹Ý¹°ÀÚ(ÇÑ±¹Åë½Å)"/>
      <sheetName val="3.ÇÏÁß»êÁ¤4.ÁöÁö·Â"/>
      <sheetName val="°ø»çºñ¸í¼¼¼­"/>
      <sheetName val="Æ÷ÀåÀý´Ü"/>
      <sheetName val="Àü±â"/>
      <sheetName val="¿¬·ÉÇöÈ²"/>
      <sheetName val="¿­¸°±³½Ç"/>
      <sheetName val="사급자재"/>
      <sheetName val="손익분석"/>
      <sheetName val="버스운행안내"/>
      <sheetName val="예방접종계획"/>
      <sheetName val="근태계획서"/>
      <sheetName val="경비_원본"/>
      <sheetName val="기본"/>
      <sheetName val="별표집계"/>
      <sheetName val="견적대비표"/>
      <sheetName val="식재인부"/>
      <sheetName val="공통자료"/>
      <sheetName val="약품공급2"/>
      <sheetName val="단면치수"/>
      <sheetName val="각종양식"/>
      <sheetName val="설비"/>
      <sheetName val="06 일위대가목록"/>
      <sheetName val="대전월평내역"/>
      <sheetName val="갑지"/>
      <sheetName val="방음벽기초-수량"/>
      <sheetName val="COPING-1"/>
      <sheetName val="역T형교대-2수량"/>
      <sheetName val="산출근거"/>
      <sheetName val="조명율표"/>
      <sheetName val="대전21토목내역서"/>
      <sheetName val="실행"/>
      <sheetName val="원가"/>
      <sheetName val="B부대공"/>
      <sheetName val="배수공"/>
      <sheetName val="설비내역서"/>
      <sheetName val="건축내역서"/>
      <sheetName val="전기내역서"/>
      <sheetName val="수목데이타 "/>
      <sheetName val="기둥(하중)"/>
      <sheetName val="토공대가"/>
      <sheetName val="구조대가"/>
      <sheetName val="포설대가1"/>
      <sheetName val="부대대가"/>
      <sheetName val="CAL."/>
      <sheetName val="건설노임"/>
      <sheetName val="토공총괄표"/>
      <sheetName val="심사계산"/>
      <sheetName val="심사물량"/>
      <sheetName val="말뚝물량"/>
      <sheetName val="흄관기초"/>
      <sheetName val="인공LIST"/>
      <sheetName val="심사내역서(선감길외).xlsx"/>
      <sheetName val="일위_파일"/>
      <sheetName val="연결임시"/>
      <sheetName val="산출금액내역"/>
      <sheetName val="내역서1999.8최종"/>
      <sheetName val="신우"/>
      <sheetName val="운임"/>
      <sheetName val="충주"/>
      <sheetName val="과천MAIN"/>
      <sheetName val="일 위 대 가 표"/>
      <sheetName val="6PILE  (돌출)"/>
      <sheetName val="도장수량(하1)"/>
      <sheetName val="주형"/>
      <sheetName val="모래운반"/>
      <sheetName val="타공종이기"/>
      <sheetName val="대전-교대(A1-A2)"/>
      <sheetName val="수량산출내역1115"/>
      <sheetName val="재집"/>
      <sheetName val="이토변실제원"/>
      <sheetName val="노단"/>
      <sheetName val="관리비"/>
      <sheetName val="sum"/>
      <sheetName val="인건-측정"/>
      <sheetName val="인건비"/>
      <sheetName val="횡분배정리(DB)"/>
      <sheetName val="8.PILE  (돌출)"/>
      <sheetName val="가설공사"/>
      <sheetName val="단가결정"/>
      <sheetName val="내역아"/>
      <sheetName val="울타리"/>
      <sheetName val="단가대비표"/>
      <sheetName val="부표총괄"/>
      <sheetName val="품셈1-17"/>
      <sheetName val="예산M12A"/>
      <sheetName val="Facility Information"/>
      <sheetName val="General"/>
      <sheetName val="Instructions"/>
      <sheetName val="People"/>
      <sheetName val="Quality"/>
      <sheetName val="Risk"/>
      <sheetName val="Training"/>
      <sheetName val="부대비율"/>
      <sheetName val="비열TABLE"/>
      <sheetName val="MOTOR"/>
      <sheetName val="노임"/>
      <sheetName val="재1"/>
      <sheetName val="사통"/>
      <sheetName val="전신환매도율"/>
      <sheetName val="MATRLDATA"/>
      <sheetName val="견적"/>
      <sheetName val="내역서_1.(3)"/>
      <sheetName val="CABdata"/>
      <sheetName val="Project Information In-Out"/>
      <sheetName val="재료-CODE"/>
      <sheetName val="내역_FILE"/>
      <sheetName val="9.2단가산출서"/>
      <sheetName val="손료"/>
      <sheetName val="케이블(6)"/>
      <sheetName val="구조물"/>
      <sheetName val="member design"/>
      <sheetName val="design criteria"/>
      <sheetName val="working load at the btm ft."/>
      <sheetName val="plan&amp;section of foundation"/>
      <sheetName val="soil bearing check"/>
      <sheetName val="입출재고현황 (2)"/>
      <sheetName val="자재대"/>
      <sheetName val="슬래브"/>
      <sheetName val="협조전"/>
      <sheetName val="외자내역"/>
      <sheetName val="외자배분"/>
      <sheetName val="국별인원"/>
      <sheetName val="공종별 집계"/>
      <sheetName val="점수계산1-2"/>
      <sheetName val="집수정"/>
      <sheetName val="2000.05"/>
      <sheetName val="현장관리비집계표"/>
      <sheetName val="기계경비일람"/>
      <sheetName val="근고 블록 유형별 수량"/>
      <sheetName val="일반수량집계표"/>
      <sheetName val="Baby일위대가"/>
      <sheetName val="토공연장"/>
      <sheetName val="기타 정보통신공사"/>
      <sheetName val="자재단가"/>
      <sheetName val="원가입력"/>
      <sheetName val="소모"/>
      <sheetName val="재료집계"/>
      <sheetName val="dg"/>
      <sheetName val="PAINT"/>
      <sheetName val="차수"/>
      <sheetName val="석축단"/>
      <sheetName val="법면수집"/>
      <sheetName val="석축설면"/>
      <sheetName val="법면단"/>
      <sheetName val="LABTOTAL"/>
      <sheetName val="견"/>
      <sheetName val="Macro(전선)"/>
      <sheetName val="DESIGN"/>
      <sheetName val="가정단면"/>
      <sheetName val="11.자재단가"/>
      <sheetName val="98수문일위"/>
      <sheetName val="Proposal"/>
      <sheetName val="비교표"/>
      <sheetName val="골재산출"/>
      <sheetName val="세부내역(직접인건비)"/>
      <sheetName val="단락전류-A"/>
      <sheetName val="노무산출서"/>
      <sheetName val="일위대가(가설)"/>
      <sheetName val="부하계산서"/>
      <sheetName val="내역서1"/>
      <sheetName val="준검 내역서"/>
      <sheetName val="국공유지및사유지"/>
      <sheetName val="2000전체분"/>
      <sheetName val="암거공"/>
      <sheetName val="변경총괄지(1)"/>
      <sheetName val="토적표"/>
      <sheetName val="현장지지물물량"/>
      <sheetName val="가격정보"/>
      <sheetName val="gvl"/>
      <sheetName val="집계"/>
      <sheetName val="3련 BOX"/>
      <sheetName val="제수"/>
      <sheetName val="공기"/>
      <sheetName val="터널조도"/>
      <sheetName val="type-F"/>
      <sheetName val="환률"/>
      <sheetName val="해외 연수비용 계산-삭제"/>
      <sheetName val="카메라"/>
      <sheetName val="해외 기술훈련비 (합계)"/>
      <sheetName val="화산경계"/>
      <sheetName val="고정단포트구조계산서"/>
      <sheetName val="포장수량집계"/>
      <sheetName val="물량표"/>
      <sheetName val="UNIT"/>
      <sheetName val="비용"/>
      <sheetName val="운동장 (2)"/>
      <sheetName val="데리네이타현황"/>
      <sheetName val="적용건축"/>
      <sheetName val="가정급수관"/>
      <sheetName val="대로근거"/>
      <sheetName val="1차증가원가계산"/>
      <sheetName val="참조 (2)"/>
      <sheetName val="SG"/>
      <sheetName val="공사비증감"/>
      <sheetName val="인사자료총집계"/>
      <sheetName val="참조"/>
      <sheetName val="인건비 "/>
      <sheetName val="일위(시설)"/>
      <sheetName val="파일의이용"/>
      <sheetName val="입력시트"/>
      <sheetName val="공사시행계획"/>
      <sheetName val="매장-시행견적"/>
      <sheetName val="정산서"/>
      <sheetName val="매장-정산내역"/>
      <sheetName val="매장-공사완료보고서"/>
    </sheetNames>
    <sheetDataSet>
      <sheetData sheetId="0"/>
      <sheetData sheetId="1" refreshError="1"/>
      <sheetData sheetId="2" refreshError="1">
        <row r="3">
          <cell r="A3" t="str">
            <v>t0001</v>
          </cell>
          <cell r="B3">
            <v>1</v>
          </cell>
          <cell r="C3" t="str">
            <v>전선관 지지행거</v>
          </cell>
          <cell r="D3" t="str">
            <v>W:200</v>
          </cell>
          <cell r="E3" t="str">
            <v>개소</v>
          </cell>
          <cell r="F3">
            <v>1</v>
          </cell>
          <cell r="G3">
            <v>1693</v>
          </cell>
          <cell r="H3">
            <v>1693</v>
          </cell>
          <cell r="I3">
            <v>11024</v>
          </cell>
          <cell r="J3">
            <v>11024</v>
          </cell>
        </row>
        <row r="4">
          <cell r="A4" t="str">
            <v>t0002</v>
          </cell>
          <cell r="B4">
            <v>2</v>
          </cell>
          <cell r="C4" t="str">
            <v>전선관 지지행거</v>
          </cell>
          <cell r="D4" t="str">
            <v>W:300</v>
          </cell>
          <cell r="E4" t="str">
            <v>개소</v>
          </cell>
          <cell r="F4">
            <v>1</v>
          </cell>
          <cell r="G4">
            <v>1733</v>
          </cell>
          <cell r="H4">
            <v>1733</v>
          </cell>
          <cell r="I4">
            <v>11024</v>
          </cell>
          <cell r="J4">
            <v>11024</v>
          </cell>
        </row>
        <row r="5">
          <cell r="A5" t="str">
            <v>t0003</v>
          </cell>
          <cell r="B5">
            <v>3</v>
          </cell>
          <cell r="C5" t="str">
            <v>전선관 지지행거</v>
          </cell>
          <cell r="D5" t="str">
            <v>16C</v>
          </cell>
          <cell r="E5" t="str">
            <v>개소</v>
          </cell>
          <cell r="F5">
            <v>1</v>
          </cell>
          <cell r="G5">
            <v>1755</v>
          </cell>
          <cell r="H5">
            <v>1755</v>
          </cell>
          <cell r="I5">
            <v>1101</v>
          </cell>
          <cell r="J5">
            <v>1101</v>
          </cell>
        </row>
        <row r="6">
          <cell r="A6" t="str">
            <v>t0004</v>
          </cell>
          <cell r="B6">
            <v>4</v>
          </cell>
          <cell r="C6" t="str">
            <v>전선관 지지행거</v>
          </cell>
          <cell r="D6" t="str">
            <v>22C</v>
          </cell>
          <cell r="E6" t="str">
            <v>개소</v>
          </cell>
          <cell r="F6">
            <v>1</v>
          </cell>
          <cell r="G6">
            <v>1775</v>
          </cell>
          <cell r="H6">
            <v>1775</v>
          </cell>
          <cell r="I6">
            <v>1101</v>
          </cell>
          <cell r="J6">
            <v>1101</v>
          </cell>
        </row>
        <row r="7">
          <cell r="A7" t="str">
            <v>t0005</v>
          </cell>
          <cell r="B7">
            <v>5</v>
          </cell>
          <cell r="C7" t="str">
            <v>전선관 지지행거</v>
          </cell>
          <cell r="D7" t="str">
            <v>28C</v>
          </cell>
          <cell r="E7" t="str">
            <v>개소</v>
          </cell>
          <cell r="F7">
            <v>1</v>
          </cell>
          <cell r="G7">
            <v>1799</v>
          </cell>
          <cell r="H7">
            <v>1799</v>
          </cell>
          <cell r="I7">
            <v>1101</v>
          </cell>
          <cell r="J7">
            <v>1101</v>
          </cell>
        </row>
        <row r="8">
          <cell r="A8" t="str">
            <v>t0006</v>
          </cell>
          <cell r="B8">
            <v>6</v>
          </cell>
          <cell r="C8" t="str">
            <v>전선관 지지행거</v>
          </cell>
          <cell r="D8" t="str">
            <v>36C</v>
          </cell>
          <cell r="E8" t="str">
            <v>개소</v>
          </cell>
          <cell r="F8">
            <v>1</v>
          </cell>
          <cell r="G8">
            <v>2075</v>
          </cell>
          <cell r="H8">
            <v>2075</v>
          </cell>
          <cell r="I8">
            <v>1101</v>
          </cell>
          <cell r="J8">
            <v>1101</v>
          </cell>
        </row>
        <row r="9">
          <cell r="A9" t="str">
            <v>t0007</v>
          </cell>
          <cell r="B9">
            <v>7</v>
          </cell>
          <cell r="C9" t="str">
            <v>전선관 지지행거</v>
          </cell>
          <cell r="D9" t="str">
            <v>42C</v>
          </cell>
          <cell r="E9" t="str">
            <v>개소</v>
          </cell>
          <cell r="F9">
            <v>1</v>
          </cell>
          <cell r="G9">
            <v>2201</v>
          </cell>
          <cell r="H9">
            <v>2201</v>
          </cell>
          <cell r="I9">
            <v>1101</v>
          </cell>
          <cell r="J9">
            <v>1101</v>
          </cell>
        </row>
        <row r="10">
          <cell r="A10" t="str">
            <v>t0008</v>
          </cell>
          <cell r="B10">
            <v>8</v>
          </cell>
          <cell r="C10" t="str">
            <v>전선관 지지행거</v>
          </cell>
          <cell r="D10" t="str">
            <v>54C</v>
          </cell>
          <cell r="E10" t="str">
            <v>개소</v>
          </cell>
          <cell r="F10">
            <v>1</v>
          </cell>
          <cell r="G10">
            <v>2457</v>
          </cell>
          <cell r="H10">
            <v>2457</v>
          </cell>
          <cell r="I10">
            <v>1101</v>
          </cell>
          <cell r="J10">
            <v>1101</v>
          </cell>
        </row>
        <row r="11">
          <cell r="A11" t="str">
            <v>t0009</v>
          </cell>
          <cell r="B11">
            <v>9</v>
          </cell>
          <cell r="C11" t="str">
            <v xml:space="preserve">녹막이 페이트 </v>
          </cell>
          <cell r="D11" t="str">
            <v>2회</v>
          </cell>
          <cell r="E11" t="str">
            <v>식</v>
          </cell>
          <cell r="F11">
            <v>1</v>
          </cell>
          <cell r="G11">
            <v>591.86800000000005</v>
          </cell>
          <cell r="H11">
            <v>591.86800000000005</v>
          </cell>
          <cell r="I11">
            <v>1787</v>
          </cell>
          <cell r="J11">
            <v>1787</v>
          </cell>
        </row>
        <row r="12">
          <cell r="A12" t="str">
            <v>t0010</v>
          </cell>
          <cell r="B12">
            <v>10</v>
          </cell>
          <cell r="C12" t="str">
            <v>은분도장</v>
          </cell>
          <cell r="D12" t="str">
            <v>2회</v>
          </cell>
          <cell r="E12" t="str">
            <v>식</v>
          </cell>
          <cell r="F12">
            <v>1</v>
          </cell>
          <cell r="G12">
            <v>236.34500000000003</v>
          </cell>
          <cell r="H12">
            <v>236.34500000000003</v>
          </cell>
          <cell r="I12">
            <v>3216</v>
          </cell>
          <cell r="J12">
            <v>3216</v>
          </cell>
        </row>
        <row r="13">
          <cell r="A13" t="str">
            <v>t0011</v>
          </cell>
          <cell r="B13">
            <v>11</v>
          </cell>
          <cell r="C13" t="str">
            <v>철재류 가공 및 조립</v>
          </cell>
          <cell r="D13" t="str">
            <v>현장제작</v>
          </cell>
          <cell r="E13" t="str">
            <v>식</v>
          </cell>
          <cell r="F13">
            <v>1</v>
          </cell>
          <cell r="G13">
            <v>27913</v>
          </cell>
          <cell r="H13">
            <v>27913</v>
          </cell>
          <cell r="I13">
            <v>2176675</v>
          </cell>
          <cell r="J13">
            <v>2176675</v>
          </cell>
        </row>
        <row r="14">
          <cell r="A14" t="str">
            <v>t0012</v>
          </cell>
          <cell r="B14">
            <v>12</v>
          </cell>
          <cell r="C14" t="str">
            <v>콘크리트 기초</v>
          </cell>
          <cell r="D14" t="str">
            <v>무근</v>
          </cell>
          <cell r="E14" t="str">
            <v>식</v>
          </cell>
          <cell r="F14">
            <v>1</v>
          </cell>
          <cell r="G14">
            <v>54876</v>
          </cell>
          <cell r="H14">
            <v>54876</v>
          </cell>
          <cell r="I14">
            <v>196800</v>
          </cell>
          <cell r="J14">
            <v>196800</v>
          </cell>
        </row>
        <row r="15">
          <cell r="A15" t="str">
            <v>t0013</v>
          </cell>
          <cell r="B15">
            <v>13</v>
          </cell>
          <cell r="C15" t="str">
            <v>터파기 데메우기</v>
          </cell>
          <cell r="D15" t="str">
            <v>1M 이하</v>
          </cell>
          <cell r="E15" t="str">
            <v>㎥</v>
          </cell>
          <cell r="F15">
            <v>1</v>
          </cell>
          <cell r="G15">
            <v>0</v>
          </cell>
          <cell r="H15">
            <v>0</v>
          </cell>
          <cell r="I15">
            <v>10483</v>
          </cell>
          <cell r="J15">
            <v>10483</v>
          </cell>
        </row>
        <row r="16">
          <cell r="A16" t="str">
            <v>t0014</v>
          </cell>
          <cell r="B16">
            <v>14</v>
          </cell>
          <cell r="C16" t="str">
            <v>동력배관 지지가대</v>
          </cell>
          <cell r="D16" t="str">
            <v>ㄷ앵글</v>
          </cell>
          <cell r="E16" t="str">
            <v>㎥</v>
          </cell>
          <cell r="F16">
            <v>1</v>
          </cell>
          <cell r="G16">
            <v>7188.4515000000001</v>
          </cell>
          <cell r="H16">
            <v>7188.4515000000001</v>
          </cell>
          <cell r="I16">
            <v>166035.663</v>
          </cell>
          <cell r="J16">
            <v>166035.663</v>
          </cell>
        </row>
        <row r="17">
          <cell r="A17" t="str">
            <v>t0015</v>
          </cell>
          <cell r="B17">
            <v>15</v>
          </cell>
          <cell r="C17" t="str">
            <v>전등 전열 분전반</v>
          </cell>
          <cell r="D17" t="str">
            <v>L-1</v>
          </cell>
          <cell r="E17" t="str">
            <v>식</v>
          </cell>
          <cell r="F17">
            <v>1</v>
          </cell>
          <cell r="G17">
            <v>167121</v>
          </cell>
          <cell r="H17">
            <v>167121</v>
          </cell>
          <cell r="I17">
            <v>244058</v>
          </cell>
          <cell r="J17">
            <v>244058</v>
          </cell>
        </row>
        <row r="18">
          <cell r="A18" t="str">
            <v>t0016</v>
          </cell>
          <cell r="B18">
            <v>16</v>
          </cell>
          <cell r="C18" t="str">
            <v>전등 전열 분전반</v>
          </cell>
          <cell r="D18" t="str">
            <v>L-2</v>
          </cell>
          <cell r="E18" t="str">
            <v>식</v>
          </cell>
          <cell r="F18">
            <v>1</v>
          </cell>
          <cell r="G18">
            <v>209376</v>
          </cell>
          <cell r="H18">
            <v>209376</v>
          </cell>
          <cell r="I18">
            <v>213125</v>
          </cell>
          <cell r="J18">
            <v>213125</v>
          </cell>
        </row>
        <row r="19">
          <cell r="A19" t="str">
            <v>t0017</v>
          </cell>
          <cell r="B19">
            <v>17</v>
          </cell>
          <cell r="C19" t="str">
            <v>보안용 접지공사</v>
          </cell>
          <cell r="D19" t="str">
            <v>100Ω이하</v>
          </cell>
          <cell r="E19" t="str">
            <v>식</v>
          </cell>
          <cell r="F19">
            <v>1</v>
          </cell>
          <cell r="G19">
            <v>773105</v>
          </cell>
          <cell r="H19">
            <v>773105</v>
          </cell>
          <cell r="I19">
            <v>130426.31999999999</v>
          </cell>
          <cell r="J19">
            <v>130426.31999999999</v>
          </cell>
        </row>
        <row r="20">
          <cell r="A20" t="str">
            <v>t0018</v>
          </cell>
          <cell r="B20">
            <v>18</v>
          </cell>
          <cell r="C20" t="str">
            <v>덕트 지지행거</v>
          </cell>
          <cell r="D20" t="str">
            <v>W : 200</v>
          </cell>
          <cell r="E20" t="str">
            <v>개소</v>
          </cell>
          <cell r="F20">
            <v>1</v>
          </cell>
          <cell r="G20">
            <v>3296</v>
          </cell>
          <cell r="H20">
            <v>3296</v>
          </cell>
          <cell r="I20">
            <v>8508</v>
          </cell>
          <cell r="J20">
            <v>8508</v>
          </cell>
        </row>
        <row r="21">
          <cell r="A21" t="str">
            <v>t0019</v>
          </cell>
          <cell r="B21">
            <v>19</v>
          </cell>
          <cell r="C21" t="str">
            <v>덕트 지지행거</v>
          </cell>
          <cell r="D21" t="str">
            <v>W : 300</v>
          </cell>
          <cell r="E21" t="str">
            <v>개소</v>
          </cell>
          <cell r="F21">
            <v>1</v>
          </cell>
          <cell r="G21">
            <v>3566</v>
          </cell>
          <cell r="H21">
            <v>3566</v>
          </cell>
          <cell r="I21">
            <v>8508</v>
          </cell>
          <cell r="J21">
            <v>8508</v>
          </cell>
        </row>
        <row r="22">
          <cell r="A22" t="str">
            <v>t0020</v>
          </cell>
          <cell r="B22">
            <v>20</v>
          </cell>
          <cell r="C22" t="str">
            <v>냉방기 분전반</v>
          </cell>
          <cell r="D22" t="str">
            <v>M - 50A(노출)</v>
          </cell>
          <cell r="E22" t="str">
            <v>면</v>
          </cell>
          <cell r="F22">
            <v>1</v>
          </cell>
          <cell r="G22">
            <v>55680</v>
          </cell>
          <cell r="H22">
            <v>55680</v>
          </cell>
          <cell r="I22">
            <v>13827</v>
          </cell>
          <cell r="J22">
            <v>13827</v>
          </cell>
        </row>
        <row r="23">
          <cell r="A23" t="str">
            <v>t0021</v>
          </cell>
          <cell r="B23">
            <v>21</v>
          </cell>
          <cell r="C23" t="str">
            <v>동력 분전반</v>
          </cell>
          <cell r="D23" t="str">
            <v>P - 1</v>
          </cell>
          <cell r="E23" t="str">
            <v>면</v>
          </cell>
          <cell r="F23">
            <v>1</v>
          </cell>
          <cell r="G23">
            <v>524487</v>
          </cell>
          <cell r="H23">
            <v>524487</v>
          </cell>
          <cell r="I23">
            <v>881611</v>
          </cell>
          <cell r="J23">
            <v>881611</v>
          </cell>
        </row>
        <row r="24">
          <cell r="A24" t="str">
            <v>t0022</v>
          </cell>
          <cell r="B24">
            <v>22</v>
          </cell>
          <cell r="C24" t="str">
            <v>노 무 비</v>
          </cell>
          <cell r="D24" t="str">
            <v>통신기사 1급</v>
          </cell>
          <cell r="E24" t="str">
            <v>인</v>
          </cell>
          <cell r="F24">
            <v>89527</v>
          </cell>
        </row>
        <row r="25">
          <cell r="A25" t="str">
            <v>t0023</v>
          </cell>
          <cell r="B25">
            <v>25</v>
          </cell>
          <cell r="C25" t="str">
            <v>노 무 비</v>
          </cell>
          <cell r="D25" t="str">
            <v>통신기사 2급</v>
          </cell>
          <cell r="E25" t="str">
            <v>인</v>
          </cell>
          <cell r="F25">
            <v>78395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데이타"/>
      <sheetName val="식재인부"/>
      <sheetName val="총계"/>
      <sheetName val="식재"/>
      <sheetName val="시설물"/>
      <sheetName val="식재출력용"/>
      <sheetName val="유지관리"/>
      <sheetName val="ilch"/>
      <sheetName val="내역서"/>
      <sheetName val="단가조사"/>
      <sheetName val="공사개요"/>
      <sheetName val="Y-WORK"/>
      <sheetName val="가설공사"/>
      <sheetName val="단가결정"/>
      <sheetName val="내역아"/>
      <sheetName val="울타리"/>
      <sheetName val="재료비"/>
      <sheetName val="ILWIDAGA"/>
      <sheetName val="부하(성남)"/>
      <sheetName val="수목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A5">
            <v>11500</v>
          </cell>
        </row>
        <row r="9">
          <cell r="A9">
            <v>4830</v>
          </cell>
        </row>
        <row r="10">
          <cell r="A10">
            <v>245454</v>
          </cell>
        </row>
        <row r="12">
          <cell r="A12">
            <v>616</v>
          </cell>
        </row>
        <row r="13">
          <cell r="A13">
            <v>160.79</v>
          </cell>
        </row>
        <row r="15">
          <cell r="A15">
            <v>6</v>
          </cell>
        </row>
        <row r="16">
          <cell r="A16">
            <v>327272</v>
          </cell>
        </row>
        <row r="17">
          <cell r="A17">
            <v>1314.8</v>
          </cell>
        </row>
        <row r="20">
          <cell r="A20">
            <v>60429</v>
          </cell>
        </row>
        <row r="22">
          <cell r="A22">
            <v>65070</v>
          </cell>
        </row>
        <row r="25">
          <cell r="A25">
            <v>64202</v>
          </cell>
        </row>
        <row r="26">
          <cell r="A26">
            <v>56412</v>
          </cell>
        </row>
        <row r="28">
          <cell r="A28">
            <v>71104</v>
          </cell>
        </row>
        <row r="29">
          <cell r="A29">
            <v>9000</v>
          </cell>
        </row>
        <row r="33">
          <cell r="A33">
            <v>3758.2</v>
          </cell>
        </row>
        <row r="34">
          <cell r="A34">
            <v>4021.8</v>
          </cell>
        </row>
        <row r="35">
          <cell r="A35">
            <v>6216.3</v>
          </cell>
        </row>
        <row r="36">
          <cell r="A36">
            <v>5821.8</v>
          </cell>
        </row>
        <row r="40">
          <cell r="A40">
            <v>2057843</v>
          </cell>
        </row>
        <row r="41">
          <cell r="A41">
            <v>31435</v>
          </cell>
        </row>
        <row r="42">
          <cell r="A42">
            <v>13000</v>
          </cell>
        </row>
        <row r="43">
          <cell r="A43">
            <v>55408</v>
          </cell>
        </row>
        <row r="47">
          <cell r="A47">
            <v>55251</v>
          </cell>
        </row>
        <row r="48">
          <cell r="A48">
            <v>61.35</v>
          </cell>
        </row>
        <row r="49">
          <cell r="A49">
            <v>32872</v>
          </cell>
        </row>
        <row r="50">
          <cell r="A50">
            <v>30081</v>
          </cell>
        </row>
        <row r="51">
          <cell r="A51">
            <v>34909</v>
          </cell>
        </row>
        <row r="52">
          <cell r="A52">
            <v>38109</v>
          </cell>
        </row>
        <row r="54">
          <cell r="A54">
            <v>2700</v>
          </cell>
        </row>
        <row r="55">
          <cell r="A55">
            <v>160.79</v>
          </cell>
        </row>
        <row r="56">
          <cell r="A56">
            <v>666.6</v>
          </cell>
        </row>
        <row r="57">
          <cell r="A57">
            <v>870</v>
          </cell>
        </row>
        <row r="58">
          <cell r="A58">
            <v>0.57999999999999996</v>
          </cell>
        </row>
        <row r="59">
          <cell r="A59">
            <v>5500</v>
          </cell>
        </row>
        <row r="60">
          <cell r="A60">
            <v>450</v>
          </cell>
        </row>
        <row r="61">
          <cell r="A61">
            <v>75</v>
          </cell>
        </row>
        <row r="62">
          <cell r="A62">
            <v>24492</v>
          </cell>
        </row>
        <row r="63">
          <cell r="A63">
            <v>85300</v>
          </cell>
        </row>
        <row r="64">
          <cell r="A64">
            <v>150000</v>
          </cell>
        </row>
        <row r="65">
          <cell r="A65">
            <v>360</v>
          </cell>
        </row>
        <row r="66">
          <cell r="A66">
            <v>63500</v>
          </cell>
        </row>
        <row r="67">
          <cell r="A67">
            <v>23418</v>
          </cell>
        </row>
        <row r="69">
          <cell r="A69">
            <v>2100</v>
          </cell>
        </row>
        <row r="70">
          <cell r="A70">
            <v>450</v>
          </cell>
        </row>
        <row r="71">
          <cell r="A71">
            <v>1211.0999999999999</v>
          </cell>
        </row>
        <row r="72">
          <cell r="A72">
            <v>100</v>
          </cell>
        </row>
        <row r="94">
          <cell r="A94">
            <v>57570</v>
          </cell>
        </row>
        <row r="95">
          <cell r="A95">
            <v>61800</v>
          </cell>
        </row>
        <row r="99">
          <cell r="A99">
            <v>27000</v>
          </cell>
        </row>
        <row r="102">
          <cell r="A102">
            <v>49800</v>
          </cell>
        </row>
        <row r="103">
          <cell r="A103">
            <v>74100</v>
          </cell>
        </row>
        <row r="104">
          <cell r="A104">
            <v>694000</v>
          </cell>
        </row>
        <row r="105">
          <cell r="A105">
            <v>373000</v>
          </cell>
        </row>
        <row r="106">
          <cell r="A106">
            <v>116000</v>
          </cell>
        </row>
        <row r="107">
          <cell r="A107">
            <v>64300</v>
          </cell>
        </row>
        <row r="108">
          <cell r="A108">
            <v>29200</v>
          </cell>
        </row>
        <row r="109">
          <cell r="A109">
            <v>77000</v>
          </cell>
        </row>
        <row r="110">
          <cell r="A110">
            <v>33000</v>
          </cell>
        </row>
        <row r="111">
          <cell r="A111">
            <v>20900</v>
          </cell>
        </row>
        <row r="112">
          <cell r="A112">
            <v>36300</v>
          </cell>
        </row>
        <row r="113">
          <cell r="A113">
            <v>30500</v>
          </cell>
        </row>
        <row r="114">
          <cell r="A114">
            <v>56700</v>
          </cell>
        </row>
        <row r="115">
          <cell r="A115">
            <v>37900</v>
          </cell>
        </row>
        <row r="117">
          <cell r="A117">
            <v>248000</v>
          </cell>
        </row>
        <row r="118">
          <cell r="A118">
            <v>171000</v>
          </cell>
        </row>
        <row r="119">
          <cell r="A119">
            <v>65200</v>
          </cell>
        </row>
        <row r="120">
          <cell r="A120">
            <v>25200</v>
          </cell>
        </row>
        <row r="121">
          <cell r="A121">
            <v>20800</v>
          </cell>
        </row>
        <row r="122">
          <cell r="A122">
            <v>34700</v>
          </cell>
        </row>
        <row r="123">
          <cell r="A123">
            <v>16000</v>
          </cell>
        </row>
        <row r="124">
          <cell r="A124">
            <v>88000</v>
          </cell>
        </row>
        <row r="125">
          <cell r="A125">
            <v>66000</v>
          </cell>
        </row>
        <row r="126">
          <cell r="A126">
            <v>53600</v>
          </cell>
        </row>
        <row r="127">
          <cell r="A127">
            <v>53800</v>
          </cell>
        </row>
        <row r="128">
          <cell r="A128">
            <v>290000</v>
          </cell>
        </row>
        <row r="129">
          <cell r="A129">
            <v>101000</v>
          </cell>
        </row>
        <row r="130">
          <cell r="A130">
            <v>49900</v>
          </cell>
        </row>
        <row r="131">
          <cell r="A131">
            <v>20000</v>
          </cell>
        </row>
        <row r="132">
          <cell r="A132">
            <v>153400</v>
          </cell>
        </row>
        <row r="133">
          <cell r="A133">
            <v>50900</v>
          </cell>
        </row>
        <row r="138">
          <cell r="A138">
            <v>710</v>
          </cell>
        </row>
        <row r="143">
          <cell r="A143">
            <v>5000</v>
          </cell>
        </row>
        <row r="145">
          <cell r="A145">
            <v>2300</v>
          </cell>
        </row>
        <row r="146">
          <cell r="A146">
            <v>60</v>
          </cell>
        </row>
        <row r="147">
          <cell r="A147">
            <v>2100</v>
          </cell>
        </row>
        <row r="149">
          <cell r="A149">
            <v>1200</v>
          </cell>
        </row>
        <row r="152">
          <cell r="A152">
            <v>4500</v>
          </cell>
        </row>
        <row r="153">
          <cell r="A153">
            <v>10000</v>
          </cell>
        </row>
        <row r="154">
          <cell r="A154">
            <v>251</v>
          </cell>
        </row>
        <row r="157">
          <cell r="A157">
            <v>30900</v>
          </cell>
        </row>
        <row r="158">
          <cell r="A158">
            <v>2000</v>
          </cell>
        </row>
        <row r="159">
          <cell r="A159">
            <v>627</v>
          </cell>
        </row>
        <row r="161">
          <cell r="A161">
            <v>1800</v>
          </cell>
        </row>
        <row r="162">
          <cell r="A162">
            <v>250000</v>
          </cell>
        </row>
        <row r="163">
          <cell r="A163">
            <v>450000</v>
          </cell>
        </row>
        <row r="164">
          <cell r="A164">
            <v>900000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ITEM"/>
      <sheetName val="단가비교표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Module11"/>
      <sheetName val="YES"/>
      <sheetName val="BQ"/>
      <sheetName val="비교표"/>
      <sheetName val="ilch"/>
      <sheetName val="단가"/>
      <sheetName val="시설물일위"/>
      <sheetName val="데이타"/>
      <sheetName val="DATA"/>
      <sheetName val="DATE"/>
      <sheetName val="WORK"/>
      <sheetName val="조명율표"/>
      <sheetName val="3BL공동구 수량"/>
      <sheetName val="DATA1"/>
      <sheetName val="부대내역"/>
      <sheetName val="입찰견적보고서"/>
      <sheetName val="전기일위대가"/>
      <sheetName val="기계내역"/>
      <sheetName val="단면(RW1)"/>
      <sheetName val="소비자가"/>
      <sheetName val="설계조건"/>
      <sheetName val="날개벽(TYPE3)"/>
      <sheetName val="오산갈곳"/>
      <sheetName val="A-4"/>
      <sheetName val="IMP(MAIN)"/>
      <sheetName val="IMP (REACTOR)"/>
      <sheetName val="맨홀수량집계"/>
      <sheetName val="차액보증"/>
      <sheetName val="일위대가"/>
      <sheetName val="안정계산"/>
      <sheetName val="단면검토"/>
      <sheetName val="정부노임단가"/>
      <sheetName val="경비2내역"/>
      <sheetName val="현장관리비내역서"/>
      <sheetName val="내역서"/>
      <sheetName val="일위대가목록"/>
      <sheetName val="포장복구집계"/>
      <sheetName val="을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BID"/>
      <sheetName val="점수계산1-2"/>
      <sheetName val="STORAGE"/>
      <sheetName val="설계예산서"/>
      <sheetName val="수량집계"/>
      <sheetName val="총괄"/>
      <sheetName val="토목"/>
      <sheetName val="가로등내역서"/>
      <sheetName val="수량산출서"/>
      <sheetName val="2000.11월설계내역"/>
      <sheetName val="#REF"/>
      <sheetName val="터파기및재료"/>
      <sheetName val="내역"/>
      <sheetName val="집계표"/>
      <sheetName val="총괄표"/>
      <sheetName val="말뚝지지력산정"/>
      <sheetName val="전선 및 전선관"/>
      <sheetName val="실행철강하도"/>
      <sheetName val="내역서2안"/>
      <sheetName val="단가산출"/>
      <sheetName val="소야공정계획표"/>
      <sheetName val="입찰안"/>
      <sheetName val="단가 및 재료비"/>
      <sheetName val="수량산출"/>
      <sheetName val="준검 내역서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봉양~조차장간고하개명(신설)"/>
      <sheetName val="주상도"/>
      <sheetName val="6호기"/>
      <sheetName val="INPUT"/>
      <sheetName val="하조서"/>
      <sheetName val="보증수수료산출"/>
      <sheetName val="기계경비"/>
      <sheetName val="1.수인터널"/>
      <sheetName val="가로등"/>
      <sheetName val="공사비예산서(토목분)"/>
      <sheetName val="수목데이타 "/>
      <sheetName val="변압기 및 발전기 용량"/>
      <sheetName val="JUCK"/>
      <sheetName val="설계내역서"/>
      <sheetName val="단가조사"/>
      <sheetName val="본선차로수량집계표"/>
      <sheetName val="일반공사"/>
      <sheetName val="대비"/>
      <sheetName val="일위대가(목록)"/>
      <sheetName val="재료비"/>
      <sheetName val="참고"/>
      <sheetName val="공사개요"/>
      <sheetName val="각형맨홀"/>
      <sheetName val="수목단가"/>
      <sheetName val="시설수량표"/>
      <sheetName val="식재수량표"/>
      <sheetName val="일위목록"/>
      <sheetName val="자재단가"/>
      <sheetName val="- INFORMATION -"/>
      <sheetName val="예산변경사항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조건표"/>
      <sheetName val="JJ"/>
      <sheetName val="설계"/>
      <sheetName val="설 계"/>
      <sheetName val="ASP포장"/>
      <sheetName val="내역서(전기)"/>
      <sheetName val="일위대가표"/>
      <sheetName val="단가산출서(기계)"/>
      <sheetName val="표지 (2)"/>
      <sheetName val="에너지동"/>
      <sheetName val="연습"/>
      <sheetName val="Total"/>
      <sheetName val="원가계산"/>
      <sheetName val="코드표"/>
      <sheetName val="Sheet1 (2)"/>
      <sheetName val="MOTOR"/>
      <sheetName val="부하계산서"/>
      <sheetName val="견적조건"/>
      <sheetName val="견적조건(을지)"/>
      <sheetName val="식생블럭단위수량"/>
      <sheetName val="예정(3)"/>
      <sheetName val="동원(3)"/>
      <sheetName val="1.설계기준"/>
      <sheetName val="터널조도"/>
      <sheetName val="노임"/>
      <sheetName val="현황CODE"/>
      <sheetName val="손익현황"/>
      <sheetName val="3차설계"/>
      <sheetName val="기둥(원형)"/>
      <sheetName val="주형"/>
      <sheetName val="ABUT수량-A1"/>
      <sheetName val="옹벽"/>
      <sheetName val="밸브설치"/>
      <sheetName val="3.바닥판설계"/>
      <sheetName val="REACTION(USD지진시)"/>
      <sheetName val="안정검토"/>
      <sheetName val="REACTION(USE평시)"/>
      <sheetName val="일위대가표 (2)"/>
      <sheetName val="단가대비표"/>
      <sheetName val="Testing"/>
      <sheetName val="계화배수"/>
      <sheetName val="I一般比"/>
      <sheetName val="교각계산"/>
      <sheetName val="조명시설"/>
      <sheetName val="일위대가목차"/>
      <sheetName val="IP좌표"/>
      <sheetName val="날개벽"/>
      <sheetName val="토공계산서(부체도로)"/>
      <sheetName val="보차도경계석"/>
      <sheetName val="단가산출집계"/>
      <sheetName val="BLOCK(1)"/>
      <sheetName val="물량산출근거"/>
      <sheetName val="토목내역"/>
      <sheetName val="CONCRETE"/>
      <sheetName val="방음벽 기초 일반수량"/>
      <sheetName val="I.설계조건"/>
      <sheetName val="단면가정"/>
      <sheetName val="부재력정리"/>
      <sheetName val="단면치수"/>
      <sheetName val="노원열병합  건축공사기성내역서"/>
      <sheetName val="D-3503"/>
      <sheetName val="SORCE1"/>
      <sheetName val="가시설단위수량"/>
      <sheetName val="NEYOK"/>
      <sheetName val="자재단가표"/>
      <sheetName val="2F 회의실견적(5_14 일대)"/>
      <sheetName val="품의서"/>
      <sheetName val="물가시세"/>
      <sheetName val="물가자료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가공비"/>
      <sheetName val="을지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Baby일위대가"/>
      <sheetName val="0.집계"/>
      <sheetName val="N賃率-職"/>
      <sheetName val="가로등부표"/>
      <sheetName val="001"/>
      <sheetName val="노무비"/>
      <sheetName val="총계"/>
      <sheetName val="매립"/>
      <sheetName val="조도계산서 (도서)"/>
      <sheetName val="LOPCALC"/>
      <sheetName val="재료"/>
      <sheetName val="제경비율"/>
      <sheetName val="MAIN_TABLE"/>
      <sheetName val="1.설계조건"/>
      <sheetName val="입찰보고"/>
      <sheetName val="1차설계변경내역"/>
      <sheetName val="수주현황2월"/>
      <sheetName val="토공유동표"/>
      <sheetName val="단면 (2)"/>
      <sheetName val="XL4Poppy"/>
      <sheetName val="교각1"/>
      <sheetName val="요율"/>
      <sheetName val="자재대"/>
      <sheetName val="아산추가1220"/>
      <sheetName val="당초"/>
      <sheetName val="3-1.CB"/>
      <sheetName val="노무비단가"/>
      <sheetName val="일위대가(가설)"/>
      <sheetName val="98지급계획"/>
      <sheetName val="본공사"/>
      <sheetName val="DANGA"/>
      <sheetName val="실행내역서"/>
      <sheetName val="인건비"/>
      <sheetName val="BID-도로"/>
      <sheetName val="내력서"/>
      <sheetName val="대창(함평)-창열"/>
      <sheetName val="대창(장성)"/>
      <sheetName val="90.03실행 "/>
      <sheetName val="자료입력"/>
      <sheetName val="3.공통공사대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AS포장복구 "/>
      <sheetName val="소요자재"/>
      <sheetName val="노무산출서"/>
      <sheetName val="ETC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토공"/>
      <sheetName val="기계경비시간당손료목록"/>
      <sheetName val="동력부하(도산)"/>
      <sheetName val="신우"/>
      <sheetName val="돌망태단위수량"/>
      <sheetName val="말뚝물량"/>
      <sheetName val="우수맨홀공제단위수량"/>
      <sheetName val="스톱로그내역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공구원가계산"/>
      <sheetName val="2000전체분"/>
      <sheetName val="입찰결과(DATA)"/>
      <sheetName val="일반수량"/>
      <sheetName val="Macro(차단기)"/>
      <sheetName val="일위대가표(유단가)"/>
      <sheetName val="대치판정"/>
      <sheetName val="CABLE SIZE-3"/>
      <sheetName val="EQUIP-H"/>
      <sheetName val="경비_원본"/>
      <sheetName val="가감수량"/>
      <sheetName val="맨홀수량산출"/>
      <sheetName val="기초코드"/>
      <sheetName val="하수급견적대비"/>
      <sheetName val="발주설계서(당초)"/>
      <sheetName val="총괄내역서"/>
      <sheetName val="일위대가 집계표"/>
      <sheetName val="9GNG운반"/>
      <sheetName val="횡배수관토공수량"/>
      <sheetName val="원가"/>
      <sheetName val="수문일1"/>
      <sheetName val="품셈TABLE"/>
      <sheetName val="지급자재"/>
      <sheetName val="공사비집계"/>
      <sheetName val="전압강하계산"/>
      <sheetName val="일용노임단가"/>
      <sheetName val="c_balju"/>
      <sheetName val="TYPE-A"/>
      <sheetName val="IMPEADENCE MAP 취수장"/>
      <sheetName val="지장물C"/>
      <sheetName val="설산1.나"/>
      <sheetName val="본사S"/>
      <sheetName val="계산근거"/>
      <sheetName val="변화치수"/>
      <sheetName val="집1"/>
      <sheetName val="플랜트 설치"/>
      <sheetName val="구조물철거타공정이월"/>
      <sheetName val="참조-(1)"/>
      <sheetName val="1차증가원가계산"/>
      <sheetName val="b_balju_cho"/>
      <sheetName val="2006기계경비산출표"/>
      <sheetName val="약품설비"/>
      <sheetName val="상수도토공집계표"/>
      <sheetName val="부속동"/>
      <sheetName val="단가조사서"/>
      <sheetName val="예산갑지"/>
      <sheetName val="외주"/>
      <sheetName val="적용(기계)"/>
      <sheetName val="간접1"/>
      <sheetName val="자  재"/>
      <sheetName val="공종별원가계산"/>
      <sheetName val="말고개터널조명전압강하"/>
      <sheetName val="간접비"/>
      <sheetName val="직공비"/>
      <sheetName val="주관사업"/>
      <sheetName val="가설건물"/>
      <sheetName val="통장출금액"/>
      <sheetName val="20관리비율"/>
      <sheetName val="기계경비(시간당)"/>
      <sheetName val="램머"/>
      <sheetName val="VA_code"/>
      <sheetName val="자재목록"/>
      <sheetName val="연결관산출조서"/>
      <sheetName val="단가일람"/>
      <sheetName val="조경일람"/>
      <sheetName val="점검총괄"/>
      <sheetName val=" 상부공통집계(총괄)"/>
      <sheetName val="LP-S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45,46"/>
      <sheetName val="교대(A1)"/>
      <sheetName val="교대(A1-A2)"/>
      <sheetName val="8. 안정검토"/>
      <sheetName val="제-노임"/>
      <sheetName val="제직재"/>
      <sheetName val="96보완계획7.12"/>
      <sheetName val="지진시"/>
      <sheetName val="6PILE  (돌출)"/>
      <sheetName val="98NS-N"/>
      <sheetName val="토량산출서"/>
      <sheetName val="금리계산"/>
      <sheetName val="부대공Ⅱ"/>
      <sheetName val="대구-교대(A1-A2)"/>
      <sheetName val="원형1호맨홀토공수량"/>
      <sheetName val="Sheet17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부대시설"/>
      <sheetName val="Apt내역"/>
      <sheetName val="재정비직인"/>
      <sheetName val="재정비내역"/>
      <sheetName val="지적고시내역"/>
      <sheetName val="철거산출근거"/>
      <sheetName val="단위단가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총괄집계표"/>
      <sheetName val="5.정산서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BOX전기내역"/>
      <sheetName val="월선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 지"/>
      <sheetName val="상다㎡당 단가"/>
      <sheetName val="토공산출근거"/>
      <sheetName val="블럭물량산출근거"/>
      <sheetName val="토공물량산출근거"/>
      <sheetName val="블럭그리드산출근거"/>
      <sheetName val="총괄수량집계표"/>
      <sheetName val="일위대가표  (2)"/>
      <sheetName val="견적서  (2)"/>
      <sheetName val="시방서"/>
      <sheetName val="구조계산서"/>
      <sheetName val="영문구조계산"/>
      <sheetName val="견적서  (3)"/>
      <sheetName val="견적"/>
      <sheetName val="일위대가"/>
      <sheetName val="단가산출"/>
      <sheetName val="노임단가"/>
      <sheetName val="적용기준"/>
      <sheetName val="장비집계"/>
      <sheetName val="장비단가"/>
      <sheetName val="Sheet2"/>
      <sheetName val="Sheet3"/>
      <sheetName val="인천학익동 동아풍림아파트현장"/>
      <sheetName val="ITEM"/>
      <sheetName val="관경별내역서"/>
      <sheetName val="말뚝지지력산정"/>
      <sheetName val="Sheet1"/>
      <sheetName val="#REF"/>
      <sheetName val="2003상반기노임기준"/>
      <sheetName val="토사(PE)"/>
      <sheetName val="조명시설"/>
      <sheetName val="토목검측서"/>
      <sheetName val="6호기"/>
      <sheetName val="물가시세"/>
      <sheetName val="보도경계블럭"/>
      <sheetName val="Sheet1 (2)"/>
      <sheetName val="H-PILE수량집계"/>
      <sheetName val="쌍송교"/>
      <sheetName val="맨홀수량집계"/>
      <sheetName val="집수정(600-700)"/>
      <sheetName val="수량산출"/>
      <sheetName val="산정표"/>
      <sheetName val="표지"/>
      <sheetName val="실행대비"/>
      <sheetName val="SORCE1"/>
      <sheetName val="가시설단위수량"/>
      <sheetName val="단위수량"/>
      <sheetName val="대비"/>
      <sheetName val="오산갈곳"/>
      <sheetName val="아파트 내역"/>
      <sheetName val="설계내역"/>
      <sheetName val="부대내역"/>
      <sheetName val="대로근거"/>
      <sheetName val="중로근거"/>
      <sheetName val="3BL공동구 수량"/>
      <sheetName val="단위중량"/>
      <sheetName val="가도공"/>
      <sheetName val="지장물C"/>
      <sheetName val="우수공"/>
      <sheetName val="DATA"/>
      <sheetName val="신림자금"/>
      <sheetName val="터파기및재료"/>
      <sheetName val="LP-S"/>
      <sheetName val="일위대가목록"/>
      <sheetName val="일위대가 "/>
      <sheetName val="원형맨홀수량"/>
      <sheetName val="BID"/>
      <sheetName val="플랜트 설치"/>
      <sheetName val="입력자료"/>
      <sheetName val="입력란"/>
      <sheetName val="97노임단가"/>
      <sheetName val="바닥판"/>
      <sheetName val="입력DATA"/>
      <sheetName val="RAHMEN"/>
      <sheetName val="구조물공 수량집계표"/>
      <sheetName val="덤프운반거리산출(토)"/>
      <sheetName val="덤프운반거리산출(풍)"/>
      <sheetName val="덤프운반거리산출(연)"/>
      <sheetName val="일반맨홀수량집계(A-7 LINE)"/>
      <sheetName val="원가계산"/>
      <sheetName val="일위-1"/>
      <sheetName val="단가"/>
      <sheetName val="시설물일위"/>
      <sheetName val="토공집계표"/>
      <sheetName val="화성태안9공구내역(실행)"/>
      <sheetName val="ABUT수량-A1"/>
      <sheetName val="해평견적"/>
      <sheetName val="FOB발"/>
      <sheetName val="실행"/>
      <sheetName val="일위대가표"/>
      <sheetName val="간_지"/>
      <sheetName val="상다㎡당_단가"/>
      <sheetName val="일위대가표__(2)"/>
      <sheetName val="견적서__(2)"/>
      <sheetName val="견적서__(3)"/>
      <sheetName val="계정"/>
      <sheetName val="8.석축단위(H=1.5M)"/>
      <sheetName val="갑지"/>
      <sheetName val="역T형교대(말뚝기초)"/>
      <sheetName val="을지"/>
      <sheetName val="기둥(원형)"/>
      <sheetName val="BQ"/>
      <sheetName val="식생블럭단위수량"/>
      <sheetName val="램프"/>
      <sheetName val="내역서"/>
      <sheetName val="중기조종사 단위단가"/>
      <sheetName val="상시"/>
      <sheetName val="INPUT"/>
      <sheetName val="예산서"/>
      <sheetName val="옹벽기초자료"/>
      <sheetName val="현황산출서"/>
      <sheetName val="내역서(전기)"/>
      <sheetName val="2000년1차"/>
      <sheetName val="조명율표"/>
      <sheetName val="실행철강하도"/>
      <sheetName val="N賃率-職"/>
      <sheetName val="미드수량"/>
      <sheetName val="1호맨홀수량산출"/>
      <sheetName val="데리네이타현황"/>
      <sheetName val="기초단가"/>
      <sheetName val="WORK"/>
      <sheetName val="그라우팅일위"/>
      <sheetName val="소야공정계획표"/>
      <sheetName val="견적단가"/>
      <sheetName val="단면가정"/>
      <sheetName val="보차도경계석"/>
      <sheetName val="주빔의 설계"/>
      <sheetName val="자재단가"/>
      <sheetName val="b_balju_cho"/>
      <sheetName val="MOTOR"/>
      <sheetName val="ilch"/>
      <sheetName val="데이타"/>
      <sheetName val="식재인부"/>
      <sheetName val="일위산출"/>
      <sheetName val="가로수분설치현황"/>
      <sheetName val="레미콘집계"/>
      <sheetName val="자재집계표"/>
      <sheetName val="축제공집계"/>
      <sheetName val="더돋기"/>
      <sheetName val="호안집계"/>
      <sheetName val="스톤조서"/>
      <sheetName val="스톤수량"/>
      <sheetName val="스톤단위"/>
      <sheetName val="앙카조서"/>
      <sheetName val="앙카수량"/>
      <sheetName val="앙카단위"/>
      <sheetName val="돌망태조서"/>
      <sheetName val="돌망태수량"/>
      <sheetName val="돌망태단위"/>
      <sheetName val="배수공총괄표"/>
      <sheetName val="모르터산출"/>
      <sheetName val="횡배수관집계"/>
      <sheetName val="횡배수관조서"/>
      <sheetName val="횡배;구체집"/>
      <sheetName val="횡배;구체단위"/>
      <sheetName val="횡배;토공집"/>
      <sheetName val="횡배토공"/>
      <sheetName val="평균터파기고"/>
      <sheetName val="횡배수;날개"/>
      <sheetName val="횡날단위"/>
      <sheetName val="암거총"/>
      <sheetName val="연장조서"/>
      <sheetName val="구체집계"/>
      <sheetName val="암거단위"/>
      <sheetName val="토공집계"/>
      <sheetName val="토공수량"/>
      <sheetName val="평터파기고"/>
      <sheetName val="날개구체수량;집"/>
      <sheetName val="날개단위"/>
      <sheetName val="구조물공집계"/>
      <sheetName val="모르터산출 (2)"/>
      <sheetName val="교량집계"/>
      <sheetName val="교량6-6-6"/>
      <sheetName val="교량 (2)8-7-8"/>
      <sheetName val="박스집계"/>
      <sheetName val="철근집계"/>
      <sheetName val="3련 BOX"/>
      <sheetName val="1련 BOX"/>
      <sheetName val="공제집계"/>
      <sheetName val="제수변실"/>
      <sheetName val="공기변실"/>
      <sheetName val="포장집계"/>
      <sheetName val="노무"/>
      <sheetName val="중기사용료산출근거"/>
      <sheetName val="단가산출2"/>
      <sheetName val="단가 및 재료비"/>
      <sheetName val="용역비내역-진짜"/>
      <sheetName val="빗물받이(910-510-410)"/>
      <sheetName val="조건표"/>
      <sheetName val="지표"/>
      <sheetName val="I一般比"/>
      <sheetName val="관급자재대"/>
      <sheetName val="공사설명서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형상"/>
      <sheetName val="내역서1999.8최종"/>
      <sheetName val="관련자료입력"/>
      <sheetName val="장비일위대가2002하"/>
      <sheetName val="설계조건"/>
      <sheetName val="계약서"/>
      <sheetName val="원형1호맨홀토공수량"/>
      <sheetName val="관급자재"/>
      <sheetName val="일반맨홀수량집계"/>
      <sheetName val="DATE"/>
      <sheetName val="조내역"/>
      <sheetName val="포장총괄집계표"/>
      <sheetName val="A-4"/>
      <sheetName val="법면단"/>
      <sheetName val="기초공"/>
      <sheetName val="내역"/>
      <sheetName val="건축내역"/>
      <sheetName val="준검 내역서"/>
      <sheetName val="산출기준 (2)"/>
      <sheetName val="수량3"/>
      <sheetName val="T13(P68~72,78)"/>
      <sheetName val="우수받이"/>
      <sheetName val="L형옹벽(key)"/>
      <sheetName val="변화치수"/>
      <sheetName val="인부노임"/>
      <sheetName val="상호참고자료"/>
      <sheetName val="발주처자료입력"/>
      <sheetName val="회사기본자료"/>
      <sheetName val="하자보증자료"/>
      <sheetName val="기술자관련자료"/>
      <sheetName val="산업개발안내서"/>
      <sheetName val="type-F"/>
      <sheetName val="기초견적가"/>
      <sheetName val="정부노임단가"/>
      <sheetName val="내역표지"/>
      <sheetName val="여과지동"/>
      <sheetName val="기초자료"/>
      <sheetName val="정공공사"/>
      <sheetName val="맨홀공 수량집계표"/>
      <sheetName val="개략"/>
      <sheetName val="Studio"/>
      <sheetName val="수목단가"/>
      <sheetName val="시설수량표"/>
      <sheetName val="식재수량표"/>
      <sheetName val="안정계산"/>
      <sheetName val="단면검토"/>
      <sheetName val="공통부대비"/>
      <sheetName val="안정검토"/>
      <sheetName val="c_balju"/>
      <sheetName val="자료(통합)"/>
      <sheetName val="대상공사(조달청)"/>
      <sheetName val="Site Expenses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A-4"/>
      <sheetName val="연수동"/>
      <sheetName val="Sheet4"/>
      <sheetName val="오산갈곳"/>
      <sheetName val="99-04-19-서울대관련(수정중)"/>
      <sheetName val="ITEM"/>
      <sheetName val="ilch"/>
      <sheetName val="Y-WORK"/>
      <sheetName val="토공사"/>
      <sheetName val="ABUT수량-A1"/>
      <sheetName val="단가"/>
      <sheetName val="시설물일위"/>
      <sheetName val="TEL"/>
      <sheetName val="을"/>
      <sheetName val="WORK"/>
      <sheetName val="산업개발안내서"/>
      <sheetName val="Sheet5"/>
      <sheetName val="P.M 별"/>
      <sheetName val="1월"/>
      <sheetName val="VXXXXXXX"/>
      <sheetName val="BSD (2)"/>
      <sheetName val="투찰"/>
      <sheetName val="BQ"/>
      <sheetName val="전기공사"/>
      <sheetName val="공통가설공사"/>
      <sheetName val="건축내역"/>
      <sheetName val="도급"/>
      <sheetName val="c_balju"/>
      <sheetName val="토목내역"/>
      <sheetName val="20관리비율"/>
      <sheetName val="장비당단가 (1)"/>
      <sheetName val="공통부대비"/>
      <sheetName val="전기일위대가"/>
      <sheetName val="3련 BOX"/>
      <sheetName val="단면(RW1)"/>
      <sheetName val="경비2내역"/>
      <sheetName val="TYPE-A"/>
      <sheetName val="Sheet1"/>
      <sheetName val="영업2"/>
      <sheetName val="부대내역"/>
      <sheetName val="DATA1"/>
      <sheetName val="일위대가표(DEEP)"/>
      <sheetName val="집계표"/>
      <sheetName val="DATA(BAC)"/>
      <sheetName val="가시설수량"/>
      <sheetName val="단위수량"/>
      <sheetName val="내역1"/>
      <sheetName val="수량산출서"/>
      <sheetName val="내역서(총)"/>
      <sheetName val="맨홀수량집계"/>
      <sheetName val="감가상각"/>
      <sheetName val="보합"/>
      <sheetName val="차액보증"/>
      <sheetName val="토&amp;흙"/>
      <sheetName val="INSTR"/>
      <sheetName val="CONCRETE"/>
      <sheetName val="일반공사"/>
      <sheetName val="세부내역"/>
      <sheetName val="TOTAL"/>
      <sheetName val="기별(종합)"/>
      <sheetName val="D-3503"/>
      <sheetName val="Site Expenses"/>
      <sheetName val="INST_DCI"/>
      <sheetName val="HVAC_DCI"/>
      <sheetName val="PIPE_DCI"/>
      <sheetName val="PRO_DCI"/>
      <sheetName val="실행내역"/>
      <sheetName val="2F 회의실견적(5_14 일대)"/>
      <sheetName val="을지"/>
      <sheetName val="입찰안"/>
      <sheetName val="BSD _2_"/>
      <sheetName val="내역서"/>
      <sheetName val="갑지(추정)"/>
      <sheetName val="EUPDAT2"/>
      <sheetName val="Dae_Jiju"/>
      <sheetName val="Sikje_ingun"/>
      <sheetName val="TREE_D"/>
      <sheetName val="설계조건"/>
      <sheetName val="안정계산"/>
      <sheetName val="단면검토"/>
      <sheetName val="일위대가목록"/>
      <sheetName val="원형맨홀수량"/>
      <sheetName val="계산근거"/>
      <sheetName val="교각1"/>
      <sheetName val="IMP(MAIN)"/>
      <sheetName val="IMP (REACTOR)"/>
      <sheetName val="설산1.나"/>
      <sheetName val="본사S"/>
      <sheetName val="聒CD-STRAND PILE 압입및굴착"/>
      <sheetName val="일위대가목차"/>
      <sheetName val="투자효율분석"/>
      <sheetName val="설계명세서"/>
      <sheetName val="3BL공동구 수량"/>
      <sheetName val="장비집계"/>
      <sheetName val="SLAB"/>
      <sheetName val="대비"/>
      <sheetName val="건축원가계산서"/>
      <sheetName val="물량산출근거"/>
      <sheetName val="TABLE"/>
      <sheetName val="ELECTRIC"/>
      <sheetName val="CTEMCOST"/>
      <sheetName val="SCHEDULE"/>
      <sheetName val="공사비 내역 (가)"/>
      <sheetName val="MOTOR"/>
      <sheetName val=" 견적서"/>
      <sheetName val="96수출"/>
      <sheetName val="일위대가목록(1)"/>
      <sheetName val="단가대비표(1)"/>
      <sheetName val="Testing"/>
      <sheetName val="공사원가계산서"/>
      <sheetName val="list price"/>
      <sheetName val="J直材4"/>
      <sheetName val="INPUT"/>
      <sheetName val="단면가정"/>
      <sheetName val="공사비산출내역"/>
      <sheetName val="가시설단위수량"/>
      <sheetName val="청산공사"/>
      <sheetName val="BQ-Offsite"/>
      <sheetName val="Cover"/>
      <sheetName val="L형옹벽(key)"/>
      <sheetName val="내역서 "/>
      <sheetName val="기계내역"/>
      <sheetName val="산거각호표"/>
      <sheetName val="물량표"/>
      <sheetName val="단위중량"/>
      <sheetName val="PUMP"/>
      <sheetName val="gyun"/>
      <sheetName val="Customer Databas"/>
      <sheetName val="Base_Data"/>
      <sheetName val="수량산출"/>
      <sheetName val="SE-611"/>
      <sheetName val="원가"/>
      <sheetName val="DATA_BAC_"/>
      <sheetName val="dg"/>
      <sheetName val="일위대가"/>
      <sheetName val="단중표"/>
      <sheetName val="별표 "/>
      <sheetName val="조경"/>
      <sheetName val="Indirect Cost"/>
      <sheetName val="단가표 "/>
      <sheetName val="연습"/>
      <sheetName val="전신환매도율"/>
      <sheetName val="양식"/>
      <sheetName val="FAB별"/>
      <sheetName val="차량구입"/>
      <sheetName val="배수관공"/>
      <sheetName val="wblff(before omi pc&amp;stump)"/>
      <sheetName val="인건비"/>
      <sheetName val=" "/>
      <sheetName val="Macro1"/>
      <sheetName val="금액집계"/>
      <sheetName val="단가대비표"/>
      <sheetName val="노원열병합  건축공사기성내역서"/>
      <sheetName val="식재품셈"/>
      <sheetName val="RCD-STRAND_PILE_압입및굴착"/>
      <sheetName val="______★개인별현황표(김종우기사)"/>
      <sheetName val="______주소록"/>
      <sheetName val="______★골조분석표(서태용대리)"/>
      <sheetName val="______골조부재별비율"/>
      <sheetName val="____(주)경원건축공사비분석표"/>
      <sheetName val="____(주)경원건축공사비분석표(공)"/>
      <sheetName val="장비당단가_(1)"/>
      <sheetName val="BSD_(2)"/>
      <sheetName val="실행예산"/>
      <sheetName val="unit"/>
      <sheetName val="밸브설치"/>
      <sheetName val="1"/>
      <sheetName val="Proposal"/>
      <sheetName val="우각부보강"/>
      <sheetName val="방송노임"/>
      <sheetName val="환률"/>
      <sheetName val="HRSG SMALL07220"/>
      <sheetName val="Harga material "/>
      <sheetName val="IPL_SCHEDULE"/>
      <sheetName val="BQLIST"/>
      <sheetName val="TABLE2-1 ISBL-(SlTE PREP)"/>
      <sheetName val="TABLE2.1 ISBL (Soil Invest)"/>
      <sheetName val="TABLE2-2 OSBL(GENERAL-CIVIL)"/>
      <sheetName val="남양시작동자105노65기1.3화1.2"/>
      <sheetName val="Projekt4"/>
      <sheetName val="자재단가비교표"/>
      <sheetName val="방배동내역(리라)"/>
      <sheetName val="내역"/>
      <sheetName val="Y_WORK"/>
      <sheetName val="DATA"/>
      <sheetName val="단가비교표"/>
      <sheetName val="DRAIN DRUM PIT D-301"/>
      <sheetName val="관람석제출"/>
      <sheetName val="영동(D)"/>
      <sheetName val="중기사용료"/>
      <sheetName val="FRT_O"/>
      <sheetName val="FAB_I"/>
      <sheetName val="원가계산서"/>
      <sheetName val="실행"/>
      <sheetName val="현장"/>
      <sheetName val="7.5.2 BOQ Summary "/>
      <sheetName val="P_M_별"/>
      <sheetName val="3련_BOX"/>
      <sheetName val="CALCULATION"/>
      <sheetName val="DESIGN_CRETERIA"/>
      <sheetName val="날개벽"/>
      <sheetName val="단가표"/>
      <sheetName val="금액"/>
      <sheetName val="말뚝물량"/>
      <sheetName val="분류기준"/>
      <sheetName val="현황산출서"/>
      <sheetName val="7내역"/>
      <sheetName val="sum1 (2)"/>
      <sheetName val="(C)원내역"/>
      <sheetName val="총괄표"/>
      <sheetName val="공통가설"/>
      <sheetName val="I.설계조건"/>
      <sheetName val="1.설계기준"/>
      <sheetName val="GRDBS"/>
      <sheetName val="옹벽"/>
      <sheetName val="토공계산서(부체도로)"/>
      <sheetName val="설계서"/>
      <sheetName val="토목"/>
      <sheetName val="플랜트 설치"/>
      <sheetName val="DOGI"/>
      <sheetName val="비교표"/>
      <sheetName val="kimre scrubber"/>
      <sheetName val="wall"/>
      <sheetName val="가시설(TYPE-A)"/>
      <sheetName val="1-1평균터파기고(1)"/>
      <sheetName val="단가대비"/>
      <sheetName val="소비자가"/>
      <sheetName val="1을"/>
      <sheetName val="DATE"/>
      <sheetName val="개요"/>
      <sheetName val="터파기및재료"/>
      <sheetName val="품셈TABLE"/>
      <sheetName val="환율"/>
      <sheetName val="공사비PK5월"/>
      <sheetName val="BD集計用"/>
      <sheetName val="06_BATCH "/>
      <sheetName val="업무처리전"/>
      <sheetName val="TT35"/>
      <sheetName val="TTTram"/>
      <sheetName val="SL dau tien"/>
      <sheetName val="AH-1 "/>
      <sheetName val="b_balju_cho"/>
      <sheetName val="총내역서"/>
      <sheetName val="입찰견적보고서"/>
      <sheetName val="날개벽(좌,우=45도,75도)"/>
      <sheetName val="3F"/>
      <sheetName val="SG"/>
      <sheetName val="공사입력"/>
      <sheetName val="EACT10"/>
      <sheetName val="SRC-B3U2"/>
      <sheetName val="RING WALL"/>
      <sheetName val="cable"/>
      <sheetName val="KP1590_E"/>
      <sheetName val="말뚝지지력산정"/>
      <sheetName val="RAHMEN"/>
      <sheetName val="예산"/>
      <sheetName val="공문"/>
      <sheetName val="자료(통합)"/>
      <sheetName val="대상공사(조달청)"/>
      <sheetName val="06-BATCH "/>
      <sheetName val="설계명세서(선로)"/>
      <sheetName val="full (2)"/>
      <sheetName val="N賃率-職"/>
      <sheetName val="I一般比"/>
      <sheetName val="MAT"/>
      <sheetName val="2075-Q011"/>
      <sheetName val="주경기-오배수"/>
      <sheetName val="직노"/>
      <sheetName val="교각계산"/>
      <sheetName val="표지판현황"/>
      <sheetName val="Sheet13"/>
      <sheetName val="발전기"/>
      <sheetName val="#REF"/>
      <sheetName val="Sheet14"/>
      <sheetName val="본장"/>
      <sheetName val="General Data"/>
      <sheetName val="부재력정리"/>
      <sheetName val="일반맨홀수량집계"/>
      <sheetName val="도급양식"/>
      <sheetName val="예산서"/>
      <sheetName val="국별인원"/>
      <sheetName val="FACTOR"/>
      <sheetName val="산출근거"/>
      <sheetName val="plan&amp;section of foundation"/>
      <sheetName val="손익분석"/>
      <sheetName val="견적집계표"/>
      <sheetName val="지급자재"/>
      <sheetName val="COPING"/>
      <sheetName val="공사개요"/>
      <sheetName val="대치판정"/>
      <sheetName val="신규단가내역"/>
      <sheetName val="통신집계표1"/>
      <sheetName val="부하(성남)"/>
      <sheetName val="수선비분석"/>
      <sheetName val="변화치수"/>
      <sheetName val="2F_회의실견적(5_14_일대)"/>
      <sheetName val="설계서을"/>
      <sheetName val="전체"/>
      <sheetName val="BID"/>
      <sheetName val="6월실적"/>
      <sheetName val="효성CB 1P기초"/>
      <sheetName val="갑지_추정_"/>
      <sheetName val="UR2-Calculation"/>
      <sheetName val="가도공"/>
      <sheetName val="CAPVC"/>
      <sheetName val="소방"/>
      <sheetName val="개산공사비"/>
      <sheetName val="XL4Poppy"/>
      <sheetName val="Studio"/>
      <sheetName val="목록"/>
      <sheetName val="중기"/>
      <sheetName val="Change rate"/>
      <sheetName val="조도계산서 (도서)"/>
      <sheetName val="직접인건비"/>
      <sheetName val="woo(mac)"/>
      <sheetName val="인강기성"/>
      <sheetName val="ISBL"/>
      <sheetName val="OSBL"/>
      <sheetName val="BID9697"/>
      <sheetName val="적용기준"/>
      <sheetName val="간선계산"/>
      <sheetName val="hvac(제어동)"/>
      <sheetName val="1F"/>
      <sheetName val="전사계"/>
      <sheetName val="가공비"/>
      <sheetName val="일위대가-1"/>
      <sheetName val="Bdown_ISBL"/>
      <sheetName val="ISBL (검증)"/>
      <sheetName val="TABLE2-2 OSBL-(SITE PREP)"/>
      <sheetName val="CONTENTS"/>
      <sheetName val="BM"/>
      <sheetName val="사업계획"/>
      <sheetName val="lookup"/>
      <sheetName val="BOQ0822"/>
      <sheetName val="INDIRECT MOBILIZATION PLAN"/>
      <sheetName val="MANPOWER MOBILIZATION"/>
      <sheetName val="LABOR MOBILIZATION PLAN"/>
      <sheetName val="STAFF MOBILIZATION PLAN"/>
      <sheetName val="LIST OF OFFICE EQUIPMENT"/>
      <sheetName val="BREAKDOWN"/>
      <sheetName val="PERSONNEL SETUP"/>
      <sheetName val="KOREAN STAFF SALARY - SITE"/>
      <sheetName val="TEMPORARY FACILITIES"/>
      <sheetName val="WATER SUPPLY"/>
      <sheetName val="TABLE2-1 ISBL(GENEAL-CIVIL)"/>
      <sheetName val="준검 내역서"/>
      <sheetName val="UOP 508 PG 5-12"/>
      <sheetName val="토사(PE)"/>
      <sheetName val="Site_Expenses"/>
      <sheetName val="Customer_Databas"/>
      <sheetName val="공사비_내역_(가)"/>
      <sheetName val="3BL공동구_수량"/>
      <sheetName val="聒CD-STRAND_PILE_압입및굴착"/>
      <sheetName val="BSD__2_"/>
      <sheetName val="설산1_나"/>
      <sheetName val="IMP_(REACTOR)"/>
      <sheetName val="화산경계"/>
      <sheetName val="단면치수"/>
      <sheetName val="8월현금흐름표"/>
      <sheetName val="기초공"/>
      <sheetName val="기둥(원형)"/>
      <sheetName val="교통시설 표지판"/>
      <sheetName val="1호맨홀가감수량"/>
      <sheetName val="1호맨홀수량산출"/>
      <sheetName val="계수시트"/>
      <sheetName val="Inputs"/>
      <sheetName val="Timing&amp;Esc"/>
      <sheetName val="물가자료"/>
      <sheetName val="I-O(번호별)"/>
      <sheetName val="NSMA-status"/>
      <sheetName val="일위대가표"/>
      <sheetName val="BOM-Form A.1.III"/>
      <sheetName val="자재집계표"/>
      <sheetName val="단가조사표"/>
      <sheetName val="SORCE1"/>
      <sheetName val="보차도경계석"/>
      <sheetName val="설계산출기초"/>
      <sheetName val="을부담운반비"/>
      <sheetName val="운반비산출"/>
      <sheetName val="설계산출표지"/>
      <sheetName val="도급예산내역서총괄표"/>
      <sheetName val="조명시설"/>
      <sheetName val="단가디비"/>
      <sheetName val="물량표S"/>
      <sheetName val="C &amp; G RHS"/>
      <sheetName val="PumpSpec"/>
      <sheetName val="을 2"/>
      <sheetName val="CAL"/>
      <sheetName val="정렬"/>
      <sheetName val="SALES&amp;COGS"/>
      <sheetName val="산출내역서집계표"/>
      <sheetName val="전체실적"/>
      <sheetName val="Sheet1 (2)"/>
      <sheetName val="FRP내역서"/>
      <sheetName val="첨부파일"/>
      <sheetName val="기성집계"/>
      <sheetName val="보도경계블럭"/>
      <sheetName val="송라터널총괄"/>
      <sheetName val="DS"/>
      <sheetName val="단가사정"/>
      <sheetName val="경비"/>
      <sheetName val="전압강하계산"/>
      <sheetName val="Mp-team 1"/>
      <sheetName val="통합"/>
      <sheetName val=""/>
      <sheetName val="Requirement(Work Crew)"/>
      <sheetName val="TTL"/>
      <sheetName val="1-1"/>
      <sheetName val="데이타"/>
      <sheetName val="노임단가"/>
      <sheetName val="자재"/>
      <sheetName val="적용환율"/>
      <sheetName val="FANDBS"/>
      <sheetName val="GRDATA"/>
      <sheetName val="SHAFTDBSE"/>
      <sheetName val="연결임시"/>
      <sheetName val="건축내역서"/>
      <sheetName val="90.03실행 "/>
      <sheetName val="인건-측정"/>
      <sheetName val="여과지동"/>
      <sheetName val="기초자료"/>
      <sheetName val="부대대비"/>
      <sheetName val="냉연집계"/>
      <sheetName val="신우"/>
      <sheetName val="검색"/>
      <sheetName val="실행품의서"/>
      <sheetName val="11.자재단가"/>
      <sheetName val="설변물량"/>
      <sheetName val="APT내역"/>
      <sheetName val="재무가정"/>
      <sheetName val="Constant"/>
      <sheetName val="인부신상자료"/>
      <sheetName val="CODE"/>
      <sheetName val="2000년1차"/>
      <sheetName val="시멘트"/>
      <sheetName val="01"/>
      <sheetName val="오억미만"/>
      <sheetName val="코드"/>
      <sheetName val="시설물기초"/>
      <sheetName val="1.설계조건"/>
      <sheetName val="RCD-STRAND_PILE_압입및굴착4"/>
      <sheetName val="______★개인별현황표(김종우기사)4"/>
      <sheetName val="______주소록4"/>
      <sheetName val="______★골조분석표(서태용대리)4"/>
      <sheetName val="______골조부재별비율4"/>
      <sheetName val="____(주)경원건축공사비분석표4"/>
      <sheetName val="____(주)경원건축공사비분석표(공)4"/>
      <sheetName val="RCD-STRAND_PILE_압입및굴착1"/>
      <sheetName val="______★개인별현황표(김종우기사)1"/>
      <sheetName val="______주소록1"/>
      <sheetName val="______★골조분석표(서태용대리)1"/>
      <sheetName val="______골조부재별비율1"/>
      <sheetName val="____(주)경원건축공사비분석표1"/>
      <sheetName val="____(주)경원건축공사비분석표(공)1"/>
      <sheetName val="RCD-STRAND_PILE_압입및굴착2"/>
      <sheetName val="______★개인별현황표(김종우기사)2"/>
      <sheetName val="______주소록2"/>
      <sheetName val="______★골조분석표(서태용대리)2"/>
      <sheetName val="______골조부재별비율2"/>
      <sheetName val="____(주)경원건축공사비분석표2"/>
      <sheetName val="____(주)경원건축공사비분석표(공)2"/>
      <sheetName val="RCD-STRAND_PILE_압입및굴착3"/>
      <sheetName val="______★개인별현황표(김종우기사)3"/>
      <sheetName val="______주소록3"/>
      <sheetName val="______★골조분석표(서태용대리)3"/>
      <sheetName val="______골조부재별비율3"/>
      <sheetName val="____(주)경원건축공사비분석표3"/>
      <sheetName val="____(주)경원건축공사비분석표(공)3"/>
    </sheetNames>
    <sheetDataSet>
      <sheetData sheetId="0"/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 refreshError="1"/>
      <sheetData sheetId="203" refreshError="1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XXXXXX"/>
      <sheetName val="장비집계"/>
      <sheetName val="위생기구집계"/>
      <sheetName val="급수급탕집계"/>
      <sheetName val="급수급탕 (동관)"/>
      <sheetName val="오배수 (집계)"/>
      <sheetName val="NO-HUB"/>
      <sheetName val="오배수"/>
      <sheetName val="닥트집계"/>
      <sheetName val="덕트"/>
      <sheetName val="ITEM"/>
      <sheetName val="Cover"/>
      <sheetName val="Sheet5"/>
      <sheetName val="하수급견적대비"/>
      <sheetName val="A-4"/>
      <sheetName val="단위중량"/>
      <sheetName val="환률"/>
      <sheetName val="DATA"/>
      <sheetName val="데이타"/>
      <sheetName val="수목표준대가"/>
      <sheetName val="Sheet4"/>
      <sheetName val="한일양산"/>
      <sheetName val="일반부표"/>
      <sheetName val="공비대비"/>
      <sheetName val="BQ"/>
      <sheetName val="BID"/>
      <sheetName val="Dae_Jiju"/>
      <sheetName val="Sikje_ingun"/>
      <sheetName val="TREE_D"/>
      <sheetName val="견적서"/>
      <sheetName val="시행예산"/>
      <sheetName val="장비당단가 (1)"/>
      <sheetName val="WORK"/>
      <sheetName val="실행철강하도"/>
      <sheetName val=" 견적서"/>
      <sheetName val="Y-WORK"/>
      <sheetName val="c_balju"/>
      <sheetName val="가시설수량"/>
      <sheetName val="단위수량"/>
      <sheetName val="Site Expenses"/>
      <sheetName val="3BL공동구 수량"/>
      <sheetName val="차액보증"/>
      <sheetName val="일위대가목록"/>
      <sheetName val="건축내역"/>
      <sheetName val="ilch"/>
      <sheetName val="원가계산"/>
      <sheetName val="적용률"/>
      <sheetName val="L형옹벽(key)"/>
      <sheetName val="입찰안"/>
      <sheetName val="BSD (2)"/>
      <sheetName val="1.맹암거관련"/>
      <sheetName val="을"/>
      <sheetName val="설계"/>
      <sheetName val="GAEYO"/>
      <sheetName val="부대내역"/>
      <sheetName val="내역"/>
      <sheetName val="동원인원"/>
      <sheetName val="토목내역"/>
      <sheetName val="Sheet1"/>
      <sheetName val="식재인부"/>
      <sheetName val="일위"/>
      <sheetName val="영동(D)"/>
      <sheetName val="공통부대비"/>
      <sheetName val="산업개발안내서"/>
      <sheetName val="일위대가"/>
      <sheetName val="MOTOR"/>
      <sheetName val="도급"/>
      <sheetName val="공문"/>
      <sheetName val="FAB별"/>
      <sheetName val="투찰"/>
      <sheetName val="Proposal"/>
      <sheetName val="ABUT수량-A1"/>
      <sheetName val="보합"/>
      <sheetName val="TABLE"/>
      <sheetName val="IPL_SCHEDULE"/>
      <sheetName val="공사비 내역 (가)"/>
      <sheetName val="gyun"/>
      <sheetName val="기계내역"/>
      <sheetName val="물량집계(전기)"/>
      <sheetName val="물량집계(계장)"/>
      <sheetName val="2_자재집계표"/>
      <sheetName val="화강석_보조기층"/>
      <sheetName val="혼합기층_포설_및다짐_(2)"/>
      <sheetName val="보조기층_포설_및다짐"/>
      <sheetName val="보차도경계석운반_(2)"/>
      <sheetName val="1_총괄토공"/>
      <sheetName val="2_하수터파기토공"/>
      <sheetName val="3_하수수량집계표"/>
      <sheetName val="4_맹암거집계표"/>
      <sheetName val="맹암거_토공"/>
      <sheetName val="5_포장공사수량집계표"/>
      <sheetName val="도로경계석_(2)"/>
      <sheetName val="급수급탕_(동관)"/>
      <sheetName val="오배수_(집계)"/>
      <sheetName val="장비당단가_(1)"/>
      <sheetName val="노임단가"/>
      <sheetName val="OCT.FDN"/>
      <sheetName val="20관리비율"/>
      <sheetName val="9811"/>
      <sheetName val="01"/>
      <sheetName val="변압기 및 발전기 용량"/>
      <sheetName val="직노"/>
      <sheetName val="J直材4"/>
      <sheetName val="Testing"/>
      <sheetName val="CONCRETE"/>
      <sheetName val="산출근거"/>
      <sheetName val="감가상각"/>
      <sheetName val="국별인원"/>
      <sheetName val="2F 회의실견적(5_14 일대)"/>
      <sheetName val="토공사"/>
      <sheetName val="Sheet15"/>
      <sheetName val="기별(종합)"/>
      <sheetName val="말뚝지지력산정"/>
      <sheetName val="단가결정"/>
      <sheetName val="당초"/>
      <sheetName val="도급양식"/>
      <sheetName val="물량산출근거"/>
      <sheetName val="GRDBS"/>
      <sheetName val="품셈TABLE"/>
      <sheetName val="갑지"/>
      <sheetName val="집계표"/>
      <sheetName val="8월현금흐름표"/>
      <sheetName val="PRO_DCI"/>
      <sheetName val="INST_DCI"/>
      <sheetName val="HVAC_DCI"/>
      <sheetName val="PIPE_DCI"/>
      <sheetName val="단가"/>
      <sheetName val="시설물일위"/>
      <sheetName val="XL4Poppy"/>
      <sheetName val="PhaDoMong"/>
      <sheetName val="과천MAIN"/>
      <sheetName val="Customer Databas"/>
      <sheetName val="DATA(BAC)"/>
      <sheetName val="일반맨홀수량집계"/>
      <sheetName val="소업1교"/>
      <sheetName val="BLOCK(1)"/>
      <sheetName val="2.단면가정"/>
      <sheetName val="4.말뚝설계"/>
      <sheetName val="1.설계조건"/>
      <sheetName val="자재단가비교표"/>
      <sheetName val="맨홀수량집계"/>
      <sheetName val="오산갈곳"/>
      <sheetName val="일위대가목차"/>
      <sheetName val="BJJIN"/>
      <sheetName val="COPING"/>
      <sheetName val="수량산출"/>
      <sheetName val="말뚝물량"/>
      <sheetName val="DATE"/>
      <sheetName val="I.설계조건"/>
      <sheetName val="공통가설"/>
      <sheetName val="GTG TR PIT"/>
      <sheetName val="결선list"/>
      <sheetName val="빙장비사양"/>
      <sheetName val="실행(ALT1)"/>
      <sheetName val="kimre scrubber"/>
      <sheetName val="단가표"/>
      <sheetName val="FANDBS"/>
      <sheetName val="GRDATA"/>
      <sheetName val="SHAFTDBSE"/>
      <sheetName val="소비자가"/>
      <sheetName val="MATRLDATA"/>
      <sheetName val="공사개요"/>
      <sheetName val="명세서"/>
      <sheetName val="원가"/>
      <sheetName val="밸브설치"/>
      <sheetName val="내역서(총)"/>
      <sheetName val="KP1590_E"/>
      <sheetName val="96수출"/>
      <sheetName val="1.설계기준"/>
      <sheetName val="현장"/>
      <sheetName val="단가대비표"/>
      <sheetName val="단면치수"/>
      <sheetName val="7내역"/>
      <sheetName val="내역서(기계)"/>
      <sheetName val="Studio"/>
      <sheetName val="수목데이타 "/>
      <sheetName val="ATS단가"/>
      <sheetName val="DATA1"/>
      <sheetName val="형틀공사"/>
      <sheetName val="터파기및재료"/>
      <sheetName val="몰탈재료산출"/>
      <sheetName val="2공구산출내역"/>
      <sheetName val="부하LOAD"/>
      <sheetName val="연수동"/>
      <sheetName val="물량표"/>
      <sheetName val="b_balju_cho"/>
      <sheetName val="입찰견적보고서"/>
      <sheetName val="INPUT"/>
      <sheetName val="woo(mac)"/>
      <sheetName val="식재품셈"/>
      <sheetName val="토목"/>
      <sheetName val="PUMP"/>
      <sheetName val="견"/>
      <sheetName val="교각1"/>
      <sheetName val="표지판현황"/>
      <sheetName val="날개벽(좌,우=45도,75도)"/>
      <sheetName val="CAL"/>
      <sheetName val="SE-611"/>
      <sheetName val="1을"/>
      <sheetName val="견적집계표"/>
      <sheetName val="입력1"/>
      <sheetName val="FLA"/>
      <sheetName val="원형맨홀수량"/>
      <sheetName val="Sheet2"/>
      <sheetName val="관접합및부설"/>
      <sheetName val="공사비_내역_(가)"/>
      <sheetName val="_견적서"/>
      <sheetName val="2F_회의실견적(5_14_일대)"/>
      <sheetName val="BSD_(2)"/>
      <sheetName val="1_맹암거관련"/>
      <sheetName val="3BL공동구_수량"/>
      <sheetName val="Site_Expenses"/>
      <sheetName val="TYPE-B 평균H"/>
      <sheetName val="D-3503"/>
      <sheetName val="경비2내역"/>
      <sheetName val="수목데이타"/>
      <sheetName val="가시설(TYPE-A)"/>
      <sheetName val="1호맨홀가감수량"/>
      <sheetName val="SORCE1"/>
      <sheetName val="1-1평균터파기고(1)"/>
      <sheetName val="1호맨홀수량산출"/>
      <sheetName val="전기일위대가"/>
      <sheetName val="TEL"/>
      <sheetName val="건내용"/>
      <sheetName val="ISBL"/>
      <sheetName val="OSBL"/>
      <sheetName val="INSTR"/>
      <sheetName val="영업소실적"/>
      <sheetName val="남양시작동자105노65기1.3화1.2"/>
      <sheetName val="부표총괄"/>
      <sheetName val="wall"/>
      <sheetName val="Inputs"/>
      <sheetName val="Timing&amp;Esc"/>
      <sheetName val="TABLE2-1 ISBL(GENEAL-CIVIL)"/>
      <sheetName val="TABLE2-1 ISBL-(SlTE PREP)"/>
      <sheetName val="TABLE2.1 ISBL (Soil Invest)"/>
      <sheetName val="TABLE2-2 OSBL(GENERAL-CIVIL)"/>
      <sheetName val="TABLE2-2 OSBL-(SITE PREP)"/>
      <sheetName val="General Data"/>
      <sheetName val="PRO_A"/>
      <sheetName val="DWG"/>
      <sheetName val="ELEC_MCI"/>
      <sheetName val="MAIN"/>
      <sheetName val="INST_MCI"/>
      <sheetName val="MECH_MCI"/>
      <sheetName val="PRO"/>
      <sheetName val="입사시직위"/>
      <sheetName val="7.5.2 BOQ Summary "/>
      <sheetName val="수량산출서"/>
      <sheetName val="갑지(추정)"/>
      <sheetName val="Construction"/>
      <sheetName val="SL dau tien"/>
      <sheetName val="Item정리"/>
      <sheetName val="금액집계"/>
      <sheetName val="hvac(제어동)"/>
      <sheetName val="변화치수"/>
      <sheetName val=" 해군동해관사 미장공사A그룹 공내역서.xlsx"/>
      <sheetName val="총괄표"/>
      <sheetName val="지주목시비량산출서"/>
      <sheetName val="danga"/>
      <sheetName val="직공비"/>
      <sheetName val="단가조사"/>
      <sheetName val="식재총괄"/>
      <sheetName val="횡배수관토공수량"/>
      <sheetName val="내역표지"/>
      <sheetName val="Total"/>
      <sheetName val="차량구입"/>
      <sheetName val="I一般比"/>
      <sheetName val="N賃率-職"/>
      <sheetName val="가공비"/>
      <sheetName val="조도계산서 (도서)"/>
      <sheetName val="내역1"/>
      <sheetName val="전신환매도율"/>
      <sheetName val="산출내역서집계표"/>
      <sheetName val="6월실적"/>
      <sheetName val="손익분석"/>
      <sheetName val="1-1"/>
      <sheetName val="단면가정"/>
      <sheetName val="#REF"/>
      <sheetName val="Baby일위대가"/>
      <sheetName val="부대대비"/>
      <sheetName val="냉연집계"/>
      <sheetName val="신우"/>
      <sheetName val="CODE"/>
      <sheetName val="2000년1차"/>
      <sheetName val="시멘트"/>
      <sheetName val="별표 "/>
      <sheetName val="적격점수&lt;300억미만&gt;"/>
      <sheetName val="7단가"/>
      <sheetName val="검사현황"/>
      <sheetName val="full (2)"/>
      <sheetName val="설변물량"/>
      <sheetName val="단위별 일위대가표"/>
      <sheetName val="설산1.나"/>
      <sheetName val="본사S"/>
      <sheetName val="Equipment"/>
      <sheetName val="Piping"/>
      <sheetName val="TYPE-A"/>
      <sheetName val="기초일위"/>
      <sheetName val="시설일위"/>
      <sheetName val="조명일위"/>
      <sheetName val="전선 및 전선관"/>
      <sheetName val="IMP(MAIN)"/>
      <sheetName val="IMP (REACTOR)"/>
      <sheetName val="봉양~조차장간고하개명(신설)"/>
      <sheetName val="소일위대가코드표"/>
      <sheetName val="정산노무"/>
      <sheetName val="정산재료"/>
      <sheetName val="월선수금"/>
      <sheetName val="골재집계"/>
      <sheetName val="2_자재집계표4"/>
      <sheetName val="화강석_보조기층4"/>
      <sheetName val="혼합기층_포설_및다짐_(2)4"/>
      <sheetName val="보조기층_포설_및다짐4"/>
      <sheetName val="보차도경계석운반_(2)4"/>
      <sheetName val="1_총괄토공4"/>
      <sheetName val="2_하수터파기토공4"/>
      <sheetName val="3_하수수량집계표4"/>
      <sheetName val="4_맹암거집계표4"/>
      <sheetName val="맹암거_토공4"/>
      <sheetName val="5_포장공사수량집계표4"/>
      <sheetName val="도로경계석_(2)4"/>
      <sheetName val="급수급탕_(동관)4"/>
      <sheetName val="오배수_(집계)4"/>
      <sheetName val="2_자재집계표1"/>
      <sheetName val="화강석_보조기층1"/>
      <sheetName val="혼합기층_포설_및다짐_(2)1"/>
      <sheetName val="보조기층_포설_및다짐1"/>
      <sheetName val="보차도경계석운반_(2)1"/>
      <sheetName val="1_총괄토공1"/>
      <sheetName val="2_하수터파기토공1"/>
      <sheetName val="3_하수수량집계표1"/>
      <sheetName val="4_맹암거집계표1"/>
      <sheetName val="맹암거_토공1"/>
      <sheetName val="5_포장공사수량집계표1"/>
      <sheetName val="도로경계석_(2)1"/>
      <sheetName val="급수급탕_(동관)1"/>
      <sheetName val="오배수_(집계)1"/>
      <sheetName val="2_자재집계표2"/>
      <sheetName val="화강석_보조기층2"/>
      <sheetName val="혼합기층_포설_및다짐_(2)2"/>
      <sheetName val="보조기층_포설_및다짐2"/>
      <sheetName val="보차도경계석운반_(2)2"/>
      <sheetName val="1_총괄토공2"/>
      <sheetName val="2_하수터파기토공2"/>
      <sheetName val="3_하수수량집계표2"/>
      <sheetName val="4_맹암거집계표2"/>
      <sheetName val="맹암거_토공2"/>
      <sheetName val="5_포장공사수량집계표2"/>
      <sheetName val="도로경계석_(2)2"/>
      <sheetName val="급수급탕_(동관)2"/>
      <sheetName val="오배수_(집계)2"/>
      <sheetName val="2_자재집계표3"/>
      <sheetName val="화강석_보조기층3"/>
      <sheetName val="혼합기층_포설_및다짐_(2)3"/>
      <sheetName val="보조기층_포설_및다짐3"/>
      <sheetName val="보차도경계석운반_(2)3"/>
      <sheetName val="1_총괄토공3"/>
      <sheetName val="2_하수터파기토공3"/>
      <sheetName val="3_하수수량집계표3"/>
      <sheetName val="4_맹암거집계표3"/>
      <sheetName val="맹암거_토공3"/>
      <sheetName val="5_포장공사수량집계표3"/>
      <sheetName val="도로경계석_(2)3"/>
      <sheetName val="급수급탕_(동관)3"/>
      <sheetName val="오배수_(집계)3"/>
      <sheetName val="단면(RW1)"/>
      <sheetName val="적용기준"/>
      <sheetName val="첨부파일"/>
      <sheetName val="EUPDAT2"/>
      <sheetName val="Hargamat"/>
      <sheetName val="검색"/>
      <sheetName val="개요"/>
      <sheetName val="Wind Load(3.1) (2)"/>
      <sheetName val="Wind Load(3.2)"/>
      <sheetName val="Wind Load(3.4)"/>
      <sheetName val="건축내역서"/>
      <sheetName val="연습"/>
      <sheetName val="Schedule C - Page 2 of 6"/>
      <sheetName val="Schedule C - Page 4 of 6"/>
      <sheetName val="Schedule C - Page 5 of 6"/>
      <sheetName val="Schedule C - Page 6 of 6"/>
      <sheetName val="Schedule A - Page 1 of 3"/>
      <sheetName val="Schedule A - Page 2 of 3"/>
      <sheetName val="Schedule A - Page 3 of 3"/>
      <sheetName val="Schedule B - Page 1 of 4"/>
      <sheetName val="Schedule B - Page 2 of 4"/>
      <sheetName val="Schedule B - Page 3 of 4"/>
      <sheetName val="Schedule B - Page 4 of 4"/>
      <sheetName val="Schedule C - Page 1 of 6"/>
      <sheetName val="Schedule C - Page 3 of 6"/>
      <sheetName val="Schedule E - Page 1 of 11"/>
      <sheetName val="Schedule E - Page 10 of 11"/>
      <sheetName val="Schedule E - Page 11 of 11"/>
      <sheetName val="Schedule E - Page 2 of 11"/>
      <sheetName val="Schedule E - Page 3 of 11"/>
      <sheetName val="Schedule E - Page 4 of 11"/>
      <sheetName val="Schedule E - Page 5 of 11"/>
      <sheetName val="Schedule E - Page 6 of 11"/>
      <sheetName val="Schedule E - Page 7 of 11"/>
      <sheetName val="Schedule E - Page 8 of 11"/>
      <sheetName val="Schedule E - Page 9 of 11"/>
      <sheetName val="A.1.3 - Page 1 of 1"/>
      <sheetName val="A.1.4 - Page 1 of 1"/>
      <sheetName val="A.4 - Page 1 of 1"/>
      <sheetName val="차선도색현황"/>
      <sheetName val="가동비율"/>
      <sheetName val="노원열병합  건축공사기성내역서"/>
      <sheetName val="금액"/>
      <sheetName val="Front"/>
      <sheetName val="SCH"/>
      <sheetName val="CTEMCOST"/>
      <sheetName val="design data"/>
      <sheetName val="member design"/>
      <sheetName val="횡배위치"/>
      <sheetName val="공종별 집계"/>
      <sheetName val="인제내역"/>
      <sheetName val="Languages"/>
      <sheetName val="공사비내역서"/>
      <sheetName val="CAPVC"/>
      <sheetName val="연결임시"/>
      <sheetName val="FACTOR"/>
      <sheetName val="견적을지"/>
      <sheetName val="EJ"/>
      <sheetName val="전기공사"/>
      <sheetName val="토목주소"/>
      <sheetName val="프랜트면허"/>
      <sheetName val="4 LINE"/>
      <sheetName val="7 th"/>
      <sheetName val="DS-최종"/>
      <sheetName val="대비"/>
      <sheetName val="CP-E2 (품셈표)"/>
      <sheetName val="음료실행"/>
      <sheetName val="실행(표지,갑,을)"/>
      <sheetName val="네고율"/>
      <sheetName val="단가디비"/>
      <sheetName val="조명율표"/>
      <sheetName val="CCC"/>
      <sheetName val="기계"/>
      <sheetName val="공사비예산서(토목분)"/>
      <sheetName val="남대문빌딩"/>
      <sheetName val="자재단가"/>
      <sheetName val="요율"/>
      <sheetName val="노임"/>
      <sheetName val="자재대"/>
      <sheetName val="비교표"/>
      <sheetName val="골조시행"/>
      <sheetName val="Sheet1 (2)"/>
      <sheetName val="식재"/>
      <sheetName val="시설물"/>
      <sheetName val="식재출력용"/>
      <sheetName val="유지관리"/>
      <sheetName val="RING WALL"/>
      <sheetName val="품셈표"/>
      <sheetName val="EXTERNAL(BOQ)"/>
      <sheetName val="CALCULATION"/>
      <sheetName val="123"/>
      <sheetName val="유화"/>
      <sheetName val="DESIGN CRITERIA"/>
      <sheetName val="PumpSpec"/>
      <sheetName val="eq_data"/>
      <sheetName val="h-013211-2"/>
      <sheetName val="견적의뢰"/>
      <sheetName val="CAT_5"/>
      <sheetName val="RAHMEN"/>
      <sheetName val="sum1 (2)"/>
      <sheetName val="매원개착터널총괄"/>
      <sheetName val="제원.설계조건"/>
      <sheetName val="경비"/>
      <sheetName val="LABTOTAL"/>
      <sheetName val="A"/>
      <sheetName val="간접비(1)"/>
      <sheetName val="일위목록"/>
      <sheetName val="내역5"/>
      <sheetName val="확산동"/>
      <sheetName val="TC IN"/>
      <sheetName val="DOGI"/>
      <sheetName val="SUMMARY(S)"/>
      <sheetName val=""/>
      <sheetName val="C"/>
      <sheetName val="건축공사"/>
      <sheetName val="기성집계"/>
      <sheetName val="설계조건"/>
      <sheetName val="안정계산"/>
      <sheetName val="단면검토"/>
      <sheetName val="1.취수장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 refreshError="1"/>
      <sheetData sheetId="488"/>
      <sheetData sheetId="489" refreshError="1"/>
      <sheetData sheetId="490" refreshError="1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 refreshError="1"/>
      <sheetData sheetId="53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집계표"/>
      <sheetName val="시공사업단"/>
      <sheetName val="1-1공구"/>
      <sheetName val="1-2공구"/>
      <sheetName val="2-1공구"/>
      <sheetName val="2-2공구"/>
      <sheetName val="2-3공구"/>
      <sheetName val="2-4공구"/>
      <sheetName val="변경집계표"/>
      <sheetName val="시공사업단(변경12.22)"/>
      <sheetName val="근거"/>
      <sheetName val="공문갑지"/>
      <sheetName val="1"/>
      <sheetName val="3"/>
      <sheetName val="4"/>
      <sheetName val="갑지"/>
      <sheetName val="목차"/>
      <sheetName val="통지서"/>
      <sheetName val="평가표"/>
      <sheetName val="산출근거"/>
      <sheetName val="공사비대비표"/>
      <sheetName val="세부공사내역"/>
      <sheetName val="Sheet2"/>
      <sheetName val="Sheet3"/>
      <sheetName val="설계예산서"/>
      <sheetName val="집계표(int)"/>
      <sheetName val="설계예산서 (2)"/>
      <sheetName val="집계표 (3)"/>
      <sheetName val="Sheet1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노임"/>
      <sheetName val="검토표"/>
      <sheetName val="손익현황"/>
      <sheetName val="도급기성"/>
      <sheetName val="부가세"/>
      <sheetName val="본사계정"/>
      <sheetName val="예수금"/>
      <sheetName val="하도급기성현황"/>
      <sheetName val="직원급여"/>
      <sheetName val="근무자명단"/>
      <sheetName val="비상연락망"/>
      <sheetName val="작업계획"/>
      <sheetName val="공문"/>
      <sheetName val="현황(1공구)"/>
      <sheetName val="현황(2공구)"/>
      <sheetName val="현황(3공구)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토적표(당초)"/>
      <sheetName val="토적표(변경)"/>
      <sheetName val="길내기수량-당초변경"/>
      <sheetName val="수량BOQ"/>
      <sheetName val="타공종이월수량"/>
      <sheetName val="배수공집계표"/>
      <sheetName val="배수공자재집계표"/>
      <sheetName val="자재집계"/>
      <sheetName val="타공종"/>
      <sheetName val="토공총괄"/>
      <sheetName val="일반수량총괄"/>
      <sheetName val="철근수량총괄"/>
      <sheetName val="_REF"/>
      <sheetName val="정부노임단가"/>
      <sheetName val="차액보증"/>
      <sheetName val="준검 내역서"/>
      <sheetName val="대림경상68억"/>
      <sheetName val="내역서"/>
      <sheetName val="PIPE"/>
      <sheetName val="FLANGE"/>
      <sheetName val="VALVE"/>
      <sheetName val="주요진행"/>
      <sheetName val="노임단가"/>
      <sheetName val="자재단가"/>
      <sheetName val="수자재단위당"/>
      <sheetName val="공사비집계"/>
      <sheetName val="2000년1차"/>
      <sheetName val="금융"/>
      <sheetName val="기초코드"/>
      <sheetName val="기초단가"/>
      <sheetName val="기초일위"/>
      <sheetName val="3.공통공사대비"/>
      <sheetName val="BSD (2)"/>
      <sheetName val="공사비산출내역"/>
      <sheetName val="토공집계표"/>
      <sheetName val="기성"/>
      <sheetName val="Sheet6"/>
      <sheetName val="예가표"/>
      <sheetName val="증감대비"/>
      <sheetName val="내역서(총)"/>
      <sheetName val="내역"/>
      <sheetName val="A-4"/>
      <sheetName val="입찰내역서(율촌 )"/>
      <sheetName val="1.설계조건"/>
      <sheetName val="해평견적"/>
      <sheetName val="하부철근수량"/>
      <sheetName val="건축공사"/>
      <sheetName val="백호우계수"/>
      <sheetName val="ESC(K치)"/>
      <sheetName val="가설건물"/>
      <sheetName val="일위대가표"/>
      <sheetName val="토공"/>
      <sheetName val="데이타"/>
      <sheetName val="식재인부"/>
      <sheetName val="SG"/>
      <sheetName val="총괄표"/>
      <sheetName val="시설일위"/>
      <sheetName val="조명일위"/>
      <sheetName val="주관사업"/>
      <sheetName val="45,46"/>
      <sheetName val="기기리스트"/>
      <sheetName val="단면 (2)"/>
      <sheetName val="지급자재"/>
      <sheetName val="제출내역 (2)"/>
      <sheetName val="부대내역"/>
      <sheetName val="투찰"/>
      <sheetName val="1,2공구원가계산서"/>
      <sheetName val="2공구산출내역"/>
      <sheetName val="1공구산출내역서"/>
      <sheetName val="9GNG운반"/>
      <sheetName val="하수급견적대비"/>
      <sheetName val="금융비용"/>
      <sheetName val="공통비총괄표"/>
      <sheetName val="장비"/>
      <sheetName val="한강운반비"/>
      <sheetName val="Y-WORK"/>
      <sheetName val="방배동내역(리라)"/>
      <sheetName val="WORK"/>
      <sheetName val="ilch"/>
      <sheetName val="Dae_Jiju"/>
      <sheetName val="일반공사"/>
      <sheetName val="Sikje_ingun"/>
      <sheetName val="TREE_D"/>
      <sheetName val="중기사용료"/>
      <sheetName val="공량산출서"/>
      <sheetName val="2002하반기노임기준"/>
      <sheetName val="실행철강하도"/>
      <sheetName val="부대대비"/>
      <sheetName val="양식"/>
      <sheetName val="기계경비(시간당)"/>
      <sheetName val="경비"/>
      <sheetName val="기본단가"/>
      <sheetName val="고르기"/>
      <sheetName val="소업1교"/>
      <sheetName val="B"/>
      <sheetName val="ITEM"/>
      <sheetName val="설산1.나"/>
      <sheetName val="본사S"/>
      <sheetName val="부안일위"/>
      <sheetName val="을"/>
      <sheetName val="인원"/>
      <sheetName val="공사비증감"/>
      <sheetName val="공사비예산서(토목분)"/>
      <sheetName val="말뚝지지력산정"/>
      <sheetName val="5.품셈"/>
      <sheetName val="제경비"/>
      <sheetName val="청산공사"/>
      <sheetName val="관기성공.내"/>
      <sheetName val="18개월기준"/>
      <sheetName val="총괄내역서"/>
      <sheetName val="INPUT"/>
      <sheetName val="보차도경계석"/>
      <sheetName val="인력터파기"/>
      <sheetName val="실행내역서"/>
      <sheetName val="직영외주구분내역"/>
      <sheetName val="구분표"/>
      <sheetName val="제원입력"/>
      <sheetName val="층"/>
      <sheetName val="단가표"/>
      <sheetName val="단가일람"/>
      <sheetName val="조경일람"/>
      <sheetName val="요율"/>
      <sheetName val="구조물견적서"/>
      <sheetName val="ELECTRIC"/>
      <sheetName val="CTEMCOST"/>
      <sheetName val="SCHEDULE"/>
      <sheetName val="현황(3걵구)"/>
      <sheetName val="품셈TABLE"/>
      <sheetName val="단위중량"/>
      <sheetName val="장문교(대전)"/>
      <sheetName val="실적62"/>
      <sheetName val="일위대가(계측기설치)"/>
      <sheetName val="실행대비"/>
      <sheetName val="MAT"/>
      <sheetName val="골조시행"/>
      <sheetName val="타공종이기"/>
      <sheetName val="Piping"/>
      <sheetName val="Studio"/>
      <sheetName val="수량산출"/>
      <sheetName val="자재"/>
      <sheetName val="아파트 "/>
      <sheetName val="도면자료제출일정"/>
      <sheetName val="0.갑지"/>
      <sheetName val="8.현장관리비"/>
      <sheetName val="7.안전관리비"/>
      <sheetName val="단지내역서"/>
      <sheetName val="jobhist"/>
      <sheetName val="견적조건"/>
      <sheetName val="실행예산"/>
      <sheetName val="유동표"/>
      <sheetName val="합의경상"/>
      <sheetName val="금액내역서"/>
      <sheetName val="8.PILE  (돌출)"/>
      <sheetName val="기본자료"/>
      <sheetName val="1.취수장"/>
      <sheetName val="일위대가"/>
      <sheetName val="BID"/>
      <sheetName val="기둥"/>
      <sheetName val="저판(버림100)"/>
      <sheetName val="6PILE  (돌출)"/>
      <sheetName val="자재대"/>
      <sheetName val="매원개착터널총괄"/>
      <sheetName val="내역표지"/>
      <sheetName val="집계(직접비)"/>
      <sheetName val="가도공"/>
      <sheetName val="제잡비"/>
      <sheetName val="기초자료입력"/>
      <sheetName val="s"/>
      <sheetName val="70%"/>
      <sheetName val="직원소요"/>
      <sheetName val="현장별"/>
      <sheetName val="일위대가(가설)"/>
      <sheetName val="FCM"/>
      <sheetName val="연습"/>
      <sheetName val="Sheet15"/>
      <sheetName val="Sheet1 (2)"/>
      <sheetName val="2.1  노무비 평균단가산출"/>
      <sheetName val="적현로"/>
      <sheetName val="시공품의서(토공)"/>
      <sheetName val="시공품의서(CIP)"/>
      <sheetName val="노무비"/>
      <sheetName val="시공품의서(육교이설)"/>
      <sheetName val="시공품의서(임시전력)"/>
      <sheetName val="시공품의서(가드레일이설)"/>
      <sheetName val="시공품의서(가시설)"/>
      <sheetName val="시공품의서(차선도색)"/>
      <sheetName val="노무비(직영)"/>
      <sheetName val="노무비(미추홀-직영용역)"/>
      <sheetName val="총괄"/>
      <sheetName val="장비비산출근거"/>
      <sheetName val="장비가동일지"/>
      <sheetName val="장비가동일지(외주)"/>
      <sheetName val="주자재입고현황"/>
      <sheetName val="잡자재입고현황"/>
      <sheetName val="유류집계표"/>
      <sheetName val="발생토"/>
      <sheetName val="냉천부속동"/>
      <sheetName val="결과조달"/>
      <sheetName val="장비가동"/>
      <sheetName val="전기혼잡제경비(45)"/>
      <sheetName val="전계가"/>
      <sheetName val="편입용지조서"/>
      <sheetName val="변경내역"/>
      <sheetName val="C3"/>
      <sheetName val="내역서(가로수)"/>
      <sheetName val="5.전사투자계획종함안"/>
      <sheetName val="송전재료비"/>
      <sheetName val="중기조종사 단위단가"/>
      <sheetName val="약품공급2"/>
      <sheetName val="일위대가목차"/>
      <sheetName val="J直材4"/>
      <sheetName val="증감내역서"/>
      <sheetName val="견적"/>
      <sheetName val="지표지질조사"/>
      <sheetName val="남양내역"/>
      <sheetName val="청천내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시공사업단(변경12_22)"/>
      <sheetName val="설계예산서_(2)"/>
      <sheetName val="집계표_(3)"/>
      <sheetName val="준검_내역서"/>
      <sheetName val="3_공통공사대비"/>
      <sheetName val="입찰내역서(율촌_)"/>
      <sheetName val="1_설계조건"/>
      <sheetName val="BSD_(2)"/>
      <sheetName val="단면_(2)"/>
      <sheetName val="제출내역_(2)"/>
      <sheetName val="설산1_나"/>
      <sheetName val="5_품셈"/>
      <sheetName val="관기성공_내"/>
      <sheetName val="6PILE__(돌출)"/>
      <sheetName val="용지매수"/>
      <sheetName val="단가산출"/>
      <sheetName val="표지"/>
      <sheetName val="하부총괄집계표"/>
      <sheetName val="하부철근집계표"/>
      <sheetName val="간지 (5)"/>
      <sheetName val="교대집계표"/>
      <sheetName val="교대철근집계"/>
      <sheetName val="A1"/>
      <sheetName val="A1_날개벽"/>
      <sheetName val="A1_접속슬래브"/>
      <sheetName val="A1_완충슬래브"/>
      <sheetName val="A2"/>
      <sheetName val="A2_우측 날개벽"/>
      <sheetName val="A2_좌측 날개벽"/>
      <sheetName val="A2_접속슬래브"/>
      <sheetName val="A2_완충슬래브"/>
      <sheetName val="교대 토공집계표"/>
      <sheetName val="A1 토공"/>
      <sheetName val="A2 토공"/>
      <sheetName val="간지 (3)"/>
      <sheetName val="교각집계표"/>
      <sheetName val="교각철근집계"/>
      <sheetName val="P1"/>
      <sheetName val="P2"/>
      <sheetName val="간지 (4)"/>
      <sheetName val="교각 토공집계표"/>
      <sheetName val="교각 1토공"/>
      <sheetName val="P3"/>
      <sheetName val="P4"/>
      <sheetName val="교각 2토공"/>
      <sheetName val="교각 3토공"/>
      <sheetName val="교각 4토공"/>
      <sheetName val="Eq. Mobilization"/>
      <sheetName val="토공(도하)"/>
      <sheetName val="철콘(도하)"/>
      <sheetName val="파일(도하)"/>
      <sheetName val="대로근거"/>
      <sheetName val="중로근거"/>
      <sheetName val="I.설계조건"/>
      <sheetName val="코드표"/>
      <sheetName val="임대견적서"/>
      <sheetName val="단  가  대  비  표"/>
      <sheetName val="일  위  대  가  목  록"/>
      <sheetName val="기둥(원형)"/>
      <sheetName val="품목"/>
      <sheetName val="수량산출서(7회)"/>
      <sheetName val="인부신상자료"/>
      <sheetName val="건축내역"/>
      <sheetName val="중기일위대가"/>
      <sheetName val="실행계"/>
      <sheetName val="P&amp;L01-02GR"/>
      <sheetName val="1.월별예산현황(개인)"/>
      <sheetName val="2.법인카드 사용"/>
      <sheetName val="GS건설 급여"/>
      <sheetName val="DATE"/>
      <sheetName val="I一般比"/>
      <sheetName val="IW-LIST"/>
      <sheetName val="N賃率-職"/>
      <sheetName val="5.ESC적용금액산출서(석공사)"/>
      <sheetName val="건축"/>
      <sheetName val="PIPE내역(FCN)"/>
      <sheetName val="INPUT DATA"/>
      <sheetName val="9"/>
      <sheetName val="앉음벽 (2)"/>
      <sheetName val="동원인원"/>
      <sheetName val="평가데이터"/>
      <sheetName val="현장업무"/>
      <sheetName val="견적보고"/>
      <sheetName val="1차설계변경내역"/>
      <sheetName val="D01"/>
      <sheetName val="D02"/>
      <sheetName val="DATA"/>
      <sheetName val="배수내역"/>
      <sheetName val="재료율"/>
      <sheetName val="표지-내역서"/>
      <sheetName val="수안보-MBR1"/>
      <sheetName val="Áý°èÇ¥"/>
      <sheetName val="½Ã°ø»ç¾÷´Ü"/>
      <sheetName val="1-1°ø±¸"/>
      <sheetName val="1-2°ø±¸"/>
      <sheetName val="2-1°ø±¸"/>
      <sheetName val="2-2°ø±¸"/>
      <sheetName val="2-3°ø±¸"/>
      <sheetName val="2-4°ø±¸"/>
      <sheetName val="º¯°æÁý°èÇ¥"/>
      <sheetName val="½Ã°ø»ç¾÷´Ü(º¯°æ12.22)"/>
      <sheetName val="±Ù°Å"/>
      <sheetName val="³ëÀÓ"/>
      <sheetName val="구간별관경"/>
      <sheetName val="ESC제외금액산출내역서(견본2)"/>
      <sheetName val="2.변경내역서(조적및미장공사)"/>
      <sheetName val="구조물공"/>
      <sheetName val="부대공"/>
      <sheetName val="배수공"/>
      <sheetName val="포장공"/>
      <sheetName val="사당"/>
      <sheetName val="소비자가"/>
      <sheetName val="TABLE"/>
      <sheetName val="고창방향"/>
      <sheetName val="입찰안"/>
      <sheetName val="면적"/>
      <sheetName val="실행"/>
      <sheetName val="파일의이용"/>
      <sheetName val="새공통(96임금인상기준)"/>
      <sheetName val="수량산출서"/>
      <sheetName val="도급대비표_기계설비공사(전체_사전)"/>
      <sheetName val="물가정보지"/>
      <sheetName val="9.기타자금청구"/>
      <sheetName val="와동25-3(변경)"/>
      <sheetName val="토목"/>
      <sheetName val="가격조사서"/>
      <sheetName val="201동 산출근거"/>
      <sheetName val="입력DATA"/>
      <sheetName val="바닥판"/>
      <sheetName val="데리네이타현황"/>
      <sheetName val="현장경비"/>
      <sheetName val="견적대비표"/>
      <sheetName val="갑지(추정)"/>
      <sheetName val="재료비"/>
      <sheetName val="BS2"/>
      <sheetName val="플랜트 설치"/>
      <sheetName val="기성조서(집계)"/>
      <sheetName val="용산1(해보)"/>
      <sheetName val="내역(2000년)"/>
      <sheetName val="하도금액분계"/>
      <sheetName val="master(2차)"/>
      <sheetName val="JUCKEYK"/>
      <sheetName val="발파유용(3)"/>
      <sheetName val="공사개요"/>
      <sheetName val="JJ"/>
      <sheetName val="부속동"/>
      <sheetName val="을지"/>
      <sheetName val="물가시세"/>
      <sheetName val="업무처리전"/>
      <sheetName val="점수계산1-2"/>
      <sheetName val="원가계산서"/>
      <sheetName val="횡배위치"/>
      <sheetName val="항목"/>
      <sheetName val="주안3차A-A"/>
      <sheetName val="날개벽(좌,우=60도-4개)"/>
      <sheetName val="동해title"/>
      <sheetName val="수입"/>
      <sheetName val="P.M 별"/>
      <sheetName val="물량표"/>
      <sheetName val="최종"/>
      <sheetName val="S003031"/>
      <sheetName val="98지급계획"/>
      <sheetName val="PW3"/>
      <sheetName val="PW4"/>
      <sheetName val="SC1"/>
      <sheetName val="PM"/>
      <sheetName val="L-type"/>
      <sheetName val="10공구일위"/>
      <sheetName val="COVER"/>
      <sheetName val="Macro3"/>
      <sheetName val="일위_파일"/>
      <sheetName val="1ST"/>
      <sheetName val="추가및 공제(방파제)"/>
      <sheetName val="교각1"/>
      <sheetName val="기 타 공 (2)"/>
      <sheetName val="산출근거1"/>
      <sheetName val="기타(2011.3) (2)"/>
      <sheetName val="부대tu"/>
      <sheetName val="램머"/>
      <sheetName val="Baby일위대가"/>
      <sheetName val="완도-군외"/>
      <sheetName val="기준표"/>
      <sheetName val="신내택지내역서"/>
      <sheetName val="대비"/>
      <sheetName val="콘크리트"/>
      <sheetName val="입력"/>
      <sheetName val="MOTOR"/>
      <sheetName val="D-623D"/>
      <sheetName val="단중표-ST"/>
      <sheetName val="기준액"/>
      <sheetName val="자동제어"/>
      <sheetName val="내역(전체)"/>
      <sheetName val="106C0300"/>
      <sheetName val="편성절차"/>
      <sheetName val="지급내역"/>
      <sheetName val="Sheet4"/>
      <sheetName val="관리처분변경환급"/>
      <sheetName val="이주비미대출세대"/>
      <sheetName val="환불자 내역"/>
      <sheetName val="기초자료"/>
      <sheetName val="터파기및재료"/>
      <sheetName val="전기일위대가"/>
      <sheetName val="Sheet5"/>
      <sheetName val="토공산출(주차장)"/>
      <sheetName val="공사_산출"/>
      <sheetName val="마산방향"/>
      <sheetName val="진주방향"/>
      <sheetName val="단위단가"/>
      <sheetName val="집행예산"/>
      <sheetName val="집 계 표"/>
      <sheetName val="BOX"/>
      <sheetName val="현황CODE"/>
      <sheetName val="X17-TOTAL"/>
      <sheetName val="원가data"/>
      <sheetName val="공틀공사"/>
      <sheetName val="요약서"/>
      <sheetName val="ABUT수량-A1"/>
      <sheetName val="조건표"/>
      <sheetName val="원가계산"/>
      <sheetName val="단가비교표"/>
      <sheetName val="품"/>
      <sheetName val="연돌일위집계"/>
      <sheetName val=" 갑  지 "/>
      <sheetName val="UR2-Calculation"/>
      <sheetName val="개요"/>
      <sheetName val="설-원가"/>
      <sheetName val="원가"/>
      <sheetName val="사다리"/>
      <sheetName val="법인세신고자료"/>
      <sheetName val="제조부문배부"/>
      <sheetName val="충주"/>
      <sheetName val="(C)원내역"/>
      <sheetName val="백분율"/>
      <sheetName val="DHEQSUPT"/>
      <sheetName val="데이터입력"/>
      <sheetName val="01"/>
      <sheetName val="포장공수량집계"/>
      <sheetName val="터널조도"/>
      <sheetName val="현장관리비 산출내역"/>
      <sheetName val="96노임기준"/>
      <sheetName val="1련,2련"/>
      <sheetName val="변품8-37"/>
      <sheetName val="조건"/>
      <sheetName val="기계경비"/>
      <sheetName val="내역갑지"/>
      <sheetName val="도로단위당"/>
      <sheetName val="건축집계"/>
      <sheetName val="토목공사"/>
      <sheetName val="공사내역"/>
      <sheetName val="Sensitivity"/>
      <sheetName val="기초수량집"/>
      <sheetName val="경영상태"/>
      <sheetName val="기계내역"/>
      <sheetName val="Recap"/>
      <sheetName val="공내역서"/>
      <sheetName val="설계내역서"/>
      <sheetName val="밸브설치"/>
      <sheetName val="U-TYPE(1)"/>
      <sheetName val="설계내역"/>
      <sheetName val="총공사내역서"/>
      <sheetName val="신.분"/>
      <sheetName val="가설공사비"/>
      <sheetName val="도로구조공사비"/>
      <sheetName val="도로토공공사비"/>
      <sheetName val="여수토공사비"/>
      <sheetName val="TEST1"/>
      <sheetName val="원가서"/>
      <sheetName val="2000전체분"/>
      <sheetName val="날개벽(시점좌측)"/>
      <sheetName val="inputdata"/>
      <sheetName val="BS2(302)"/>
      <sheetName val="조명시설"/>
      <sheetName val="주현(해보)"/>
      <sheetName val="주현(영광)"/>
      <sheetName val="적용단가"/>
      <sheetName val="WE'T"/>
      <sheetName val="BREAKDOWN(철거설치)"/>
      <sheetName val="뜃맟뭁돽띿맟?-BLDG"/>
      <sheetName val="CAT_5"/>
      <sheetName val="A"/>
      <sheetName val="연결임시"/>
      <sheetName val="자금운용표"/>
      <sheetName val="변경내역대비표(2)"/>
      <sheetName val="운반"/>
      <sheetName val="집수정(600-700)"/>
      <sheetName val="Cash Flow"/>
      <sheetName val="목표세부명세"/>
      <sheetName val="CONCRETE"/>
      <sheetName val="시운전연료비"/>
      <sheetName val="공종단가"/>
      <sheetName val="울산시산표"/>
      <sheetName val="도"/>
      <sheetName val="예산대비"/>
      <sheetName val="토목주소"/>
      <sheetName val="프랜트면허"/>
      <sheetName val="mcc일위대가"/>
      <sheetName val="수량산출서(터널종점)"/>
      <sheetName val="공사비_NDE"/>
      <sheetName val="검토서"/>
      <sheetName val="1-1"/>
      <sheetName val="일위대가(1)"/>
      <sheetName val="수지표"/>
      <sheetName val="셀명"/>
      <sheetName val="03일"/>
      <sheetName val="98수문일위"/>
      <sheetName val="노무비단가"/>
      <sheetName val="?? ???"/>
      <sheetName val="MAIN_TABLE"/>
      <sheetName val="참조"/>
      <sheetName val="예정(3)"/>
      <sheetName val="약품설비"/>
      <sheetName val="변경내역을"/>
      <sheetName val="유림골조"/>
      <sheetName val="입찰"/>
      <sheetName val="현경"/>
      <sheetName val="관로토공집계표"/>
      <sheetName val="변경현황"/>
      <sheetName val="간접비"/>
      <sheetName val="부하(성남)"/>
      <sheetName val="단가 및 재료비"/>
      <sheetName val="6호기"/>
      <sheetName val="내역서당초"/>
      <sheetName val="잡비"/>
      <sheetName val="P_RPTB04_산근"/>
      <sheetName val="갑지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(도서)"/>
      <sheetName val="#REF"/>
      <sheetName val="조도계산서 _도서_"/>
      <sheetName val="부하계산서"/>
      <sheetName val="ITEM"/>
      <sheetName val="IMP(MAIN)"/>
      <sheetName val="IMP (REACTOR)"/>
      <sheetName val="MOTOR"/>
      <sheetName val="인건비"/>
      <sheetName val="내역"/>
      <sheetName val="일반공사"/>
      <sheetName val="ilch"/>
      <sheetName val="중기일위대가"/>
      <sheetName val="TABLE"/>
      <sheetName val="부하(성남)"/>
      <sheetName val="Y-WORK"/>
      <sheetName val="설계명세서"/>
      <sheetName val="건축내역"/>
      <sheetName val="I.설계조건"/>
      <sheetName val="3BL공동구 수량"/>
      <sheetName val="정부노임단가"/>
      <sheetName val="일위대가"/>
      <sheetName val="산#3-1"/>
      <sheetName val="횡배위치"/>
      <sheetName val="실행예산"/>
      <sheetName val="출근부"/>
      <sheetName val="내역서"/>
      <sheetName val="WORK"/>
      <sheetName val="차액보증"/>
      <sheetName val="B"/>
      <sheetName val="견적시담(송포2공구)"/>
      <sheetName val="현황산출서"/>
      <sheetName val="내역1"/>
      <sheetName val="여흥"/>
      <sheetName val="중기사용료"/>
      <sheetName val="Sheet1"/>
      <sheetName val="별표 "/>
      <sheetName val="표지"/>
      <sheetName val="단가산출집계"/>
      <sheetName val="SE-611"/>
      <sheetName val="자재테이블"/>
      <sheetName val="원가"/>
      <sheetName val="ABUT수량-A1"/>
      <sheetName val="부대내역"/>
      <sheetName val="단위중량"/>
      <sheetName val="직노"/>
      <sheetName val="실행내역"/>
      <sheetName val="금액내역서"/>
      <sheetName val="내역서 "/>
      <sheetName val="재료집계"/>
      <sheetName val="방송노임"/>
      <sheetName val="TYPE-B 평균H"/>
      <sheetName val="현장지지물물량"/>
      <sheetName val="DATA(BAC)"/>
      <sheetName val="DS-LOAD"/>
      <sheetName val="Sheet4"/>
      <sheetName val="견적서"/>
      <sheetName val="을"/>
      <sheetName val="토사(PE)"/>
      <sheetName val="변화치수"/>
      <sheetName val="토공총괄집계"/>
      <sheetName val="수량산출서"/>
      <sheetName val="외자배분"/>
      <sheetName val="가시설(TYPE-A)"/>
      <sheetName val="1호맨홀가감수량"/>
      <sheetName val="1-1평균터파기고(1)"/>
      <sheetName val="1호맨홀수량산출"/>
      <sheetName val="2F 회의실견적(5_14 일대)"/>
      <sheetName val="단가"/>
      <sheetName val="시설물일위"/>
      <sheetName val="9GNG운반"/>
      <sheetName val="조건표"/>
      <sheetName val="CALCULATION"/>
      <sheetName val="General Data"/>
      <sheetName val="조인트"/>
      <sheetName val="명세서"/>
      <sheetName val="Proposal"/>
      <sheetName val="BQ"/>
      <sheetName val="도급및 실행내역"/>
      <sheetName val="노임단가(0.3)"/>
      <sheetName val="노임단가"/>
      <sheetName val="Macro(전선)"/>
      <sheetName val="보집계표"/>
      <sheetName val="K1자재(3차등)"/>
      <sheetName val="경비_원본"/>
      <sheetName val="플랜트 설치"/>
      <sheetName val="Sheet1 (2)"/>
      <sheetName val="안정검토"/>
      <sheetName val="말뚝물량"/>
      <sheetName val="단가표 (2)"/>
      <sheetName val="지급자재"/>
      <sheetName val="신공"/>
      <sheetName val="내역표지"/>
      <sheetName val="CTEMCOST"/>
      <sheetName val="기계내역"/>
      <sheetName val="타공종이기"/>
      <sheetName val="토목내역"/>
      <sheetName val="대비"/>
      <sheetName val="Dae_Jiju"/>
      <sheetName val="Sikje_ingun"/>
      <sheetName val="TREE_D"/>
      <sheetName val="공사비명세서"/>
      <sheetName val="U-TYPE(1)"/>
      <sheetName val="소비자가"/>
      <sheetName val="콘크리트 블록 유형별 수량"/>
      <sheetName val="6PILE  (돌출)"/>
      <sheetName val="추가및 공제(방파제)"/>
      <sheetName val="터파기및재료"/>
      <sheetName val="교각계산"/>
      <sheetName val="FOOTING단면력"/>
      <sheetName val="수문보고"/>
      <sheetName val="내력서"/>
      <sheetName val="교각1"/>
      <sheetName val="가시설단위수량"/>
      <sheetName val="J형측구단위수량"/>
      <sheetName val="계산중"/>
      <sheetName val="토공"/>
      <sheetName val="집계표"/>
      <sheetName val="투자효율분석"/>
      <sheetName val="DATA1"/>
      <sheetName val="공사원가계산서"/>
      <sheetName val="정렬"/>
      <sheetName val="자판실행"/>
      <sheetName val="8.PILE  (돌출)"/>
      <sheetName val="원형맨홀수량"/>
      <sheetName val="단가대비"/>
      <sheetName val="spec1"/>
      <sheetName val="일위대가목차"/>
      <sheetName val="단가대비표"/>
      <sheetName val="금액"/>
      <sheetName val="도"/>
      <sheetName val="壓降計算基本資料"/>
      <sheetName val="견적접수"/>
      <sheetName val="견적내역서"/>
      <sheetName val="착공계"/>
      <sheetName val="Total"/>
      <sheetName val="깨기"/>
      <sheetName val="단가조서"/>
      <sheetName val="근생APT-신마감"/>
      <sheetName val="복지관_FIART"/>
      <sheetName val="근생APT-FIART"/>
      <sheetName val="근생-FIART"/>
      <sheetName val="N賃率-職"/>
      <sheetName val="자재단가 산출근거"/>
      <sheetName val="전기일위대가"/>
      <sheetName val="노임"/>
      <sheetName val="D25"/>
      <sheetName val="D16"/>
      <sheetName val="D22"/>
      <sheetName val="위치조서"/>
      <sheetName val="JOINT1"/>
      <sheetName val="Sheet3 (2)"/>
      <sheetName val="123"/>
      <sheetName val="cable"/>
      <sheetName val="2002계약현황"/>
      <sheetName val="사각맨홀"/>
      <sheetName val="1단계"/>
      <sheetName val="계약내력"/>
      <sheetName val="조도계산서_(도서)"/>
      <sheetName val="경산"/>
      <sheetName val="년도별시공"/>
      <sheetName val="단가표 "/>
      <sheetName val="공사개요"/>
      <sheetName val="터널조도"/>
      <sheetName val=" 견적서"/>
      <sheetName val="2.내역서"/>
      <sheetName val="c_balju"/>
      <sheetName val="하수실행"/>
      <sheetName val="2002상반기노임기준"/>
      <sheetName val="INPUT"/>
      <sheetName val="입력DATA"/>
      <sheetName val="바닥판"/>
      <sheetName val="조도계산서__도서_"/>
      <sheetName val="IMP_(REACTOR)"/>
      <sheetName val="3BL공동구_수량"/>
      <sheetName val="별표_"/>
      <sheetName val="2F_회의실견적(5_14_일대)"/>
      <sheetName val="General_Data"/>
      <sheetName val="TYPE-B_평균H"/>
      <sheetName val="erl-b"/>
      <sheetName val="일위대가(계측기설치)"/>
      <sheetName val="수량산출"/>
      <sheetName val="부대tu"/>
      <sheetName val="횡배수관"/>
      <sheetName val="관급단가"/>
      <sheetName val="배수공"/>
      <sheetName val="목차"/>
      <sheetName val="환률"/>
      <sheetName val="D-3503"/>
      <sheetName val="공종별 집계"/>
      <sheetName val="단면가정"/>
      <sheetName val="가공비"/>
      <sheetName val="밸브설치"/>
      <sheetName val="원가계산서"/>
      <sheetName val="토공,기초"/>
      <sheetName val="dike도수로"/>
      <sheetName val="재집"/>
      <sheetName val="직재"/>
      <sheetName val="일위대가목록"/>
      <sheetName val="데이타"/>
      <sheetName val="DATA"/>
      <sheetName val="반중력식옹벽3.5"/>
      <sheetName val="설계조건"/>
      <sheetName val="안정계산"/>
      <sheetName val="단면검토"/>
      <sheetName val="수질정화시설"/>
      <sheetName val="내역서(총)"/>
      <sheetName val="자재집계표"/>
      <sheetName val="CODE"/>
      <sheetName val="장비집계"/>
      <sheetName val="문산방향-교대(A2)"/>
      <sheetName val="A-4"/>
      <sheetName val="ATS단가"/>
      <sheetName val="바.한일양산"/>
      <sheetName val="화산경계"/>
      <sheetName val="오산갈곳"/>
      <sheetName val="수로단위수량"/>
      <sheetName val="여과지동"/>
      <sheetName val="기초자료"/>
      <sheetName val="XL4Poppy"/>
      <sheetName val="5지구단위"/>
      <sheetName val="암거"/>
      <sheetName val="포장공"/>
      <sheetName val="BJJIN"/>
      <sheetName val="도급양식"/>
      <sheetName val="POL6차-PIPING"/>
      <sheetName val="뚝토공"/>
      <sheetName val="관집계"/>
      <sheetName val="토공계산서(부체도로)"/>
      <sheetName val="Contents"/>
      <sheetName val="BM"/>
      <sheetName val="인건-측정"/>
      <sheetName val="????? (??)"/>
      <sheetName val="작성방법"/>
      <sheetName val="2선재"/>
      <sheetName val="단중표"/>
      <sheetName val="Material"/>
      <sheetName val="연돌일위집계"/>
      <sheetName val="DESIGN_CRETERIA"/>
      <sheetName val="FACTOR"/>
      <sheetName val="단중"/>
      <sheetName val="CABLE DATA"/>
      <sheetName val="MEXICO-C"/>
      <sheetName val="총(철거)"/>
      <sheetName val="변경품셈총괄"/>
      <sheetName val="TIE-IN"/>
      <sheetName val="eq_data"/>
      <sheetName val="LOPCALC"/>
      <sheetName val="통합"/>
      <sheetName val="기초공"/>
      <sheetName val="기둥(원형)"/>
      <sheetName val="일위대가표"/>
      <sheetName val="기본"/>
      <sheetName val="장비"/>
      <sheetName val="노무"/>
      <sheetName val="설계"/>
      <sheetName val="연결임시"/>
      <sheetName val="plan&amp;section of foundation"/>
      <sheetName val="design load"/>
      <sheetName val="working load at the btm ft."/>
      <sheetName val="stability check"/>
      <sheetName val="design criteria"/>
      <sheetName val="다이꾸"/>
      <sheetName val="wall"/>
      <sheetName val="입찰견적보고서"/>
      <sheetName val="동원인원산출"/>
      <sheetName val="조도계산서_(도서)1"/>
      <sheetName val="조도계산서__도서_1"/>
      <sheetName val="IMP_(REACTOR)1"/>
      <sheetName val="3BL공동구_수량1"/>
      <sheetName val="2F_회의실견적(5_14_일대)1"/>
      <sheetName val="별표_1"/>
      <sheetName val="내역서_"/>
      <sheetName val="도급및_실행내역"/>
      <sheetName val="TYPE-B_평균H1"/>
      <sheetName val="General_Data1"/>
      <sheetName val="I_설계조건"/>
      <sheetName val="플랜트_설치"/>
      <sheetName val="Sheet1_(2)"/>
      <sheetName val="노임단가(0_3)"/>
      <sheetName val="단가표_(2)"/>
      <sheetName val="단가표_"/>
      <sheetName val="8_PILE__(돌출)"/>
      <sheetName val="콘크리트_블록_유형별_수량"/>
      <sheetName val="6PILE__(돌출)"/>
      <sheetName val="_견적서"/>
      <sheetName val="자재단가_산출근거"/>
      <sheetName val="Sheet3_(2)"/>
      <sheetName val="2_내역서"/>
      <sheetName val="추가및_공제(방파제)"/>
      <sheetName val="공종별_집계"/>
      <sheetName val="조도계산서_(도서)2"/>
      <sheetName val="조도계산서__도서_2"/>
      <sheetName val="IMP_(REACTOR)2"/>
      <sheetName val="3BL공동구_수량2"/>
      <sheetName val="2F_회의실견적(5_14_일대)2"/>
      <sheetName val="별표_2"/>
      <sheetName val="내역서_1"/>
      <sheetName val="도급및_실행내역1"/>
      <sheetName val="TYPE-B_평균H2"/>
      <sheetName val="General_Data2"/>
      <sheetName val="I_설계조건1"/>
      <sheetName val="플랜트_설치1"/>
      <sheetName val="Sheet1_(2)1"/>
      <sheetName val="노임단가(0_3)1"/>
      <sheetName val="단가표_(2)1"/>
      <sheetName val="단가표_1"/>
      <sheetName val="8_PILE__(돌출)1"/>
      <sheetName val="콘크리트_블록_유형별_수량1"/>
      <sheetName val="6PILE__(돌출)1"/>
      <sheetName val="_견적서1"/>
      <sheetName val="자재단가_산출근거1"/>
      <sheetName val="Sheet3_(2)1"/>
      <sheetName val="2_내역서1"/>
      <sheetName val="추가및_공제(방파제)1"/>
      <sheetName val="공종별_집계1"/>
      <sheetName val="날개수량1_51"/>
      <sheetName val="표__지"/>
      <sheetName val="대가호표"/>
      <sheetName val="건축"/>
      <sheetName val="입찰안"/>
      <sheetName val="적용기준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견적갑지"/>
      <sheetName val="입찰참가보고 (2)"/>
      <sheetName val="부대공II"/>
      <sheetName val="가설사무실"/>
      <sheetName val="조직도"/>
      <sheetName val="카메라"/>
      <sheetName val="000000"/>
      <sheetName val="조명율표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토목원가계산서"/>
      <sheetName val="토목원가"/>
      <sheetName val="집계장"/>
      <sheetName val="설계내역"/>
      <sheetName val="제외공종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원가계산"/>
      <sheetName val="원가계산기준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적쒩2002"/>
      <sheetName val="단위내엍목록"/>
      <sheetName val="설계내역서"/>
      <sheetName val="제어반공량"/>
      <sheetName val="가격조사"/>
      <sheetName val="제어반견적"/>
      <sheetName val="주요물량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P礔CKAGE"/>
      <sheetName val="운반비(전선륐)"/>
      <sheetName val="31.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 refreshError="1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명서"/>
      <sheetName val="설계조건"/>
      <sheetName val="안정계산"/>
      <sheetName val="말뚝설계"/>
      <sheetName val="단면검토"/>
      <sheetName val="교좌받침부"/>
      <sheetName val="날개벽(TYPE1)"/>
      <sheetName val="날개벽(TYPE2)"/>
      <sheetName val="날개벽(TYPE3)"/>
      <sheetName val="접속슬래브"/>
      <sheetName val="DATA"/>
      <sheetName val="구조계산서"/>
      <sheetName val="반력산정"/>
      <sheetName val="1표지"/>
      <sheetName val="2계산서서론부"/>
      <sheetName val="3CHBDC"/>
      <sheetName val="4반력산정"/>
      <sheetName val="3BL공동구 수량"/>
      <sheetName val="통합"/>
      <sheetName val="조도계산서 (도서)"/>
      <sheetName val="Stem Footing"/>
      <sheetName val="단면(RW1)"/>
      <sheetName val="1.설계조건"/>
      <sheetName val="MOTOR"/>
      <sheetName val="djdg_A"/>
      <sheetName val="교각1"/>
      <sheetName val="범례"/>
      <sheetName val="손익분기점 데이터"/>
      <sheetName val="1.포항"/>
      <sheetName val="현황산출서"/>
      <sheetName val="주형"/>
      <sheetName val="입력DATA"/>
      <sheetName val="바닥판"/>
      <sheetName val="사용성검토"/>
      <sheetName val="Pier 3"/>
      <sheetName val="정부노임단가"/>
      <sheetName val="3. 바닥판 (2)"/>
      <sheetName val="재료비"/>
      <sheetName val="동원(3)"/>
      <sheetName val="예정(3)"/>
      <sheetName val="Sheet1 (2)"/>
      <sheetName val="기둥(원형)"/>
      <sheetName val="단가비교표"/>
      <sheetName val="단면가정"/>
      <sheetName val="3련 BOX"/>
      <sheetName val="ABUT수량-A1"/>
      <sheetName val="물가시세"/>
      <sheetName val="02 SLAB"/>
      <sheetName val="05 BOX"/>
      <sheetName val="내역서"/>
      <sheetName val="Sheet2"/>
      <sheetName val="ITEM"/>
      <sheetName val="ilch"/>
      <sheetName val="Y-WORK"/>
      <sheetName val="물량산출근거"/>
      <sheetName val="과천MAIN"/>
    </sheetNames>
    <sheetDataSet>
      <sheetData sheetId="0" refreshError="1"/>
      <sheetData sheetId="1" refreshError="1">
        <row r="41">
          <cell r="I41">
            <v>35</v>
          </cell>
        </row>
        <row r="180">
          <cell r="R180">
            <v>7.0000000000000007E-2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부하(성남)"/>
      <sheetName val="설계조건"/>
      <sheetName val="시중노임단가"/>
      <sheetName val="토공사"/>
      <sheetName val="전기"/>
      <sheetName val="조도계산서 (도서)"/>
      <sheetName val="하조서"/>
      <sheetName val="MOTOR"/>
      <sheetName val="부하계산서"/>
      <sheetName val="손익분석"/>
      <sheetName val="#REF"/>
      <sheetName val="인건비"/>
      <sheetName val="001"/>
      <sheetName val="3련 BOX"/>
      <sheetName val="ABUT수량-A1"/>
      <sheetName val="unit 4"/>
      <sheetName val="내역"/>
      <sheetName val="총괄"/>
      <sheetName val="정부노임단가"/>
      <sheetName val="건축내역(트럼프수성)"/>
      <sheetName val="TABLE"/>
      <sheetName val="안정계산"/>
      <sheetName val="단면검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안정검토(온1)"/>
      <sheetName val="안정검토(온2)"/>
      <sheetName val="안정검토(행1)"/>
      <sheetName val="안정검토(행2)"/>
      <sheetName val="안정검토(효)"/>
      <sheetName val="안정검토(간1)"/>
      <sheetName val="안정검토(간2)"/>
      <sheetName val="내역서"/>
      <sheetName val="1.설계기준"/>
      <sheetName val="ⴭⴭⴭ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총괄원가)"/>
      <sheetName val="초원가"/>
      <sheetName val="중원가"/>
      <sheetName val="초갑지"/>
      <sheetName val="중갑지"/>
      <sheetName val="고갑지"/>
      <sheetName val="초등을지"/>
      <sheetName val="중등을지"/>
      <sheetName val="초중고통신일위대가"/>
      <sheetName val="설계조건"/>
      <sheetName val="조도계산서 (도서)"/>
      <sheetName val="안정검토(온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송배관"/>
      <sheetName val="갑지들"/>
      <sheetName val="총괄표"/>
      <sheetName val="원가계산서"/>
      <sheetName val="인건비"/>
      <sheetName val="내역서"/>
      <sheetName val="신우"/>
      <sheetName val="7.1유효폭"/>
      <sheetName val="sheet1"/>
      <sheetName val="수질정화시설"/>
      <sheetName val="안정검토(온1)"/>
      <sheetName val="45,46"/>
      <sheetName val="인건-측정"/>
      <sheetName val="산출내력"/>
      <sheetName val="바닥판"/>
      <sheetName val="실행철강하도"/>
      <sheetName val="pipe"/>
      <sheetName val="조도계산서 (도서)"/>
      <sheetName val="정부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PCALC"/>
      <sheetName val="7.1유효폭"/>
      <sheetName val="MOTOR"/>
      <sheetName val="TABLE"/>
      <sheetName val="수질정화시설"/>
      <sheetName val="조도계산서 (도서)"/>
      <sheetName val="MEXICO-C"/>
      <sheetName val="설계조건"/>
      <sheetName val="ilch"/>
      <sheetName val="기초공"/>
      <sheetName val="기둥(원형)"/>
      <sheetName val="3BL공동구 수량"/>
      <sheetName val="Sheet1"/>
      <sheetName val="Sheet2"/>
      <sheetName val="차액보증"/>
      <sheetName val="데이타"/>
      <sheetName val="IMPEADENCE MAP 취수장"/>
      <sheetName val="001"/>
      <sheetName val="안정검토(온1)"/>
      <sheetName val="전차선로 물량표"/>
      <sheetName val="바닥판"/>
      <sheetName val="REPT-NG"/>
      <sheetName val="Macro1"/>
      <sheetName val="Macro2"/>
      <sheetName val="#REF"/>
      <sheetName val="ⴭⴭⴭⴭ"/>
      <sheetName val="L_RPTA05_목록"/>
      <sheetName val="BID"/>
      <sheetName val="96작생능"/>
      <sheetName val="품의서"/>
      <sheetName val="의왕F사"/>
      <sheetName val="가공사"/>
      <sheetName val="단가 (2)"/>
      <sheetName val="공통(20-91)"/>
      <sheetName val="정부노임단가"/>
      <sheetName val="노임단가"/>
      <sheetName val="자재단가"/>
      <sheetName val="한강운반비"/>
      <sheetName val="노임"/>
      <sheetName val="자재"/>
      <sheetName val="일위산출"/>
      <sheetName val="내역서"/>
      <sheetName val="품셈기준"/>
      <sheetName val="가설건물"/>
      <sheetName val="토공A"/>
      <sheetName val="입찰안"/>
      <sheetName val="다이꾸"/>
      <sheetName val="중기사용료"/>
      <sheetName val="TEL"/>
      <sheetName val="일위대가목차"/>
      <sheetName val="표지"/>
      <sheetName val="Links"/>
      <sheetName val="COVER"/>
      <sheetName val="날개벽수량표"/>
    </sheetNames>
    <sheetDataSet>
      <sheetData sheetId="0" refreshError="1">
        <row r="5">
          <cell r="B5" t="str">
            <v>LOP</v>
          </cell>
          <cell r="C5" t="str">
            <v>수량</v>
          </cell>
          <cell r="D5" t="str">
            <v>TYPE</v>
          </cell>
          <cell r="E5" t="str">
            <v>DIMENSION</v>
          </cell>
          <cell r="F5" t="str">
            <v>TAG</v>
          </cell>
          <cell r="G5" t="str">
            <v>설 비 명</v>
          </cell>
          <cell r="H5" t="str">
            <v>단위</v>
          </cell>
          <cell r="I5" t="str">
            <v>수량</v>
          </cell>
        </row>
        <row r="6">
          <cell r="B6" t="str">
            <v>NO.</v>
          </cell>
          <cell r="E6" t="str">
            <v>W x H x D x L</v>
          </cell>
          <cell r="F6" t="str">
            <v>NO.</v>
          </cell>
          <cell r="H6" t="str">
            <v>용량</v>
          </cell>
          <cell r="I6" t="str">
            <v>NL.</v>
          </cell>
          <cell r="J6" t="str">
            <v>SB.</v>
          </cell>
        </row>
        <row r="7">
          <cell r="B7" t="e">
            <v>#REF!</v>
          </cell>
        </row>
        <row r="8">
          <cell r="B8" t="str">
            <v>취수설비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NIT-QT"/>
      <sheetName val="ITEM"/>
      <sheetName val="MOTOR"/>
      <sheetName val="JUCK"/>
      <sheetName val="노임단가"/>
      <sheetName val="정부노임단가"/>
      <sheetName val="장비내역서"/>
      <sheetName val="부하계산서"/>
      <sheetName val="합의경상"/>
      <sheetName val="일반공사"/>
      <sheetName val="송장"/>
      <sheetName val="MEXICO-C"/>
      <sheetName val="1.설계조건"/>
      <sheetName val="DATA"/>
      <sheetName val="Total"/>
      <sheetName val="CONCRETE"/>
      <sheetName val="FOOTING단면력"/>
      <sheetName val="BID"/>
      <sheetName val="명세서"/>
      <sheetName val="부대내역"/>
      <sheetName val="전차선로 물량표"/>
      <sheetName val="COPING"/>
      <sheetName val="#REF"/>
      <sheetName val="부하LOAD"/>
      <sheetName val="개요"/>
      <sheetName val="전기"/>
      <sheetName val="가설건물"/>
      <sheetName val="INPUT"/>
      <sheetName val="청구내역(9807)"/>
      <sheetName val="업체별기성내역"/>
      <sheetName val="Macro1"/>
      <sheetName val="Macro2"/>
      <sheetName val="공용시설내역"/>
      <sheetName val="동력부하(도산)"/>
      <sheetName val="Y-WORK"/>
      <sheetName val="3BL공동구 수량"/>
      <sheetName val="바닥판"/>
      <sheetName val="플랜트 설치"/>
      <sheetName val="내역서"/>
      <sheetName val="노무비"/>
      <sheetName val="간접비"/>
      <sheetName val="노원열병합  건축공사기성내역서"/>
      <sheetName val="유동표(변경)"/>
      <sheetName val="을"/>
      <sheetName val="부하(성남)"/>
      <sheetName val="2공구수량"/>
      <sheetName val="WORK"/>
      <sheetName val="부하(반월)"/>
      <sheetName val="ⴭⴭⴭⴭ"/>
      <sheetName val="Sheet2"/>
      <sheetName val="인건-측정"/>
      <sheetName val="LOAD-AY"/>
      <sheetName val="입고장부 (4)"/>
      <sheetName val="LOPCALC"/>
      <sheetName val="날개벽수량표"/>
      <sheetName val="CA지입"/>
      <sheetName val="봉양~조차장간고하개명(신설)"/>
      <sheetName val="MACRO(MCC)"/>
      <sheetName val="TRE TABLE"/>
      <sheetName val="설계조건"/>
      <sheetName val="날개벽(TYPE3)"/>
      <sheetName val="공통(20-91)"/>
      <sheetName val="cost"/>
      <sheetName val="001"/>
      <sheetName val="배수공 주요자재 집계표"/>
      <sheetName val="L-type"/>
      <sheetName val="Sheet3"/>
      <sheetName val="변경실행(2차) "/>
      <sheetName val="기계경비일람"/>
      <sheetName val="전력구구조물산근"/>
      <sheetName val="EJ"/>
      <sheetName val="W-현원가"/>
      <sheetName val="데이타"/>
      <sheetName val="자재수량"/>
      <sheetName val="품의서"/>
      <sheetName val="Macro(차단기)"/>
      <sheetName val="Sheet4"/>
      <sheetName val="4)유동표"/>
      <sheetName val="I.설계조건"/>
      <sheetName val="쌍송교"/>
      <sheetName val="유동표"/>
      <sheetName val="내역"/>
      <sheetName val="터널조도"/>
      <sheetName val="포장공"/>
      <sheetName val="대구실행"/>
      <sheetName val="현장지지물물량"/>
      <sheetName val="FEXS"/>
      <sheetName val="소운반"/>
      <sheetName val="자재단가"/>
      <sheetName val="BSD (2)"/>
      <sheetName val="토목내역"/>
      <sheetName val="XL4Poppy"/>
      <sheetName val="토목주소"/>
      <sheetName val="프랜트면허"/>
      <sheetName val="비교표"/>
      <sheetName val="토공A"/>
      <sheetName val="중기일위대가"/>
      <sheetName val="견적서"/>
      <sheetName val="7.1유효폭"/>
      <sheetName val="Sheet17"/>
      <sheetName val="날개벽(시점좌측)"/>
      <sheetName val="현장관리비내역서"/>
      <sheetName val="Languages"/>
      <sheetName val="wall"/>
      <sheetName val="Macro(AT)"/>
      <sheetName val="DATE"/>
      <sheetName val="목차"/>
      <sheetName val="수량산출서"/>
      <sheetName val="조도계산서 (도서)"/>
      <sheetName val="노임"/>
      <sheetName val="일위대가"/>
      <sheetName val="표지 (2)"/>
      <sheetName val="수질정화시설"/>
      <sheetName val="매크로"/>
      <sheetName val="외주가공"/>
      <sheetName val="ilch"/>
      <sheetName val="기계실"/>
      <sheetName val="1-1"/>
      <sheetName val="ABUT수량-A1"/>
      <sheetName val="bearing"/>
      <sheetName val="1공구(을)"/>
      <sheetName val="MBR9"/>
      <sheetName val="조명율표"/>
      <sheetName val="차액보증"/>
      <sheetName val="일위대가목차"/>
      <sheetName val="부하(도서)"/>
      <sheetName val="E.P.T수량산출서"/>
      <sheetName val="U-TYPE(1)"/>
      <sheetName val="Site Expenses"/>
      <sheetName val="수량"/>
      <sheetName val="BLOCK(1)"/>
      <sheetName val="일위대가목록"/>
      <sheetName val="단가대비표"/>
      <sheetName val="A-4"/>
      <sheetName val="수량산출"/>
      <sheetName val="집계표(육상)"/>
      <sheetName val="주형"/>
      <sheetName val="2000년1차"/>
      <sheetName val="전력구구조물산근2구간"/>
      <sheetName val="외천교"/>
      <sheetName val="????"/>
      <sheetName val="조명율데이타"/>
      <sheetName val="당초"/>
      <sheetName val="Cost bd-&quot;A&quot;"/>
      <sheetName val="Process"/>
      <sheetName val="다이꾸"/>
      <sheetName val="기본일위"/>
      <sheetName val="3련 BOX"/>
      <sheetName val="BQ(실행)"/>
      <sheetName val="기초공"/>
      <sheetName val="기둥(원형)"/>
      <sheetName val="c_balju"/>
      <sheetName val="인건비"/>
      <sheetName val="COVER"/>
      <sheetName val="Sheet5"/>
      <sheetName val="견적정보"/>
      <sheetName val="명단원자료(이전)"/>
      <sheetName val="L_RPTA05_목록"/>
      <sheetName val="토공(완충)"/>
      <sheetName val="200"/>
      <sheetName val="일위대가(계측기설치)"/>
      <sheetName val="지진시"/>
      <sheetName val="부대공"/>
      <sheetName val="IMP(MAIN)"/>
      <sheetName val="IMP (REACTOR)"/>
      <sheetName val="J"/>
      <sheetName val="협조전"/>
      <sheetName val="입력DATA"/>
      <sheetName val="안정검토"/>
      <sheetName val="보차도경계석"/>
      <sheetName val="도담구내 개소별 명세"/>
      <sheetName val="5. 차단기 용량계산"/>
      <sheetName val="관리사무소"/>
      <sheetName val="포장복구집계"/>
      <sheetName val="96작생능"/>
      <sheetName val="Dae_Jiju"/>
      <sheetName val="Sikje_ingun"/>
      <sheetName val="TREE_D"/>
      <sheetName val="배수관공"/>
      <sheetName val="우각부보강"/>
      <sheetName val="K"/>
      <sheetName val="맨홀수량집계"/>
      <sheetName val="단위중량"/>
      <sheetName val="뚝토공"/>
      <sheetName val="접속도로1"/>
      <sheetName val="TABLE"/>
      <sheetName val="BQ"/>
      <sheetName val="특별교실"/>
      <sheetName val="1"/>
      <sheetName val="경상비"/>
      <sheetName val="타공종이기"/>
      <sheetName val="참조"/>
      <sheetName val="원형맨홀수량"/>
      <sheetName val="경비2내역"/>
      <sheetName val="C1ㅇ"/>
      <sheetName val="DG-LAP6"/>
      <sheetName val="工완성공사율"/>
      <sheetName val="설산1.나"/>
      <sheetName val="본사S"/>
      <sheetName val="품목납기"/>
      <sheetName val="장비집계"/>
      <sheetName val="공사비예산서(토목분)"/>
      <sheetName val="견"/>
      <sheetName val="RAHMEN"/>
      <sheetName val="을부담운반비"/>
      <sheetName val="주식"/>
      <sheetName val="Sheet1 (2)"/>
      <sheetName val="총괄표"/>
      <sheetName val="예산서"/>
      <sheetName val="직원동원SCH"/>
      <sheetName val="조명시설"/>
      <sheetName val="실행철강하도"/>
      <sheetName val="골재집계"/>
      <sheetName val="교각계산"/>
      <sheetName val="환률"/>
      <sheetName val="단면치수"/>
      <sheetName val="안정계산"/>
      <sheetName val="단면검토"/>
      <sheetName val="단가비교표"/>
      <sheetName val="전압강하계산"/>
      <sheetName val="소비자가"/>
      <sheetName val="전기일위대가"/>
      <sheetName val="한강운반비"/>
      <sheetName val="자재"/>
      <sheetName val="목록"/>
      <sheetName val="CATV"/>
      <sheetName val="단위내역서"/>
      <sheetName val="토공및부대2차"/>
      <sheetName val="양식"/>
      <sheetName val="일위대가표"/>
      <sheetName val="단중표"/>
      <sheetName val="2F 회의실견적(5_14 일대)"/>
      <sheetName val="TYPE1"/>
      <sheetName val="철근량"/>
      <sheetName val="일위산출"/>
      <sheetName val="현황산출서"/>
      <sheetName val="옹벽기초자료"/>
      <sheetName val="말뚝물량"/>
      <sheetName val="공사비집계"/>
      <sheetName val="실행예산"/>
      <sheetName val="산거각호표"/>
      <sheetName val="경비"/>
      <sheetName val="TYPE-1"/>
      <sheetName val="정산입력"/>
      <sheetName val="투찰"/>
      <sheetName val="변화치수"/>
      <sheetName val="96수출"/>
      <sheetName val="일위대가(가설)"/>
      <sheetName val="기계내역"/>
      <sheetName val="MAT"/>
      <sheetName val="가도공"/>
      <sheetName val="SRC-B3U2"/>
      <sheetName val="OZ049E"/>
      <sheetName val="조명율"/>
      <sheetName val="간접"/>
      <sheetName val="06_공정표"/>
      <sheetName val="기본DATA"/>
      <sheetName val="발신정보"/>
      <sheetName val="LEVEL0~4"/>
      <sheetName val="단면가정"/>
      <sheetName val="단가산출집계"/>
      <sheetName val="CHITIET VL-NC-TT -1p"/>
      <sheetName val="TDTKP1"/>
      <sheetName val="단가"/>
      <sheetName val="시설물일위"/>
      <sheetName val="현금"/>
      <sheetName val="갑지"/>
      <sheetName val="조직표"/>
      <sheetName val="1차증가원가계산"/>
      <sheetName val="역T형"/>
      <sheetName val="굴착현장"/>
      <sheetName val="PILE"/>
      <sheetName val="토공"/>
      <sheetName val="설직재-1"/>
      <sheetName val="단가표 "/>
      <sheetName val="단위수량"/>
      <sheetName val="조명률표"/>
      <sheetName val="설계자료"/>
      <sheetName val="원형1호맨홀토공수량"/>
      <sheetName val="와동25-3(변경)"/>
      <sheetName val="토사(PE)"/>
      <sheetName val="가로등제어반 설치공사(수량)"/>
      <sheetName val="22-2M단"/>
      <sheetName val="22-1소단"/>
      <sheetName val="호안공"/>
      <sheetName val="물량산출_LP-1"/>
      <sheetName val="물량산출_LP-2"/>
      <sheetName val="물량산출_LP-3"/>
      <sheetName val="물량산출_LP-4"/>
      <sheetName val="LXLIST1"/>
      <sheetName val="가시설수량"/>
      <sheetName val="하중계산"/>
      <sheetName val="중기조종사 단위단가"/>
      <sheetName val="비대칭계수"/>
      <sheetName val="전동기 SPEC"/>
      <sheetName val="자재대"/>
      <sheetName val="일반맨홀수량집계(A-7 LINE)"/>
      <sheetName val="1_설계조건"/>
      <sheetName val="전차선로_물량표"/>
      <sheetName val="노원열병합__건축공사기성내역서"/>
      <sheetName val="배수공_주요자재_집계표"/>
      <sheetName val="플랜트_설치"/>
      <sheetName val="3련_BOX"/>
      <sheetName val="I_설계조건"/>
      <sheetName val="변경실행(2차)_"/>
      <sheetName val="3BL공동구_수량"/>
      <sheetName val="토공계산서(부체도로)"/>
      <sheetName val="표지판현황"/>
      <sheetName val="교량명원본"/>
      <sheetName val="BOX제원원본"/>
      <sheetName val="입찰안"/>
      <sheetName val="토공산출(주차장)"/>
      <sheetName val="현장관리"/>
      <sheetName val="공통가설"/>
      <sheetName val="매입"/>
      <sheetName val="공사개요"/>
      <sheetName val="토공산출 (아파트)"/>
      <sheetName val="SLAB"/>
      <sheetName val="노무"/>
      <sheetName val="내역서비교"/>
      <sheetName val="산출근거"/>
      <sheetName val="기성집계"/>
      <sheetName val="자료입력"/>
      <sheetName val="물가시세"/>
      <sheetName val="설계서(설치)"/>
      <sheetName val="갑지(추정)"/>
      <sheetName val="code"/>
      <sheetName val="BJJIN"/>
      <sheetName val="운용방안"/>
      <sheetName val="월선수금"/>
      <sheetName val="회사99"/>
      <sheetName val="TYPE-B 평균H"/>
      <sheetName val="실행품의서"/>
      <sheetName val="LEGEND"/>
      <sheetName val="원가"/>
      <sheetName val="PROJECT COST ESTIMATE (cont)"/>
      <sheetName val="문학간접"/>
      <sheetName val="공사기본자료"/>
      <sheetName val="입력"/>
      <sheetName val="EP0618"/>
      <sheetName val="내역(정지)"/>
      <sheetName val="---FAB#1업무일지---"/>
      <sheetName val="guard(mac)"/>
      <sheetName val="처리단락"/>
      <sheetName val="LD"/>
      <sheetName val="약전닥트"/>
      <sheetName val="건축부하"/>
      <sheetName val="일지-H"/>
      <sheetName val="FA설치명세"/>
      <sheetName val="김포IO"/>
      <sheetName val="SORCE1"/>
      <sheetName val="가시설단위수량"/>
      <sheetName val="Cost_bd-&quot;A&quot;"/>
      <sheetName val="TRE_TABLE"/>
      <sheetName val="일위목록"/>
      <sheetName val="요율"/>
      <sheetName val="사용자정의"/>
      <sheetName val="제품표준규격"/>
      <sheetName val="공사비증감"/>
      <sheetName val="대포2교접속"/>
      <sheetName val="TEL"/>
      <sheetName val="LG제품"/>
      <sheetName val="조견표"/>
      <sheetName val="적용단위길이"/>
      <sheetName val="종배수관(신)"/>
      <sheetName val="건축내역"/>
      <sheetName val="FB25JN"/>
      <sheetName val="전기일위목록"/>
      <sheetName val="단"/>
      <sheetName val="집수정단"/>
      <sheetName val="오산갈곳"/>
      <sheetName val="공통부대비"/>
      <sheetName val="Main"/>
      <sheetName val="Picture"/>
      <sheetName val="통합"/>
      <sheetName val="#230,#235"/>
      <sheetName val="대비"/>
      <sheetName val="견적내역서"/>
      <sheetName val="견적접수"/>
      <sheetName val="횡배수관집현황(2공구)"/>
      <sheetName val="전기설계변경"/>
      <sheetName val="참조M"/>
      <sheetName val="5공철탑검토표"/>
      <sheetName val="4공철탑검토"/>
      <sheetName val="약품공급2"/>
      <sheetName val="N賃率-職"/>
      <sheetName val="MCC제원"/>
      <sheetName val="인건비 "/>
      <sheetName val="TYPE-A"/>
      <sheetName val="조도계산(가로등NEW)"/>
      <sheetName val="6PILE  (돌출)"/>
      <sheetName val="철거산출근거"/>
      <sheetName val="안정검토(온1)"/>
      <sheetName val="K1자재(3차등)"/>
      <sheetName val="L형측구단위수량"/>
      <sheetName val="L형측구연장조서"/>
      <sheetName val="도로경계블럭단위수량"/>
      <sheetName val="도로경계블럭단위토공"/>
      <sheetName val="1_설계조건1"/>
      <sheetName val="COMPRESSOR"/>
      <sheetName val="WIND-EQ"/>
      <sheetName val="신규일위대가"/>
      <sheetName val="NAI"/>
      <sheetName val="관람석제출"/>
      <sheetName val="type-F"/>
      <sheetName val="역T형교대(말뚝기초)"/>
      <sheetName val="연습"/>
      <sheetName val="8. 내진해석"/>
      <sheetName val="준공조서"/>
      <sheetName val="공사준공계"/>
      <sheetName val="준공검사보고서"/>
      <sheetName val="날개벽"/>
      <sheetName val="원데이타"/>
      <sheetName val="찍기"/>
      <sheetName val="물량산출근거"/>
      <sheetName val="ROOF(ALKALI)"/>
      <sheetName val="FACTOR"/>
      <sheetName val="분석가정"/>
      <sheetName val="집행(2-1)"/>
      <sheetName val="을지"/>
      <sheetName val="간접경상비"/>
      <sheetName val="Macro(전선)"/>
      <sheetName val="주사무실종합"/>
      <sheetName val="Oper Amount"/>
      <sheetName val="설계내역(2001)"/>
      <sheetName val="5.정산서"/>
      <sheetName val="지급자재"/>
      <sheetName val="환율"/>
      <sheetName val="일위대가(원본)"/>
      <sheetName val="전선 및 전선관"/>
      <sheetName val="세부내역서(전기)"/>
      <sheetName val="세부내역"/>
      <sheetName val="작성"/>
      <sheetName val="부표총괄"/>
      <sheetName val="견적업체"/>
      <sheetName val="AS복구"/>
      <sheetName val="중기터파기"/>
      <sheetName val="변수값"/>
      <sheetName val="중기상차"/>
      <sheetName val="L형옹벽측구"/>
      <sheetName val="깨기"/>
      <sheetName val="MFAB"/>
      <sheetName val="MFRT"/>
      <sheetName val="MPKG"/>
      <sheetName val="MPRD"/>
      <sheetName val="시설C"/>
      <sheetName val="견적"/>
      <sheetName val="6호기"/>
      <sheetName val="내역(전체)"/>
      <sheetName val="전력"/>
      <sheetName val="단가표"/>
      <sheetName val="내역_FILE"/>
      <sheetName val="견적시담(송포2공구)"/>
      <sheetName val="할증 "/>
      <sheetName val="횡배위치"/>
      <sheetName val="DA"/>
      <sheetName val="부대tu"/>
      <sheetName val="집계표"/>
      <sheetName val="아산추가1220"/>
      <sheetName val="철근정산"/>
      <sheetName val="환율-LIBOR"/>
      <sheetName val="국공유지및사유지"/>
      <sheetName val="0"/>
      <sheetName val="출근부"/>
      <sheetName val="예정(3)"/>
      <sheetName val="동원(3)"/>
      <sheetName val="POL6차-PIPING"/>
      <sheetName val="경영혁신본부"/>
      <sheetName val="BOJUNGGM"/>
      <sheetName val="계산근거"/>
      <sheetName val="내역(2000년)"/>
      <sheetName val="음봉방향"/>
      <sheetName val="물가대비표"/>
      <sheetName val="nomi "/>
      <sheetName val="단가조정표"/>
      <sheetName val="공사비"/>
      <sheetName val="토공정보"/>
      <sheetName val="사진"/>
      <sheetName val="토목검측서"/>
      <sheetName val="SUM (INQNO."/>
      <sheetName val="99.6"/>
      <sheetName val="D-3503"/>
      <sheetName val="아파트 "/>
      <sheetName val="식재인부"/>
      <sheetName val="분뇨"/>
      <sheetName val="GRDBS"/>
      <sheetName val="선로정수계산"/>
      <sheetName val="설계명세서"/>
      <sheetName val="EQT-ESTN"/>
      <sheetName val="인수공규격"/>
      <sheetName val="설계가"/>
      <sheetName val="중기사용료"/>
      <sheetName val="working load at the btm ft."/>
      <sheetName val="stability check"/>
      <sheetName val="design criteria"/>
      <sheetName val="design load"/>
      <sheetName val="농로수량집계"/>
      <sheetName val="농로토공집계"/>
      <sheetName val="설계서(7)"/>
      <sheetName val="예산서(6)"/>
      <sheetName val="1을"/>
      <sheetName val="장비당단가 (1)"/>
      <sheetName val="표지"/>
      <sheetName val="관세,통관수수료,운반비"/>
      <sheetName val="잡비"/>
      <sheetName val="SE-611"/>
      <sheetName val="현장"/>
      <sheetName val="SANBAISU"/>
      <sheetName val="SANTOGO"/>
      <sheetName val="3-1.CB"/>
      <sheetName val="준검 내역서"/>
      <sheetName val="소업1교"/>
      <sheetName val="자료(통합)"/>
      <sheetName val="대상공사(조달청)"/>
      <sheetName val="설계내"/>
      <sheetName val="세금자료"/>
      <sheetName val="참조(2)"/>
      <sheetName val="가설경비"/>
      <sheetName val="4b Consolidated PL"/>
      <sheetName val="변수2"/>
      <sheetName val="저항"/>
      <sheetName val="총계"/>
      <sheetName val="설계예산서"/>
      <sheetName val="예산내역서"/>
      <sheetName val="FD"/>
      <sheetName val="99관저"/>
      <sheetName val="빙축열"/>
      <sheetName val="전신환매도율"/>
      <sheetName val="STORAGE"/>
      <sheetName val="TYPE-U800"/>
      <sheetName val="구동"/>
      <sheetName val="구체"/>
      <sheetName val="Design Q'ty"/>
      <sheetName val="TOTAL인원"/>
      <sheetName val="t-h HA THE"/>
      <sheetName val="Baby일위대가"/>
      <sheetName val="설계내역서"/>
      <sheetName val="9GNG운반"/>
      <sheetName val="토목변경"/>
      <sheetName val="BOX 본체"/>
      <sheetName val="2.내역서"/>
      <sheetName val="DATA(BAC)"/>
      <sheetName val="배수공"/>
      <sheetName val="암거"/>
      <sheetName val="통신부문노무임"/>
      <sheetName val="5. 설계명세서"/>
      <sheetName val="철근단면적"/>
      <sheetName val="단가조사표"/>
      <sheetName val="진주방향"/>
      <sheetName val="SELTDATA"/>
      <sheetName val="직노"/>
      <sheetName val="b_balju_cho"/>
      <sheetName val="전기품산출"/>
      <sheetName val="수문일1"/>
      <sheetName val="단면 (2)"/>
      <sheetName val="BR.1(원)"/>
      <sheetName val="건축내역서"/>
      <sheetName val="설비내역서"/>
      <sheetName val="전기내역서"/>
      <sheetName val="주형지지보"/>
      <sheetName val="Data&amp;Result"/>
      <sheetName val="현황CODE"/>
      <sheetName val="손익현황"/>
      <sheetName val="순환펌프"/>
      <sheetName val="저수조"/>
      <sheetName val="급,배기팬"/>
      <sheetName val="급탕순환펌프"/>
      <sheetName val="수량집계"/>
      <sheetName val="일위대가집계"/>
      <sheetName val="PLAN_FEB97"/>
      <sheetName val="PI"/>
      <sheetName val="증감내역서"/>
      <sheetName val="일위"/>
      <sheetName val="02 SLAB"/>
      <sheetName val="05 BOX"/>
      <sheetName val="중동공구"/>
      <sheetName val="6.교좌면보강"/>
      <sheetName val="수로집계"/>
      <sheetName val="화재 탐지 설비"/>
      <sheetName val="영업소실적"/>
      <sheetName val="도급양식"/>
      <sheetName val="교량하부공"/>
      <sheetName val="터파기및재료"/>
      <sheetName val="J直材4"/>
      <sheetName val="간접재료비산출표-27-30"/>
    </sheetNames>
    <definedNames>
      <definedName name="Macro10"/>
      <definedName name="Macro11"/>
      <definedName name="Macro12"/>
      <definedName name="Macro13"/>
      <definedName name="Macro14"/>
      <definedName name="Macro6"/>
      <definedName name="Macro7"/>
      <definedName name="Macro8"/>
      <definedName name="Macro9"/>
    </definedNames>
    <sheetDataSet>
      <sheetData sheetId="0" refreshError="1">
        <row r="4">
          <cell r="A4" t="str">
            <v>A</v>
          </cell>
          <cell r="B4">
            <v>3000</v>
          </cell>
          <cell r="C4">
            <v>1500</v>
          </cell>
          <cell r="D4">
            <v>1800</v>
          </cell>
          <cell r="E4">
            <v>634.54</v>
          </cell>
          <cell r="F4">
            <v>141</v>
          </cell>
          <cell r="G4">
            <v>20.8</v>
          </cell>
        </row>
        <row r="5">
          <cell r="A5" t="str">
            <v>B</v>
          </cell>
          <cell r="B5">
            <v>3000</v>
          </cell>
          <cell r="C5">
            <v>2400</v>
          </cell>
          <cell r="D5">
            <v>1800</v>
          </cell>
          <cell r="E5">
            <v>705.14</v>
          </cell>
          <cell r="F5">
            <v>274.27999999999997</v>
          </cell>
          <cell r="G5">
            <v>102.24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"/>
      <sheetName val="현황"/>
      <sheetName val="작성기준"/>
      <sheetName val="간지"/>
      <sheetName val="Sheet1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Sheet2"/>
      <sheetName val="BOOK2"/>
      <sheetName val="하수급견적대비"/>
      <sheetName val="2.대외공문"/>
      <sheetName val="백호우계수"/>
      <sheetName val="일위대가"/>
      <sheetName val="Sheet3"/>
      <sheetName val="Sheet2 (2)"/>
      <sheetName val="Sheet1 (2)"/>
      <sheetName val="tggwan(mac)"/>
      <sheetName val="BID"/>
      <sheetName val="현장유지관리비"/>
      <sheetName val="시점교대"/>
      <sheetName val="내역"/>
      <sheetName val="1.REVIEW"/>
      <sheetName val="#REF"/>
      <sheetName val="불출요청"/>
      <sheetName val="준검 내역서"/>
      <sheetName val="기계경비(시간당)"/>
      <sheetName val="우수공"/>
      <sheetName val="배수공 내역서 적용수량"/>
      <sheetName val="갑지"/>
      <sheetName val="골재"/>
      <sheetName val="동해title"/>
      <sheetName val="정부노임단가"/>
      <sheetName val="MOTOR"/>
      <sheetName val="FCM"/>
      <sheetName val="data"/>
      <sheetName val="토목설계(배수지+관로)"/>
      <sheetName val="Macro1"/>
      <sheetName val="부하(성남)"/>
      <sheetName val="부하계산서"/>
      <sheetName val="신규일위대가"/>
      <sheetName val="일위(PN)"/>
      <sheetName val="조도계산서 (도서)"/>
      <sheetName val="공사비집계"/>
      <sheetName val="지급자재"/>
      <sheetName val="LOPCALC"/>
      <sheetName val="조경일람"/>
      <sheetName val="교각계산"/>
      <sheetName val="(A)내역서"/>
      <sheetName val="시설일위"/>
      <sheetName val="백룡교차로"/>
      <sheetName val="산정교차로"/>
      <sheetName val="신영교차로"/>
      <sheetName val="갑지(추정)"/>
      <sheetName val="내역서"/>
      <sheetName val="입력부분"/>
      <sheetName val="색인구역"/>
      <sheetName val="수수료율표"/>
      <sheetName val="실행내역"/>
      <sheetName val="가도공"/>
      <sheetName val="교대(A1-A2)"/>
      <sheetName val="Sheet5"/>
      <sheetName val="bm(CIcable)"/>
      <sheetName val="부대내역"/>
      <sheetName val="견적조건"/>
      <sheetName val="INDEX  LIST"/>
      <sheetName val="설계내역서"/>
      <sheetName val="BOQ"/>
      <sheetName val="다곡2교"/>
      <sheetName val="input"/>
      <sheetName val="EQT-ESTN"/>
      <sheetName val="대전-교대(A1-A2)"/>
      <sheetName val="C3"/>
      <sheetName val="일위"/>
      <sheetName val="총괄집계표"/>
      <sheetName val="을"/>
      <sheetName val="S0"/>
      <sheetName val="총공사내역서"/>
      <sheetName val="4.2유효폭의 계산"/>
      <sheetName val="부대공"/>
      <sheetName val="포장공"/>
      <sheetName val="토공"/>
      <sheetName val="SCH"/>
      <sheetName val="견적서"/>
      <sheetName val="시설물일위"/>
      <sheetName val="중기사용료"/>
      <sheetName val="설계"/>
      <sheetName val="현장설명"/>
      <sheetName val="공통가설"/>
      <sheetName val="도시가스현황"/>
      <sheetName val="노무비단가"/>
      <sheetName val="건축내역서"/>
      <sheetName val="집계표"/>
      <sheetName val="설비내역서"/>
      <sheetName val="전기내역서"/>
      <sheetName val="1.설계조건"/>
      <sheetName val="교대(A1)"/>
      <sheetName val="s"/>
      <sheetName val="성서방향-교대(A2)"/>
      <sheetName val="구조물공1"/>
      <sheetName val="배수및구조물공1"/>
      <sheetName val="1NYS(당)"/>
      <sheetName val="96배수"/>
      <sheetName val="2000전체분"/>
      <sheetName val="2000년1차"/>
      <sheetName val="부안일위"/>
      <sheetName val="2.단면가정"/>
      <sheetName val="기존구조물철거집계계표"/>
      <sheetName val="Macro3"/>
      <sheetName val="A"/>
      <sheetName val="Customer Databas"/>
      <sheetName val="총집계표"/>
      <sheetName val="식재가격"/>
      <sheetName val="식재총괄"/>
      <sheetName val="일위목록"/>
      <sheetName val="시추주상도"/>
      <sheetName val="7+160암거변경"/>
      <sheetName val="배관(TDI ISBL)"/>
      <sheetName val="2경간"/>
      <sheetName val="입출재고현황 (2)"/>
      <sheetName val="투찰"/>
      <sheetName val="장비가동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major"/>
      <sheetName val="가로등내역서"/>
      <sheetName val="품셈총괄X"/>
      <sheetName val="노임단가"/>
      <sheetName val="자재단가"/>
      <sheetName val="화해(함평)"/>
      <sheetName val="화해(장성)"/>
      <sheetName val="주형"/>
      <sheetName val="토 적 표"/>
      <sheetName val="평가데이터"/>
      <sheetName val="99총공사내역서"/>
      <sheetName val="철거현황"/>
      <sheetName val="4.5 휨응력"/>
      <sheetName val="5Strand-장기처짐PCI"/>
      <sheetName val="ABUT수량-A1"/>
      <sheetName val="6.7.8.우물통"/>
      <sheetName val="Sheet1_(2)"/>
      <sheetName val="1_REVIEW"/>
      <sheetName val="Sheet2_(2)"/>
      <sheetName val="2_대외공문"/>
      <sheetName val="1_설계조건"/>
      <sheetName val="준검_내역서"/>
      <sheetName val="배수공_내역서_적용수량"/>
      <sheetName val="4_2유효폭의_계산"/>
      <sheetName val="토_적_표"/>
      <sheetName val="2_단면가정"/>
      <sheetName val="INDEX__LIST"/>
      <sheetName val="Customer_Databas"/>
      <sheetName val="배관(TDI_ISBL)"/>
      <sheetName val="입출재고현황_(2)"/>
      <sheetName val="4_5_휨응력"/>
      <sheetName val="6_7_8_우물통"/>
      <sheetName val="IMPEADENCE MAP 취수장"/>
      <sheetName val="3차설계"/>
      <sheetName val="터파기및재료"/>
      <sheetName val="설비단가표"/>
      <sheetName val="기계공사"/>
      <sheetName val="배관"/>
      <sheetName val="수량산출"/>
      <sheetName val="기둥(원형)"/>
      <sheetName val="버팀목"/>
      <sheetName val="기초"/>
      <sheetName val="입찰안"/>
      <sheetName val="인건비 "/>
      <sheetName val="인사자료총집계"/>
      <sheetName val="97 사업추정(WEKI)"/>
      <sheetName val="새공통"/>
      <sheetName val="3.바닥판설계"/>
      <sheetName val="하도금액분계"/>
      <sheetName val="MEXICO-C"/>
      <sheetName val="MAT"/>
      <sheetName val="EP0618"/>
      <sheetName val="제진기"/>
      <sheetName val="입력값1"/>
      <sheetName val="부표총괄"/>
      <sheetName val="견적"/>
      <sheetName val="CAL"/>
      <sheetName val="49단가"/>
      <sheetName val="단위중량"/>
      <sheetName val="(4-2)열관류값-2"/>
      <sheetName val="조도계산"/>
      <sheetName val="1.설계기준"/>
      <sheetName val="설계산출표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진명견적"/>
      <sheetName val="찬호전자"/>
      <sheetName val="동영견적"/>
      <sheetName val="서울 AV"/>
      <sheetName val="진명견적(2)"/>
      <sheetName val="동영견적 (2)"/>
      <sheetName val="서울 AV (2)"/>
      <sheetName val="찬호전자 (2)"/>
      <sheetName val="내역서"/>
      <sheetName val="0413전산본부"/>
      <sheetName val="CONCRETE"/>
      <sheetName val="부하계산서"/>
      <sheetName val="빌딩 안내"/>
      <sheetName val="전기품산출"/>
      <sheetName val="Sheet1"/>
      <sheetName val="부하(성남)"/>
      <sheetName val="COPING"/>
      <sheetName val="피벗테이블데이터분석"/>
      <sheetName val="적용단위길이"/>
      <sheetName val="부하LOAD"/>
      <sheetName val="전기공사일위대가"/>
      <sheetName val="일위대가"/>
      <sheetName val="요율"/>
      <sheetName val="산출금액내역"/>
      <sheetName val="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진주방향"/>
      <sheetName val="조명시설"/>
      <sheetName val="데이타"/>
      <sheetName val="NAV000"/>
      <sheetName val="우수공"/>
      <sheetName val="간지"/>
      <sheetName val="우수총괄표 (2)"/>
      <sheetName val="간지(2)"/>
      <sheetName val="우수수량집계"/>
      <sheetName val="간지(3)"/>
      <sheetName val="관기초집계"/>
      <sheetName val="관기초"/>
      <sheetName val="토공집계표"/>
      <sheetName val="관로터파기"/>
      <sheetName val="우수연결관"/>
      <sheetName val="관로토공"/>
      <sheetName val="관로연장"/>
      <sheetName val="간지(4)"/>
      <sheetName val="맨홀수량집계표"/>
      <sheetName val="1호차도"/>
      <sheetName val="2호차도"/>
      <sheetName val="맨홀수량"/>
      <sheetName val="간지(5)"/>
      <sheetName val="날개벽집계"/>
      <sheetName val="날개벽D600"/>
      <sheetName val="날개벽D800"/>
      <sheetName val="날개벽도면"/>
      <sheetName val="간지(6)"/>
      <sheetName val="우수받이집수정집계"/>
      <sheetName val="우수받이재료"/>
      <sheetName val="우수받이토공"/>
      <sheetName val="집수정재료"/>
      <sheetName val="간지(7)"/>
      <sheetName val="간지(9)"/>
      <sheetName val="단가산출서"/>
      <sheetName val="말뚝지지력산정"/>
      <sheetName val="대포2교접속"/>
      <sheetName val="수안보-MBR1"/>
      <sheetName val="정부노임단가"/>
      <sheetName val="danga"/>
      <sheetName val="ilch"/>
      <sheetName val="내역서1"/>
      <sheetName val="식재인부"/>
      <sheetName val="3구조물공간지"/>
      <sheetName val="1집계표간지"/>
      <sheetName val="구조물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1.토공집계"/>
      <sheetName val="2.관대집계표"/>
      <sheetName val="접합"/>
      <sheetName val="3.구조물공"/>
      <sheetName val="4.포장공"/>
      <sheetName val="5.부대공"/>
      <sheetName val="6.주요자재대"/>
      <sheetName val="7.폐기물집계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관로"/>
      <sheetName val="가정연결관"/>
      <sheetName val="(1)가시설공"/>
      <sheetName val="(2)경고"/>
      <sheetName val="(3)기타"/>
      <sheetName val="7.폐기물"/>
      <sheetName val="토실"/>
      <sheetName val="자재총괄"/>
      <sheetName val="시멘트레미콘구입량"/>
      <sheetName val="골재구입량"/>
      <sheetName val="지장물보호(수집)"/>
      <sheetName val="지장물산근"/>
      <sheetName val="지장물보호공단위수량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Sheet1"/>
      <sheetName val="세부내역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시험비 단가"/>
      <sheetName val="내역서"/>
      <sheetName val="일반화물자동차운임"/>
      <sheetName val="식재"/>
      <sheetName val="시설물"/>
      <sheetName val="식재출력용"/>
      <sheetName val="유지관리"/>
      <sheetName val="단가"/>
      <sheetName val="변수값"/>
      <sheetName val="중기상차"/>
      <sheetName val="AS복구"/>
      <sheetName val="중기터파기"/>
      <sheetName val="bearing"/>
      <sheetName val="연동내역"/>
      <sheetName val="관접합및부설"/>
      <sheetName val="공사설명서"/>
      <sheetName val="관경고용테이프수집"/>
      <sheetName val="관경고용산근"/>
      <sheetName val="고양관재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총괄내역서"/>
      <sheetName val="Sheet1 (2)"/>
      <sheetName val="내역"/>
      <sheetName val="SLAB"/>
      <sheetName val="장비집계"/>
      <sheetName val="가도공"/>
      <sheetName val="관급자재대"/>
      <sheetName val="설계조건"/>
      <sheetName val="참고사항"/>
      <sheetName val="근로자자료입력"/>
      <sheetName val="안전시설(수집)"/>
      <sheetName val="안전시설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터파기및재료"/>
      <sheetName val="천방교접속"/>
      <sheetName val="신당동집계표"/>
      <sheetName val="총_구조물공"/>
      <sheetName val="차액보증"/>
      <sheetName val="슬래브"/>
      <sheetName val="원가계산"/>
      <sheetName val="집계표"/>
      <sheetName val="상부집계표"/>
      <sheetName val="수량산출"/>
      <sheetName val="우수받이"/>
      <sheetName val="단가일람"/>
      <sheetName val="조경일람"/>
      <sheetName val="내역서(전기)"/>
      <sheetName val="해평견적"/>
      <sheetName val="일위대가목차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고압수량(철거)"/>
      <sheetName val="Sheet5"/>
      <sheetName val="ABUT수량-A1"/>
      <sheetName val="부대내역"/>
      <sheetName val="계산서(곡선부)"/>
      <sheetName val="-치수표(곡선부)"/>
      <sheetName val="토공 total"/>
      <sheetName val="방음벽기초"/>
      <sheetName val="기계경비(시간당)"/>
      <sheetName val="램머"/>
      <sheetName val="1호인버트수량"/>
      <sheetName val="1-4-2.관(약)"/>
      <sheetName val="데리네이타현황"/>
      <sheetName val="세금자료"/>
      <sheetName val="삭제및변경불가"/>
      <sheetName val="입찰"/>
      <sheetName val="현경"/>
      <sheetName val="자압1"/>
      <sheetName val="구조물철거타공정이월"/>
      <sheetName val="일위대가표"/>
      <sheetName val="건축내역"/>
      <sheetName val="BD"/>
      <sheetName val="공사개요"/>
      <sheetName val="수압시험수집"/>
      <sheetName val="수압시험산근"/>
      <sheetName val="중부"/>
      <sheetName val="북부"/>
      <sheetName val="남부"/>
      <sheetName val="집수정(600-700)"/>
      <sheetName val="설명"/>
      <sheetName val="DATA"/>
      <sheetName val="6-1. 관개량조서"/>
      <sheetName val="간접비"/>
      <sheetName val="6호기"/>
      <sheetName val="L형옹벽측구"/>
      <sheetName val="전체토공집계표"/>
      <sheetName val="관로토공집계표"/>
      <sheetName val="토적집계표"/>
      <sheetName val="토적표"/>
      <sheetName val="구조물토공집계표"/>
      <sheetName val="시점부맨홀토공"/>
      <sheetName val="종점부맨홀토공"/>
      <sheetName val="30집계표"/>
      <sheetName val="용역비내역-진짜"/>
      <sheetName val="공주-교대(A1)"/>
      <sheetName val="L_RPTA05_목록"/>
      <sheetName val="1SPAN"/>
      <sheetName val="일위(시설)"/>
      <sheetName val="중기사용료산출근거"/>
      <sheetName val="단가산출2"/>
      <sheetName val="단가 및 재료비"/>
      <sheetName val="단가(자재)"/>
      <sheetName val="단가(노임)"/>
      <sheetName val="기초목록"/>
      <sheetName val="토공총괄표"/>
      <sheetName val="자압"/>
      <sheetName val=" HIT-&gt;HMC 견적(3900)"/>
      <sheetName val="원형1호맨홀토공수량"/>
      <sheetName val="노무비 근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장비집계"/>
      <sheetName val="간지"/>
      <sheetName val="보차도경계석"/>
      <sheetName val="배수공 주요자재 집계표"/>
      <sheetName val="노무비"/>
      <sheetName val="우각부보강"/>
      <sheetName val="업무연락"/>
      <sheetName val="상반기손익차2총괄"/>
      <sheetName val="본부별매출"/>
      <sheetName val="회사정보"/>
      <sheetName val="영업소실적"/>
      <sheetName val="공통"/>
      <sheetName val="토지(열람)"/>
      <sheetName val="자압1"/>
      <sheetName val="code"/>
      <sheetName val="상품입력"/>
      <sheetName val="원재료입력"/>
      <sheetName val="고암세부목록"/>
      <sheetName val="덕정동 작업용"/>
      <sheetName val="토지조서"/>
      <sheetName val="2월가격"/>
      <sheetName val="Y-WORK"/>
      <sheetName val="수안보-MBR1"/>
      <sheetName val="교각계산"/>
      <sheetName val="고양관재"/>
      <sheetName val="Sheet1"/>
      <sheetName val="LOPCALC"/>
      <sheetName val="Macro1"/>
    </sheetNames>
    <sheetDataSet>
      <sheetData sheetId="0" refreshError="1">
        <row r="24">
          <cell r="B24" t="str">
            <v>수평곡관</v>
          </cell>
          <cell r="D24" t="str">
            <v xml:space="preserve"> ⊃</v>
          </cell>
          <cell r="E24">
            <v>10</v>
          </cell>
        </row>
        <row r="25">
          <cell r="B25" t="str">
            <v>수평곡관</v>
          </cell>
          <cell r="D25" t="str">
            <v xml:space="preserve"> ⊃</v>
          </cell>
          <cell r="E25">
            <v>12</v>
          </cell>
        </row>
        <row r="26">
          <cell r="B26" t="str">
            <v>수평곡관</v>
          </cell>
          <cell r="D26" t="str">
            <v xml:space="preserve"> ⊃</v>
          </cell>
          <cell r="E26">
            <v>17</v>
          </cell>
        </row>
        <row r="27">
          <cell r="B27" t="str">
            <v>수평곡관</v>
          </cell>
          <cell r="D27" t="str">
            <v xml:space="preserve"> ⊃</v>
          </cell>
          <cell r="E27">
            <v>20</v>
          </cell>
        </row>
        <row r="28">
          <cell r="B28" t="str">
            <v>수평곡관</v>
          </cell>
          <cell r="D28" t="str">
            <v xml:space="preserve"> ⊃</v>
          </cell>
          <cell r="E28">
            <v>4</v>
          </cell>
        </row>
        <row r="29">
          <cell r="B29" t="str">
            <v>수평곡관</v>
          </cell>
          <cell r="D29" t="str">
            <v xml:space="preserve"> ⊃</v>
          </cell>
          <cell r="E29">
            <v>5</v>
          </cell>
        </row>
        <row r="30">
          <cell r="B30" t="str">
            <v>수평곡관</v>
          </cell>
          <cell r="D30" t="str">
            <v xml:space="preserve"> ⊃</v>
          </cell>
          <cell r="E30">
            <v>5</v>
          </cell>
        </row>
        <row r="31">
          <cell r="B31" t="str">
            <v>수평곡관</v>
          </cell>
          <cell r="D31" t="str">
            <v xml:space="preserve"> ⊃</v>
          </cell>
          <cell r="E31">
            <v>5</v>
          </cell>
        </row>
        <row r="32">
          <cell r="B32" t="str">
            <v>수평곡관</v>
          </cell>
          <cell r="D32" t="str">
            <v xml:space="preserve"> ⊃</v>
          </cell>
          <cell r="E32">
            <v>4</v>
          </cell>
        </row>
        <row r="33">
          <cell r="B33" t="str">
            <v>수평곡관</v>
          </cell>
          <cell r="D33" t="str">
            <v xml:space="preserve"> ⊃</v>
          </cell>
          <cell r="E33">
            <v>6</v>
          </cell>
        </row>
        <row r="34">
          <cell r="B34" t="str">
            <v>수평곡관</v>
          </cell>
          <cell r="D34" t="str">
            <v xml:space="preserve"> ⊃</v>
          </cell>
          <cell r="E34">
            <v>5</v>
          </cell>
        </row>
        <row r="35">
          <cell r="B35" t="str">
            <v>수평곡관</v>
          </cell>
          <cell r="D35" t="str">
            <v xml:space="preserve"> ⊃</v>
          </cell>
          <cell r="E35">
            <v>55</v>
          </cell>
        </row>
        <row r="36">
          <cell r="B36" t="str">
            <v>소켓플랜지T형관</v>
          </cell>
          <cell r="E36">
            <v>5</v>
          </cell>
        </row>
        <row r="37">
          <cell r="B37" t="str">
            <v>소켓플랜지T형관</v>
          </cell>
          <cell r="E37">
            <v>5</v>
          </cell>
        </row>
        <row r="38">
          <cell r="B38" t="str">
            <v>소켓플랜지T형관</v>
          </cell>
          <cell r="E38">
            <v>6</v>
          </cell>
        </row>
        <row r="39">
          <cell r="B39" t="str">
            <v>소켓T형관</v>
          </cell>
          <cell r="E39">
            <v>4</v>
          </cell>
        </row>
        <row r="40">
          <cell r="B40" t="str">
            <v>소켓T형관</v>
          </cell>
          <cell r="E40">
            <v>5</v>
          </cell>
        </row>
        <row r="41">
          <cell r="B41" t="str">
            <v>소켓T형관</v>
          </cell>
          <cell r="E41">
            <v>8</v>
          </cell>
        </row>
        <row r="42">
          <cell r="B42" t="str">
            <v>이 음 관</v>
          </cell>
          <cell r="E42">
            <v>9</v>
          </cell>
        </row>
        <row r="43">
          <cell r="B43" t="str">
            <v>이 음 관</v>
          </cell>
          <cell r="E43">
            <v>10</v>
          </cell>
        </row>
        <row r="44">
          <cell r="B44" t="str">
            <v>이 음 관</v>
          </cell>
          <cell r="E44">
            <v>12</v>
          </cell>
        </row>
        <row r="45">
          <cell r="B45" t="str">
            <v>이 음 관</v>
          </cell>
          <cell r="E45">
            <v>18</v>
          </cell>
        </row>
        <row r="46">
          <cell r="B46" t="str">
            <v>이 음 관</v>
          </cell>
          <cell r="E46">
            <v>25</v>
          </cell>
        </row>
        <row r="47">
          <cell r="B47" t="str">
            <v>이 음 관</v>
          </cell>
          <cell r="E47">
            <v>34</v>
          </cell>
        </row>
        <row r="48">
          <cell r="B48" t="str">
            <v>플랜지관</v>
          </cell>
          <cell r="E48">
            <v>7.9</v>
          </cell>
        </row>
        <row r="49">
          <cell r="B49" t="str">
            <v>플랜지관</v>
          </cell>
          <cell r="E49">
            <v>9.6</v>
          </cell>
        </row>
        <row r="50">
          <cell r="B50" t="str">
            <v>플랜지관</v>
          </cell>
          <cell r="E50">
            <v>15.6</v>
          </cell>
        </row>
        <row r="51">
          <cell r="B51" t="str">
            <v>플랜지관</v>
          </cell>
          <cell r="E51">
            <v>22.5</v>
          </cell>
        </row>
        <row r="52">
          <cell r="B52" t="str">
            <v>플랜지관</v>
          </cell>
          <cell r="E52">
            <v>31.5</v>
          </cell>
        </row>
        <row r="53">
          <cell r="B53" t="str">
            <v>플랜지관</v>
          </cell>
          <cell r="E53">
            <v>41.5</v>
          </cell>
        </row>
        <row r="54">
          <cell r="B54" t="str">
            <v>제 수 변</v>
          </cell>
          <cell r="E54">
            <v>42</v>
          </cell>
        </row>
        <row r="55">
          <cell r="B55" t="str">
            <v>제 수 변</v>
          </cell>
          <cell r="E55">
            <v>50</v>
          </cell>
        </row>
        <row r="56">
          <cell r="B56" t="str">
            <v>제 수 변</v>
          </cell>
          <cell r="E56">
            <v>90</v>
          </cell>
        </row>
        <row r="57">
          <cell r="B57" t="str">
            <v>제 수 변</v>
          </cell>
          <cell r="E57">
            <v>140</v>
          </cell>
        </row>
        <row r="58">
          <cell r="B58" t="str">
            <v>제 수 변</v>
          </cell>
          <cell r="E58">
            <v>280</v>
          </cell>
        </row>
        <row r="59">
          <cell r="B59" t="str">
            <v>공 기 변</v>
          </cell>
          <cell r="E59">
            <v>94</v>
          </cell>
        </row>
        <row r="60">
          <cell r="B60" t="str">
            <v>공 기 변</v>
          </cell>
          <cell r="E60">
            <v>110</v>
          </cell>
        </row>
        <row r="61">
          <cell r="B61" t="str">
            <v>단    관</v>
          </cell>
          <cell r="E61">
            <v>13.5</v>
          </cell>
          <cell r="H61">
            <v>0.8</v>
          </cell>
          <cell r="I61" t="str">
            <v>×</v>
          </cell>
          <cell r="J61" t="str">
            <v>＋</v>
          </cell>
        </row>
        <row r="62">
          <cell r="B62" t="str">
            <v>플랜지단관</v>
          </cell>
          <cell r="E62">
            <v>16.399999999999999</v>
          </cell>
          <cell r="H62">
            <v>0.8</v>
          </cell>
          <cell r="I62" t="str">
            <v>×</v>
          </cell>
          <cell r="J62" t="str">
            <v>＋</v>
          </cell>
        </row>
        <row r="63">
          <cell r="B63" t="str">
            <v>플랜지단관</v>
          </cell>
          <cell r="E63">
            <v>16.399999999999999</v>
          </cell>
          <cell r="H63">
            <v>0.92</v>
          </cell>
          <cell r="I63" t="str">
            <v>×</v>
          </cell>
          <cell r="J63" t="str">
            <v>＋</v>
          </cell>
        </row>
        <row r="64">
          <cell r="B64" t="str">
            <v>플랜지단관</v>
          </cell>
          <cell r="E64">
            <v>16.399999999999999</v>
          </cell>
          <cell r="H64">
            <v>-2</v>
          </cell>
          <cell r="I64" t="str">
            <v>×</v>
          </cell>
          <cell r="J64" t="str">
            <v>＋</v>
          </cell>
        </row>
        <row r="65">
          <cell r="B65" t="str">
            <v>플랜지단관</v>
          </cell>
          <cell r="E65">
            <v>16.399999999999999</v>
          </cell>
          <cell r="H65">
            <v>-1</v>
          </cell>
          <cell r="I65" t="str">
            <v>×</v>
          </cell>
          <cell r="J65" t="str">
            <v>＋</v>
          </cell>
        </row>
        <row r="66">
          <cell r="B66" t="str">
            <v>플랜지단관</v>
          </cell>
          <cell r="E66">
            <v>16.399999999999999</v>
          </cell>
          <cell r="H66">
            <v>0</v>
          </cell>
          <cell r="I66" t="str">
            <v>×</v>
          </cell>
          <cell r="J66" t="str">
            <v>＋</v>
          </cell>
        </row>
        <row r="67">
          <cell r="B67" t="str">
            <v>플랜지단관</v>
          </cell>
          <cell r="E67">
            <v>16.399999999999999</v>
          </cell>
          <cell r="H67">
            <v>1</v>
          </cell>
          <cell r="I67" t="str">
            <v>×</v>
          </cell>
          <cell r="J67" t="str">
            <v>＋</v>
          </cell>
        </row>
        <row r="68">
          <cell r="B68" t="str">
            <v>플랜지단관</v>
          </cell>
          <cell r="E68">
            <v>16.399999999999999</v>
          </cell>
          <cell r="H68">
            <v>2</v>
          </cell>
          <cell r="I68" t="str">
            <v>×</v>
          </cell>
          <cell r="J68" t="str">
            <v>＋</v>
          </cell>
        </row>
        <row r="69">
          <cell r="B69" t="str">
            <v>단    관</v>
          </cell>
          <cell r="E69">
            <v>21</v>
          </cell>
          <cell r="H69">
            <v>3</v>
          </cell>
          <cell r="I69" t="str">
            <v>×</v>
          </cell>
          <cell r="J69" t="str">
            <v>＋</v>
          </cell>
        </row>
        <row r="70">
          <cell r="B70" t="str">
            <v>단    관</v>
          </cell>
          <cell r="E70">
            <v>25.3</v>
          </cell>
          <cell r="H70">
            <v>4</v>
          </cell>
          <cell r="I70" t="str">
            <v>×</v>
          </cell>
          <cell r="J70" t="str">
            <v>＋</v>
          </cell>
        </row>
        <row r="71">
          <cell r="B71" t="str">
            <v>단    관</v>
          </cell>
          <cell r="E71">
            <v>33.799999999999997</v>
          </cell>
          <cell r="H71">
            <v>5</v>
          </cell>
          <cell r="I71" t="str">
            <v>×</v>
          </cell>
          <cell r="J71" t="str">
            <v>＋</v>
          </cell>
        </row>
        <row r="72">
          <cell r="B72" t="str">
            <v>단    관</v>
          </cell>
          <cell r="E72">
            <v>44.3</v>
          </cell>
          <cell r="H72">
            <v>6</v>
          </cell>
          <cell r="I72" t="str">
            <v>×</v>
          </cell>
          <cell r="J72" t="str">
            <v>＋</v>
          </cell>
        </row>
        <row r="73">
          <cell r="B73" t="str">
            <v>단    관</v>
          </cell>
          <cell r="E73">
            <v>56.3</v>
          </cell>
          <cell r="H73">
            <v>7</v>
          </cell>
          <cell r="I73" t="str">
            <v>×</v>
          </cell>
          <cell r="J73" t="str">
            <v>＋</v>
          </cell>
        </row>
        <row r="74">
          <cell r="B74" t="str">
            <v>단    관</v>
          </cell>
          <cell r="E74">
            <v>69.599999999999994</v>
          </cell>
          <cell r="H74">
            <v>8</v>
          </cell>
          <cell r="I74" t="str">
            <v>×</v>
          </cell>
          <cell r="J74" t="str">
            <v>＋</v>
          </cell>
        </row>
        <row r="75">
          <cell r="B75" t="str">
            <v>단    관</v>
          </cell>
          <cell r="E75">
            <v>83.7</v>
          </cell>
          <cell r="H75">
            <v>9</v>
          </cell>
          <cell r="I75" t="str">
            <v>×</v>
          </cell>
          <cell r="J75" t="str">
            <v>＋</v>
          </cell>
        </row>
        <row r="76">
          <cell r="B76" t="str">
            <v>단    관</v>
          </cell>
          <cell r="E76">
            <v>98.5</v>
          </cell>
          <cell r="H76">
            <v>10</v>
          </cell>
          <cell r="I76" t="str">
            <v>×</v>
          </cell>
          <cell r="J76" t="str">
            <v>＋</v>
          </cell>
        </row>
        <row r="77">
          <cell r="B77" t="str">
            <v>단    관</v>
          </cell>
          <cell r="E77">
            <v>115.6</v>
          </cell>
          <cell r="H77">
            <v>11</v>
          </cell>
          <cell r="I77" t="str">
            <v>×</v>
          </cell>
          <cell r="J77" t="str">
            <v>＋</v>
          </cell>
        </row>
        <row r="78">
          <cell r="B78" t="str">
            <v>단    관</v>
          </cell>
          <cell r="E78">
            <v>152</v>
          </cell>
          <cell r="H78">
            <v>12</v>
          </cell>
          <cell r="I78" t="str">
            <v>×</v>
          </cell>
          <cell r="J78" t="str">
            <v>＋</v>
          </cell>
        </row>
        <row r="79">
          <cell r="B79" t="str">
            <v>단    관</v>
          </cell>
          <cell r="E79">
            <v>193</v>
          </cell>
          <cell r="H79">
            <v>13</v>
          </cell>
          <cell r="I79" t="str">
            <v>×</v>
          </cell>
          <cell r="J79" t="str">
            <v>＋</v>
          </cell>
        </row>
        <row r="80">
          <cell r="B80" t="str">
            <v>단    관</v>
          </cell>
          <cell r="E80">
            <v>238.7</v>
          </cell>
          <cell r="H80">
            <v>14</v>
          </cell>
          <cell r="I80" t="str">
            <v>×</v>
          </cell>
          <cell r="J80" t="str">
            <v>＋</v>
          </cell>
        </row>
        <row r="81">
          <cell r="B81" t="str">
            <v>단    관</v>
          </cell>
          <cell r="E81">
            <v>288.7</v>
          </cell>
          <cell r="H81">
            <v>15</v>
          </cell>
          <cell r="I81" t="str">
            <v>×</v>
          </cell>
          <cell r="J81" t="str">
            <v>＋</v>
          </cell>
        </row>
        <row r="82">
          <cell r="B82" t="str">
            <v>단    관</v>
          </cell>
          <cell r="E82">
            <v>343.2</v>
          </cell>
          <cell r="H82">
            <v>16</v>
          </cell>
          <cell r="I82" t="str">
            <v>×</v>
          </cell>
          <cell r="J82" t="str">
            <v>＋</v>
          </cell>
        </row>
        <row r="83">
          <cell r="B83" t="str">
            <v>단    관</v>
          </cell>
          <cell r="E83">
            <v>399.5</v>
          </cell>
          <cell r="H83">
            <v>17</v>
          </cell>
          <cell r="I83" t="str">
            <v>×</v>
          </cell>
          <cell r="J83" t="str">
            <v>＋</v>
          </cell>
        </row>
        <row r="84">
          <cell r="B84" t="str">
            <v>단    관</v>
          </cell>
          <cell r="E84">
            <v>465.9</v>
          </cell>
          <cell r="H84">
            <v>18</v>
          </cell>
          <cell r="I84" t="str">
            <v>×</v>
          </cell>
          <cell r="J84" t="str">
            <v>＋</v>
          </cell>
        </row>
        <row r="85">
          <cell r="B85" t="str">
            <v>없음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터널조도"/>
      <sheetName val="전압강하-상행"/>
      <sheetName val="전압강하-하행"/>
      <sheetName val="&quot;u&quot; TYPE 구간 조명"/>
      <sheetName val="&quot;U&quot;TYPE 전압강하"/>
      <sheetName val="TR용량"/>
      <sheetName val="TR용량 (2)"/>
      <sheetName val="GEN"/>
      <sheetName val="UPS"/>
      <sheetName val="간선굵기 설명"/>
      <sheetName val="간선굵기"/>
      <sheetName val="접지"/>
      <sheetName val="IMPEADENCE"/>
      <sheetName val="직류전원"/>
      <sheetName val="Sheet5"/>
      <sheetName val="불평형 계산식"/>
      <sheetName val="계산1"/>
      <sheetName val="계산2"/>
      <sheetName val="laroux"/>
      <sheetName val="LX-CAL"/>
      <sheetName val="실행철강하도"/>
      <sheetName val="Sheet1"/>
      <sheetName val="DATA"/>
      <sheetName val="수안보-MBR1"/>
      <sheetName val="LOPCALC"/>
      <sheetName val="단면치수"/>
      <sheetName val="공사비집계"/>
      <sheetName val="BQ(실행)"/>
      <sheetName val="우각부보강"/>
      <sheetName val="Cost bd-&quot;A&quot;"/>
      <sheetName val="Graph (LGEN)"/>
      <sheetName val="out_prog"/>
      <sheetName val="선적schedule (2)"/>
      <sheetName val="기기리스트"/>
      <sheetName val="사용성검토"/>
      <sheetName val="설계"/>
      <sheetName val="현금"/>
      <sheetName val="COPING"/>
      <sheetName val="흥양2교토공집계표"/>
      <sheetName val="Macro(차단기)"/>
      <sheetName val="계수시트"/>
      <sheetName val="원가계산서"/>
      <sheetName val="????"/>
      <sheetName val="외천교"/>
      <sheetName val="CONCRETE"/>
      <sheetName val="ELECTRIC"/>
      <sheetName val="5.모델링"/>
      <sheetName val="내역서"/>
      <sheetName val="자압"/>
      <sheetName val="Dae_Jiju"/>
      <sheetName val="Sikje_ingun"/>
      <sheetName val="TREE_D"/>
      <sheetName val="DATE"/>
      <sheetName val="S0"/>
      <sheetName val="산출근거"/>
      <sheetName val="약품설비"/>
      <sheetName val="UNIT"/>
      <sheetName val="공종단가"/>
      <sheetName val="회로내역(승인)"/>
      <sheetName val="청구내역(9807)"/>
      <sheetName val="Total"/>
      <sheetName val="동해title"/>
      <sheetName val="세부내역서"/>
      <sheetName val="PROJECT BRIEF(EX.NEW)"/>
      <sheetName val="감가상각"/>
      <sheetName val="6PILE  (돌출)"/>
      <sheetName val="Pjny"/>
      <sheetName val="교대"/>
      <sheetName val="내역"/>
      <sheetName val="와동25-3(변경)"/>
      <sheetName val="NA"/>
      <sheetName val="Macro1"/>
      <sheetName val="준검 내역서"/>
      <sheetName val="ÅÍ³ÎÁ¶µµ"/>
      <sheetName val="Àü¾Ð°­ÇÏ-»óÇà"/>
      <sheetName val="Àü¾Ð°­ÇÏ-ÇÏÇà"/>
      <sheetName val="&quot;u&quot; TYPE ±¸°£ Á¶¸í"/>
      <sheetName val="&quot;U&quot;TYPE Àü¾Ð°­ÇÏ"/>
      <sheetName val="TR¿ë·®"/>
      <sheetName val="TR¿ë·® (2)"/>
      <sheetName val="°£¼±±½±â ¼³¸í"/>
      <sheetName val="°£¼±±½±â"/>
      <sheetName val="Á¢Áö"/>
      <sheetName val="Á÷·ùÀü¿ø"/>
      <sheetName val="ºÒÆòÇü °è»ê½Ä"/>
      <sheetName val="°è»ê1"/>
      <sheetName val="°è»ê2"/>
      <sheetName val="»ç¿ë¼º°ËÅä"/>
      <sheetName val="1.설계조건"/>
      <sheetName val="#REF"/>
      <sheetName val="가설건물"/>
      <sheetName val="¼³°è"/>
      <sheetName val="¼ö¾Èº¸-MBR1"/>
      <sheetName val="´Ü¸éÄ¡¼ö"/>
      <sheetName val="°ø»çºñÁý°è"/>
      <sheetName val="BQ(½ÇÇà)"/>
      <sheetName val="¿ì°¢ºÎº¸°­"/>
      <sheetName val="½ÇÇàÃ¶°­ÇÏµµ"/>
      <sheetName val="MOTOR"/>
      <sheetName val="환율적용표"/>
      <sheetName val="2.단면가정"/>
      <sheetName val="표지 (2)"/>
      <sheetName val="부대내역"/>
      <sheetName val="노임"/>
      <sheetName val="PIPE내역(FCN)"/>
      <sheetName val="JUCKEYK"/>
      <sheetName val="유동표(변경)"/>
      <sheetName val="매입세"/>
      <sheetName val="MOTOR3"/>
      <sheetName val="기계내역"/>
      <sheetName val="소상 &quot;1&quot;"/>
      <sheetName val="Data&amp;Result"/>
      <sheetName val="Sheet7"/>
      <sheetName val="BID"/>
      <sheetName val="노임단가"/>
      <sheetName val="1-1"/>
      <sheetName val="부하(성남)"/>
      <sheetName val="Sheet3"/>
      <sheetName val="TARGET"/>
      <sheetName val="정부노임단가"/>
      <sheetName val="INPUT"/>
      <sheetName val="본선 토공 분배표"/>
      <sheetName val="³»¿ª¼­"/>
      <sheetName val="Çö±Ý"/>
      <sheetName val="±â±â¸®½ºÆ®"/>
      <sheetName val="Èï¾ç2±³Åä°øÁý°èÇ¥"/>
      <sheetName val="°è¼ö½ÃÆ®"/>
      <sheetName val="¿ø°¡°è»ê¼­"/>
      <sheetName val="µ¿ÇØtitle"/>
      <sheetName val="5.¸ðµ¨¸µ"/>
      <sheetName val="¿ÜÃµ±³"/>
      <sheetName val="¼±Àûschedule (2)"/>
      <sheetName val="Macro(Â÷´Ü±â)"/>
      <sheetName val="±â°è³»¿ª"/>
      <sheetName val="¼Ò»ó &quot;1&quot;"/>
      <sheetName val="ÁØ°Ë ³»¿ª¼­"/>
      <sheetName val="ÀÚ¾Ð"/>
      <sheetName val="1.¼³°èÁ¶°Ç"/>
      <sheetName val="°¡¼³°Ç¹°"/>
      <sheetName val="°¨°¡»ó°¢"/>
      <sheetName val="Á¤ºÎ³ëÀÓ´Ü°¡"/>
      <sheetName val="°øÁ¾´Ü°¡"/>
      <sheetName val="PIPE³»¿ª(FCN)"/>
      <sheetName val="일위대가목차"/>
      <sheetName val="입찰내역서"/>
      <sheetName val="교각계산"/>
      <sheetName val="KL HSMT tinh thieu"/>
      <sheetName val="대치판정"/>
      <sheetName val="데이타"/>
      <sheetName val="10.1"/>
      <sheetName val="Macro2"/>
      <sheetName val="표지(1)"/>
      <sheetName val="목차"/>
      <sheetName val="ABUT수량-A1"/>
      <sheetName val="BSD (2)"/>
      <sheetName val="Parem"/>
      <sheetName val="2.손익계산서"/>
      <sheetName val="부하(반월)"/>
      <sheetName val="Factor"/>
      <sheetName val="ITEM"/>
      <sheetName val="h-013211-2"/>
      <sheetName val="VESSEL Sh. 1"/>
      <sheetName val="Sheet6"/>
      <sheetName val="자압1"/>
      <sheetName val="입고장부 (4)"/>
      <sheetName val="공용시설내역"/>
      <sheetName val="c_balju"/>
      <sheetName val="List(rev.B)"/>
      <sheetName val="설계가"/>
      <sheetName val="플랜트 설치"/>
      <sheetName val="월선수금"/>
      <sheetName val="수질정화시설"/>
      <sheetName val="일반공사"/>
      <sheetName val="동원(3)"/>
      <sheetName val="예정(3)"/>
      <sheetName val="지급자재"/>
      <sheetName val="1공구(을)"/>
      <sheetName val="공사기본자료"/>
      <sheetName val="가도공"/>
      <sheetName val="Sheet17"/>
      <sheetName val="일위대가목록"/>
      <sheetName val="단가대비표"/>
      <sheetName val="N賃率-職"/>
      <sheetName val="MAT"/>
      <sheetName val="인원투입계획"/>
      <sheetName val="공사개요(사업승인변경)"/>
      <sheetName val="집수정(600-700)"/>
      <sheetName val="copy"/>
      <sheetName val="포설list원본"/>
      <sheetName val="A-4"/>
      <sheetName val="상세내역,전력산출서"/>
      <sheetName val="견적정보"/>
      <sheetName val="조정금액결과표 (차수별)"/>
      <sheetName val="Summary - Budget"/>
      <sheetName val="IN"/>
      <sheetName val="공사개요"/>
      <sheetName val="EP0618"/>
      <sheetName val="터파기및재료"/>
      <sheetName val="Y-WORK"/>
      <sheetName val="POOM_MOTO"/>
      <sheetName val="JUCK"/>
      <sheetName val="차액보증"/>
      <sheetName val="매입세율"/>
      <sheetName val="부하LOAD"/>
      <sheetName val="봉양~조차장간고하개명(신설)"/>
      <sheetName val="기술자료 (광화문)"/>
      <sheetName val="타견적(을)"/>
      <sheetName val="구의33고"/>
      <sheetName val="MFAB"/>
      <sheetName val="MFRT"/>
      <sheetName val="MPKG"/>
      <sheetName val="MPRD"/>
      <sheetName val="설계조건"/>
      <sheetName val="b_balju_cho"/>
      <sheetName val="&quot;u&quot;_TYPE_구간_조명"/>
      <sheetName val="&quot;U&quot;TYPE_전압강하"/>
      <sheetName val="TR용량_(2)"/>
      <sheetName val="간선굵기_설명"/>
      <sheetName val="불평형_계산식"/>
      <sheetName val="Cost_bd-&quot;A&quot;"/>
      <sheetName val="5_모델링"/>
      <sheetName val="준검_내역서"/>
      <sheetName val="공량산출서"/>
      <sheetName val="현관"/>
      <sheetName val="L_RPTA05_목록"/>
      <sheetName val="수입"/>
      <sheetName val="주형"/>
      <sheetName val="LG제품"/>
      <sheetName val="노무비"/>
      <sheetName val="BACK DATA"/>
      <sheetName val="잡비"/>
      <sheetName val="____"/>
      <sheetName val="일위대가 "/>
      <sheetName val="일위대가-1"/>
      <sheetName val="A"/>
      <sheetName val="입력정보"/>
      <sheetName val="Data &amp; Result"/>
      <sheetName val="배수내역"/>
      <sheetName val="명세서"/>
      <sheetName val="입력DATA"/>
      <sheetName val="단가"/>
      <sheetName val="토목내역서"/>
      <sheetName val="설비내역서"/>
      <sheetName val="SELTDATA"/>
      <sheetName val="분석가정"/>
      <sheetName val="우배수"/>
      <sheetName val="계산식"/>
      <sheetName val="우수"/>
      <sheetName val="슬래브1"/>
      <sheetName val="특별교실"/>
      <sheetName val="입찰보고"/>
      <sheetName val="G.R300경비"/>
      <sheetName val="경상비"/>
      <sheetName val="말뚝지지력산정"/>
      <sheetName val="배수공 주요자재 집계표"/>
      <sheetName val="6호기"/>
      <sheetName val="설계서(설치)"/>
      <sheetName val="품셈집계표"/>
      <sheetName val="자재조사표(참고용)"/>
      <sheetName val="일반부표집계표"/>
      <sheetName val="22-2M단"/>
      <sheetName val="22-1소단"/>
      <sheetName val="L형 옹벽"/>
      <sheetName val="2000전체분"/>
      <sheetName val="2000년1차"/>
      <sheetName val="list"/>
      <sheetName val="총괄내역"/>
      <sheetName val="진로도급"/>
      <sheetName val="Key assumption"/>
      <sheetName val="indirect"/>
      <sheetName val="05년"/>
      <sheetName val="cable-data"/>
      <sheetName val="견적기준"/>
      <sheetName val="매입부가세율(동림)"/>
      <sheetName val="건축내역서"/>
      <sheetName val="EQT-ESTN"/>
      <sheetName val="토공A"/>
      <sheetName val="1"/>
      <sheetName val="토공사"/>
      <sheetName val="일위대가"/>
      <sheetName val="조명율데이타"/>
      <sheetName val="토목"/>
      <sheetName val="ⴭⴭⴭⴭ"/>
      <sheetName val="실행내역서 "/>
      <sheetName val="장비내역서"/>
      <sheetName val="표지판단위"/>
      <sheetName val="3련 BOX"/>
      <sheetName val="정산K산출"/>
      <sheetName val="96작생능"/>
      <sheetName val="GRACE"/>
      <sheetName val="&quot;u&quot;_TYPE_구간_조명1"/>
      <sheetName val="&quot;U&quot;TYPE_전압강하1"/>
      <sheetName val="TR용량_(2)1"/>
      <sheetName val="간선굵기_설명1"/>
      <sheetName val="불평형_계산식1"/>
      <sheetName val="을지"/>
      <sheetName val="부하계산서"/>
      <sheetName val="Graph_(LGEN)"/>
      <sheetName val="선적schedule_(2)"/>
      <sheetName val="&quot;u&quot;_TYPE_±¸°£_Á¶¸í"/>
      <sheetName val="&quot;U&quot;TYPE_Àü¾Ð°­ÇÏ"/>
      <sheetName val="TR¿ë·®_(2)"/>
      <sheetName val="°£¼±±½±â_¼³¸í"/>
      <sheetName val="ºÒÆòÇü_°è»ê½Ä"/>
      <sheetName val="1_설계조건"/>
      <sheetName val="6PILE__(돌출)"/>
      <sheetName val="2_단면가정"/>
      <sheetName val="표지_(2)"/>
      <sheetName val="PROJECT_BRIEF(EX_NEW)"/>
      <sheetName val="tggwan(mac)"/>
      <sheetName val="OZ049E"/>
      <sheetName val="배수개거재(신)"/>
      <sheetName val="정산내임"/>
      <sheetName val="수량산출"/>
      <sheetName val="신관(1)"/>
      <sheetName val="1을"/>
      <sheetName val="단중표-ST"/>
      <sheetName val="piping"/>
      <sheetName val="수량산출서"/>
      <sheetName val="Site Expenses"/>
      <sheetName val="ilch"/>
      <sheetName val="STORAGE"/>
      <sheetName val="001"/>
      <sheetName val="2000년하반기"/>
      <sheetName val="입찰안"/>
      <sheetName val="견적"/>
      <sheetName val="PROJECT BRIEF_EX_NEW_"/>
      <sheetName val="단위내역서"/>
      <sheetName val="20110404_JRL_성수서비스 Specificatio"/>
      <sheetName val="계정"/>
      <sheetName val="집계표"/>
      <sheetName val="중동상가"/>
      <sheetName val="UPDATA"/>
      <sheetName val="WORK"/>
      <sheetName val="환경기계공정표 (3)"/>
      <sheetName val="C3"/>
      <sheetName val="전기"/>
      <sheetName val="지수"/>
      <sheetName val="cost"/>
      <sheetName val="COVER"/>
      <sheetName val="EPro"/>
      <sheetName val="20관리비율"/>
      <sheetName val="TNHCHINH"/>
      <sheetName val="(A)내역서"/>
      <sheetName val="우수공"/>
      <sheetName val="기계-설변"/>
      <sheetName val="CALCULATION"/>
      <sheetName val="노무비 "/>
      <sheetName val="변수값"/>
      <sheetName val="중기상차"/>
      <sheetName val="AS복구"/>
      <sheetName val="중기터파기"/>
      <sheetName val="SG"/>
      <sheetName val="공통(20-91)"/>
      <sheetName val="TSS Part List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참고"/>
      <sheetName val="동력부하(도산)"/>
      <sheetName val="투찰"/>
      <sheetName val="조도계산"/>
      <sheetName val="FOOTING단면력"/>
      <sheetName val="자재수량"/>
      <sheetName val="현황산출서"/>
      <sheetName val="옹벽기초자료"/>
      <sheetName val="집1"/>
      <sheetName val="왕십리방향"/>
      <sheetName val="유동표"/>
      <sheetName val="9.3 단면력집계"/>
      <sheetName val="2. 설계단면"/>
      <sheetName val="중갑지"/>
      <sheetName val="기본DATA"/>
      <sheetName val="1NYS(당)"/>
      <sheetName val="원형1호맨홀토공수량"/>
      <sheetName val="경계석"/>
      <sheetName val="sw1"/>
      <sheetName val="NOMUBI"/>
      <sheetName val="견적조건"/>
      <sheetName val="중기일위대가"/>
      <sheetName val="현장관리비 산출내역"/>
      <sheetName val="기초계산(Pmax)"/>
      <sheetName val="쌍송교"/>
      <sheetName val="철골수량"/>
      <sheetName val="L형측구단위수량"/>
      <sheetName val="L형측구연장조서"/>
      <sheetName val="도로경계블럭단위수량"/>
      <sheetName val="도로경계블럭단위토공"/>
      <sheetName val="밸브설치"/>
      <sheetName val="가로등내역서"/>
      <sheetName val="기계경비(시간당)"/>
      <sheetName val="램머"/>
      <sheetName val="평가데이터"/>
      <sheetName val="청천내"/>
      <sheetName val="식재총괄"/>
      <sheetName val="일위목록"/>
      <sheetName val="적격"/>
      <sheetName val="단가 "/>
      <sheetName val="일위총괄표"/>
      <sheetName val="바닥판"/>
      <sheetName val="통합"/>
      <sheetName val="1,2공구원가계산서"/>
      <sheetName val="2공구산출내역"/>
      <sheetName val="1공구산출내역서"/>
      <sheetName val="간접"/>
      <sheetName val="3BL공동구 수량"/>
      <sheetName val="담당자"/>
      <sheetName val="3.하중산정4.지지력"/>
      <sheetName val="CT "/>
      <sheetName val="BJJIN"/>
      <sheetName val="선급법인세 (2)"/>
      <sheetName val="1-최종안"/>
      <sheetName val="사업분석-분양가결정"/>
      <sheetName val="REDUCER"/>
      <sheetName val="WE'T"/>
      <sheetName val="구조물철거타공정이월"/>
      <sheetName val="최종"/>
      <sheetName val="공통가설"/>
      <sheetName val="411-00 외화장기"/>
      <sheetName val="원가"/>
      <sheetName val="건축내역"/>
      <sheetName val="간접비"/>
      <sheetName val="현황CODE"/>
      <sheetName val="손익현황"/>
      <sheetName val="타공종이기"/>
      <sheetName val="적정심사"/>
      <sheetName val="1.Pre"/>
      <sheetName val="Food court "/>
      <sheetName val="직원동원계획"/>
      <sheetName val="기초자료입력"/>
      <sheetName val="2월가격"/>
      <sheetName val="TABLE"/>
      <sheetName val="기계"/>
      <sheetName val="Param"/>
      <sheetName val="HVAC"/>
      <sheetName val="토공집계표"/>
      <sheetName val="설계명세서"/>
      <sheetName val="예산명세서"/>
      <sheetName val="자료입력"/>
      <sheetName val="#2_일위대가목록"/>
      <sheetName val="산출근거(통합감시)"/>
      <sheetName val="일위대가(계측기설치)"/>
      <sheetName val="금액내역서"/>
      <sheetName val="대로근거"/>
      <sheetName val="중로근거"/>
      <sheetName val="종배수관"/>
      <sheetName val="과천MAIN"/>
      <sheetName val="SRC-B3U2"/>
      <sheetName val="품셈(기초)"/>
      <sheetName val="전차선로 물량표"/>
      <sheetName val="한강운반비"/>
      <sheetName val="약품공급2"/>
      <sheetName val="기준"/>
      <sheetName val="총괄집계표"/>
      <sheetName val="TYPE-1"/>
      <sheetName val="표지"/>
      <sheetName val="ROOF(ALKALI)"/>
      <sheetName val="물량산출근거"/>
      <sheetName val="의왕"/>
      <sheetName val="견적사양비교표"/>
      <sheetName val="자재단가"/>
      <sheetName val="U-TYPE(1)"/>
      <sheetName val="의왕F사"/>
      <sheetName val="가공사"/>
      <sheetName val="LAB"/>
      <sheetName val="수문일1"/>
      <sheetName val="단가산출"/>
      <sheetName val="내역표지"/>
      <sheetName val="설산1.나"/>
      <sheetName val="본사S"/>
      <sheetName val="No-&gt;Code"/>
      <sheetName val="401"/>
      <sheetName val="장비집계"/>
      <sheetName val="세부내역서(전기)"/>
      <sheetName val="세부내역"/>
      <sheetName val="작성"/>
      <sheetName val="Licences"/>
      <sheetName val="배선DATA"/>
      <sheetName val="충주"/>
      <sheetName val="역삼"/>
      <sheetName val="자재"/>
      <sheetName val="적용기준"/>
      <sheetName val="학생내역"/>
      <sheetName val="세부내역서(소방)"/>
      <sheetName val="다이꾸"/>
      <sheetName val="2월가격표-ESG-1월"/>
      <sheetName val="SPEC"/>
      <sheetName val="품셈TABLE"/>
      <sheetName val="철거산출근거"/>
      <sheetName val="2000상반기노임"/>
      <sheetName val="문학간접"/>
      <sheetName val="토공집계"/>
      <sheetName val="인건-측정"/>
      <sheetName val="포장복구집계"/>
      <sheetName val="부대토목"/>
      <sheetName val="실행비교"/>
      <sheetName val="WC96709"/>
      <sheetName val="갑지"/>
      <sheetName val="0001(arch)"/>
      <sheetName val="토공(완충)"/>
      <sheetName val="계산근거"/>
      <sheetName val="내역(정지)"/>
      <sheetName val="입력"/>
      <sheetName val="총괄표"/>
      <sheetName val="적용단위길이"/>
      <sheetName val="종배수관(신)"/>
      <sheetName val="보차도경계석"/>
      <sheetName val="연결관암거"/>
      <sheetName val="1SPAN"/>
      <sheetName val="플랜트_설치"/>
      <sheetName val="소상_&quot;1&quot;"/>
      <sheetName val="VESSEL_Sh__1"/>
      <sheetName val="10_1"/>
    </sheetNames>
    <sheetDataSet>
      <sheetData sheetId="0" refreshError="1"/>
      <sheetData sheetId="1" refreshError="1">
        <row r="19">
          <cell r="AR19">
            <v>70</v>
          </cell>
          <cell r="AS19">
            <v>4600</v>
          </cell>
        </row>
        <row r="20">
          <cell r="AR20">
            <v>100</v>
          </cell>
          <cell r="AS20">
            <v>9000</v>
          </cell>
        </row>
        <row r="21">
          <cell r="AR21">
            <v>150</v>
          </cell>
          <cell r="AS21">
            <v>14000</v>
          </cell>
        </row>
        <row r="22">
          <cell r="AR22">
            <v>200</v>
          </cell>
          <cell r="AS22">
            <v>20000</v>
          </cell>
        </row>
        <row r="23">
          <cell r="AR23">
            <v>250</v>
          </cell>
          <cell r="AS23">
            <v>25000</v>
          </cell>
        </row>
        <row r="24">
          <cell r="AR24">
            <v>400</v>
          </cell>
          <cell r="AS24">
            <v>46000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노임"/>
      <sheetName val="터널조도"/>
      <sheetName val="내역서"/>
      <sheetName val="2000노임기준"/>
      <sheetName val="DATE"/>
      <sheetName val="전체"/>
      <sheetName val="인건-측정"/>
      <sheetName val="단면치수"/>
      <sheetName val="실행철강하도"/>
      <sheetName val="ILWIPOH"/>
      <sheetName val="현금"/>
      <sheetName val="LOPCALC"/>
      <sheetName val="수안보-MBR1"/>
      <sheetName val="조도계산서 (도서)"/>
      <sheetName val="부하계산서"/>
      <sheetName val="제품정보"/>
      <sheetName val="대가목록"/>
      <sheetName val="Y-WORK"/>
      <sheetName val="기본일위"/>
      <sheetName val="조명율표"/>
      <sheetName val="지질조사"/>
      <sheetName val="#REF"/>
      <sheetName val="우각부보강"/>
      <sheetName val="산출내역서"/>
      <sheetName val="설계"/>
      <sheetName val="정부노임단가"/>
      <sheetName val="교각계산"/>
      <sheetName val="조명시설"/>
      <sheetName val="환경기계공정표 (3)"/>
    </sheetNames>
    <sheetDataSet>
      <sheetData sheetId="0" refreshError="1"/>
      <sheetData sheetId="1" refreshError="1">
        <row r="1">
          <cell r="A1" t="str">
            <v>기사1급</v>
          </cell>
          <cell r="B1">
            <v>60899</v>
          </cell>
        </row>
        <row r="2">
          <cell r="A2" t="str">
            <v>계장공</v>
          </cell>
          <cell r="B2">
            <v>53782</v>
          </cell>
        </row>
        <row r="3">
          <cell r="A3" t="str">
            <v>고압케이블공</v>
          </cell>
          <cell r="B3">
            <v>64085</v>
          </cell>
        </row>
        <row r="4">
          <cell r="A4" t="str">
            <v>내선전공</v>
          </cell>
          <cell r="B4">
            <v>48028</v>
          </cell>
        </row>
        <row r="5">
          <cell r="A5" t="str">
            <v>무선안테나공</v>
          </cell>
          <cell r="B5">
            <v>108316</v>
          </cell>
        </row>
        <row r="6">
          <cell r="A6" t="str">
            <v>배관공</v>
          </cell>
          <cell r="B6">
            <v>48933</v>
          </cell>
        </row>
        <row r="7">
          <cell r="A7" t="str">
            <v>배전전공</v>
          </cell>
          <cell r="B7">
            <v>146386</v>
          </cell>
        </row>
        <row r="8">
          <cell r="A8" t="str">
            <v>보통인부</v>
          </cell>
          <cell r="B8">
            <v>31866</v>
          </cell>
        </row>
        <row r="9">
          <cell r="A9" t="str">
            <v>비계공</v>
          </cell>
          <cell r="B9">
            <v>67869</v>
          </cell>
        </row>
        <row r="10">
          <cell r="A10" t="str">
            <v>저압케이블공</v>
          </cell>
          <cell r="B10">
            <v>61343</v>
          </cell>
        </row>
        <row r="11">
          <cell r="A11" t="str">
            <v>통신내선공</v>
          </cell>
          <cell r="B11">
            <v>62228</v>
          </cell>
        </row>
        <row r="12">
          <cell r="A12" t="str">
            <v>통신설비공</v>
          </cell>
          <cell r="B12">
            <v>63014</v>
          </cell>
        </row>
        <row r="13">
          <cell r="A13" t="str">
            <v>통신외선공</v>
          </cell>
          <cell r="B13">
            <v>69427</v>
          </cell>
        </row>
        <row r="14">
          <cell r="A14" t="str">
            <v>통신케이블공</v>
          </cell>
          <cell r="B14">
            <v>73494</v>
          </cell>
        </row>
        <row r="15">
          <cell r="A15" t="str">
            <v>특고케이블공</v>
          </cell>
          <cell r="B15">
            <v>87304</v>
          </cell>
        </row>
        <row r="16">
          <cell r="A16" t="str">
            <v>특별인부</v>
          </cell>
          <cell r="B16">
            <v>49575</v>
          </cell>
        </row>
        <row r="17">
          <cell r="A17" t="str">
            <v>프랜트전공</v>
          </cell>
          <cell r="B17">
            <v>55122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갑지"/>
      <sheetName val="과천MAIN"/>
      <sheetName val="일위 (2)"/>
      <sheetName val="갑지 (2)"/>
      <sheetName val="산출근거서"/>
      <sheetName val="일위"/>
      <sheetName val="설비"/>
      <sheetName val="노임"/>
      <sheetName val="1766-1"/>
      <sheetName val="예정(3)"/>
      <sheetName val="동원(3)"/>
      <sheetName val="터널조도"/>
      <sheetName val="조도계산서 (도서)"/>
      <sheetName val="ABUT수량-A1"/>
      <sheetName val="수질정화시설"/>
      <sheetName val="JUCK"/>
      <sheetName val="NOMUBI"/>
      <sheetName val="신우"/>
      <sheetName val="Sheet1"/>
      <sheetName val="일보"/>
      <sheetName val="수량산출"/>
      <sheetName val="인건-측정"/>
      <sheetName val="실행비교"/>
      <sheetName val="정부노임단가"/>
      <sheetName val="내역"/>
      <sheetName val="내역(영일)"/>
      <sheetName val="h-013211-2"/>
      <sheetName val="현금"/>
      <sheetName val="경비"/>
      <sheetName val="가설건물"/>
      <sheetName val="LOPCALC"/>
      <sheetName val="종배수관"/>
      <sheetName val="설계"/>
      <sheetName val="교각계산"/>
      <sheetName val="단면치수"/>
      <sheetName val="J형측구단위수량"/>
      <sheetName val="도장수량(하1)"/>
      <sheetName val="주형"/>
      <sheetName val="원가계산서"/>
      <sheetName val="BQ(실행)"/>
      <sheetName val="적용기준"/>
      <sheetName val="노무비"/>
      <sheetName val="내역서"/>
      <sheetName val="sw1"/>
      <sheetName val="우배수"/>
      <sheetName val="계산식"/>
      <sheetName val="WORK"/>
      <sheetName val="2F 회의실견적(5_14 일대)"/>
      <sheetName val="부하계산서"/>
      <sheetName val="#REF"/>
      <sheetName val="PROCESS"/>
      <sheetName val="DATE"/>
      <sheetName val="MOTOR3"/>
      <sheetName val="연결임시"/>
      <sheetName val="산근"/>
      <sheetName val="단가비교표"/>
      <sheetName val="부속동"/>
      <sheetName val="6PILE  (돌출)"/>
      <sheetName val="입찰안"/>
      <sheetName val="지질조사"/>
      <sheetName val="Sheet3"/>
      <sheetName val="CABLE SIZE-3"/>
      <sheetName val="3련 BOX"/>
      <sheetName val="MOTOR"/>
      <sheetName val="화재 탐지 설비"/>
      <sheetName val="지급자재"/>
      <sheetName val="BID"/>
      <sheetName val="실행철강하도"/>
      <sheetName val="SELTDATA"/>
      <sheetName val="신관(1)"/>
      <sheetName val="DATA"/>
      <sheetName val="WIND"/>
      <sheetName val="지주설치제원"/>
      <sheetName val="대치판정"/>
      <sheetName val="CALCULATION"/>
      <sheetName val="Total"/>
      <sheetName val="기본일위"/>
      <sheetName val="봉양~조차장간고하개명(신설)"/>
      <sheetName val="도담구내 개소별 명세"/>
      <sheetName val="8-3기계경비"/>
      <sheetName val="제안서"/>
      <sheetName val="부하(성남)"/>
      <sheetName val="Macro(차단기)"/>
      <sheetName val="보차도경계석"/>
      <sheetName val="회로내역(승인)"/>
      <sheetName val="Cost bd-&quot;A&quot;"/>
      <sheetName val="산#3-2-2"/>
      <sheetName val="가열로SW"/>
      <sheetName val="1.설계기준"/>
      <sheetName val="실행내역서 "/>
      <sheetName val="상부집계표"/>
      <sheetName val="1. 설계조건 2.단면가정 3. 하중계산"/>
      <sheetName val="DATA 입력란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결재전"/>
      <sheetName val="목차설계설명서등"/>
      <sheetName val="일반시방서"/>
      <sheetName val="특별시방서"/>
      <sheetName val="원가계산서"/>
      <sheetName val="총괄내역서"/>
      <sheetName val="내역서"/>
      <sheetName val="일위대가목록표"/>
      <sheetName val="일위대가"/>
      <sheetName val="기계경비"/>
      <sheetName val="지주목시비량산출서"/>
      <sheetName val="부숙톱밥"/>
      <sheetName val="단가조사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합"/>
      <sheetName val="설계조건"/>
      <sheetName val="조도계산서 (도서)"/>
      <sheetName val="기계경비"/>
      <sheetName val="주형"/>
    </sheetNames>
    <sheetDataSet>
      <sheetData sheetId="0" refreshError="1">
        <row r="5">
          <cell r="M5">
            <v>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옹벽"/>
      <sheetName val="철근단면적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통합"/>
      <sheetName val="기계경비"/>
      <sheetName val="1.설계기준"/>
    </sheetNames>
    <sheetDataSet>
      <sheetData sheetId="0" refreshError="1">
        <row r="3">
          <cell r="M3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총계"/>
      <sheetName val="내역서"/>
      <sheetName val="기계경비"/>
      <sheetName val="터널조도"/>
      <sheetName val="Sheet2"/>
      <sheetName val="일위"/>
      <sheetName val="노임단가"/>
      <sheetName val="노임"/>
      <sheetName val="공사진행"/>
      <sheetName val="ABUT수량-A1"/>
      <sheetName val="기둥(원형)"/>
      <sheetName val="직노"/>
      <sheetName val="STBOX"/>
      <sheetName val="#REF"/>
      <sheetName val="설계조건"/>
      <sheetName val="Sheet1 (2)"/>
      <sheetName val="수량3"/>
      <sheetName val="견적서(대외) (2)"/>
      <sheetName val="가공비"/>
      <sheetName val="시공계획"/>
      <sheetName val="실행내역"/>
      <sheetName val="본체"/>
      <sheetName val="Pier 3"/>
      <sheetName val="설비"/>
      <sheetName val="단면치수"/>
      <sheetName val="정부노임단가"/>
      <sheetName val="옹벽"/>
      <sheetName val="t형"/>
      <sheetName val="BID"/>
      <sheetName val="플랜트 설치"/>
      <sheetName val="영업소실적"/>
      <sheetName val="실행철강하도"/>
      <sheetName val="1-1"/>
      <sheetName val="3.바닥판설계"/>
      <sheetName val="과천MAIN"/>
      <sheetName val="주형"/>
      <sheetName val="Sheet1"/>
      <sheetName val="하도급원가계산총괄표(식재)"/>
      <sheetName val="JUCK"/>
      <sheetName val="내역서적용수량 (지방도893)"/>
      <sheetName val="DATA"/>
      <sheetName val="일위(거제)_"/>
      <sheetName val="내역(청마)_(2)"/>
      <sheetName val="공사_Scope_표지"/>
      <sheetName val="공사_Scope"/>
      <sheetName val="교각계산"/>
      <sheetName val="工완성공사율"/>
      <sheetName val="Sheet6"/>
      <sheetName val="03하반기내역서"/>
      <sheetName val="04상반기"/>
      <sheetName val="토공A"/>
      <sheetName val="자재단가"/>
      <sheetName val="Stem Footing"/>
      <sheetName val="유기공정"/>
      <sheetName val="동원(3)"/>
      <sheetName val="예정(3)"/>
      <sheetName val="MOTOR"/>
      <sheetName val="H-PILE수량집계"/>
      <sheetName val="부하(성남)"/>
      <sheetName val="일위목록"/>
      <sheetName val="수안보-MBR1"/>
      <sheetName val="5공철탑검토표"/>
      <sheetName val="4공철탑검토"/>
      <sheetName val="98지급계획"/>
      <sheetName val="단가비교표"/>
      <sheetName val="착공내역서"/>
      <sheetName val="3차설계"/>
      <sheetName val="열원설비"/>
      <sheetName val="POOM_MOTO"/>
      <sheetName val="POOM_MOTO2"/>
      <sheetName val="XL4Poppy"/>
      <sheetName val="암거공"/>
      <sheetName val="우수"/>
      <sheetName val="기계경비시간당손료목록"/>
      <sheetName val="운동장 (2)"/>
      <sheetName val="ilch"/>
      <sheetName val="CTEMCOST"/>
      <sheetName val="조건"/>
      <sheetName val="공사비예산서(토목분)"/>
      <sheetName val="WORK"/>
      <sheetName val="3련 B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우수"/>
      <sheetName val="오수"/>
      <sheetName val="포장"/>
      <sheetName val="우수철근"/>
      <sheetName val="오수철근"/>
      <sheetName val="총수량 집계표"/>
      <sheetName val="총철근"/>
      <sheetName val="자재집게표 "/>
      <sheetName val="총수량집계표 "/>
      <sheetName val="총철근량집계표"/>
      <sheetName val="이음몰탈"/>
      <sheetName val="옹벽공 수량집계표"/>
      <sheetName val="철근집계표"/>
      <sheetName val="5.전사투자계획종함안"/>
      <sheetName val="Q-ty-1"/>
      <sheetName val="Sheet1"/>
      <sheetName val="합계금액"/>
      <sheetName val="JUCKEYK"/>
      <sheetName val="터널조도"/>
      <sheetName val="Sheet1 (2)"/>
      <sheetName val="DATA"/>
      <sheetName val="내역서적용수량 (지방도893)"/>
      <sheetName val="옹벽"/>
      <sheetName val="내역서"/>
      <sheetName val="3.바닥판설계"/>
      <sheetName val="설계조건"/>
      <sheetName val="STBOX"/>
      <sheetName val="3차설계"/>
      <sheetName val="8. 안정검토"/>
      <sheetName val="woo(mac)"/>
      <sheetName val="노임"/>
      <sheetName val="기둥(원형)"/>
      <sheetName val="태화42 "/>
      <sheetName val="일위"/>
      <sheetName val="단가비교표"/>
      <sheetName val="ABUT수량-A1"/>
      <sheetName val="3BL공동구 수량"/>
      <sheetName val="총수량집계표"/>
      <sheetName val="POOM_MOTO"/>
      <sheetName val="POOM_MOTO2"/>
      <sheetName val="¿ì¼ö"/>
      <sheetName val="¿À¼ö"/>
      <sheetName val="Æ÷Àå"/>
      <sheetName val="¿ì¼öÃ¶±Ù"/>
      <sheetName val="¿À¼öÃ¶±Ù"/>
      <sheetName val="ÃÑ¼ö·® Áý°èÇ¥"/>
      <sheetName val="ÃÑÃ¶±Ù"/>
      <sheetName val="ÀÚÀçÁý°ÔÇ¥ "/>
      <sheetName val="ÃÑ¼ö·®Áý°èÇ¥ "/>
      <sheetName val="ÃÑÃ¶±Ù·®Áý°èÇ¥"/>
      <sheetName val="ÀÌÀ½¸ôÅ»"/>
      <sheetName val="¿Ëº®°ø ¼ö·®Áý°èÇ¥"/>
      <sheetName val="Ã¶±ÙÁý°èÇ¥"/>
      <sheetName val="Sheet2"/>
      <sheetName val="대공종"/>
      <sheetName val="실행철강하도"/>
      <sheetName val="수안보-MBR1"/>
      <sheetName val="토적집계"/>
      <sheetName val="COVER"/>
      <sheetName val="ⴭⴭⴭⴭ"/>
      <sheetName val="2"/>
      <sheetName val="부대내역"/>
      <sheetName val="#REF"/>
      <sheetName val="내역"/>
      <sheetName val="정부노임단가"/>
      <sheetName val="과천MAIN"/>
      <sheetName val="평가데이터"/>
      <sheetName val="JUCK"/>
      <sheetName val="03하반기내역서"/>
      <sheetName val="04상반기"/>
      <sheetName val="DATE"/>
      <sheetName val="정부노임(2000.상)"/>
      <sheetName val="하수급견적대비"/>
      <sheetName val="터파기및재료"/>
      <sheetName val="플랜트 설치"/>
      <sheetName val="말뚝지지력산정"/>
      <sheetName val="날개벽"/>
      <sheetName val="tggwan(mac)"/>
      <sheetName val="송도(A3)-가야"/>
      <sheetName val="원형1호맨홀토공수량"/>
      <sheetName val="2-1포천(각세)(외제)"/>
      <sheetName val="Sheet6"/>
      <sheetName val="토공분배표"/>
      <sheetName val="관경결정"/>
      <sheetName val="6PILE  (돌출)"/>
      <sheetName val="당초"/>
      <sheetName val="工완성공사율"/>
      <sheetName val="인건-측정"/>
      <sheetName val="통합"/>
      <sheetName val="조건표"/>
      <sheetName val="우각부보강"/>
      <sheetName val="착공내역서"/>
      <sheetName val="단면검토"/>
      <sheetName val="주형"/>
      <sheetName val="종배수관"/>
      <sheetName val="전체도급"/>
      <sheetName val="인건비"/>
      <sheetName val="직노"/>
      <sheetName val="I一般比"/>
      <sheetName val="INPUT"/>
      <sheetName val="__MAIN"/>
      <sheetName val="빌딩 안내"/>
      <sheetName val="기초자료"/>
      <sheetName val="단위중량"/>
      <sheetName val="공사진행"/>
      <sheetName val="집수정(600-700)"/>
      <sheetName val="인원"/>
      <sheetName val="2000년1차"/>
      <sheetName val="입찰안"/>
      <sheetName val="2000전체분"/>
      <sheetName val="TOTAL_BOQ"/>
      <sheetName val="여흥"/>
      <sheetName val="IBASE"/>
      <sheetName val="말뚝기초"/>
      <sheetName val="H-PILE수량집계"/>
      <sheetName val="하도급원가계산총괄표(식재)"/>
      <sheetName val="견적서(대외) (2)"/>
      <sheetName val="실행비교"/>
      <sheetName val="TYPE-B 평균H"/>
      <sheetName val="전체내역 (2)"/>
      <sheetName val="2000노임기준"/>
      <sheetName val="소상 &quot;1&quot;"/>
      <sheetName val="교각계산"/>
      <sheetName val="수량"/>
      <sheetName val="1.설계기준"/>
      <sheetName val="총수량_집계표"/>
      <sheetName val="자재집게표_"/>
      <sheetName val="총수량집계표_"/>
      <sheetName val="옹벽공_수량집계표"/>
      <sheetName val="바닥판"/>
      <sheetName val="적격"/>
      <sheetName val="중기손료"/>
      <sheetName val="노임단가"/>
      <sheetName val="미지급명세서"/>
      <sheetName val="경리주보"/>
      <sheetName val="건축공사"/>
      <sheetName val="맨홀방수수량(변경)"/>
      <sheetName val="날개벽(시점좌측)"/>
      <sheetName val="Project Brief"/>
      <sheetName val="개발운영비청구"/>
      <sheetName val="계단단위수량"/>
      <sheetName val="기별(종합)"/>
      <sheetName val="조건"/>
      <sheetName val="가설건물"/>
      <sheetName val="굴착깊이(주배관)"/>
      <sheetName val="오수공수량집계표"/>
      <sheetName val="철근량 검토"/>
      <sheetName val="연결임시"/>
      <sheetName val="설비"/>
      <sheetName val="총계"/>
      <sheetName val="예정(3)"/>
      <sheetName val="동원(3)"/>
      <sheetName val="물가시세"/>
      <sheetName val="수량3"/>
      <sheetName val="Pier 3"/>
      <sheetName val="보도경계블럭"/>
      <sheetName val="설"/>
      <sheetName val="골조시행"/>
      <sheetName val="기초공"/>
      <sheetName val="조도계산서 (도서)"/>
      <sheetName val="COPING"/>
      <sheetName val="BID"/>
      <sheetName val="MOTOR"/>
      <sheetName val="간지-배수공"/>
      <sheetName val="평당자료"/>
      <sheetName val="수량산출"/>
      <sheetName val="맨홀수량집계"/>
      <sheetName val="적점"/>
      <sheetName val="집계표"/>
      <sheetName val="결합부검토"/>
      <sheetName val="본체"/>
      <sheetName val="LU"/>
      <sheetName val="자압1"/>
      <sheetName val="노원열병합  건축공사기성내역서"/>
      <sheetName val="Y-WORK"/>
      <sheetName val="공사개요"/>
      <sheetName val="6작업1"/>
      <sheetName val="을"/>
      <sheetName val="Piping Design Data"/>
      <sheetName val="경희대"/>
      <sheetName val="일위대가"/>
      <sheetName val="PROCESS"/>
      <sheetName val="현금"/>
      <sheetName val="Macro1"/>
      <sheetName val="PARAMETER"/>
      <sheetName val="LEGEND"/>
      <sheetName val="준공갑지"/>
      <sheetName val="L_RPTA05_목록"/>
      <sheetName val="첨4"/>
      <sheetName val="발주서류"/>
      <sheetName val="옹벽수량집계표"/>
      <sheetName val="CRUDE RE-bar"/>
      <sheetName val="토목품셈"/>
      <sheetName val="교각(P1)수량"/>
      <sheetName val="부하계산서"/>
      <sheetName val="단면치수"/>
      <sheetName val="수로BOX"/>
      <sheetName val="우수공"/>
      <sheetName val="영업소실적"/>
      <sheetName val="설계예산서(출력하지마세요)"/>
      <sheetName val="H PILE수량"/>
      <sheetName val="3련 BOX"/>
      <sheetName val="FOOTING단면력"/>
      <sheetName val="수로단위수량"/>
      <sheetName val="표지판단위"/>
      <sheetName val="TYPE-A"/>
      <sheetName val="부하(성남)"/>
      <sheetName val="변화치수"/>
      <sheetName val="기초계산(Pmax)"/>
      <sheetName val="현황산출서"/>
      <sheetName val="옹벽기초자료"/>
      <sheetName val="5.모델링"/>
      <sheetName val="1SPAN"/>
      <sheetName val="가시설수량"/>
      <sheetName val="단위수량"/>
      <sheetName val="Stem Footing"/>
      <sheetName val="도체종-상수표"/>
      <sheetName val="산근"/>
      <sheetName val="공종단가"/>
      <sheetName val="교각1"/>
      <sheetName val="개략"/>
      <sheetName val="지출결의서(1-3)"/>
      <sheetName val="화재 탐지 설비"/>
      <sheetName val="교대토공종점"/>
      <sheetName val="전기내역"/>
      <sheetName val="맨홀수량산출"/>
      <sheetName val="횡수량조서"/>
      <sheetName val="기둥"/>
      <sheetName val="설계"/>
      <sheetName val="총괄내역서"/>
      <sheetName val="신당동집계표"/>
      <sheetName val="대가표(품셈)"/>
      <sheetName val="98지급계획"/>
      <sheetName val="확정실적"/>
      <sheetName val="보차도경계석"/>
      <sheetName val="sw1"/>
      <sheetName val="NOMUBI"/>
      <sheetName val="증감대비"/>
      <sheetName val="MACRO(전선관)"/>
      <sheetName val="자료입력"/>
      <sheetName val="조명시설"/>
      <sheetName val="A공구"/>
      <sheetName val="일반공사"/>
      <sheetName val="매출예산96"/>
      <sheetName val="제원"/>
      <sheetName val="TYPE-1"/>
      <sheetName val="BOX"/>
      <sheetName val="001"/>
      <sheetName val="BSD _2_"/>
      <sheetName val="3BL공동구_수량"/>
      <sheetName val="견적서(대외)_(2)"/>
      <sheetName val="내역서적용수량_(지방도893)"/>
      <sheetName val="Pier_3"/>
      <sheetName val="5_전사투자계획종함안"/>
      <sheetName val="3_바닥판설계"/>
      <sheetName val="태화42_"/>
      <sheetName val="BSD__2_"/>
      <sheetName val="Sheet1_(2)"/>
      <sheetName val="ÃÑ¼ö·®_Áý°èÇ¥"/>
      <sheetName val="ÀÚÀçÁý°ÔÇ¥_"/>
      <sheetName val="ÃÑ¼ö·®Áý°èÇ¥_"/>
      <sheetName val="¿Ëº®°ø_¼ö·®Áý°èÇ¥"/>
      <sheetName val="6PILE__(돌출)"/>
      <sheetName val="빌딩_안내"/>
      <sheetName val="Stem_Footing"/>
      <sheetName val="고창방향"/>
      <sheetName val="설직재-1"/>
      <sheetName val="제-노임"/>
      <sheetName val="제직재"/>
      <sheetName val="노무비"/>
      <sheetName val="신우"/>
      <sheetName val="단면 (2)"/>
      <sheetName val="맨홀평균높이"/>
      <sheetName val="지급자재"/>
      <sheetName val="WORK"/>
      <sheetName val="Sheet17"/>
      <sheetName val="t형"/>
      <sheetName val="방음벽기초"/>
      <sheetName val="조서(서산시)"/>
      <sheetName val="횡단보도"/>
      <sheetName val="방지턱도색"/>
      <sheetName val="노면표시"/>
      <sheetName val="간지"/>
      <sheetName val="강재집계(오수관정비)"/>
      <sheetName val="흙막이 집계"/>
      <sheetName val="가시설토공집계"/>
      <sheetName val="가시설 토공"/>
      <sheetName val="조립식PC맨홀높이"/>
      <sheetName val="A-LINE"/>
      <sheetName val="B-LINE"/>
      <sheetName val="C-LINE"/>
      <sheetName val="D-LINE"/>
      <sheetName val="E-LINE"/>
      <sheetName val="E1-LINE"/>
      <sheetName val="VXXXXXXX"/>
      <sheetName val="VXXXXX"/>
      <sheetName val="2.2.2입적표"/>
      <sheetName val="충주"/>
      <sheetName val="L형옹벽측구"/>
      <sheetName val="표지"/>
      <sheetName val="사용성검토"/>
      <sheetName val="토목"/>
      <sheetName val="설계내역서"/>
      <sheetName val="시공계획"/>
      <sheetName val="적용단위길이"/>
      <sheetName val="종배수관(신)"/>
      <sheetName val="0131"/>
      <sheetName val="BOX(1.5X1.5)"/>
      <sheetName val="역T형교대(말뚝기초)"/>
      <sheetName val="기계경비"/>
      <sheetName val="U형수로(1)"/>
      <sheetName val="3.하중산정4.지지력"/>
      <sheetName val="금액내역서"/>
      <sheetName val="날개벽수량표"/>
      <sheetName val="설계기준"/>
      <sheetName val="Sheet3"/>
      <sheetName val="참조(2)"/>
      <sheetName val="참조"/>
      <sheetName val="단가"/>
      <sheetName val="유기공정"/>
      <sheetName val="일위대가(계측기설치)"/>
      <sheetName val="내역표지"/>
      <sheetName val="단면가정"/>
      <sheetName val="안정계산"/>
      <sheetName val="세목전체"/>
      <sheetName val="실행자재"/>
      <sheetName val="J直材4"/>
      <sheetName val="특별교실"/>
      <sheetName val="개요"/>
      <sheetName val="SELTDATA"/>
      <sheetName val="횡분배정리(DB)"/>
      <sheetName val="택지성격총괄"/>
      <sheetName val="nys"/>
      <sheetName val="Total"/>
      <sheetName val="A-4"/>
      <sheetName val="사급자재"/>
      <sheetName val="8.PILE  (돌출)"/>
      <sheetName val="RD제품개발투자비(매가)"/>
      <sheetName val="1-1"/>
      <sheetName val="가도공"/>
      <sheetName val="자압"/>
      <sheetName val="기준액"/>
      <sheetName val="토사(PE)"/>
      <sheetName val="진로도급"/>
      <sheetName val="금호산업"/>
      <sheetName val="품셈TABLE"/>
      <sheetName val="견적대비표"/>
      <sheetName val="갑지"/>
      <sheetName val="본장"/>
      <sheetName val="조작대(1연)"/>
      <sheetName val="969910( R)"/>
      <sheetName val="장비집계"/>
      <sheetName val="기계경비 (2)"/>
      <sheetName val="산출내역서"/>
      <sheetName val="1호맨홀토공"/>
      <sheetName val="통과가능량(수로) (2)"/>
      <sheetName val="부속동"/>
      <sheetName val="참조 (2)"/>
      <sheetName val="예산서"/>
      <sheetName val="흄관기초"/>
      <sheetName val="1을"/>
      <sheetName val="ITEM"/>
      <sheetName val="각종단가"/>
      <sheetName val="TC표지"/>
      <sheetName val="guard(mac)"/>
      <sheetName val="견적보고"/>
      <sheetName val="네트워크 RTK 체크리스트"/>
      <sheetName val="문학터널-9255(관보고-실)"/>
      <sheetName val="1.설계조건"/>
      <sheetName val="수량및공량집계"/>
      <sheetName val="토공A"/>
      <sheetName val="화산경계"/>
      <sheetName val="CALCULATION"/>
      <sheetName val="데이타"/>
      <sheetName val="SLAB"/>
      <sheetName val="토적계산서(505)"/>
      <sheetName val="가시설(3.0m이하 D80)"/>
      <sheetName val="배력철근산정"/>
      <sheetName val="wall"/>
      <sheetName val="대창(함평)"/>
      <sheetName val="99노임기준"/>
      <sheetName val="단가대비표"/>
      <sheetName val="토공(우물통,기타) "/>
      <sheetName val="가공비"/>
      <sheetName val="단가산출서"/>
      <sheetName val="수량집계"/>
      <sheetName val="규준틀"/>
      <sheetName val="역T형옹벽(3.0)"/>
      <sheetName val="흙쌓기도수로설치현황"/>
      <sheetName val="C.배수관공"/>
      <sheetName val="우배수"/>
      <sheetName val="계산식"/>
      <sheetName val="투찰"/>
      <sheetName val="Part 1"/>
      <sheetName val="Part 3"/>
      <sheetName val="Part 4"/>
      <sheetName val="Part 5"/>
      <sheetName val="Part 6"/>
      <sheetName val="C"/>
      <sheetName val="입력DATA"/>
      <sheetName val="메크로 연습"/>
      <sheetName val="예방접종계획"/>
      <sheetName val="버스운행안내"/>
      <sheetName val="근태계획서"/>
      <sheetName val="토공1차"/>
      <sheetName val="A2"/>
      <sheetName val="설명"/>
      <sheetName val="견적-내역"/>
      <sheetName val="현황CODE"/>
      <sheetName val="손익현황"/>
      <sheetName val="O실보"/>
      <sheetName val="b_balju_cho"/>
      <sheetName val="내역(영일)"/>
      <sheetName val="200"/>
      <sheetName val="산재 안전"/>
      <sheetName val="노무비 경비"/>
      <sheetName val="단계별내역 (2)"/>
      <sheetName val="빗물받이(910-510-410)"/>
      <sheetName val="적정심사"/>
      <sheetName val="기둥(하중)"/>
      <sheetName val="기성갑지"/>
      <sheetName val="c_balju"/>
      <sheetName val="전기일위대가"/>
      <sheetName val="ilch"/>
      <sheetName val="MFAB"/>
      <sheetName val="MFRT"/>
      <sheetName val="MPKG"/>
      <sheetName val="MPRD"/>
      <sheetName val="3.공통공사대비"/>
      <sheetName val="제잡비집계"/>
      <sheetName val="시험장S자로가로등공사"/>
      <sheetName val="교통대책내역"/>
      <sheetName val="사진대지"/>
      <sheetName val="000000"/>
      <sheetName val="자재시세표"/>
      <sheetName val="토공(완충)"/>
      <sheetName val="원가총괄"/>
      <sheetName val="단가표"/>
      <sheetName val="산출근거(복구)"/>
      <sheetName val="마포토정"/>
      <sheetName val="차액보증"/>
      <sheetName val="준공검사원"/>
      <sheetName val="건축집계합계"/>
      <sheetName val="건축집계표이수"/>
      <sheetName val="당정동공통이수"/>
      <sheetName val="당정동경상이수"/>
      <sheetName val="매입세율"/>
      <sheetName val="Formulas &amp; Tables"/>
      <sheetName val="포장수량집계"/>
      <sheetName val="보호통단위수량"/>
      <sheetName val="관접합및부설"/>
      <sheetName val="줄파기집계표"/>
      <sheetName val="연습장소"/>
      <sheetName val="대창(장성)"/>
      <sheetName val="대창(함평)-창열"/>
      <sheetName val="산#3-2-2"/>
      <sheetName val="OD5000"/>
      <sheetName val="데리네이타현황"/>
      <sheetName val="일반수량집계"/>
      <sheetName val="특2호하천산근"/>
      <sheetName val="특2호부관하천산근"/>
      <sheetName val="20변경안"/>
      <sheetName val="RAHMEN"/>
      <sheetName val="48일위"/>
      <sheetName val="재료비"/>
      <sheetName val="을 2"/>
      <sheetName val="을 1"/>
      <sheetName val="품셈"/>
      <sheetName val="1_설계조건"/>
      <sheetName val="CODE"/>
      <sheetName val="송라터널총괄"/>
      <sheetName val="8.석축단위(H=1.5M)"/>
      <sheetName val="기계공사"/>
      <sheetName val="구조물공1(51~56)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단가산출목록"/>
      <sheetName val="일위대가표"/>
      <sheetName val="자재"/>
      <sheetName val="자재조서"/>
      <sheetName val="Baby일위대가"/>
      <sheetName val="일위(PN)"/>
      <sheetName val="신축이음-패턴1,2,3,4,5"/>
      <sheetName val="전기"/>
      <sheetName val="부재력정리"/>
      <sheetName val="PLC B-M"/>
      <sheetName val="견적서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BSD (2)"/>
      <sheetName val="CONCRETE"/>
      <sheetName val="J형측구단위수량"/>
      <sheetName val="산출기초"/>
      <sheetName val="인원투입계획(실행)"/>
      <sheetName val="경상비내역"/>
      <sheetName val="부대비내역"/>
      <sheetName val="트렌치집계"/>
      <sheetName val="기계경비일람"/>
      <sheetName val="관연장산출"/>
      <sheetName val="BCK3672"/>
      <sheetName val="철근량"/>
      <sheetName val="단가 및 재료비"/>
      <sheetName val="단가산출2"/>
      <sheetName val="중기사용료산출근거"/>
      <sheetName val="관공일위대가"/>
      <sheetName val="맨홀기준"/>
      <sheetName val="단가산출1"/>
      <sheetName val="견적"/>
      <sheetName val="건축내역"/>
      <sheetName val="터파기"/>
      <sheetName val="파이프"/>
      <sheetName val="F_D SEC. PROP"/>
      <sheetName val="변경-총괄(총합)"/>
      <sheetName val="변경-총괄(청운)"/>
      <sheetName val="변경-총괄(가톨릭)"/>
      <sheetName val="변경-내역서(청운)"/>
      <sheetName val="기존-일위목록 (청운)"/>
      <sheetName val="기존-단가 (청운)"/>
      <sheetName val="변경-신규일위 (청운) "/>
      <sheetName val="변경-내역서(가톨릭)"/>
      <sheetName val="일위목록(가톨릭)"/>
      <sheetName val="단가(가톨릭)"/>
      <sheetName val="변경-신규일위 (가톨릭)"/>
      <sheetName val="(2)"/>
      <sheetName val="설계명세서(선로)"/>
      <sheetName val="자재집계표"/>
    </sheetNames>
    <sheetDataSet>
      <sheetData sheetId="0" refreshError="1">
        <row r="1">
          <cell r="A1" t="str">
            <v>공       종</v>
          </cell>
          <cell r="B1" t="str">
            <v>규    격</v>
          </cell>
          <cell r="C1" t="str">
            <v>단위</v>
          </cell>
          <cell r="D1" t="str">
            <v>단위</v>
          </cell>
          <cell r="E1" t="str">
            <v xml:space="preserve">       맨              홀                     </v>
          </cell>
          <cell r="F1" t="str">
            <v xml:space="preserve">P.E </v>
          </cell>
          <cell r="G1" t="str">
            <v>흄                         관</v>
          </cell>
          <cell r="H1" t="str">
            <v>P.E 빗물받이</v>
          </cell>
          <cell r="I1" t="str">
            <v xml:space="preserve">P.E </v>
          </cell>
          <cell r="J1" t="str">
            <v>흄                         관</v>
          </cell>
          <cell r="K1">
            <v>0</v>
          </cell>
          <cell r="L1">
            <v>0</v>
          </cell>
          <cell r="M1">
            <v>0</v>
          </cell>
          <cell r="N1" t="str">
            <v>D.C PIPE</v>
          </cell>
          <cell r="O1">
            <v>0</v>
          </cell>
          <cell r="P1" t="str">
            <v>계</v>
          </cell>
        </row>
        <row r="2">
          <cell r="E2" t="str">
            <v>Φ900</v>
          </cell>
          <cell r="F2" t="str">
            <v>Φ1200</v>
          </cell>
          <cell r="G2" t="str">
            <v>Φ1500</v>
          </cell>
          <cell r="H2" t="str">
            <v>940x510x410</v>
          </cell>
          <cell r="I2" t="str">
            <v xml:space="preserve"> 홈통받이</v>
          </cell>
          <cell r="J2" t="str">
            <v>D450</v>
          </cell>
          <cell r="K2" t="str">
            <v>D500</v>
          </cell>
          <cell r="L2" t="str">
            <v>D600</v>
          </cell>
          <cell r="M2" t="str">
            <v>D700</v>
          </cell>
          <cell r="N2" t="str">
            <v>Φ150</v>
          </cell>
          <cell r="O2" t="str">
            <v>Φ250</v>
          </cell>
        </row>
        <row r="3">
          <cell r="A3" t="str">
            <v>수     량</v>
          </cell>
          <cell r="B3" t="str">
            <v>8EA</v>
          </cell>
          <cell r="C3" t="str">
            <v>15EA</v>
          </cell>
          <cell r="D3" t="str">
            <v>4EA</v>
          </cell>
          <cell r="E3" t="str">
            <v>8EA</v>
          </cell>
          <cell r="F3" t="str">
            <v>15EA</v>
          </cell>
          <cell r="G3" t="str">
            <v>4EA</v>
          </cell>
          <cell r="H3" t="str">
            <v>74EA</v>
          </cell>
          <cell r="I3" t="str">
            <v>10 EA</v>
          </cell>
          <cell r="J3" t="str">
            <v>405.00 M</v>
          </cell>
          <cell r="K3" t="str">
            <v>117.5M</v>
          </cell>
          <cell r="L3" t="str">
            <v>132.5M</v>
          </cell>
          <cell r="M3" t="str">
            <v>140.00M</v>
          </cell>
          <cell r="N3" t="str">
            <v>106.00M</v>
          </cell>
          <cell r="O3" t="str">
            <v>593.00M</v>
          </cell>
        </row>
        <row r="4">
          <cell r="A4" t="str">
            <v>콘크리트</v>
          </cell>
          <cell r="B4" t="str">
            <v>σck=210㎏/㎠</v>
          </cell>
          <cell r="C4" t="str">
            <v>M3</v>
          </cell>
          <cell r="D4" t="str">
            <v>M3</v>
          </cell>
        </row>
        <row r="5">
          <cell r="B5" t="str">
            <v>σck=180㎏/㎠</v>
          </cell>
          <cell r="C5" t="str">
            <v>M3</v>
          </cell>
          <cell r="D5" t="str">
            <v>M3</v>
          </cell>
        </row>
        <row r="6">
          <cell r="B6" t="str">
            <v>σck=135㎏/㎠</v>
          </cell>
          <cell r="C6" t="str">
            <v>M3</v>
          </cell>
          <cell r="D6" t="str">
            <v>M3</v>
          </cell>
        </row>
        <row r="7">
          <cell r="A7" t="str">
            <v>거푸집</v>
          </cell>
          <cell r="B7" t="str">
            <v>P.E 10 회</v>
          </cell>
          <cell r="C7" t="str">
            <v>M2</v>
          </cell>
          <cell r="D7" t="str">
            <v>M2</v>
          </cell>
        </row>
        <row r="8">
          <cell r="B8" t="str">
            <v>목재 4 회</v>
          </cell>
          <cell r="C8" t="str">
            <v>M2</v>
          </cell>
          <cell r="D8" t="str">
            <v>M2</v>
          </cell>
        </row>
        <row r="9">
          <cell r="B9" t="str">
            <v>합판6회</v>
          </cell>
          <cell r="C9" t="str">
            <v>M2</v>
          </cell>
          <cell r="D9" t="str">
            <v>M2</v>
          </cell>
        </row>
        <row r="10">
          <cell r="A10" t="str">
            <v>흄    관</v>
          </cell>
          <cell r="B10" t="str">
            <v>D 450</v>
          </cell>
          <cell r="C10" t="str">
            <v>M</v>
          </cell>
          <cell r="D10" t="str">
            <v>M</v>
          </cell>
        </row>
        <row r="11">
          <cell r="B11" t="str">
            <v>D 500</v>
          </cell>
          <cell r="C11" t="str">
            <v>M</v>
          </cell>
          <cell r="D11" t="str">
            <v>M</v>
          </cell>
        </row>
        <row r="12">
          <cell r="B12" t="str">
            <v>D 600</v>
          </cell>
          <cell r="C12" t="str">
            <v>M</v>
          </cell>
          <cell r="D12" t="str">
            <v>M</v>
          </cell>
        </row>
        <row r="13">
          <cell r="B13" t="str">
            <v>D 700</v>
          </cell>
          <cell r="C13" t="str">
            <v>M</v>
          </cell>
          <cell r="D13" t="str">
            <v>M</v>
          </cell>
        </row>
        <row r="14">
          <cell r="A14" t="str">
            <v>토  공</v>
          </cell>
          <cell r="B14" t="str">
            <v>터 파 기</v>
          </cell>
          <cell r="C14" t="str">
            <v>M3</v>
          </cell>
          <cell r="D14" t="str">
            <v>M3</v>
          </cell>
        </row>
        <row r="15">
          <cell r="B15" t="str">
            <v>잔   토</v>
          </cell>
          <cell r="C15" t="str">
            <v>M3</v>
          </cell>
          <cell r="D15" t="str">
            <v>M3</v>
          </cell>
        </row>
        <row r="16">
          <cell r="B16" t="str">
            <v>되메우기</v>
          </cell>
          <cell r="C16" t="str">
            <v>M3</v>
          </cell>
          <cell r="D16" t="str">
            <v>M3</v>
          </cell>
        </row>
        <row r="17">
          <cell r="A17" t="str">
            <v>P.E 빗물받이</v>
          </cell>
          <cell r="B17" t="str">
            <v>940x510x410</v>
          </cell>
          <cell r="C17" t="str">
            <v>EA</v>
          </cell>
          <cell r="D17" t="str">
            <v>EA</v>
          </cell>
        </row>
        <row r="18">
          <cell r="A18" t="str">
            <v>빗물받이뚜껑</v>
          </cell>
          <cell r="B18" t="str">
            <v>495x395x50</v>
          </cell>
          <cell r="C18" t="str">
            <v>EA</v>
          </cell>
          <cell r="D18" t="str">
            <v>EA</v>
          </cell>
        </row>
        <row r="19">
          <cell r="A19" t="str">
            <v>사 다 리</v>
          </cell>
          <cell r="B19" t="str">
            <v>D19</v>
          </cell>
          <cell r="C19" t="str">
            <v>TON</v>
          </cell>
          <cell r="D19" t="str">
            <v>TON</v>
          </cell>
        </row>
        <row r="20">
          <cell r="A20" t="str">
            <v>홈통받이</v>
          </cell>
          <cell r="B20" t="str">
            <v>D 430</v>
          </cell>
          <cell r="C20" t="str">
            <v>EA</v>
          </cell>
          <cell r="D20" t="str">
            <v>EA</v>
          </cell>
        </row>
        <row r="21">
          <cell r="A21" t="str">
            <v>맨홀뚜껑</v>
          </cell>
          <cell r="B21" t="str">
            <v>주철제 Φ648</v>
          </cell>
          <cell r="C21" t="str">
            <v>EA</v>
          </cell>
          <cell r="D21" t="str">
            <v>EA</v>
          </cell>
        </row>
        <row r="22">
          <cell r="A22" t="str">
            <v>이음몰탈</v>
          </cell>
          <cell r="B22" t="str">
            <v>1 : 3</v>
          </cell>
          <cell r="C22" t="str">
            <v>M3</v>
          </cell>
          <cell r="D22" t="str">
            <v>M3</v>
          </cell>
        </row>
        <row r="23">
          <cell r="B23" t="str">
            <v>1 : 2</v>
          </cell>
          <cell r="C23" t="str">
            <v>M3</v>
          </cell>
          <cell r="D23" t="str">
            <v>M3</v>
          </cell>
        </row>
        <row r="24">
          <cell r="A24" t="str">
            <v>D.C PIPE</v>
          </cell>
          <cell r="B24" t="str">
            <v>Φ150M/M</v>
          </cell>
          <cell r="C24" t="str">
            <v>M</v>
          </cell>
          <cell r="D24" t="str">
            <v>M</v>
          </cell>
        </row>
        <row r="25">
          <cell r="B25" t="str">
            <v>Φ250M/M</v>
          </cell>
          <cell r="C25" t="str">
            <v>M</v>
          </cell>
          <cell r="D25" t="str">
            <v>M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6"/>
      <sheetName val="2-1"/>
      <sheetName val="감1"/>
      <sheetName val="감2"/>
      <sheetName val="감3"/>
      <sheetName val="조1"/>
      <sheetName val="조2"/>
      <sheetName val="조3"/>
      <sheetName val="6-1"/>
      <sheetName val="3-1"/>
      <sheetName val="3-2"/>
      <sheetName val="#REF"/>
      <sheetName val="DATA"/>
      <sheetName val="데이타"/>
      <sheetName val="우수"/>
      <sheetName val="주소록"/>
      <sheetName val="Sheet1"/>
      <sheetName val="BDATA"/>
      <sheetName val="단가산출목록표"/>
      <sheetName val="일위목록"/>
      <sheetName val="단가산출"/>
      <sheetName val="을지"/>
      <sheetName val="노임단가"/>
      <sheetName val="충주"/>
      <sheetName val="웅진교-S2"/>
      <sheetName val="Sheet1 (2)"/>
      <sheetName val="이토변실(A3-LINE)"/>
      <sheetName val="수량산출서"/>
      <sheetName val="수목표준대가"/>
      <sheetName val="총괄내역서"/>
      <sheetName val="자  재"/>
      <sheetName val="건축외주"/>
      <sheetName val="토공(우물통,기타) "/>
      <sheetName val="횡배수관집현황(2공구)"/>
      <sheetName val="일위_파일"/>
      <sheetName val="단가비교표"/>
      <sheetName val="시설물기초"/>
      <sheetName val="기초일위"/>
      <sheetName val="시설일위"/>
      <sheetName val="조명일위"/>
      <sheetName val="JUCKEYK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운반거리"/>
      <sheetName val="Sheet3 (10)"/>
      <sheetName val="Sheet3 (15)"/>
      <sheetName val="Sheet3 (16)"/>
      <sheetName val="Sheet3 (21)"/>
      <sheetName val="Sheet3 (17)"/>
      <sheetName val="Sheet3 (18)"/>
      <sheetName val="Sheet3 (14)"/>
      <sheetName val="Sheet3 (12)"/>
      <sheetName val="Sheet3 (24)"/>
      <sheetName val="Sheet3 (9)"/>
      <sheetName val="Sheet3 (13)"/>
      <sheetName val="Sheet2 (5)"/>
      <sheetName val="Sheet2 (7)"/>
      <sheetName val="Sheet2 (6)"/>
      <sheetName val="변경사유서"/>
      <sheetName val="민원"/>
      <sheetName val="Sheet2"/>
      <sheetName val="Sheet3 (2)"/>
      <sheetName val="Sheet3 (20)"/>
      <sheetName val="경사"/>
      <sheetName val="경사 (2)"/>
      <sheetName val="경사 7.5"/>
      <sheetName val="경사 8.3"/>
      <sheetName val="경사 9.5"/>
      <sheetName val="경사 10.7"/>
      <sheetName val="경사 10.25"/>
      <sheetName val="경사 11.11"/>
      <sheetName val="경사 (3)"/>
      <sheetName val="계측"/>
      <sheetName val="터널개요"/>
      <sheetName val="보고자료"/>
      <sheetName val="보고자료 (2)"/>
      <sheetName val="골재"/>
      <sheetName val="터널공정현황"/>
      <sheetName val="공사현황"/>
      <sheetName val="골재원"/>
      <sheetName val="토공현황"/>
      <sheetName val="품질관리"/>
      <sheetName val="품질관리 (2)"/>
      <sheetName val="Sheet3 (8)"/>
      <sheetName val="Sheet3 (7)"/>
      <sheetName val="Sheet3 (6)"/>
      <sheetName val="Sheet1 (2)"/>
      <sheetName val="Sheet3"/>
      <sheetName val="증감"/>
      <sheetName val="Sheet1 (4)"/>
      <sheetName val="Sheet3 (19)"/>
      <sheetName val="Sheet3 (22)"/>
      <sheetName val="Sheet3 (23)"/>
      <sheetName val="Sheet3 (11)"/>
      <sheetName val="민원 (2)"/>
      <sheetName val="Sheet1 (3)"/>
      <sheetName val="Sheet2 (2)"/>
      <sheetName val="경사락총괄"/>
      <sheetName val="Sheet3 (3)"/>
      <sheetName val="4차"/>
      <sheetName val="Sheet2 (3)"/>
      <sheetName val="Sheet2 (4)"/>
      <sheetName val="증감 (3)"/>
      <sheetName val="증감 (2)"/>
      <sheetName val="증감 (4)"/>
      <sheetName val="Sheet2 (8)"/>
      <sheetName val="총사업비"/>
      <sheetName val="계측 (2)"/>
      <sheetName val="계측 (3)"/>
      <sheetName val="계측 (4)"/>
      <sheetName val="계측 (5)"/>
      <sheetName val="경사 (계)"/>
      <sheetName val="목록표"/>
      <sheetName val="산출내역서"/>
      <sheetName val="집계표"/>
      <sheetName val="양식"/>
      <sheetName val="설계명세서"/>
      <sheetName val="예산명세서"/>
      <sheetName val="자료입력"/>
      <sheetName val="#REF"/>
      <sheetName val="자재근거"/>
      <sheetName val="중기근거"/>
      <sheetName val="일위대가"/>
      <sheetName val="운동장 (2)"/>
      <sheetName val="자재단가비교표"/>
      <sheetName val="부대내역"/>
      <sheetName val="일위목록"/>
      <sheetName val="내역"/>
      <sheetName val="오버레이산출근거"/>
      <sheetName val="양식_자재단가조사표"/>
      <sheetName val="노임단가"/>
      <sheetName val="내역서"/>
      <sheetName val="요율"/>
      <sheetName val="98지급계획"/>
      <sheetName val="자재단가"/>
      <sheetName val="STBOX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gwan(mac)"/>
      <sheetName val="횡배수관토공단위(180)"/>
      <sheetName val="횡배수관토공단위(90)"/>
      <sheetName val="guard(mac)"/>
      <sheetName val="우수"/>
      <sheetName val="옹벽"/>
      <sheetName val="ABUT수량-A1"/>
      <sheetName val="내역"/>
      <sheetName val="세목전체"/>
      <sheetName val="박기사-단위수량"/>
      <sheetName val="내역서"/>
      <sheetName val="공량산출서"/>
      <sheetName val="Sheet2"/>
      <sheetName val="순성토"/>
      <sheetName val="통합"/>
      <sheetName val="Macro(차단기)"/>
      <sheetName val="실행철강하도"/>
      <sheetName val="충주"/>
      <sheetName val="수량산출서-2"/>
      <sheetName val="Sheet1"/>
      <sheetName val="화재 탐지 설비"/>
      <sheetName val="전기설계변경"/>
      <sheetName val="단가"/>
      <sheetName val="지장물C"/>
      <sheetName val="교각1"/>
      <sheetName val="단가 및 재료비"/>
      <sheetName val="L_RPTA05_목록"/>
      <sheetName val="3.바닥판설계"/>
      <sheetName val="주형"/>
      <sheetName val="터널조도"/>
      <sheetName val="8.석축단위(H=1.5M)"/>
      <sheetName val="일위대가"/>
      <sheetName val="JUCKEYK"/>
      <sheetName val="전기관급자재"/>
      <sheetName val="지출결의서(1-3)"/>
      <sheetName val="DATE"/>
      <sheetName val="조명시설"/>
      <sheetName val="지표"/>
      <sheetName val="3BL공동구 수량"/>
      <sheetName val="중기사용료산출근거"/>
      <sheetName val="단가산출1"/>
      <sheetName val="WORK"/>
      <sheetName val="맨홀기준"/>
      <sheetName val="단가산출2"/>
    </sheetNames>
    <sheetDataSet>
      <sheetData sheetId="0" refreshError="1">
        <row r="1">
          <cell r="A1" t="str">
            <v>tggwan</v>
          </cell>
        </row>
        <row r="2">
          <cell r="A2" t="b">
            <v>1</v>
          </cell>
        </row>
        <row r="3">
          <cell r="A3" t="b">
            <v>1</v>
          </cell>
        </row>
        <row r="4">
          <cell r="A4" t="b">
            <v>0</v>
          </cell>
        </row>
        <row r="5">
          <cell r="A5" t="b">
            <v>1</v>
          </cell>
        </row>
        <row r="6">
          <cell r="A6" t="b">
            <v>1</v>
          </cell>
        </row>
        <row r="7">
          <cell r="A7" t="b">
            <v>1</v>
          </cell>
        </row>
        <row r="8">
          <cell r="A8" t="b">
            <v>0</v>
          </cell>
        </row>
        <row r="9">
          <cell r="A9" t="b">
            <v>1</v>
          </cell>
        </row>
        <row r="10">
          <cell r="A10" t="b">
            <v>0</v>
          </cell>
        </row>
        <row r="11">
          <cell r="A11" t="b">
            <v>1</v>
          </cell>
        </row>
        <row r="12">
          <cell r="A12" t="b">
            <v>1</v>
          </cell>
        </row>
        <row r="13">
          <cell r="A13" t="b">
            <v>1</v>
          </cell>
        </row>
        <row r="14">
          <cell r="A14" t="b">
            <v>1</v>
          </cell>
        </row>
        <row r="15">
          <cell r="A15" t="b">
            <v>1</v>
          </cell>
        </row>
        <row r="16">
          <cell r="A16" t="b">
            <v>1</v>
          </cell>
        </row>
        <row r="17">
          <cell r="A17" t="b">
            <v>1</v>
          </cell>
        </row>
        <row r="18">
          <cell r="A18" t="b">
            <v>1</v>
          </cell>
        </row>
        <row r="19">
          <cell r="A19" t="b">
            <v>1</v>
          </cell>
        </row>
        <row r="20">
          <cell r="A20" t="b">
            <v>1</v>
          </cell>
        </row>
        <row r="21">
          <cell r="A21" t="b">
            <v>1</v>
          </cell>
        </row>
        <row r="22">
          <cell r="A22" t="b">
            <v>1</v>
          </cell>
        </row>
        <row r="23">
          <cell r="A23" t="b">
            <v>1</v>
          </cell>
        </row>
        <row r="24">
          <cell r="A24" t="b">
            <v>1</v>
          </cell>
        </row>
        <row r="25">
          <cell r="A25" t="b">
            <v>1</v>
          </cell>
        </row>
        <row r="26">
          <cell r="A26" t="b">
            <v>0</v>
          </cell>
        </row>
        <row r="27">
          <cell r="A27" t="b">
            <v>1</v>
          </cell>
        </row>
        <row r="28">
          <cell r="A28" t="b">
            <v>1</v>
          </cell>
        </row>
        <row r="29">
          <cell r="A29" t="b">
            <v>1</v>
          </cell>
        </row>
        <row r="30">
          <cell r="A30" t="b">
            <v>1</v>
          </cell>
        </row>
        <row r="31">
          <cell r="A31" t="b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tggwan(mac)"/>
      <sheetName val="기계경비"/>
    </sheetNames>
    <sheetDataSet>
      <sheetData sheetId="0" refreshError="1">
        <row r="3">
          <cell r="C3" t="str">
            <v>2단파고라4.0x4.0x2EA</v>
          </cell>
          <cell r="D3">
            <v>1</v>
          </cell>
          <cell r="E3" t="str">
            <v>EA</v>
          </cell>
          <cell r="F3">
            <v>10000000</v>
          </cell>
          <cell r="G3">
            <v>10000000</v>
          </cell>
          <cell r="H3">
            <v>3000000</v>
          </cell>
          <cell r="I3">
            <v>3000000</v>
          </cell>
          <cell r="J3">
            <v>7000000</v>
          </cell>
          <cell r="K3">
            <v>7000000</v>
          </cell>
          <cell r="L3">
            <v>0</v>
          </cell>
          <cell r="M3">
            <v>0</v>
          </cell>
        </row>
        <row r="4">
          <cell r="C4" t="str">
            <v>26호옹벽마감</v>
          </cell>
          <cell r="D4">
            <v>1</v>
          </cell>
          <cell r="E4" t="str">
            <v>식</v>
          </cell>
          <cell r="F4">
            <v>39000000</v>
          </cell>
          <cell r="G4">
            <v>39000000</v>
          </cell>
          <cell r="H4">
            <v>13700000</v>
          </cell>
          <cell r="I4">
            <v>13700000</v>
          </cell>
          <cell r="J4">
            <v>25300000</v>
          </cell>
          <cell r="K4">
            <v>25300000</v>
          </cell>
          <cell r="L4" t="str">
            <v/>
          </cell>
          <cell r="M4">
            <v>0</v>
          </cell>
        </row>
        <row r="5">
          <cell r="C5" t="str">
            <v>가벽H1200</v>
          </cell>
          <cell r="D5">
            <v>1</v>
          </cell>
          <cell r="E5" t="str">
            <v>m</v>
          </cell>
          <cell r="F5">
            <v>296000</v>
          </cell>
          <cell r="G5">
            <v>296000</v>
          </cell>
          <cell r="H5">
            <v>66000</v>
          </cell>
          <cell r="I5">
            <v>66000</v>
          </cell>
          <cell r="J5">
            <v>230000</v>
          </cell>
          <cell r="K5">
            <v>230000</v>
          </cell>
          <cell r="L5">
            <v>0</v>
          </cell>
          <cell r="M5">
            <v>0</v>
          </cell>
        </row>
        <row r="6">
          <cell r="C6" t="str">
            <v>가벽H900</v>
          </cell>
          <cell r="D6">
            <v>1</v>
          </cell>
          <cell r="E6" t="str">
            <v>m</v>
          </cell>
          <cell r="F6">
            <v>241000</v>
          </cell>
          <cell r="G6">
            <v>241000</v>
          </cell>
          <cell r="H6">
            <v>61000</v>
          </cell>
          <cell r="I6">
            <v>61000</v>
          </cell>
          <cell r="J6">
            <v>180000</v>
          </cell>
          <cell r="K6">
            <v>180000</v>
          </cell>
          <cell r="L6">
            <v>0</v>
          </cell>
          <cell r="M6">
            <v>0</v>
          </cell>
        </row>
        <row r="7">
          <cell r="C7" t="str">
            <v>가벽1L6600</v>
          </cell>
          <cell r="D7">
            <v>1</v>
          </cell>
          <cell r="E7" t="str">
            <v>개소</v>
          </cell>
          <cell r="F7">
            <v>1940000</v>
          </cell>
          <cell r="G7">
            <v>1940000</v>
          </cell>
          <cell r="H7">
            <v>440000</v>
          </cell>
          <cell r="I7">
            <v>440000</v>
          </cell>
          <cell r="J7">
            <v>1500000</v>
          </cell>
          <cell r="K7">
            <v>1500000</v>
          </cell>
          <cell r="L7">
            <v>0</v>
          </cell>
          <cell r="M7">
            <v>0</v>
          </cell>
        </row>
        <row r="8">
          <cell r="C8" t="str">
            <v>가벽2L9300</v>
          </cell>
          <cell r="D8">
            <v>1</v>
          </cell>
          <cell r="E8" t="str">
            <v>개소</v>
          </cell>
          <cell r="F8">
            <v>2250000</v>
          </cell>
          <cell r="G8">
            <v>2250000</v>
          </cell>
          <cell r="H8">
            <v>550000</v>
          </cell>
          <cell r="I8">
            <v>550000</v>
          </cell>
          <cell r="J8">
            <v>1700000</v>
          </cell>
          <cell r="K8">
            <v>1700000</v>
          </cell>
          <cell r="L8">
            <v>0</v>
          </cell>
          <cell r="M8">
            <v>0</v>
          </cell>
        </row>
        <row r="9">
          <cell r="C9" t="str">
            <v>가벽3L3500</v>
          </cell>
          <cell r="D9">
            <v>1</v>
          </cell>
          <cell r="E9" t="str">
            <v>개소</v>
          </cell>
          <cell r="F9">
            <v>1980000</v>
          </cell>
          <cell r="G9">
            <v>1980000</v>
          </cell>
          <cell r="H9">
            <v>280000</v>
          </cell>
          <cell r="I9">
            <v>280000</v>
          </cell>
          <cell r="J9">
            <v>1700000</v>
          </cell>
          <cell r="K9">
            <v>1700000</v>
          </cell>
          <cell r="L9">
            <v>0</v>
          </cell>
          <cell r="M9">
            <v>0</v>
          </cell>
        </row>
        <row r="10">
          <cell r="C10" t="str">
            <v>가벽4L5000</v>
          </cell>
          <cell r="D10">
            <v>1</v>
          </cell>
          <cell r="E10" t="str">
            <v>개소</v>
          </cell>
          <cell r="F10">
            <v>2190000</v>
          </cell>
          <cell r="G10">
            <v>2190000</v>
          </cell>
          <cell r="H10">
            <v>390000</v>
          </cell>
          <cell r="I10">
            <v>390000</v>
          </cell>
          <cell r="J10">
            <v>1800000</v>
          </cell>
          <cell r="K10">
            <v>1800000</v>
          </cell>
          <cell r="L10">
            <v>0</v>
          </cell>
          <cell r="M10">
            <v>0</v>
          </cell>
        </row>
        <row r="11">
          <cell r="C11" t="str">
            <v>가벽A(산석)H500-1200</v>
          </cell>
          <cell r="D11">
            <v>1</v>
          </cell>
          <cell r="E11" t="str">
            <v>m2</v>
          </cell>
          <cell r="F11">
            <v>130000</v>
          </cell>
          <cell r="G11">
            <v>130000</v>
          </cell>
          <cell r="H11">
            <v>30000</v>
          </cell>
          <cell r="I11">
            <v>30000</v>
          </cell>
          <cell r="J11">
            <v>100000</v>
          </cell>
          <cell r="K11">
            <v>100000</v>
          </cell>
          <cell r="M11">
            <v>0</v>
          </cell>
        </row>
        <row r="12">
          <cell r="C12" t="str">
            <v>가벽B(산석)H300-500</v>
          </cell>
          <cell r="D12">
            <v>1</v>
          </cell>
          <cell r="E12" t="str">
            <v>m2</v>
          </cell>
          <cell r="F12">
            <v>120000</v>
          </cell>
          <cell r="G12">
            <v>120000</v>
          </cell>
          <cell r="H12">
            <v>20000</v>
          </cell>
          <cell r="I12">
            <v>20000</v>
          </cell>
          <cell r="J12">
            <v>100000</v>
          </cell>
          <cell r="K12">
            <v>100000</v>
          </cell>
          <cell r="M12">
            <v>0</v>
          </cell>
        </row>
        <row r="13">
          <cell r="C13" t="str">
            <v>가벽C(산석)H500-1000</v>
          </cell>
          <cell r="D13">
            <v>1</v>
          </cell>
          <cell r="E13" t="str">
            <v>m2</v>
          </cell>
          <cell r="F13">
            <v>125000</v>
          </cell>
          <cell r="G13">
            <v>125000</v>
          </cell>
          <cell r="H13">
            <v>25000</v>
          </cell>
          <cell r="I13">
            <v>25000</v>
          </cell>
          <cell r="J13">
            <v>100000</v>
          </cell>
          <cell r="K13">
            <v>100000</v>
          </cell>
          <cell r="M13">
            <v>0</v>
          </cell>
        </row>
        <row r="14">
          <cell r="C14" t="str">
            <v>가벽D(산석)H300-600</v>
          </cell>
          <cell r="D14">
            <v>1</v>
          </cell>
          <cell r="E14" t="str">
            <v>m2</v>
          </cell>
          <cell r="F14">
            <v>122000</v>
          </cell>
          <cell r="G14">
            <v>122000</v>
          </cell>
          <cell r="H14">
            <v>22000</v>
          </cell>
          <cell r="I14">
            <v>22000</v>
          </cell>
          <cell r="J14">
            <v>100000</v>
          </cell>
          <cell r="K14">
            <v>100000</v>
          </cell>
          <cell r="M14">
            <v>0</v>
          </cell>
        </row>
        <row r="15">
          <cell r="C15" t="str">
            <v>거석H2500</v>
          </cell>
          <cell r="D15">
            <v>1</v>
          </cell>
          <cell r="E15" t="str">
            <v>EA</v>
          </cell>
          <cell r="F15">
            <v>3180000</v>
          </cell>
          <cell r="G15">
            <v>3180000</v>
          </cell>
          <cell r="H15">
            <v>180000</v>
          </cell>
          <cell r="I15">
            <v>180000</v>
          </cell>
          <cell r="J15">
            <v>3000000</v>
          </cell>
          <cell r="K15">
            <v>3000000</v>
          </cell>
          <cell r="M15">
            <v>0</v>
          </cell>
        </row>
        <row r="16">
          <cell r="C16" t="str">
            <v>거석H3000</v>
          </cell>
          <cell r="D16">
            <v>1</v>
          </cell>
          <cell r="E16" t="str">
            <v>EA</v>
          </cell>
          <cell r="F16">
            <v>4500000</v>
          </cell>
          <cell r="G16">
            <v>4500000</v>
          </cell>
          <cell r="H16">
            <v>200000</v>
          </cell>
          <cell r="I16">
            <v>200000</v>
          </cell>
          <cell r="J16">
            <v>4300000</v>
          </cell>
          <cell r="K16">
            <v>4300000</v>
          </cell>
          <cell r="M16">
            <v>0</v>
          </cell>
        </row>
        <row r="17">
          <cell r="C17" t="str">
            <v>거석H3500</v>
          </cell>
          <cell r="D17">
            <v>1</v>
          </cell>
          <cell r="E17" t="str">
            <v>EA</v>
          </cell>
          <cell r="F17">
            <v>5000000</v>
          </cell>
          <cell r="G17">
            <v>5000000</v>
          </cell>
          <cell r="H17">
            <v>250000</v>
          </cell>
          <cell r="I17">
            <v>250000</v>
          </cell>
          <cell r="J17">
            <v>4750000</v>
          </cell>
          <cell r="K17">
            <v>4750000</v>
          </cell>
          <cell r="M17">
            <v>0</v>
          </cell>
        </row>
        <row r="18">
          <cell r="C18" t="str">
            <v>거석H4000</v>
          </cell>
          <cell r="D18">
            <v>1</v>
          </cell>
          <cell r="E18" t="str">
            <v>EA</v>
          </cell>
          <cell r="F18">
            <v>6000000</v>
          </cell>
          <cell r="G18">
            <v>6000000</v>
          </cell>
          <cell r="H18">
            <v>300000</v>
          </cell>
          <cell r="I18">
            <v>300000</v>
          </cell>
          <cell r="J18">
            <v>5700000</v>
          </cell>
          <cell r="K18">
            <v>5700000</v>
          </cell>
          <cell r="M18">
            <v>0</v>
          </cell>
        </row>
        <row r="19">
          <cell r="C19" t="str">
            <v>격자프레임H2500,W3500</v>
          </cell>
          <cell r="D19">
            <v>1</v>
          </cell>
          <cell r="E19" t="str">
            <v>EA</v>
          </cell>
          <cell r="F19">
            <v>2650000</v>
          </cell>
          <cell r="G19">
            <v>2650000</v>
          </cell>
          <cell r="H19">
            <v>550000</v>
          </cell>
          <cell r="I19">
            <v>550000</v>
          </cell>
          <cell r="J19">
            <v>2100000</v>
          </cell>
          <cell r="K19">
            <v>2100000</v>
          </cell>
          <cell r="L19">
            <v>0</v>
          </cell>
          <cell r="M19">
            <v>0</v>
          </cell>
        </row>
        <row r="20">
          <cell r="C20" t="str">
            <v>격자형파고라4000x4000</v>
          </cell>
          <cell r="D20">
            <v>1</v>
          </cell>
          <cell r="E20" t="str">
            <v>EA</v>
          </cell>
          <cell r="F20">
            <v>4460000</v>
          </cell>
          <cell r="G20">
            <v>4460000</v>
          </cell>
          <cell r="H20">
            <v>860000</v>
          </cell>
          <cell r="I20">
            <v>860000</v>
          </cell>
          <cell r="J20">
            <v>3600000</v>
          </cell>
          <cell r="K20">
            <v>3600000</v>
          </cell>
          <cell r="L20">
            <v>0</v>
          </cell>
          <cell r="M20">
            <v>0</v>
          </cell>
        </row>
        <row r="21">
          <cell r="C21" t="str">
            <v>격자형파고라5000x2500</v>
          </cell>
          <cell r="D21">
            <v>1</v>
          </cell>
          <cell r="E21" t="str">
            <v>EA</v>
          </cell>
          <cell r="F21">
            <v>4800000</v>
          </cell>
          <cell r="G21">
            <v>4800000</v>
          </cell>
          <cell r="H21">
            <v>950000</v>
          </cell>
          <cell r="I21">
            <v>950000</v>
          </cell>
          <cell r="J21">
            <v>3850000</v>
          </cell>
          <cell r="K21">
            <v>3850000</v>
          </cell>
          <cell r="L21">
            <v>0</v>
          </cell>
          <cell r="M21">
            <v>0</v>
          </cell>
        </row>
        <row r="22">
          <cell r="C22" t="str">
            <v>격자형파고라6000x4000</v>
          </cell>
          <cell r="D22">
            <v>1</v>
          </cell>
          <cell r="E22" t="str">
            <v>EA</v>
          </cell>
          <cell r="F22">
            <v>5280000</v>
          </cell>
          <cell r="G22">
            <v>5280000</v>
          </cell>
          <cell r="H22">
            <v>980000</v>
          </cell>
          <cell r="I22">
            <v>980000</v>
          </cell>
          <cell r="J22">
            <v>4300000</v>
          </cell>
          <cell r="K22">
            <v>4300000</v>
          </cell>
          <cell r="L22">
            <v>0</v>
          </cell>
          <cell r="M22">
            <v>0</v>
          </cell>
        </row>
        <row r="23">
          <cell r="C23" t="str">
            <v>격자형파고라7500x2500</v>
          </cell>
          <cell r="D23">
            <v>1</v>
          </cell>
          <cell r="E23" t="str">
            <v>EA</v>
          </cell>
          <cell r="F23">
            <v>6300000</v>
          </cell>
          <cell r="G23">
            <v>6300000</v>
          </cell>
          <cell r="H23">
            <v>1500000</v>
          </cell>
          <cell r="I23">
            <v>1500000</v>
          </cell>
          <cell r="J23">
            <v>4800000</v>
          </cell>
          <cell r="K23">
            <v>4800000</v>
          </cell>
          <cell r="L23">
            <v>0</v>
          </cell>
          <cell r="M23">
            <v>0</v>
          </cell>
        </row>
        <row r="24">
          <cell r="C24" t="str">
            <v>경량토일반토:경량토=1:1</v>
          </cell>
          <cell r="D24">
            <v>1</v>
          </cell>
          <cell r="E24" t="str">
            <v>m3</v>
          </cell>
          <cell r="F24">
            <v>50000</v>
          </cell>
          <cell r="G24">
            <v>50000</v>
          </cell>
          <cell r="H24">
            <v>15000</v>
          </cell>
          <cell r="I24">
            <v>15000</v>
          </cell>
          <cell r="J24">
            <v>35000</v>
          </cell>
          <cell r="K24">
            <v>35000</v>
          </cell>
          <cell r="L24" t="str">
            <v/>
          </cell>
          <cell r="M24">
            <v>0</v>
          </cell>
        </row>
        <row r="25">
          <cell r="C25" t="str">
            <v>공중활주로120238</v>
          </cell>
          <cell r="D25">
            <v>1</v>
          </cell>
          <cell r="E25" t="str">
            <v>EA</v>
          </cell>
          <cell r="F25">
            <v>5300000</v>
          </cell>
          <cell r="G25">
            <v>5300000</v>
          </cell>
          <cell r="H25">
            <v>1600000</v>
          </cell>
          <cell r="I25">
            <v>1600000</v>
          </cell>
          <cell r="J25">
            <v>3700000</v>
          </cell>
          <cell r="K25">
            <v>3700000</v>
          </cell>
          <cell r="M25">
            <v>0</v>
          </cell>
        </row>
        <row r="26">
          <cell r="C26" t="str">
            <v>그네20214</v>
          </cell>
          <cell r="D26">
            <v>1</v>
          </cell>
          <cell r="E26" t="str">
            <v>EA</v>
          </cell>
          <cell r="F26">
            <v>1000000</v>
          </cell>
          <cell r="G26">
            <v>1000000</v>
          </cell>
          <cell r="H26">
            <v>310000</v>
          </cell>
          <cell r="I26">
            <v>310000</v>
          </cell>
          <cell r="J26">
            <v>690000</v>
          </cell>
          <cell r="K26">
            <v>690000</v>
          </cell>
          <cell r="M26">
            <v>0</v>
          </cell>
        </row>
        <row r="27">
          <cell r="C27" t="str">
            <v>그늘쉼터101017</v>
          </cell>
          <cell r="D27">
            <v>1</v>
          </cell>
          <cell r="E27" t="str">
            <v>EA</v>
          </cell>
          <cell r="F27">
            <v>890000</v>
          </cell>
          <cell r="G27">
            <v>890000</v>
          </cell>
          <cell r="H27">
            <v>270000</v>
          </cell>
          <cell r="I27">
            <v>270000</v>
          </cell>
          <cell r="J27">
            <v>620000</v>
          </cell>
          <cell r="K27">
            <v>620000</v>
          </cell>
          <cell r="M27">
            <v>0</v>
          </cell>
        </row>
        <row r="28">
          <cell r="C28" t="str">
            <v>기차놀이120352</v>
          </cell>
          <cell r="D28">
            <v>1</v>
          </cell>
          <cell r="E28" t="str">
            <v>EA</v>
          </cell>
          <cell r="F28">
            <v>7300000</v>
          </cell>
          <cell r="G28">
            <v>7300000</v>
          </cell>
          <cell r="H28">
            <v>2200000</v>
          </cell>
          <cell r="I28">
            <v>2200000</v>
          </cell>
          <cell r="J28">
            <v>5100000</v>
          </cell>
          <cell r="K28">
            <v>5100000</v>
          </cell>
          <cell r="M28">
            <v>0</v>
          </cell>
        </row>
        <row r="29">
          <cell r="C29" t="str">
            <v>꽃잎배101072</v>
          </cell>
          <cell r="D29">
            <v>1</v>
          </cell>
          <cell r="E29" t="str">
            <v>EA</v>
          </cell>
          <cell r="F29">
            <v>2000000</v>
          </cell>
          <cell r="G29">
            <v>2000000</v>
          </cell>
          <cell r="H29">
            <v>600000</v>
          </cell>
          <cell r="I29">
            <v>600000</v>
          </cell>
          <cell r="J29">
            <v>1400000</v>
          </cell>
          <cell r="K29">
            <v>1400000</v>
          </cell>
          <cell r="M29">
            <v>0</v>
          </cell>
        </row>
        <row r="30">
          <cell r="C30" t="str">
            <v>나무쉼터101012</v>
          </cell>
          <cell r="D30">
            <v>1</v>
          </cell>
          <cell r="E30" t="str">
            <v>EA</v>
          </cell>
          <cell r="F30">
            <v>800000</v>
          </cell>
          <cell r="G30">
            <v>800000</v>
          </cell>
          <cell r="H30">
            <v>240000</v>
          </cell>
          <cell r="I30">
            <v>240000</v>
          </cell>
          <cell r="J30">
            <v>560000</v>
          </cell>
          <cell r="K30">
            <v>560000</v>
          </cell>
          <cell r="M30">
            <v>0</v>
          </cell>
        </row>
        <row r="31">
          <cell r="C31" t="str">
            <v>녹지경계석150x150x1000,곡선</v>
          </cell>
          <cell r="D31">
            <v>1</v>
          </cell>
          <cell r="E31" t="str">
            <v>m</v>
          </cell>
          <cell r="F31">
            <v>28000</v>
          </cell>
          <cell r="G31">
            <v>28000</v>
          </cell>
          <cell r="H31">
            <v>7000</v>
          </cell>
          <cell r="I31">
            <v>7000</v>
          </cell>
          <cell r="J31">
            <v>21000</v>
          </cell>
          <cell r="K31">
            <v>21000</v>
          </cell>
          <cell r="M31">
            <v>0</v>
          </cell>
        </row>
        <row r="32">
          <cell r="C32" t="str">
            <v>녹지경계석150x150x1000,직선</v>
          </cell>
          <cell r="D32">
            <v>1</v>
          </cell>
          <cell r="E32" t="str">
            <v>m</v>
          </cell>
          <cell r="F32">
            <v>19500</v>
          </cell>
          <cell r="G32">
            <v>19500</v>
          </cell>
          <cell r="H32">
            <v>6500</v>
          </cell>
          <cell r="I32">
            <v>6500</v>
          </cell>
          <cell r="J32">
            <v>13000</v>
          </cell>
          <cell r="K32">
            <v>13000</v>
          </cell>
          <cell r="M32">
            <v>0</v>
          </cell>
        </row>
        <row r="33">
          <cell r="C33" t="str">
            <v>녹지경계석120x120x1000,직선</v>
          </cell>
          <cell r="D33">
            <v>1</v>
          </cell>
          <cell r="E33" t="str">
            <v>m</v>
          </cell>
          <cell r="F33">
            <v>7200</v>
          </cell>
          <cell r="G33">
            <v>7200</v>
          </cell>
          <cell r="H33">
            <v>4000</v>
          </cell>
          <cell r="I33">
            <v>4000</v>
          </cell>
          <cell r="J33">
            <v>3200</v>
          </cell>
          <cell r="K33">
            <v>3200</v>
          </cell>
          <cell r="M33">
            <v>0</v>
          </cell>
        </row>
        <row r="34">
          <cell r="C34" t="str">
            <v>놀이가벽1H=1300</v>
          </cell>
          <cell r="D34">
            <v>1</v>
          </cell>
          <cell r="E34" t="str">
            <v>EA</v>
          </cell>
          <cell r="F34">
            <v>920000</v>
          </cell>
          <cell r="G34">
            <v>920000</v>
          </cell>
          <cell r="H34">
            <v>280000</v>
          </cell>
          <cell r="I34">
            <v>280000</v>
          </cell>
          <cell r="J34">
            <v>640000</v>
          </cell>
          <cell r="K34">
            <v>640000</v>
          </cell>
          <cell r="M34">
            <v>0</v>
          </cell>
        </row>
        <row r="35">
          <cell r="C35" t="str">
            <v>놀이가벽2H1500,L5000</v>
          </cell>
          <cell r="D35">
            <v>1</v>
          </cell>
          <cell r="E35" t="str">
            <v>EA</v>
          </cell>
          <cell r="F35">
            <v>1210000</v>
          </cell>
          <cell r="G35">
            <v>1210000</v>
          </cell>
          <cell r="H35">
            <v>440000</v>
          </cell>
          <cell r="I35">
            <v>440000</v>
          </cell>
          <cell r="J35">
            <v>770000</v>
          </cell>
          <cell r="K35">
            <v>770000</v>
          </cell>
          <cell r="L35">
            <v>0</v>
          </cell>
          <cell r="M35">
            <v>0</v>
          </cell>
        </row>
        <row r="36">
          <cell r="C36" t="str">
            <v>놀이거울112231</v>
          </cell>
          <cell r="D36">
            <v>1</v>
          </cell>
          <cell r="E36" t="str">
            <v>EA</v>
          </cell>
          <cell r="F36">
            <v>3100000</v>
          </cell>
          <cell r="G36">
            <v>3100000</v>
          </cell>
          <cell r="H36">
            <v>900000</v>
          </cell>
          <cell r="I36">
            <v>900000</v>
          </cell>
          <cell r="J36">
            <v>2200000</v>
          </cell>
          <cell r="K36">
            <v>2200000</v>
          </cell>
          <cell r="M36">
            <v>0</v>
          </cell>
        </row>
        <row r="37">
          <cell r="C37" t="str">
            <v>놀이집120452</v>
          </cell>
          <cell r="D37">
            <v>1</v>
          </cell>
          <cell r="E37" t="str">
            <v>EA</v>
          </cell>
          <cell r="F37">
            <v>2700000</v>
          </cell>
          <cell r="G37">
            <v>2700000</v>
          </cell>
          <cell r="H37">
            <v>800000</v>
          </cell>
          <cell r="I37">
            <v>800000</v>
          </cell>
          <cell r="J37">
            <v>1900000</v>
          </cell>
          <cell r="K37">
            <v>1900000</v>
          </cell>
          <cell r="M37">
            <v>0</v>
          </cell>
        </row>
        <row r="38">
          <cell r="C38" t="str">
            <v>놀이집120454</v>
          </cell>
          <cell r="D38">
            <v>1</v>
          </cell>
          <cell r="E38" t="str">
            <v>EA</v>
          </cell>
          <cell r="F38">
            <v>1700000</v>
          </cell>
          <cell r="G38">
            <v>1700000</v>
          </cell>
          <cell r="H38">
            <v>500000</v>
          </cell>
          <cell r="I38">
            <v>500000</v>
          </cell>
          <cell r="J38">
            <v>1200000</v>
          </cell>
          <cell r="K38">
            <v>1200000</v>
          </cell>
          <cell r="M38">
            <v>0</v>
          </cell>
        </row>
        <row r="39">
          <cell r="C39" t="str">
            <v>농구대</v>
          </cell>
          <cell r="D39">
            <v>1</v>
          </cell>
          <cell r="E39" t="str">
            <v>개소</v>
          </cell>
          <cell r="F39">
            <v>1900000</v>
          </cell>
          <cell r="G39">
            <v>1900000</v>
          </cell>
          <cell r="H39">
            <v>200000</v>
          </cell>
          <cell r="I39">
            <v>200000</v>
          </cell>
          <cell r="J39">
            <v>1700000</v>
          </cell>
          <cell r="K39">
            <v>1700000</v>
          </cell>
          <cell r="M39">
            <v>0</v>
          </cell>
        </row>
        <row r="40">
          <cell r="C40" t="str">
            <v>단식의자400x400xH400</v>
          </cell>
          <cell r="D40">
            <v>1</v>
          </cell>
          <cell r="E40" t="str">
            <v>EA</v>
          </cell>
          <cell r="F40">
            <v>350000</v>
          </cell>
          <cell r="G40">
            <v>350000</v>
          </cell>
          <cell r="I40">
            <v>0</v>
          </cell>
          <cell r="J40">
            <v>350000</v>
          </cell>
          <cell r="K40">
            <v>350000</v>
          </cell>
          <cell r="M40">
            <v>0</v>
          </cell>
        </row>
        <row r="41">
          <cell r="C41" t="str">
            <v>등의자51611</v>
          </cell>
          <cell r="D41">
            <v>1</v>
          </cell>
          <cell r="E41" t="str">
            <v>개소</v>
          </cell>
          <cell r="F41">
            <v>389000</v>
          </cell>
          <cell r="G41">
            <v>389000</v>
          </cell>
          <cell r="H41">
            <v>39000</v>
          </cell>
          <cell r="I41">
            <v>39000</v>
          </cell>
          <cell r="J41">
            <v>350000</v>
          </cell>
          <cell r="K41">
            <v>350000</v>
          </cell>
          <cell r="L41">
            <v>0</v>
          </cell>
          <cell r="M41">
            <v>0</v>
          </cell>
        </row>
        <row r="42">
          <cell r="C42" t="str">
            <v>등의자540</v>
          </cell>
          <cell r="D42">
            <v>1</v>
          </cell>
          <cell r="E42" t="str">
            <v>EA</v>
          </cell>
          <cell r="F42">
            <v>274000</v>
          </cell>
          <cell r="G42">
            <v>274000</v>
          </cell>
          <cell r="I42">
            <v>0</v>
          </cell>
          <cell r="J42">
            <v>274000</v>
          </cell>
          <cell r="K42">
            <v>274000</v>
          </cell>
          <cell r="M42">
            <v>0</v>
          </cell>
        </row>
        <row r="43">
          <cell r="C43" t="str">
            <v>등의자W460xL1800</v>
          </cell>
          <cell r="D43">
            <v>1</v>
          </cell>
          <cell r="E43" t="str">
            <v>EA</v>
          </cell>
          <cell r="F43">
            <v>0</v>
          </cell>
          <cell r="G43">
            <v>0</v>
          </cell>
          <cell r="H43" t="str">
            <v/>
          </cell>
          <cell r="I43">
            <v>0</v>
          </cell>
          <cell r="J43" t="str">
            <v/>
          </cell>
          <cell r="K43">
            <v>0</v>
          </cell>
          <cell r="L43" t="str">
            <v/>
          </cell>
          <cell r="M43">
            <v>0</v>
          </cell>
        </row>
        <row r="44">
          <cell r="C44" t="str">
            <v>등의자W590xL1800</v>
          </cell>
          <cell r="D44">
            <v>1</v>
          </cell>
          <cell r="E44" t="str">
            <v>EA</v>
          </cell>
          <cell r="F44">
            <v>0</v>
          </cell>
          <cell r="G44">
            <v>0</v>
          </cell>
          <cell r="H44" t="str">
            <v/>
          </cell>
          <cell r="I44">
            <v>0</v>
          </cell>
          <cell r="J44" t="str">
            <v/>
          </cell>
          <cell r="K44">
            <v>0</v>
          </cell>
          <cell r="L44" t="str">
            <v/>
          </cell>
          <cell r="M44">
            <v>0</v>
          </cell>
        </row>
        <row r="45">
          <cell r="C45" t="str">
            <v>등의자W660xL1800</v>
          </cell>
          <cell r="D45">
            <v>1</v>
          </cell>
          <cell r="E45" t="str">
            <v>EA</v>
          </cell>
          <cell r="F45">
            <v>388000</v>
          </cell>
          <cell r="G45">
            <v>388000</v>
          </cell>
          <cell r="H45">
            <v>38000</v>
          </cell>
          <cell r="I45">
            <v>38000</v>
          </cell>
          <cell r="J45">
            <v>350000</v>
          </cell>
          <cell r="K45">
            <v>350000</v>
          </cell>
          <cell r="L45">
            <v>0</v>
          </cell>
          <cell r="M45">
            <v>0</v>
          </cell>
        </row>
        <row r="46">
          <cell r="C46" t="str">
            <v>디딤통나무D500</v>
          </cell>
          <cell r="D46">
            <v>1</v>
          </cell>
          <cell r="E46" t="str">
            <v>EA</v>
          </cell>
          <cell r="F46">
            <v>460000</v>
          </cell>
          <cell r="G46">
            <v>460000</v>
          </cell>
          <cell r="H46">
            <v>0</v>
          </cell>
          <cell r="I46">
            <v>0</v>
          </cell>
          <cell r="J46">
            <v>460000</v>
          </cell>
          <cell r="K46">
            <v>460000</v>
          </cell>
          <cell r="M46">
            <v>0</v>
          </cell>
        </row>
        <row r="47">
          <cell r="C47" t="str">
            <v>라인마킹W0.04</v>
          </cell>
          <cell r="D47">
            <v>1</v>
          </cell>
          <cell r="E47" t="str">
            <v>면</v>
          </cell>
          <cell r="F47">
            <v>1438100</v>
          </cell>
          <cell r="G47">
            <v>1438100</v>
          </cell>
          <cell r="H47">
            <v>250000</v>
          </cell>
          <cell r="I47">
            <v>250000</v>
          </cell>
          <cell r="J47">
            <v>1188000</v>
          </cell>
          <cell r="K47">
            <v>1188000</v>
          </cell>
          <cell r="L47">
            <v>100</v>
          </cell>
          <cell r="M47">
            <v>100</v>
          </cell>
        </row>
        <row r="48">
          <cell r="C48" t="str">
            <v>라인마킹W0.05</v>
          </cell>
          <cell r="D48">
            <v>1</v>
          </cell>
          <cell r="E48" t="str">
            <v>m</v>
          </cell>
          <cell r="F48">
            <v>6000</v>
          </cell>
          <cell r="G48">
            <v>6000</v>
          </cell>
          <cell r="H48">
            <v>4800</v>
          </cell>
          <cell r="I48">
            <v>4800</v>
          </cell>
          <cell r="J48">
            <v>1100</v>
          </cell>
          <cell r="K48">
            <v>1100</v>
          </cell>
          <cell r="L48">
            <v>100</v>
          </cell>
          <cell r="M48">
            <v>100</v>
          </cell>
        </row>
        <row r="49">
          <cell r="C49" t="str">
            <v>락카</v>
          </cell>
          <cell r="D49">
            <v>1</v>
          </cell>
          <cell r="E49" t="str">
            <v>개소</v>
          </cell>
          <cell r="F49">
            <v>3700000</v>
          </cell>
          <cell r="G49">
            <v>3700000</v>
          </cell>
          <cell r="H49">
            <v>200000</v>
          </cell>
          <cell r="I49">
            <v>200000</v>
          </cell>
          <cell r="J49">
            <v>3500000</v>
          </cell>
          <cell r="K49">
            <v>3500000</v>
          </cell>
          <cell r="M49">
            <v>0</v>
          </cell>
        </row>
        <row r="50">
          <cell r="C50" t="str">
            <v>레일링벤치H300x400xT30</v>
          </cell>
          <cell r="D50">
            <v>1</v>
          </cell>
          <cell r="E50" t="str">
            <v>개소</v>
          </cell>
          <cell r="F50">
            <v>480000</v>
          </cell>
          <cell r="G50">
            <v>480000</v>
          </cell>
          <cell r="I50">
            <v>0</v>
          </cell>
          <cell r="J50">
            <v>480000</v>
          </cell>
          <cell r="K50">
            <v>480000</v>
          </cell>
          <cell r="M50">
            <v>0</v>
          </cell>
        </row>
        <row r="51">
          <cell r="C51" t="str">
            <v>로켓101030</v>
          </cell>
          <cell r="D51">
            <v>1</v>
          </cell>
          <cell r="E51" t="str">
            <v>EA</v>
          </cell>
          <cell r="F51">
            <v>1300000</v>
          </cell>
          <cell r="G51">
            <v>1300000</v>
          </cell>
          <cell r="H51">
            <v>400000</v>
          </cell>
          <cell r="I51">
            <v>400000</v>
          </cell>
          <cell r="J51">
            <v>900000</v>
          </cell>
          <cell r="K51">
            <v>900000</v>
          </cell>
          <cell r="M51">
            <v>0</v>
          </cell>
        </row>
        <row r="52">
          <cell r="C52" t="str">
            <v>마사토포장THK150</v>
          </cell>
          <cell r="D52">
            <v>1</v>
          </cell>
          <cell r="E52" t="str">
            <v>m2</v>
          </cell>
          <cell r="F52">
            <v>6500</v>
          </cell>
          <cell r="G52">
            <v>6500</v>
          </cell>
          <cell r="H52">
            <v>4000</v>
          </cell>
          <cell r="I52">
            <v>4000</v>
          </cell>
          <cell r="J52">
            <v>2400</v>
          </cell>
          <cell r="K52">
            <v>2400</v>
          </cell>
          <cell r="L52">
            <v>100</v>
          </cell>
          <cell r="M52">
            <v>100</v>
          </cell>
        </row>
        <row r="53">
          <cell r="C53" t="str">
            <v>마사토포장THK300</v>
          </cell>
          <cell r="D53">
            <v>1</v>
          </cell>
          <cell r="E53" t="str">
            <v>m2</v>
          </cell>
          <cell r="F53">
            <v>15100</v>
          </cell>
          <cell r="G53">
            <v>15100</v>
          </cell>
          <cell r="H53">
            <v>11000</v>
          </cell>
          <cell r="I53">
            <v>11000</v>
          </cell>
          <cell r="J53">
            <v>4000</v>
          </cell>
          <cell r="K53">
            <v>4000</v>
          </cell>
          <cell r="L53">
            <v>100</v>
          </cell>
          <cell r="M53">
            <v>100</v>
          </cell>
        </row>
        <row r="54">
          <cell r="C54" t="str">
            <v>마운딩공</v>
          </cell>
          <cell r="D54">
            <v>1</v>
          </cell>
          <cell r="E54" t="str">
            <v>m3</v>
          </cell>
          <cell r="F54">
            <v>15000</v>
          </cell>
          <cell r="G54">
            <v>15000</v>
          </cell>
          <cell r="H54">
            <v>2000</v>
          </cell>
          <cell r="I54">
            <v>2000</v>
          </cell>
          <cell r="J54">
            <v>13000</v>
          </cell>
          <cell r="K54">
            <v>13000</v>
          </cell>
          <cell r="M54">
            <v>0</v>
          </cell>
        </row>
        <row r="55">
          <cell r="C55" t="str">
            <v>마천석판석포장T30</v>
          </cell>
          <cell r="D55">
            <v>1</v>
          </cell>
          <cell r="E55" t="str">
            <v>m2</v>
          </cell>
          <cell r="F55">
            <v>90000</v>
          </cell>
          <cell r="G55">
            <v>90000</v>
          </cell>
          <cell r="H55">
            <v>22000</v>
          </cell>
          <cell r="I55">
            <v>22000</v>
          </cell>
          <cell r="J55">
            <v>68000</v>
          </cell>
          <cell r="K55">
            <v>68000</v>
          </cell>
          <cell r="L55">
            <v>0</v>
          </cell>
          <cell r="M55">
            <v>0</v>
          </cell>
        </row>
        <row r="56">
          <cell r="C56" t="str">
            <v>막돌담장H1500xW600</v>
          </cell>
          <cell r="D56">
            <v>1</v>
          </cell>
          <cell r="E56" t="str">
            <v>m</v>
          </cell>
          <cell r="F56">
            <v>380000</v>
          </cell>
          <cell r="G56">
            <v>380000</v>
          </cell>
          <cell r="H56">
            <v>130000</v>
          </cell>
          <cell r="I56">
            <v>130000</v>
          </cell>
          <cell r="J56">
            <v>250000</v>
          </cell>
          <cell r="K56">
            <v>250000</v>
          </cell>
          <cell r="L56">
            <v>0</v>
          </cell>
          <cell r="M56">
            <v>0</v>
          </cell>
        </row>
        <row r="57">
          <cell r="C57" t="str">
            <v>맹암거(간선)D150</v>
          </cell>
          <cell r="D57">
            <v>1</v>
          </cell>
          <cell r="E57" t="str">
            <v>m</v>
          </cell>
          <cell r="F57">
            <v>13500</v>
          </cell>
          <cell r="G57">
            <v>13500</v>
          </cell>
          <cell r="H57">
            <v>6000</v>
          </cell>
          <cell r="I57">
            <v>6000</v>
          </cell>
          <cell r="J57">
            <v>7500</v>
          </cell>
          <cell r="K57">
            <v>7500</v>
          </cell>
          <cell r="M57">
            <v>0</v>
          </cell>
        </row>
        <row r="58">
          <cell r="C58" t="str">
            <v>맹암거(지선)D100</v>
          </cell>
          <cell r="D58">
            <v>1</v>
          </cell>
          <cell r="E58" t="str">
            <v>m</v>
          </cell>
          <cell r="F58">
            <v>11500</v>
          </cell>
          <cell r="G58">
            <v>11500</v>
          </cell>
          <cell r="H58">
            <v>5500</v>
          </cell>
          <cell r="I58">
            <v>5500</v>
          </cell>
          <cell r="J58">
            <v>6000</v>
          </cell>
          <cell r="K58">
            <v>6000</v>
          </cell>
          <cell r="M58">
            <v>0</v>
          </cell>
        </row>
        <row r="59">
          <cell r="C59" t="str">
            <v>모래&amp;놀이집122460</v>
          </cell>
          <cell r="D59">
            <v>1</v>
          </cell>
          <cell r="E59" t="str">
            <v>EA</v>
          </cell>
          <cell r="F59">
            <v>4600000</v>
          </cell>
          <cell r="G59">
            <v>4600000</v>
          </cell>
          <cell r="H59">
            <v>1100000</v>
          </cell>
          <cell r="I59">
            <v>1100000</v>
          </cell>
          <cell r="J59">
            <v>3500000</v>
          </cell>
          <cell r="K59">
            <v>3500000</v>
          </cell>
          <cell r="L59">
            <v>0</v>
          </cell>
          <cell r="M59">
            <v>0</v>
          </cell>
        </row>
        <row r="60">
          <cell r="C60" t="str">
            <v>모래&amp;놀이집403</v>
          </cell>
          <cell r="D60">
            <v>1</v>
          </cell>
          <cell r="E60" t="str">
            <v>EA</v>
          </cell>
          <cell r="F60">
            <v>7700000</v>
          </cell>
          <cell r="G60">
            <v>7700000</v>
          </cell>
          <cell r="H60">
            <v>2300000</v>
          </cell>
          <cell r="I60">
            <v>2300000</v>
          </cell>
          <cell r="J60">
            <v>5400000</v>
          </cell>
          <cell r="K60">
            <v>5400000</v>
          </cell>
          <cell r="M60">
            <v>0</v>
          </cell>
        </row>
        <row r="61">
          <cell r="C61" t="str">
            <v>모래&amp;놀이집405</v>
          </cell>
          <cell r="D61">
            <v>1</v>
          </cell>
          <cell r="E61" t="str">
            <v>EA</v>
          </cell>
          <cell r="F61">
            <v>5200000</v>
          </cell>
          <cell r="G61">
            <v>5200000</v>
          </cell>
          <cell r="H61">
            <v>1600000</v>
          </cell>
          <cell r="I61">
            <v>1600000</v>
          </cell>
          <cell r="J61">
            <v>3600000</v>
          </cell>
          <cell r="K61">
            <v>3600000</v>
          </cell>
          <cell r="M61">
            <v>0</v>
          </cell>
        </row>
        <row r="62">
          <cell r="C62" t="str">
            <v>모래놀이101056</v>
          </cell>
          <cell r="D62">
            <v>1</v>
          </cell>
          <cell r="E62" t="str">
            <v>EA</v>
          </cell>
          <cell r="F62">
            <v>1300000</v>
          </cell>
          <cell r="G62">
            <v>1300000</v>
          </cell>
          <cell r="H62">
            <v>390000</v>
          </cell>
          <cell r="I62">
            <v>390000</v>
          </cell>
          <cell r="J62">
            <v>910000</v>
          </cell>
          <cell r="K62">
            <v>910000</v>
          </cell>
          <cell r="M62">
            <v>0</v>
          </cell>
        </row>
        <row r="63">
          <cell r="C63" t="str">
            <v>모래놀이A120410</v>
          </cell>
          <cell r="D63">
            <v>1</v>
          </cell>
          <cell r="E63" t="str">
            <v>EA</v>
          </cell>
          <cell r="F63">
            <v>670000</v>
          </cell>
          <cell r="G63">
            <v>670000</v>
          </cell>
          <cell r="H63">
            <v>200000</v>
          </cell>
          <cell r="I63">
            <v>200000</v>
          </cell>
          <cell r="J63">
            <v>470000</v>
          </cell>
          <cell r="K63">
            <v>470000</v>
          </cell>
          <cell r="M63">
            <v>0</v>
          </cell>
        </row>
        <row r="64">
          <cell r="C64" t="str">
            <v>모래놀이B120412</v>
          </cell>
          <cell r="D64">
            <v>1</v>
          </cell>
          <cell r="E64" t="str">
            <v>EA</v>
          </cell>
          <cell r="F64">
            <v>1500000</v>
          </cell>
          <cell r="G64">
            <v>1500000</v>
          </cell>
          <cell r="H64">
            <v>400000</v>
          </cell>
          <cell r="I64">
            <v>400000</v>
          </cell>
          <cell r="J64">
            <v>1100000</v>
          </cell>
          <cell r="K64">
            <v>1100000</v>
          </cell>
          <cell r="M64">
            <v>0</v>
          </cell>
        </row>
        <row r="65">
          <cell r="C65" t="str">
            <v>모래막이W=190</v>
          </cell>
          <cell r="D65">
            <v>1</v>
          </cell>
          <cell r="E65" t="str">
            <v>m</v>
          </cell>
          <cell r="F65">
            <v>25900</v>
          </cell>
          <cell r="G65">
            <v>25900</v>
          </cell>
          <cell r="H65">
            <v>17000</v>
          </cell>
          <cell r="I65">
            <v>17000</v>
          </cell>
          <cell r="J65">
            <v>8900</v>
          </cell>
          <cell r="K65">
            <v>8900</v>
          </cell>
          <cell r="M65">
            <v>0</v>
          </cell>
        </row>
        <row r="66">
          <cell r="C66" t="str">
            <v>모래막이경계목D150</v>
          </cell>
          <cell r="D66">
            <v>1</v>
          </cell>
          <cell r="E66" t="str">
            <v>m</v>
          </cell>
          <cell r="F66">
            <v>43000</v>
          </cell>
          <cell r="G66">
            <v>43000</v>
          </cell>
          <cell r="H66">
            <v>12000</v>
          </cell>
          <cell r="I66">
            <v>12000</v>
          </cell>
          <cell r="J66">
            <v>31000</v>
          </cell>
          <cell r="K66">
            <v>31000</v>
          </cell>
          <cell r="L66">
            <v>0</v>
          </cell>
          <cell r="M66">
            <v>0</v>
          </cell>
        </row>
        <row r="67">
          <cell r="C67" t="str">
            <v>모래포설T=300</v>
          </cell>
          <cell r="D67">
            <v>1</v>
          </cell>
          <cell r="E67" t="str">
            <v>m2</v>
          </cell>
          <cell r="F67">
            <v>8500</v>
          </cell>
          <cell r="G67">
            <v>8500</v>
          </cell>
          <cell r="H67">
            <v>4500</v>
          </cell>
          <cell r="I67">
            <v>4500</v>
          </cell>
          <cell r="J67">
            <v>4000</v>
          </cell>
          <cell r="K67">
            <v>4000</v>
          </cell>
          <cell r="M67">
            <v>0</v>
          </cell>
        </row>
        <row r="68">
          <cell r="C68" t="str">
            <v>모험놀이대120031</v>
          </cell>
          <cell r="D68">
            <v>1</v>
          </cell>
          <cell r="E68" t="str">
            <v>EA</v>
          </cell>
          <cell r="F68">
            <v>4800000</v>
          </cell>
          <cell r="G68">
            <v>4800000</v>
          </cell>
          <cell r="H68">
            <v>1500000</v>
          </cell>
          <cell r="I68">
            <v>1500000</v>
          </cell>
          <cell r="J68">
            <v>3300000</v>
          </cell>
          <cell r="K68">
            <v>3300000</v>
          </cell>
          <cell r="M68">
            <v>0</v>
          </cell>
        </row>
        <row r="69">
          <cell r="C69" t="str">
            <v>모험놀이대120033</v>
          </cell>
          <cell r="D69">
            <v>1</v>
          </cell>
          <cell r="E69" t="str">
            <v>EA</v>
          </cell>
          <cell r="F69">
            <v>10500000</v>
          </cell>
          <cell r="G69">
            <v>10500000</v>
          </cell>
          <cell r="H69">
            <v>3300000</v>
          </cell>
          <cell r="I69">
            <v>3300000</v>
          </cell>
          <cell r="J69">
            <v>7200000</v>
          </cell>
          <cell r="K69">
            <v>7200000</v>
          </cell>
          <cell r="M69">
            <v>0</v>
          </cell>
        </row>
        <row r="70">
          <cell r="C70" t="str">
            <v>모험놀이대121110</v>
          </cell>
          <cell r="D70">
            <v>1</v>
          </cell>
          <cell r="E70" t="str">
            <v>EA</v>
          </cell>
          <cell r="F70">
            <v>5000000</v>
          </cell>
          <cell r="G70">
            <v>5000000</v>
          </cell>
          <cell r="H70">
            <v>1500000</v>
          </cell>
          <cell r="I70">
            <v>1500000</v>
          </cell>
          <cell r="J70">
            <v>3500000</v>
          </cell>
          <cell r="K70">
            <v>3500000</v>
          </cell>
          <cell r="M70">
            <v>0</v>
          </cell>
        </row>
        <row r="71">
          <cell r="C71" t="str">
            <v>모험놀이대138071</v>
          </cell>
          <cell r="D71">
            <v>1</v>
          </cell>
          <cell r="E71" t="str">
            <v>EA</v>
          </cell>
          <cell r="F71">
            <v>3600000</v>
          </cell>
          <cell r="G71">
            <v>3600000</v>
          </cell>
          <cell r="H71">
            <v>1100000</v>
          </cell>
          <cell r="I71">
            <v>1100000</v>
          </cell>
          <cell r="J71">
            <v>2500000</v>
          </cell>
          <cell r="K71">
            <v>2500000</v>
          </cell>
          <cell r="M71">
            <v>0</v>
          </cell>
        </row>
        <row r="72">
          <cell r="C72" t="str">
            <v>모험놀이대138074</v>
          </cell>
          <cell r="D72">
            <v>1</v>
          </cell>
          <cell r="E72" t="str">
            <v>EA</v>
          </cell>
          <cell r="F72">
            <v>8000000</v>
          </cell>
          <cell r="G72">
            <v>8000000</v>
          </cell>
          <cell r="H72">
            <v>2400000</v>
          </cell>
          <cell r="I72">
            <v>2400000</v>
          </cell>
          <cell r="J72">
            <v>5600000</v>
          </cell>
          <cell r="K72">
            <v>5600000</v>
          </cell>
          <cell r="M72">
            <v>0</v>
          </cell>
        </row>
        <row r="73">
          <cell r="C73" t="str">
            <v>모험놀이대138075</v>
          </cell>
          <cell r="D73">
            <v>1</v>
          </cell>
          <cell r="E73" t="str">
            <v>EA</v>
          </cell>
          <cell r="F73">
            <v>3800000</v>
          </cell>
          <cell r="G73">
            <v>3800000</v>
          </cell>
          <cell r="H73">
            <v>1200000</v>
          </cell>
          <cell r="I73">
            <v>1200000</v>
          </cell>
          <cell r="J73">
            <v>2600000</v>
          </cell>
          <cell r="K73">
            <v>2600000</v>
          </cell>
          <cell r="M73">
            <v>0</v>
          </cell>
        </row>
        <row r="74">
          <cell r="C74" t="str">
            <v>모험놀이대138401</v>
          </cell>
          <cell r="D74">
            <v>1</v>
          </cell>
          <cell r="E74" t="str">
            <v>EA</v>
          </cell>
          <cell r="F74">
            <v>3700000</v>
          </cell>
          <cell r="G74">
            <v>3700000</v>
          </cell>
          <cell r="H74">
            <v>1100000</v>
          </cell>
          <cell r="I74">
            <v>1100000</v>
          </cell>
          <cell r="J74">
            <v>2600000</v>
          </cell>
          <cell r="K74">
            <v>2600000</v>
          </cell>
          <cell r="M74">
            <v>0</v>
          </cell>
        </row>
        <row r="75">
          <cell r="C75" t="str">
            <v>목재난간H400</v>
          </cell>
          <cell r="D75">
            <v>1</v>
          </cell>
          <cell r="E75" t="str">
            <v>m</v>
          </cell>
          <cell r="F75">
            <v>72000</v>
          </cell>
          <cell r="G75">
            <v>72000</v>
          </cell>
          <cell r="H75">
            <v>17000</v>
          </cell>
          <cell r="I75">
            <v>17000</v>
          </cell>
          <cell r="J75">
            <v>55000</v>
          </cell>
          <cell r="K75">
            <v>55000</v>
          </cell>
          <cell r="L75">
            <v>0</v>
          </cell>
          <cell r="M75">
            <v>0</v>
          </cell>
        </row>
        <row r="76">
          <cell r="C76" t="str">
            <v>목재벤치H300</v>
          </cell>
          <cell r="D76">
            <v>1</v>
          </cell>
          <cell r="E76" t="str">
            <v>m</v>
          </cell>
          <cell r="F76">
            <v>150000</v>
          </cell>
          <cell r="G76">
            <v>150000</v>
          </cell>
          <cell r="I76">
            <v>0</v>
          </cell>
          <cell r="J76">
            <v>150000</v>
          </cell>
          <cell r="K76">
            <v>150000</v>
          </cell>
          <cell r="M76">
            <v>0</v>
          </cell>
        </row>
        <row r="77">
          <cell r="C77" t="str">
            <v>문경석판석포장T30</v>
          </cell>
          <cell r="D77">
            <v>1</v>
          </cell>
          <cell r="E77" t="str">
            <v>m2</v>
          </cell>
          <cell r="F77">
            <v>83000</v>
          </cell>
          <cell r="G77">
            <v>83000</v>
          </cell>
          <cell r="H77">
            <v>22000</v>
          </cell>
          <cell r="I77">
            <v>22000</v>
          </cell>
          <cell r="J77">
            <v>61000</v>
          </cell>
          <cell r="K77">
            <v>61000</v>
          </cell>
          <cell r="L77">
            <v>0</v>
          </cell>
          <cell r="M77">
            <v>0</v>
          </cell>
        </row>
        <row r="78">
          <cell r="C78" t="str">
            <v>문어조합놀이대QI0615</v>
          </cell>
          <cell r="D78">
            <v>1</v>
          </cell>
          <cell r="E78" t="str">
            <v>EA</v>
          </cell>
          <cell r="F78">
            <v>32000000</v>
          </cell>
          <cell r="G78">
            <v>32000000</v>
          </cell>
          <cell r="H78">
            <v>9500000</v>
          </cell>
          <cell r="I78">
            <v>9500000</v>
          </cell>
          <cell r="J78">
            <v>22500000</v>
          </cell>
          <cell r="K78">
            <v>22500000</v>
          </cell>
          <cell r="M78">
            <v>0</v>
          </cell>
        </row>
        <row r="79">
          <cell r="C79" t="str">
            <v>미로120450</v>
          </cell>
          <cell r="D79">
            <v>1</v>
          </cell>
          <cell r="E79" t="str">
            <v>EA</v>
          </cell>
          <cell r="F79">
            <v>6700000</v>
          </cell>
          <cell r="G79">
            <v>6700000</v>
          </cell>
          <cell r="H79">
            <v>2000000</v>
          </cell>
          <cell r="I79">
            <v>2000000</v>
          </cell>
          <cell r="J79">
            <v>4700000</v>
          </cell>
          <cell r="K79">
            <v>4700000</v>
          </cell>
          <cell r="M79">
            <v>0</v>
          </cell>
        </row>
        <row r="80">
          <cell r="C80" t="str">
            <v>발문양패턴</v>
          </cell>
          <cell r="D80">
            <v>1</v>
          </cell>
          <cell r="E80" t="str">
            <v>EA</v>
          </cell>
          <cell r="F80">
            <v>173000</v>
          </cell>
          <cell r="G80">
            <v>173000</v>
          </cell>
          <cell r="H80">
            <v>33000</v>
          </cell>
          <cell r="I80">
            <v>33000</v>
          </cell>
          <cell r="J80">
            <v>140000</v>
          </cell>
          <cell r="K80">
            <v>140000</v>
          </cell>
          <cell r="L80">
            <v>0</v>
          </cell>
          <cell r="M80">
            <v>0</v>
          </cell>
        </row>
        <row r="81">
          <cell r="C81" t="str">
            <v>방음벽</v>
          </cell>
          <cell r="D81">
            <v>1</v>
          </cell>
          <cell r="E81" t="str">
            <v>m</v>
          </cell>
          <cell r="F81">
            <v>650000</v>
          </cell>
          <cell r="G81">
            <v>650000</v>
          </cell>
          <cell r="H81">
            <v>200000</v>
          </cell>
          <cell r="I81">
            <v>200000</v>
          </cell>
          <cell r="J81">
            <v>450000</v>
          </cell>
          <cell r="K81">
            <v>450000</v>
          </cell>
          <cell r="M81">
            <v>0</v>
          </cell>
        </row>
        <row r="82">
          <cell r="C82" t="str">
            <v>배드민턴네트</v>
          </cell>
          <cell r="D82">
            <v>1</v>
          </cell>
          <cell r="E82" t="str">
            <v>개소</v>
          </cell>
          <cell r="F82">
            <v>70000</v>
          </cell>
          <cell r="G82">
            <v>70000</v>
          </cell>
          <cell r="I82">
            <v>0</v>
          </cell>
          <cell r="J82">
            <v>70000</v>
          </cell>
          <cell r="K82">
            <v>70000</v>
          </cell>
          <cell r="M82">
            <v>0</v>
          </cell>
        </row>
        <row r="83">
          <cell r="C83" t="str">
            <v>배드민턴포스트</v>
          </cell>
          <cell r="D83">
            <v>1</v>
          </cell>
          <cell r="E83" t="str">
            <v>조</v>
          </cell>
          <cell r="F83">
            <v>350000</v>
          </cell>
          <cell r="G83">
            <v>350000</v>
          </cell>
          <cell r="H83">
            <v>100000</v>
          </cell>
          <cell r="I83">
            <v>100000</v>
          </cell>
          <cell r="J83">
            <v>250000</v>
          </cell>
          <cell r="K83">
            <v>250000</v>
          </cell>
          <cell r="M83">
            <v>0</v>
          </cell>
        </row>
        <row r="84">
          <cell r="C84" t="str">
            <v>배조합놀이대QG1189</v>
          </cell>
          <cell r="D84">
            <v>1</v>
          </cell>
          <cell r="E84" t="str">
            <v>EA</v>
          </cell>
          <cell r="F84">
            <v>26000000</v>
          </cell>
          <cell r="G84">
            <v>26000000</v>
          </cell>
          <cell r="H84">
            <v>8000000</v>
          </cell>
          <cell r="I84">
            <v>8000000</v>
          </cell>
          <cell r="J84">
            <v>18000000</v>
          </cell>
          <cell r="K84">
            <v>18000000</v>
          </cell>
          <cell r="M84">
            <v>0</v>
          </cell>
        </row>
        <row r="85">
          <cell r="C85" t="str">
            <v>벤치</v>
          </cell>
          <cell r="D85">
            <v>1</v>
          </cell>
          <cell r="E85" t="str">
            <v>EA</v>
          </cell>
          <cell r="F85">
            <v>1300000</v>
          </cell>
          <cell r="G85">
            <v>1300000</v>
          </cell>
          <cell r="I85">
            <v>0</v>
          </cell>
          <cell r="J85">
            <v>1300000</v>
          </cell>
          <cell r="K85">
            <v>1300000</v>
          </cell>
          <cell r="M85">
            <v>0</v>
          </cell>
        </row>
        <row r="86">
          <cell r="C86" t="str">
            <v>벽오르기112224</v>
          </cell>
          <cell r="D86">
            <v>1</v>
          </cell>
          <cell r="E86" t="str">
            <v>EA</v>
          </cell>
          <cell r="F86">
            <v>6000000</v>
          </cell>
          <cell r="G86">
            <v>6000000</v>
          </cell>
          <cell r="H86">
            <v>1500000</v>
          </cell>
          <cell r="I86">
            <v>1500000</v>
          </cell>
          <cell r="J86">
            <v>4500000</v>
          </cell>
          <cell r="K86">
            <v>4500000</v>
          </cell>
          <cell r="L86">
            <v>0</v>
          </cell>
          <cell r="M86">
            <v>0</v>
          </cell>
        </row>
        <row r="87">
          <cell r="C87" t="str">
            <v>벽오르기112225</v>
          </cell>
          <cell r="D87">
            <v>1</v>
          </cell>
          <cell r="E87" t="str">
            <v>EA</v>
          </cell>
          <cell r="F87">
            <v>8000000</v>
          </cell>
          <cell r="G87">
            <v>8000000</v>
          </cell>
          <cell r="H87">
            <v>2400000</v>
          </cell>
          <cell r="I87">
            <v>2400000</v>
          </cell>
          <cell r="J87">
            <v>5600000</v>
          </cell>
          <cell r="K87">
            <v>5600000</v>
          </cell>
          <cell r="M87">
            <v>0</v>
          </cell>
        </row>
        <row r="88">
          <cell r="C88" t="str">
            <v>별자리조합놀이대QG0272</v>
          </cell>
          <cell r="D88">
            <v>1</v>
          </cell>
          <cell r="E88" t="str">
            <v>EA</v>
          </cell>
          <cell r="F88">
            <v>26000000</v>
          </cell>
          <cell r="G88">
            <v>26000000</v>
          </cell>
          <cell r="H88">
            <v>7900000</v>
          </cell>
          <cell r="I88">
            <v>7900000</v>
          </cell>
          <cell r="J88">
            <v>18100000</v>
          </cell>
          <cell r="K88">
            <v>18100000</v>
          </cell>
          <cell r="M88">
            <v>0</v>
          </cell>
        </row>
        <row r="89">
          <cell r="C89" t="str">
            <v>사각파고라4000x4000</v>
          </cell>
          <cell r="D89">
            <v>1</v>
          </cell>
          <cell r="E89" t="str">
            <v>EA</v>
          </cell>
          <cell r="F89">
            <v>4500000</v>
          </cell>
          <cell r="G89">
            <v>4500000</v>
          </cell>
          <cell r="H89">
            <v>800000</v>
          </cell>
          <cell r="I89">
            <v>800000</v>
          </cell>
          <cell r="J89">
            <v>3700000</v>
          </cell>
          <cell r="K89">
            <v>3700000</v>
          </cell>
          <cell r="L89">
            <v>0</v>
          </cell>
          <cell r="M89">
            <v>0</v>
          </cell>
        </row>
        <row r="90">
          <cell r="C90" t="str">
            <v>사각플랜터1800x1800</v>
          </cell>
          <cell r="D90">
            <v>1</v>
          </cell>
          <cell r="E90" t="str">
            <v>EA</v>
          </cell>
          <cell r="F90">
            <v>890000</v>
          </cell>
          <cell r="G90">
            <v>890000</v>
          </cell>
          <cell r="H90">
            <v>390000</v>
          </cell>
          <cell r="I90">
            <v>390000</v>
          </cell>
          <cell r="J90">
            <v>500000</v>
          </cell>
          <cell r="K90">
            <v>500000</v>
          </cell>
          <cell r="L90">
            <v>0</v>
          </cell>
          <cell r="M90">
            <v>0</v>
          </cell>
        </row>
        <row r="91">
          <cell r="C91" t="str">
            <v>사각플랜터2000x2000x450</v>
          </cell>
          <cell r="D91">
            <v>1</v>
          </cell>
          <cell r="E91" t="str">
            <v>개소</v>
          </cell>
          <cell r="F91">
            <v>550000</v>
          </cell>
          <cell r="G91">
            <v>550000</v>
          </cell>
          <cell r="H91">
            <v>170000</v>
          </cell>
          <cell r="I91">
            <v>170000</v>
          </cell>
          <cell r="J91">
            <v>380000</v>
          </cell>
          <cell r="K91">
            <v>380000</v>
          </cell>
          <cell r="M91">
            <v>0</v>
          </cell>
        </row>
        <row r="92">
          <cell r="C92" t="str">
            <v>산벽계단W1500</v>
          </cell>
          <cell r="D92">
            <v>1</v>
          </cell>
          <cell r="E92" t="str">
            <v>EA</v>
          </cell>
          <cell r="F92">
            <v>720000</v>
          </cell>
          <cell r="G92">
            <v>720000</v>
          </cell>
          <cell r="H92">
            <v>80000</v>
          </cell>
          <cell r="I92">
            <v>80000</v>
          </cell>
          <cell r="J92">
            <v>640000</v>
          </cell>
          <cell r="K92">
            <v>640000</v>
          </cell>
          <cell r="M92">
            <v>0</v>
          </cell>
        </row>
        <row r="93">
          <cell r="C93" t="str">
            <v>산벽계단W2000</v>
          </cell>
          <cell r="D93">
            <v>1</v>
          </cell>
          <cell r="E93" t="str">
            <v>EA</v>
          </cell>
          <cell r="F93">
            <v>840000</v>
          </cell>
          <cell r="G93">
            <v>840000</v>
          </cell>
          <cell r="H93">
            <v>120000</v>
          </cell>
          <cell r="I93">
            <v>120000</v>
          </cell>
          <cell r="J93">
            <v>720000</v>
          </cell>
          <cell r="K93">
            <v>720000</v>
          </cell>
          <cell r="M93">
            <v>0</v>
          </cell>
        </row>
        <row r="94">
          <cell r="C94" t="str">
            <v>산석계단3단</v>
          </cell>
          <cell r="D94">
            <v>1</v>
          </cell>
          <cell r="E94" t="str">
            <v>개소</v>
          </cell>
          <cell r="F94">
            <v>259000</v>
          </cell>
          <cell r="G94">
            <v>259000</v>
          </cell>
          <cell r="H94">
            <v>59000</v>
          </cell>
          <cell r="I94">
            <v>59000</v>
          </cell>
          <cell r="J94">
            <v>200000</v>
          </cell>
          <cell r="K94">
            <v>200000</v>
          </cell>
          <cell r="L94" t="str">
            <v/>
          </cell>
          <cell r="M94">
            <v>0</v>
          </cell>
        </row>
        <row r="95">
          <cell r="C95" t="str">
            <v>산석쌓기H1000</v>
          </cell>
          <cell r="D95">
            <v>1</v>
          </cell>
          <cell r="E95" t="str">
            <v>개소</v>
          </cell>
          <cell r="F95">
            <v>230000</v>
          </cell>
          <cell r="G95">
            <v>230000</v>
          </cell>
          <cell r="H95">
            <v>50000</v>
          </cell>
          <cell r="I95">
            <v>50000</v>
          </cell>
          <cell r="J95">
            <v>180000</v>
          </cell>
          <cell r="K95">
            <v>180000</v>
          </cell>
          <cell r="M95">
            <v>0</v>
          </cell>
        </row>
        <row r="96">
          <cell r="C96" t="str">
            <v>산석쌓기H1200</v>
          </cell>
          <cell r="D96">
            <v>1</v>
          </cell>
          <cell r="E96" t="str">
            <v>m</v>
          </cell>
          <cell r="F96">
            <v>179000</v>
          </cell>
          <cell r="G96">
            <v>179000</v>
          </cell>
          <cell r="H96">
            <v>69000</v>
          </cell>
          <cell r="I96">
            <v>69000</v>
          </cell>
          <cell r="J96">
            <v>110000</v>
          </cell>
          <cell r="K96">
            <v>110000</v>
          </cell>
          <cell r="L96">
            <v>0</v>
          </cell>
          <cell r="M96">
            <v>0</v>
          </cell>
        </row>
        <row r="97">
          <cell r="C97" t="str">
            <v>산석쌓기H400</v>
          </cell>
          <cell r="D97">
            <v>1</v>
          </cell>
          <cell r="E97" t="str">
            <v>m</v>
          </cell>
          <cell r="F97">
            <v>85000</v>
          </cell>
          <cell r="G97">
            <v>85000</v>
          </cell>
          <cell r="H97">
            <v>35000</v>
          </cell>
          <cell r="I97">
            <v>35000</v>
          </cell>
          <cell r="J97">
            <v>50000</v>
          </cell>
          <cell r="K97">
            <v>50000</v>
          </cell>
          <cell r="M97">
            <v>0</v>
          </cell>
        </row>
        <row r="98">
          <cell r="C98" t="str">
            <v>산석쌓기H600</v>
          </cell>
          <cell r="D98">
            <v>1</v>
          </cell>
          <cell r="E98" t="str">
            <v>m</v>
          </cell>
          <cell r="F98">
            <v>123000</v>
          </cell>
          <cell r="G98">
            <v>123000</v>
          </cell>
          <cell r="H98">
            <v>44000</v>
          </cell>
          <cell r="I98">
            <v>44000</v>
          </cell>
          <cell r="J98">
            <v>79000</v>
          </cell>
          <cell r="K98">
            <v>79000</v>
          </cell>
          <cell r="L98">
            <v>0</v>
          </cell>
          <cell r="M98">
            <v>0</v>
          </cell>
        </row>
        <row r="99">
          <cell r="C99" t="str">
            <v>산석쌓기H6500</v>
          </cell>
          <cell r="D99">
            <v>1</v>
          </cell>
          <cell r="E99" t="str">
            <v>개소</v>
          </cell>
          <cell r="F99">
            <v>1300000</v>
          </cell>
          <cell r="G99">
            <v>1300000</v>
          </cell>
          <cell r="H99">
            <v>200000</v>
          </cell>
          <cell r="I99">
            <v>200000</v>
          </cell>
          <cell r="J99">
            <v>1100000</v>
          </cell>
          <cell r="K99">
            <v>1100000</v>
          </cell>
          <cell r="M99">
            <v>0</v>
          </cell>
        </row>
        <row r="100">
          <cell r="C100" t="str">
            <v>산석쌓기WallH500-1200</v>
          </cell>
          <cell r="D100">
            <v>1</v>
          </cell>
          <cell r="E100" t="str">
            <v>m2</v>
          </cell>
          <cell r="F100">
            <v>170000</v>
          </cell>
          <cell r="G100">
            <v>170000</v>
          </cell>
          <cell r="H100">
            <v>50000</v>
          </cell>
          <cell r="I100">
            <v>50000</v>
          </cell>
          <cell r="J100">
            <v>120000</v>
          </cell>
          <cell r="K100">
            <v>120000</v>
          </cell>
          <cell r="M100">
            <v>0</v>
          </cell>
        </row>
        <row r="101">
          <cell r="C101" t="str">
            <v>산석연식의자2000x600xH400</v>
          </cell>
          <cell r="D101">
            <v>1</v>
          </cell>
          <cell r="E101" t="str">
            <v>EA</v>
          </cell>
          <cell r="F101">
            <v>240000</v>
          </cell>
          <cell r="G101">
            <v>240000</v>
          </cell>
          <cell r="H101">
            <v>40000</v>
          </cell>
          <cell r="I101">
            <v>40000</v>
          </cell>
          <cell r="J101">
            <v>200000</v>
          </cell>
          <cell r="K101">
            <v>200000</v>
          </cell>
          <cell r="M101">
            <v>0</v>
          </cell>
        </row>
        <row r="102">
          <cell r="C102" t="str">
            <v>산석연식의자3000x600xH400</v>
          </cell>
          <cell r="D102">
            <v>1</v>
          </cell>
          <cell r="E102" t="str">
            <v>EA</v>
          </cell>
          <cell r="F102">
            <v>400000</v>
          </cell>
          <cell r="G102">
            <v>400000</v>
          </cell>
          <cell r="H102">
            <v>60000</v>
          </cell>
          <cell r="I102">
            <v>60000</v>
          </cell>
          <cell r="J102">
            <v>340000</v>
          </cell>
          <cell r="K102">
            <v>340000</v>
          </cell>
          <cell r="M102">
            <v>0</v>
          </cell>
        </row>
        <row r="103">
          <cell r="C103" t="str">
            <v>산석연식의자3500x600xH400</v>
          </cell>
          <cell r="D103">
            <v>1</v>
          </cell>
          <cell r="E103" t="str">
            <v>EA</v>
          </cell>
          <cell r="F103">
            <v>540000</v>
          </cell>
          <cell r="G103">
            <v>540000</v>
          </cell>
          <cell r="H103">
            <v>70000</v>
          </cell>
          <cell r="I103">
            <v>70000</v>
          </cell>
          <cell r="J103">
            <v>470000</v>
          </cell>
          <cell r="K103">
            <v>470000</v>
          </cell>
          <cell r="M103">
            <v>0</v>
          </cell>
        </row>
        <row r="104">
          <cell r="C104" t="str">
            <v>삼바10250</v>
          </cell>
          <cell r="D104">
            <v>1</v>
          </cell>
          <cell r="E104" t="str">
            <v>EA</v>
          </cell>
          <cell r="F104">
            <v>2000000</v>
          </cell>
          <cell r="G104">
            <v>2000000</v>
          </cell>
          <cell r="H104">
            <v>600000</v>
          </cell>
          <cell r="I104">
            <v>600000</v>
          </cell>
          <cell r="J104">
            <v>1400000</v>
          </cell>
          <cell r="K104">
            <v>1400000</v>
          </cell>
          <cell r="M104">
            <v>0</v>
          </cell>
        </row>
        <row r="105">
          <cell r="C105" t="str">
            <v>산석쌓기W450</v>
          </cell>
          <cell r="D105">
            <v>1</v>
          </cell>
          <cell r="E105" t="str">
            <v>m2</v>
          </cell>
          <cell r="F105">
            <v>226000</v>
          </cell>
          <cell r="G105">
            <v>226000</v>
          </cell>
          <cell r="H105">
            <v>76000</v>
          </cell>
          <cell r="I105">
            <v>76000</v>
          </cell>
          <cell r="J105">
            <v>150000</v>
          </cell>
          <cell r="K105">
            <v>150000</v>
          </cell>
          <cell r="L105">
            <v>0</v>
          </cell>
          <cell r="M105">
            <v>0</v>
          </cell>
        </row>
        <row r="106">
          <cell r="C106" t="str">
            <v>성조합놀이대120081</v>
          </cell>
          <cell r="D106">
            <v>1</v>
          </cell>
          <cell r="E106" t="str">
            <v>EA</v>
          </cell>
          <cell r="F106">
            <v>23000000</v>
          </cell>
          <cell r="G106">
            <v>23000000</v>
          </cell>
          <cell r="H106">
            <v>7000000</v>
          </cell>
          <cell r="I106">
            <v>7000000</v>
          </cell>
          <cell r="J106">
            <v>16000000</v>
          </cell>
          <cell r="K106">
            <v>16000000</v>
          </cell>
          <cell r="M106">
            <v>0</v>
          </cell>
        </row>
        <row r="107">
          <cell r="C107" t="str">
            <v>성조합놀이대QG0316</v>
          </cell>
          <cell r="D107">
            <v>1</v>
          </cell>
          <cell r="E107" t="str">
            <v>EA</v>
          </cell>
          <cell r="F107">
            <v>23000000</v>
          </cell>
          <cell r="G107">
            <v>23000000</v>
          </cell>
          <cell r="H107">
            <v>7000000</v>
          </cell>
          <cell r="I107">
            <v>7000000</v>
          </cell>
          <cell r="J107">
            <v>16000000</v>
          </cell>
          <cell r="K107">
            <v>16000000</v>
          </cell>
          <cell r="L107">
            <v>0</v>
          </cell>
          <cell r="M107">
            <v>0</v>
          </cell>
        </row>
        <row r="108">
          <cell r="C108" t="str">
            <v>성조합놀이대QG0618</v>
          </cell>
          <cell r="D108">
            <v>1</v>
          </cell>
          <cell r="E108" t="str">
            <v>EA</v>
          </cell>
          <cell r="F108">
            <v>23000000</v>
          </cell>
          <cell r="G108">
            <v>23000000</v>
          </cell>
          <cell r="H108">
            <v>7000000</v>
          </cell>
          <cell r="I108">
            <v>7000000</v>
          </cell>
          <cell r="J108">
            <v>16000000</v>
          </cell>
          <cell r="K108">
            <v>16000000</v>
          </cell>
          <cell r="M108">
            <v>0</v>
          </cell>
        </row>
        <row r="109">
          <cell r="C109" t="str">
            <v>소일콘포장</v>
          </cell>
          <cell r="D109">
            <v>1</v>
          </cell>
          <cell r="E109" t="str">
            <v>m2</v>
          </cell>
          <cell r="F109">
            <v>20700</v>
          </cell>
          <cell r="G109">
            <v>20700</v>
          </cell>
          <cell r="H109">
            <v>7700</v>
          </cell>
          <cell r="I109">
            <v>7700</v>
          </cell>
          <cell r="J109">
            <v>13000</v>
          </cell>
          <cell r="K109">
            <v>13000</v>
          </cell>
          <cell r="L109">
            <v>0</v>
          </cell>
          <cell r="M109">
            <v>0</v>
          </cell>
        </row>
        <row r="110">
          <cell r="C110" t="str">
            <v>소형고압블럭225x112.5x80,적색</v>
          </cell>
          <cell r="D110">
            <v>1</v>
          </cell>
          <cell r="E110" t="str">
            <v>m2</v>
          </cell>
          <cell r="F110">
            <v>15500</v>
          </cell>
          <cell r="G110">
            <v>15500</v>
          </cell>
          <cell r="H110">
            <v>6500</v>
          </cell>
          <cell r="I110">
            <v>6500</v>
          </cell>
          <cell r="J110">
            <v>8500</v>
          </cell>
          <cell r="K110">
            <v>8500</v>
          </cell>
          <cell r="L110">
            <v>500</v>
          </cell>
          <cell r="M110">
            <v>500</v>
          </cell>
        </row>
        <row r="111">
          <cell r="C111" t="str">
            <v>소형고압블럭225x112.5x80,회색</v>
          </cell>
          <cell r="D111">
            <v>1</v>
          </cell>
          <cell r="E111" t="str">
            <v>m2</v>
          </cell>
          <cell r="F111">
            <v>14500</v>
          </cell>
          <cell r="G111">
            <v>14500</v>
          </cell>
          <cell r="H111">
            <v>6500</v>
          </cell>
          <cell r="I111">
            <v>6500</v>
          </cell>
          <cell r="J111">
            <v>7500</v>
          </cell>
          <cell r="K111">
            <v>7500</v>
          </cell>
          <cell r="L111">
            <v>500</v>
          </cell>
          <cell r="M111">
            <v>500</v>
          </cell>
        </row>
        <row r="112">
          <cell r="C112" t="str">
            <v>소형고압블럭U형,T=60,적색</v>
          </cell>
          <cell r="D112">
            <v>1</v>
          </cell>
          <cell r="E112" t="str">
            <v>m2</v>
          </cell>
          <cell r="F112">
            <v>14000</v>
          </cell>
          <cell r="G112">
            <v>14000</v>
          </cell>
          <cell r="H112">
            <v>6000</v>
          </cell>
          <cell r="I112">
            <v>6000</v>
          </cell>
          <cell r="J112">
            <v>7500</v>
          </cell>
          <cell r="K112">
            <v>7500</v>
          </cell>
          <cell r="L112">
            <v>500</v>
          </cell>
          <cell r="M112">
            <v>500</v>
          </cell>
        </row>
        <row r="113">
          <cell r="C113" t="str">
            <v>소형고압블럭U형,T=60,회색</v>
          </cell>
          <cell r="D113">
            <v>1</v>
          </cell>
          <cell r="E113" t="str">
            <v>m2</v>
          </cell>
          <cell r="F113">
            <v>13500</v>
          </cell>
          <cell r="G113">
            <v>13500</v>
          </cell>
          <cell r="H113">
            <v>6000</v>
          </cell>
          <cell r="I113">
            <v>6000</v>
          </cell>
          <cell r="J113">
            <v>7000</v>
          </cell>
          <cell r="K113">
            <v>7000</v>
          </cell>
          <cell r="L113">
            <v>500</v>
          </cell>
          <cell r="M113">
            <v>500</v>
          </cell>
        </row>
        <row r="114">
          <cell r="C114" t="str">
            <v>수목보호겸용의자D2460</v>
          </cell>
          <cell r="D114">
            <v>1</v>
          </cell>
          <cell r="E114" t="str">
            <v>EA</v>
          </cell>
          <cell r="F114">
            <v>1250000</v>
          </cell>
          <cell r="G114">
            <v>1250000</v>
          </cell>
          <cell r="H114">
            <v>350000</v>
          </cell>
          <cell r="I114">
            <v>350000</v>
          </cell>
          <cell r="J114">
            <v>900000</v>
          </cell>
          <cell r="K114">
            <v>900000</v>
          </cell>
          <cell r="M114">
            <v>0</v>
          </cell>
        </row>
        <row r="115">
          <cell r="C115" t="str">
            <v>수목보호틀"A"H150-350</v>
          </cell>
          <cell r="D115">
            <v>1</v>
          </cell>
          <cell r="E115" t="str">
            <v>EA</v>
          </cell>
          <cell r="F115">
            <v>1300000</v>
          </cell>
          <cell r="G115">
            <v>1300000</v>
          </cell>
          <cell r="H115">
            <v>400000</v>
          </cell>
          <cell r="I115">
            <v>400000</v>
          </cell>
          <cell r="J115">
            <v>900000</v>
          </cell>
          <cell r="K115">
            <v>900000</v>
          </cell>
          <cell r="L115" t="str">
            <v/>
          </cell>
          <cell r="M115">
            <v>0</v>
          </cell>
        </row>
        <row r="116">
          <cell r="C116" t="str">
            <v>수목보호틀"B"H150-350</v>
          </cell>
          <cell r="D116">
            <v>1</v>
          </cell>
          <cell r="E116" t="str">
            <v>EA</v>
          </cell>
          <cell r="F116">
            <v>1100000</v>
          </cell>
          <cell r="G116">
            <v>1100000</v>
          </cell>
          <cell r="H116">
            <v>350000</v>
          </cell>
          <cell r="I116">
            <v>350000</v>
          </cell>
          <cell r="J116">
            <v>750000</v>
          </cell>
          <cell r="K116">
            <v>750000</v>
          </cell>
          <cell r="L116" t="str">
            <v/>
          </cell>
          <cell r="M116">
            <v>0</v>
          </cell>
        </row>
        <row r="117">
          <cell r="C117" t="str">
            <v>수목보호틀"C"H150-350</v>
          </cell>
          <cell r="D117">
            <v>1</v>
          </cell>
          <cell r="E117" t="str">
            <v>EA</v>
          </cell>
          <cell r="F117">
            <v>1100000</v>
          </cell>
          <cell r="G117">
            <v>1100000</v>
          </cell>
          <cell r="H117">
            <v>350000</v>
          </cell>
          <cell r="I117">
            <v>350000</v>
          </cell>
          <cell r="J117">
            <v>750000</v>
          </cell>
          <cell r="K117">
            <v>750000</v>
          </cell>
          <cell r="L117" t="str">
            <v/>
          </cell>
          <cell r="M117">
            <v>0</v>
          </cell>
        </row>
        <row r="118">
          <cell r="C118" t="str">
            <v>수목보호홀덮개1370x1370</v>
          </cell>
          <cell r="D118">
            <v>1</v>
          </cell>
          <cell r="E118" t="str">
            <v>EA</v>
          </cell>
          <cell r="F118">
            <v>150000</v>
          </cell>
          <cell r="G118">
            <v>150000</v>
          </cell>
          <cell r="H118">
            <v>20000</v>
          </cell>
          <cell r="I118">
            <v>20000</v>
          </cell>
          <cell r="J118">
            <v>130000</v>
          </cell>
          <cell r="K118">
            <v>130000</v>
          </cell>
          <cell r="M118">
            <v>0</v>
          </cell>
        </row>
        <row r="119">
          <cell r="C119" t="str">
            <v>스테시석놓기W500-900</v>
          </cell>
          <cell r="D119">
            <v>1</v>
          </cell>
          <cell r="E119" t="str">
            <v>EA</v>
          </cell>
          <cell r="F119">
            <v>580000</v>
          </cell>
          <cell r="G119">
            <v>580000</v>
          </cell>
          <cell r="H119">
            <v>130000</v>
          </cell>
          <cell r="I119">
            <v>130000</v>
          </cell>
          <cell r="J119">
            <v>450000</v>
          </cell>
          <cell r="K119">
            <v>450000</v>
          </cell>
          <cell r="M119">
            <v>0</v>
          </cell>
        </row>
        <row r="120">
          <cell r="C120" t="str">
            <v>스텐드계단12단,점토벽돌</v>
          </cell>
          <cell r="D120">
            <v>1</v>
          </cell>
          <cell r="E120" t="str">
            <v>개소</v>
          </cell>
          <cell r="F120">
            <v>1760000</v>
          </cell>
          <cell r="G120">
            <v>1760000</v>
          </cell>
          <cell r="H120">
            <v>660000</v>
          </cell>
          <cell r="I120">
            <v>660000</v>
          </cell>
          <cell r="J120">
            <v>1100000</v>
          </cell>
          <cell r="K120">
            <v>1100000</v>
          </cell>
          <cell r="L120" t="str">
            <v/>
          </cell>
          <cell r="M120">
            <v>0</v>
          </cell>
        </row>
        <row r="121">
          <cell r="C121" t="str">
            <v>스텐드계단18단,점토벽돌</v>
          </cell>
          <cell r="D121">
            <v>1</v>
          </cell>
          <cell r="E121" t="str">
            <v>개소</v>
          </cell>
          <cell r="F121">
            <v>1910000</v>
          </cell>
          <cell r="G121">
            <v>1910000</v>
          </cell>
          <cell r="H121">
            <v>710000</v>
          </cell>
          <cell r="I121">
            <v>710000</v>
          </cell>
          <cell r="J121">
            <v>1200000</v>
          </cell>
          <cell r="K121">
            <v>1200000</v>
          </cell>
          <cell r="L121" t="str">
            <v/>
          </cell>
          <cell r="M121">
            <v>0</v>
          </cell>
        </row>
        <row r="122">
          <cell r="C122" t="str">
            <v>스텐드의자합성목재+점토벽돌</v>
          </cell>
          <cell r="D122">
            <v>1</v>
          </cell>
          <cell r="E122" t="str">
            <v>m</v>
          </cell>
          <cell r="F122">
            <v>155000</v>
          </cell>
          <cell r="G122">
            <v>155000</v>
          </cell>
          <cell r="H122">
            <v>25000</v>
          </cell>
          <cell r="I122">
            <v>25000</v>
          </cell>
          <cell r="J122">
            <v>130000</v>
          </cell>
          <cell r="K122">
            <v>130000</v>
          </cell>
          <cell r="M122">
            <v>0</v>
          </cell>
        </row>
        <row r="123">
          <cell r="C123" t="str">
            <v>시이소10236</v>
          </cell>
          <cell r="D123">
            <v>1</v>
          </cell>
          <cell r="E123" t="str">
            <v>EA</v>
          </cell>
          <cell r="F123">
            <v>1700000</v>
          </cell>
          <cell r="G123">
            <v>1700000</v>
          </cell>
          <cell r="H123">
            <v>500000</v>
          </cell>
          <cell r="I123">
            <v>500000</v>
          </cell>
          <cell r="J123">
            <v>1200000</v>
          </cell>
          <cell r="K123">
            <v>1200000</v>
          </cell>
          <cell r="M123">
            <v>0</v>
          </cell>
        </row>
        <row r="124">
          <cell r="C124" t="str">
            <v>심판대</v>
          </cell>
          <cell r="D124">
            <v>1</v>
          </cell>
          <cell r="E124" t="str">
            <v>개소</v>
          </cell>
          <cell r="F124">
            <v>200000</v>
          </cell>
          <cell r="G124">
            <v>200000</v>
          </cell>
          <cell r="I124">
            <v>0</v>
          </cell>
          <cell r="J124">
            <v>200000</v>
          </cell>
          <cell r="K124">
            <v>200000</v>
          </cell>
          <cell r="M124">
            <v>0</v>
          </cell>
        </row>
        <row r="125">
          <cell r="C125" t="str">
            <v>쓰레기분리수거함5종+대형</v>
          </cell>
          <cell r="D125">
            <v>1</v>
          </cell>
          <cell r="E125" t="str">
            <v>개소</v>
          </cell>
          <cell r="F125">
            <v>910000</v>
          </cell>
          <cell r="G125">
            <v>910000</v>
          </cell>
          <cell r="I125">
            <v>0</v>
          </cell>
          <cell r="J125">
            <v>910000</v>
          </cell>
          <cell r="K125">
            <v>910000</v>
          </cell>
          <cell r="M125">
            <v>0</v>
          </cell>
        </row>
        <row r="126">
          <cell r="C126" t="str">
            <v>안내판W1100xH1200</v>
          </cell>
          <cell r="D126">
            <v>1</v>
          </cell>
          <cell r="E126" t="str">
            <v>EA</v>
          </cell>
          <cell r="F126">
            <v>1200000</v>
          </cell>
          <cell r="G126">
            <v>1200000</v>
          </cell>
          <cell r="H126">
            <v>200000</v>
          </cell>
          <cell r="I126">
            <v>200000</v>
          </cell>
          <cell r="J126">
            <v>1000000</v>
          </cell>
          <cell r="K126">
            <v>1000000</v>
          </cell>
          <cell r="L126">
            <v>0</v>
          </cell>
          <cell r="M126">
            <v>0</v>
          </cell>
        </row>
        <row r="127">
          <cell r="C127" t="str">
            <v>안내판류사인물,게시판 등</v>
          </cell>
          <cell r="D127">
            <v>1</v>
          </cell>
          <cell r="E127" t="str">
            <v>개소</v>
          </cell>
          <cell r="F127">
            <v>1300000</v>
          </cell>
          <cell r="G127">
            <v>1300000</v>
          </cell>
          <cell r="H127">
            <v>300000</v>
          </cell>
          <cell r="I127">
            <v>300000</v>
          </cell>
          <cell r="J127">
            <v>1000000</v>
          </cell>
          <cell r="K127">
            <v>1000000</v>
          </cell>
          <cell r="M127">
            <v>0</v>
          </cell>
        </row>
        <row r="128">
          <cell r="C128" t="str">
            <v>안전난간H800</v>
          </cell>
          <cell r="D128">
            <v>1</v>
          </cell>
          <cell r="E128" t="str">
            <v>m</v>
          </cell>
          <cell r="F128">
            <v>94000</v>
          </cell>
          <cell r="G128">
            <v>94000</v>
          </cell>
          <cell r="H128">
            <v>39000</v>
          </cell>
          <cell r="I128">
            <v>39000</v>
          </cell>
          <cell r="J128">
            <v>55000</v>
          </cell>
          <cell r="K128">
            <v>55000</v>
          </cell>
          <cell r="L128">
            <v>0</v>
          </cell>
          <cell r="M128">
            <v>0</v>
          </cell>
        </row>
        <row r="129">
          <cell r="C129" t="str">
            <v>앉음벽H=VAR</v>
          </cell>
          <cell r="D129">
            <v>1</v>
          </cell>
          <cell r="E129" t="str">
            <v>m</v>
          </cell>
          <cell r="F129">
            <v>132000</v>
          </cell>
          <cell r="G129">
            <v>132000</v>
          </cell>
          <cell r="H129">
            <v>55000</v>
          </cell>
          <cell r="I129">
            <v>55000</v>
          </cell>
          <cell r="J129">
            <v>77000</v>
          </cell>
          <cell r="K129">
            <v>77000</v>
          </cell>
          <cell r="L129">
            <v>0</v>
          </cell>
          <cell r="M129">
            <v>0</v>
          </cell>
        </row>
        <row r="130">
          <cell r="C130" t="str">
            <v>앉음벽H400,산석쌓기</v>
          </cell>
          <cell r="D130">
            <v>1</v>
          </cell>
          <cell r="E130" t="str">
            <v>m</v>
          </cell>
          <cell r="F130">
            <v>116000</v>
          </cell>
          <cell r="G130">
            <v>116000</v>
          </cell>
          <cell r="H130">
            <v>39000</v>
          </cell>
          <cell r="I130">
            <v>39000</v>
          </cell>
          <cell r="J130">
            <v>77000</v>
          </cell>
          <cell r="K130">
            <v>77000</v>
          </cell>
          <cell r="L130">
            <v>0</v>
          </cell>
          <cell r="M130">
            <v>0</v>
          </cell>
        </row>
        <row r="131">
          <cell r="C131" t="str">
            <v>앉음벽H400,L3.0</v>
          </cell>
          <cell r="D131">
            <v>1</v>
          </cell>
          <cell r="E131" t="str">
            <v>EA</v>
          </cell>
          <cell r="F131">
            <v>390000</v>
          </cell>
          <cell r="G131">
            <v>390000</v>
          </cell>
          <cell r="H131">
            <v>140000</v>
          </cell>
          <cell r="I131">
            <v>140000</v>
          </cell>
          <cell r="J131">
            <v>250000</v>
          </cell>
          <cell r="K131">
            <v>250000</v>
          </cell>
          <cell r="L131">
            <v>0</v>
          </cell>
          <cell r="M131">
            <v>0</v>
          </cell>
        </row>
        <row r="132">
          <cell r="C132" t="str">
            <v>앉음벽H400,L4.7,스타코마감</v>
          </cell>
          <cell r="D132">
            <v>1</v>
          </cell>
          <cell r="E132" t="str">
            <v>EA</v>
          </cell>
          <cell r="F132">
            <v>550000</v>
          </cell>
          <cell r="G132">
            <v>550000</v>
          </cell>
          <cell r="H132">
            <v>220000</v>
          </cell>
          <cell r="I132">
            <v>220000</v>
          </cell>
          <cell r="J132">
            <v>330000</v>
          </cell>
          <cell r="K132">
            <v>330000</v>
          </cell>
          <cell r="L132">
            <v>0</v>
          </cell>
          <cell r="M132">
            <v>0</v>
          </cell>
        </row>
        <row r="133">
          <cell r="C133" t="str">
            <v>앉음벽H540,산석쌓기</v>
          </cell>
          <cell r="D133">
            <v>1</v>
          </cell>
          <cell r="E133" t="str">
            <v>m</v>
          </cell>
          <cell r="F133">
            <v>123000</v>
          </cell>
          <cell r="G133">
            <v>123000</v>
          </cell>
          <cell r="H133">
            <v>44000</v>
          </cell>
          <cell r="I133">
            <v>44000</v>
          </cell>
          <cell r="J133">
            <v>79000</v>
          </cell>
          <cell r="K133">
            <v>79000</v>
          </cell>
          <cell r="L133">
            <v>0</v>
          </cell>
          <cell r="M133">
            <v>0</v>
          </cell>
        </row>
        <row r="134">
          <cell r="C134" t="str">
            <v>앉음벽L3000</v>
          </cell>
          <cell r="D134">
            <v>1</v>
          </cell>
          <cell r="E134" t="str">
            <v>EA</v>
          </cell>
          <cell r="F134">
            <v>520000</v>
          </cell>
          <cell r="G134">
            <v>520000</v>
          </cell>
          <cell r="H134">
            <v>170000</v>
          </cell>
          <cell r="I134">
            <v>170000</v>
          </cell>
          <cell r="J134">
            <v>350000</v>
          </cell>
          <cell r="K134">
            <v>350000</v>
          </cell>
          <cell r="L134">
            <v>0</v>
          </cell>
          <cell r="M134">
            <v>0</v>
          </cell>
        </row>
        <row r="135">
          <cell r="C135" t="str">
            <v>앉음벽L6.5,H=VAR</v>
          </cell>
          <cell r="D135">
            <v>1</v>
          </cell>
          <cell r="E135" t="str">
            <v>EA</v>
          </cell>
          <cell r="F135">
            <v>1650000</v>
          </cell>
          <cell r="G135">
            <v>1650000</v>
          </cell>
          <cell r="H135">
            <v>770000</v>
          </cell>
          <cell r="I135">
            <v>770000</v>
          </cell>
          <cell r="J135">
            <v>880000</v>
          </cell>
          <cell r="K135">
            <v>880000</v>
          </cell>
          <cell r="L135">
            <v>0</v>
          </cell>
          <cell r="M135">
            <v>0</v>
          </cell>
        </row>
        <row r="136">
          <cell r="C136" t="str">
            <v>야외무대R5000</v>
          </cell>
          <cell r="D136">
            <v>1</v>
          </cell>
          <cell r="E136" t="str">
            <v>개소</v>
          </cell>
          <cell r="F136">
            <v>2180000</v>
          </cell>
          <cell r="G136">
            <v>2180000</v>
          </cell>
          <cell r="H136">
            <v>880000</v>
          </cell>
          <cell r="I136">
            <v>880000</v>
          </cell>
          <cell r="J136">
            <v>1300000</v>
          </cell>
          <cell r="K136">
            <v>1300000</v>
          </cell>
          <cell r="L136">
            <v>0</v>
          </cell>
          <cell r="M136">
            <v>0</v>
          </cell>
        </row>
        <row r="137">
          <cell r="C137" t="str">
            <v>연식의자H450</v>
          </cell>
          <cell r="D137">
            <v>1</v>
          </cell>
          <cell r="E137" t="str">
            <v>m</v>
          </cell>
          <cell r="F137">
            <v>175000</v>
          </cell>
          <cell r="G137">
            <v>175000</v>
          </cell>
          <cell r="H137">
            <v>90000</v>
          </cell>
          <cell r="I137">
            <v>90000</v>
          </cell>
          <cell r="J137">
            <v>85000</v>
          </cell>
          <cell r="K137">
            <v>85000</v>
          </cell>
          <cell r="M137">
            <v>0</v>
          </cell>
        </row>
        <row r="138">
          <cell r="C138" t="str">
            <v>연식의자W390xR3600</v>
          </cell>
          <cell r="D138">
            <v>1</v>
          </cell>
          <cell r="E138" t="str">
            <v>m</v>
          </cell>
          <cell r="F138">
            <v>155000</v>
          </cell>
          <cell r="G138">
            <v>155000</v>
          </cell>
          <cell r="H138">
            <v>80000</v>
          </cell>
          <cell r="I138">
            <v>80000</v>
          </cell>
          <cell r="J138">
            <v>75000</v>
          </cell>
          <cell r="K138">
            <v>75000</v>
          </cell>
          <cell r="M138">
            <v>0</v>
          </cell>
        </row>
        <row r="139">
          <cell r="C139" t="str">
            <v>열주H3.0</v>
          </cell>
          <cell r="D139">
            <v>1</v>
          </cell>
          <cell r="E139" t="str">
            <v>개소</v>
          </cell>
          <cell r="F139">
            <v>2300000</v>
          </cell>
          <cell r="G139">
            <v>2300000</v>
          </cell>
          <cell r="H139">
            <v>650000</v>
          </cell>
          <cell r="I139">
            <v>650000</v>
          </cell>
          <cell r="J139">
            <v>1650000</v>
          </cell>
          <cell r="K139">
            <v>1650000</v>
          </cell>
          <cell r="M139">
            <v>0</v>
          </cell>
        </row>
        <row r="140">
          <cell r="C140" t="str">
            <v>오르기놀이120280</v>
          </cell>
          <cell r="D140">
            <v>1</v>
          </cell>
          <cell r="E140" t="str">
            <v>EA</v>
          </cell>
          <cell r="F140">
            <v>1200000</v>
          </cell>
          <cell r="G140">
            <v>1200000</v>
          </cell>
          <cell r="H140">
            <v>370000</v>
          </cell>
          <cell r="I140">
            <v>370000</v>
          </cell>
          <cell r="J140">
            <v>830000</v>
          </cell>
          <cell r="K140">
            <v>830000</v>
          </cell>
          <cell r="M140">
            <v>0</v>
          </cell>
        </row>
        <row r="141">
          <cell r="C141" t="str">
            <v>왈츠흔들놀이112340</v>
          </cell>
          <cell r="D141">
            <v>1</v>
          </cell>
          <cell r="E141" t="str">
            <v>EA</v>
          </cell>
          <cell r="F141">
            <v>3300000</v>
          </cell>
          <cell r="G141">
            <v>3300000</v>
          </cell>
          <cell r="H141">
            <v>1000000</v>
          </cell>
          <cell r="I141">
            <v>1000000</v>
          </cell>
          <cell r="J141">
            <v>2300000</v>
          </cell>
          <cell r="K141">
            <v>2300000</v>
          </cell>
          <cell r="M141">
            <v>0</v>
          </cell>
        </row>
        <row r="142">
          <cell r="C142" t="str">
            <v>용조합놀이대QG0870</v>
          </cell>
          <cell r="D142">
            <v>1</v>
          </cell>
          <cell r="E142" t="str">
            <v>EA</v>
          </cell>
          <cell r="F142">
            <v>24500000</v>
          </cell>
          <cell r="G142">
            <v>24500000</v>
          </cell>
          <cell r="H142">
            <v>7500000</v>
          </cell>
          <cell r="I142">
            <v>7500000</v>
          </cell>
          <cell r="J142">
            <v>17000000</v>
          </cell>
          <cell r="K142">
            <v>17000000</v>
          </cell>
          <cell r="M142">
            <v>0</v>
          </cell>
        </row>
        <row r="143">
          <cell r="C143" t="str">
            <v>우레탄포장THK7mm</v>
          </cell>
          <cell r="D143">
            <v>1</v>
          </cell>
          <cell r="E143" t="str">
            <v>m2</v>
          </cell>
          <cell r="F143">
            <v>59000</v>
          </cell>
          <cell r="G143">
            <v>59000</v>
          </cell>
          <cell r="H143">
            <v>13000</v>
          </cell>
          <cell r="I143">
            <v>13000</v>
          </cell>
          <cell r="J143">
            <v>46000</v>
          </cell>
          <cell r="K143">
            <v>46000</v>
          </cell>
          <cell r="L143">
            <v>0</v>
          </cell>
          <cell r="M143">
            <v>0</v>
          </cell>
        </row>
        <row r="144">
          <cell r="C144" t="str">
            <v>원목의자400x400xL1500</v>
          </cell>
          <cell r="D144">
            <v>1</v>
          </cell>
          <cell r="E144" t="str">
            <v>EA</v>
          </cell>
          <cell r="F144">
            <v>560000</v>
          </cell>
          <cell r="G144">
            <v>560000</v>
          </cell>
          <cell r="I144">
            <v>0</v>
          </cell>
          <cell r="J144">
            <v>560000</v>
          </cell>
          <cell r="K144">
            <v>560000</v>
          </cell>
          <cell r="M144">
            <v>0</v>
          </cell>
        </row>
        <row r="145">
          <cell r="C145" t="str">
            <v>원형목재포장D55-200</v>
          </cell>
          <cell r="D145">
            <v>1</v>
          </cell>
          <cell r="E145" t="str">
            <v>m2</v>
          </cell>
          <cell r="F145">
            <v>50000</v>
          </cell>
          <cell r="G145">
            <v>50000</v>
          </cell>
          <cell r="H145">
            <v>15000</v>
          </cell>
          <cell r="I145">
            <v>15000</v>
          </cell>
          <cell r="J145">
            <v>35000</v>
          </cell>
          <cell r="K145">
            <v>35000</v>
          </cell>
          <cell r="M145">
            <v>0</v>
          </cell>
        </row>
        <row r="146">
          <cell r="C146" t="str">
            <v>원형목재포장T100</v>
          </cell>
          <cell r="D146">
            <v>1</v>
          </cell>
          <cell r="E146" t="str">
            <v>m2</v>
          </cell>
          <cell r="F146">
            <v>72000</v>
          </cell>
          <cell r="G146">
            <v>72000</v>
          </cell>
          <cell r="H146">
            <v>22000</v>
          </cell>
          <cell r="I146">
            <v>22000</v>
          </cell>
          <cell r="J146">
            <v>50000</v>
          </cell>
          <cell r="K146">
            <v>50000</v>
          </cell>
          <cell r="L146">
            <v>0</v>
          </cell>
          <cell r="M146">
            <v>0</v>
          </cell>
        </row>
        <row r="147">
          <cell r="C147" t="str">
            <v>원형수목보호홀덮개1200x500x1200</v>
          </cell>
          <cell r="D147">
            <v>1</v>
          </cell>
          <cell r="E147" t="str">
            <v>EA</v>
          </cell>
          <cell r="F147">
            <v>142000</v>
          </cell>
          <cell r="G147">
            <v>142000</v>
          </cell>
          <cell r="H147">
            <v>22000</v>
          </cell>
          <cell r="I147">
            <v>22000</v>
          </cell>
          <cell r="J147">
            <v>120000</v>
          </cell>
          <cell r="K147">
            <v>120000</v>
          </cell>
          <cell r="M147">
            <v>0</v>
          </cell>
        </row>
        <row r="148">
          <cell r="C148" t="str">
            <v>원형수목보호홀덮개D1500</v>
          </cell>
          <cell r="D148">
            <v>1</v>
          </cell>
          <cell r="E148" t="str">
            <v>EA</v>
          </cell>
          <cell r="F148">
            <v>210000</v>
          </cell>
          <cell r="G148">
            <v>210000</v>
          </cell>
          <cell r="H148">
            <v>40000</v>
          </cell>
          <cell r="I148">
            <v>40000</v>
          </cell>
          <cell r="J148">
            <v>170000</v>
          </cell>
          <cell r="K148">
            <v>170000</v>
          </cell>
          <cell r="L148" t="str">
            <v/>
          </cell>
          <cell r="M148">
            <v>0</v>
          </cell>
        </row>
        <row r="149">
          <cell r="C149" t="str">
            <v>원형의자H400</v>
          </cell>
          <cell r="D149">
            <v>1</v>
          </cell>
          <cell r="E149" t="str">
            <v>EA</v>
          </cell>
          <cell r="F149">
            <v>120000</v>
          </cell>
          <cell r="G149">
            <v>120000</v>
          </cell>
          <cell r="I149">
            <v>0</v>
          </cell>
          <cell r="J149">
            <v>120000</v>
          </cell>
          <cell r="K149">
            <v>120000</v>
          </cell>
          <cell r="M149">
            <v>0</v>
          </cell>
        </row>
        <row r="150">
          <cell r="C150" t="str">
            <v>원형의자H400,L3.0</v>
          </cell>
          <cell r="D150">
            <v>1</v>
          </cell>
          <cell r="E150" t="str">
            <v>EA</v>
          </cell>
          <cell r="F150">
            <v>770000</v>
          </cell>
          <cell r="G150">
            <v>770000</v>
          </cell>
          <cell r="H150">
            <v>110000</v>
          </cell>
          <cell r="I150">
            <v>110000</v>
          </cell>
          <cell r="J150">
            <v>660000</v>
          </cell>
          <cell r="K150">
            <v>660000</v>
          </cell>
          <cell r="L150">
            <v>0</v>
          </cell>
          <cell r="M150">
            <v>0</v>
          </cell>
        </row>
        <row r="151">
          <cell r="C151" t="str">
            <v>원형의자W400xD2000</v>
          </cell>
          <cell r="D151">
            <v>1</v>
          </cell>
          <cell r="E151" t="str">
            <v>EA</v>
          </cell>
          <cell r="F151">
            <v>1000000</v>
          </cell>
          <cell r="G151">
            <v>1000000</v>
          </cell>
          <cell r="H151">
            <v>170000</v>
          </cell>
          <cell r="I151">
            <v>170000</v>
          </cell>
          <cell r="J151">
            <v>830000</v>
          </cell>
          <cell r="K151">
            <v>830000</v>
          </cell>
          <cell r="L151">
            <v>0</v>
          </cell>
          <cell r="M151">
            <v>0</v>
          </cell>
        </row>
        <row r="152">
          <cell r="C152" t="str">
            <v>원형장의자W500xL12000</v>
          </cell>
          <cell r="D152">
            <v>1</v>
          </cell>
          <cell r="E152" t="str">
            <v>EA</v>
          </cell>
          <cell r="F152">
            <v>1000000</v>
          </cell>
          <cell r="G152">
            <v>1000000</v>
          </cell>
          <cell r="H152">
            <v>170000</v>
          </cell>
          <cell r="I152">
            <v>170000</v>
          </cell>
          <cell r="J152">
            <v>830000</v>
          </cell>
          <cell r="K152">
            <v>830000</v>
          </cell>
          <cell r="L152">
            <v>0</v>
          </cell>
          <cell r="M152">
            <v>0</v>
          </cell>
        </row>
        <row r="153">
          <cell r="C153" t="str">
            <v>원형파고라R10000,90˚</v>
          </cell>
          <cell r="D153">
            <v>1</v>
          </cell>
          <cell r="E153" t="str">
            <v>EA</v>
          </cell>
          <cell r="F153">
            <v>5600000</v>
          </cell>
          <cell r="G153">
            <v>5600000</v>
          </cell>
          <cell r="H153">
            <v>1700000</v>
          </cell>
          <cell r="I153">
            <v>1700000</v>
          </cell>
          <cell r="J153">
            <v>3900000</v>
          </cell>
          <cell r="K153">
            <v>3900000</v>
          </cell>
          <cell r="L153">
            <v>0</v>
          </cell>
          <cell r="M153">
            <v>0</v>
          </cell>
        </row>
        <row r="154">
          <cell r="C154" t="str">
            <v>원형플랜터D2000,화강석혹두기</v>
          </cell>
          <cell r="D154">
            <v>1</v>
          </cell>
          <cell r="E154" t="str">
            <v>EA</v>
          </cell>
          <cell r="F154">
            <v>1850000</v>
          </cell>
          <cell r="G154">
            <v>1850000</v>
          </cell>
          <cell r="H154">
            <v>550000</v>
          </cell>
          <cell r="I154">
            <v>550000</v>
          </cell>
          <cell r="J154">
            <v>1300000</v>
          </cell>
          <cell r="K154">
            <v>1300000</v>
          </cell>
          <cell r="L154">
            <v>0</v>
          </cell>
          <cell r="M154">
            <v>0</v>
          </cell>
        </row>
        <row r="155">
          <cell r="C155" t="str">
            <v>원형플랜터H450,D2000</v>
          </cell>
          <cell r="D155">
            <v>1</v>
          </cell>
          <cell r="E155" t="str">
            <v>EA</v>
          </cell>
          <cell r="F155">
            <v>0</v>
          </cell>
          <cell r="G155">
            <v>0</v>
          </cell>
          <cell r="H155" t="str">
            <v/>
          </cell>
          <cell r="I155">
            <v>0</v>
          </cell>
          <cell r="J155" t="str">
            <v/>
          </cell>
          <cell r="K155">
            <v>0</v>
          </cell>
          <cell r="L155" t="str">
            <v/>
          </cell>
          <cell r="M155">
            <v>0</v>
          </cell>
        </row>
        <row r="156">
          <cell r="C156" t="str">
            <v>원형플랜터(조적)H450,D2000</v>
          </cell>
          <cell r="D156">
            <v>1</v>
          </cell>
          <cell r="E156" t="str">
            <v>EA</v>
          </cell>
          <cell r="F156">
            <v>780000</v>
          </cell>
          <cell r="G156">
            <v>780000</v>
          </cell>
          <cell r="H156">
            <v>280000</v>
          </cell>
          <cell r="I156">
            <v>280000</v>
          </cell>
          <cell r="J156">
            <v>500000</v>
          </cell>
          <cell r="K156">
            <v>500000</v>
          </cell>
          <cell r="L156">
            <v>0</v>
          </cell>
          <cell r="M156">
            <v>0</v>
          </cell>
        </row>
        <row r="157">
          <cell r="C157" t="str">
            <v>원형플랜터(화강석)H450,D2000</v>
          </cell>
          <cell r="D157">
            <v>1</v>
          </cell>
          <cell r="E157" t="str">
            <v>EA</v>
          </cell>
          <cell r="F157">
            <v>780000</v>
          </cell>
          <cell r="G157">
            <v>780000</v>
          </cell>
          <cell r="H157">
            <v>280000</v>
          </cell>
          <cell r="I157">
            <v>280000</v>
          </cell>
          <cell r="J157">
            <v>500000</v>
          </cell>
          <cell r="K157">
            <v>500000</v>
          </cell>
          <cell r="L157">
            <v>0</v>
          </cell>
          <cell r="M157">
            <v>0</v>
          </cell>
        </row>
        <row r="158">
          <cell r="C158" t="str">
            <v>유리블럭광섬유W400</v>
          </cell>
          <cell r="D158">
            <v>1</v>
          </cell>
          <cell r="E158" t="str">
            <v>m</v>
          </cell>
          <cell r="F158">
            <v>165000</v>
          </cell>
          <cell r="G158">
            <v>165000</v>
          </cell>
          <cell r="H158">
            <v>55000</v>
          </cell>
          <cell r="I158">
            <v>55000</v>
          </cell>
          <cell r="J158">
            <v>110000</v>
          </cell>
          <cell r="K158">
            <v>110000</v>
          </cell>
          <cell r="L158">
            <v>0</v>
          </cell>
          <cell r="M158">
            <v>0</v>
          </cell>
        </row>
        <row r="159">
          <cell r="C159" t="str">
            <v>유아놀이배101040</v>
          </cell>
          <cell r="D159">
            <v>1</v>
          </cell>
          <cell r="E159" t="str">
            <v>EA</v>
          </cell>
          <cell r="F159">
            <v>2100000</v>
          </cell>
          <cell r="G159">
            <v>2100000</v>
          </cell>
          <cell r="H159">
            <v>600000</v>
          </cell>
          <cell r="I159">
            <v>600000</v>
          </cell>
          <cell r="J159">
            <v>1500000</v>
          </cell>
          <cell r="K159">
            <v>1500000</v>
          </cell>
          <cell r="M159">
            <v>0</v>
          </cell>
        </row>
        <row r="160">
          <cell r="C160" t="str">
            <v>유아비행기QG0867</v>
          </cell>
          <cell r="D160">
            <v>1</v>
          </cell>
          <cell r="E160" t="str">
            <v>EA</v>
          </cell>
          <cell r="F160">
            <v>2500000</v>
          </cell>
          <cell r="G160">
            <v>2500000</v>
          </cell>
          <cell r="H160">
            <v>700000</v>
          </cell>
          <cell r="I160">
            <v>700000</v>
          </cell>
          <cell r="J160">
            <v>1800000</v>
          </cell>
          <cell r="K160">
            <v>1800000</v>
          </cell>
          <cell r="M160">
            <v>0</v>
          </cell>
        </row>
        <row r="161">
          <cell r="C161" t="str">
            <v>유아조합놀이대120354</v>
          </cell>
          <cell r="D161">
            <v>1</v>
          </cell>
          <cell r="E161" t="str">
            <v>EA</v>
          </cell>
          <cell r="F161">
            <v>8300000</v>
          </cell>
          <cell r="G161">
            <v>8300000</v>
          </cell>
          <cell r="H161">
            <v>2500000</v>
          </cell>
          <cell r="I161">
            <v>2500000</v>
          </cell>
          <cell r="J161">
            <v>5800000</v>
          </cell>
          <cell r="K161">
            <v>5800000</v>
          </cell>
          <cell r="M161">
            <v>0</v>
          </cell>
        </row>
        <row r="162">
          <cell r="C162" t="str">
            <v>유아조합놀이대138117</v>
          </cell>
          <cell r="D162">
            <v>1</v>
          </cell>
          <cell r="E162" t="str">
            <v>EA</v>
          </cell>
          <cell r="F162">
            <v>5000000</v>
          </cell>
          <cell r="G162">
            <v>5000000</v>
          </cell>
          <cell r="H162">
            <v>1500000</v>
          </cell>
          <cell r="I162">
            <v>1500000</v>
          </cell>
          <cell r="J162">
            <v>3500000</v>
          </cell>
          <cell r="K162">
            <v>3500000</v>
          </cell>
          <cell r="M162">
            <v>0</v>
          </cell>
        </row>
        <row r="163">
          <cell r="C163" t="str">
            <v>음향기기</v>
          </cell>
          <cell r="D163">
            <v>1</v>
          </cell>
          <cell r="E163" t="str">
            <v>EA</v>
          </cell>
          <cell r="F163">
            <v>0</v>
          </cell>
          <cell r="G163">
            <v>0</v>
          </cell>
          <cell r="I163">
            <v>0</v>
          </cell>
          <cell r="K163">
            <v>0</v>
          </cell>
          <cell r="M163">
            <v>0</v>
          </cell>
        </row>
        <row r="164">
          <cell r="C164" t="str">
            <v>일인용의자400x400</v>
          </cell>
          <cell r="D164">
            <v>1</v>
          </cell>
          <cell r="E164" t="str">
            <v>EA</v>
          </cell>
          <cell r="F164">
            <v>225000</v>
          </cell>
          <cell r="G164">
            <v>225000</v>
          </cell>
          <cell r="H164">
            <v>55000</v>
          </cell>
          <cell r="I164">
            <v>55000</v>
          </cell>
          <cell r="J164">
            <v>170000</v>
          </cell>
          <cell r="K164">
            <v>170000</v>
          </cell>
          <cell r="L164">
            <v>0</v>
          </cell>
          <cell r="M164">
            <v>0</v>
          </cell>
        </row>
        <row r="165">
          <cell r="C165" t="str">
            <v>자갈박기포장광섬유조명포함</v>
          </cell>
          <cell r="D165">
            <v>1</v>
          </cell>
          <cell r="E165" t="str">
            <v>m2</v>
          </cell>
          <cell r="F165">
            <v>181000</v>
          </cell>
          <cell r="G165">
            <v>181000</v>
          </cell>
          <cell r="H165">
            <v>61000</v>
          </cell>
          <cell r="I165">
            <v>61000</v>
          </cell>
          <cell r="J165">
            <v>120000</v>
          </cell>
          <cell r="K165">
            <v>120000</v>
          </cell>
          <cell r="L165">
            <v>0</v>
          </cell>
          <cell r="M165">
            <v>0</v>
          </cell>
        </row>
        <row r="166">
          <cell r="C166" t="str">
            <v>자갈포장50mm, 흑색</v>
          </cell>
          <cell r="D166">
            <v>1</v>
          </cell>
          <cell r="E166" t="str">
            <v>m2</v>
          </cell>
          <cell r="F166">
            <v>61000</v>
          </cell>
          <cell r="G166">
            <v>61000</v>
          </cell>
          <cell r="H166">
            <v>17000</v>
          </cell>
          <cell r="I166">
            <v>17000</v>
          </cell>
          <cell r="J166">
            <v>44000</v>
          </cell>
          <cell r="K166">
            <v>44000</v>
          </cell>
          <cell r="L166">
            <v>0</v>
          </cell>
          <cell r="M166">
            <v>0</v>
          </cell>
        </row>
        <row r="167">
          <cell r="C167" t="str">
            <v>자연석놓기</v>
          </cell>
          <cell r="D167">
            <v>1</v>
          </cell>
          <cell r="E167" t="str">
            <v>EA</v>
          </cell>
          <cell r="F167">
            <v>600000</v>
          </cell>
          <cell r="G167">
            <v>600000</v>
          </cell>
          <cell r="H167">
            <v>150000</v>
          </cell>
          <cell r="I167">
            <v>150000</v>
          </cell>
          <cell r="J167">
            <v>450000</v>
          </cell>
          <cell r="K167">
            <v>450000</v>
          </cell>
          <cell r="M167">
            <v>0</v>
          </cell>
        </row>
        <row r="168">
          <cell r="C168" t="str">
            <v>자연석판석깔기</v>
          </cell>
          <cell r="D168">
            <v>1</v>
          </cell>
          <cell r="E168" t="str">
            <v>m2</v>
          </cell>
          <cell r="F168">
            <v>50000</v>
          </cell>
          <cell r="G168">
            <v>50000</v>
          </cell>
          <cell r="H168">
            <v>15000</v>
          </cell>
          <cell r="I168">
            <v>15000</v>
          </cell>
          <cell r="J168">
            <v>35000</v>
          </cell>
          <cell r="K168">
            <v>35000</v>
          </cell>
          <cell r="M168">
            <v>0</v>
          </cell>
        </row>
        <row r="169">
          <cell r="C169" t="str">
            <v>자연자갈포장THK15mm,회색</v>
          </cell>
          <cell r="D169">
            <v>1</v>
          </cell>
          <cell r="E169" t="str">
            <v>m2</v>
          </cell>
          <cell r="F169">
            <v>72000</v>
          </cell>
          <cell r="G169">
            <v>72000</v>
          </cell>
          <cell r="H169">
            <v>4900</v>
          </cell>
          <cell r="I169">
            <v>4900</v>
          </cell>
          <cell r="J169">
            <v>67000</v>
          </cell>
          <cell r="K169">
            <v>67000</v>
          </cell>
          <cell r="L169">
            <v>100</v>
          </cell>
          <cell r="M169">
            <v>100</v>
          </cell>
        </row>
        <row r="170">
          <cell r="C170" t="str">
            <v>자연자갈포장THK15mm,흑색</v>
          </cell>
          <cell r="D170">
            <v>1</v>
          </cell>
          <cell r="E170" t="str">
            <v>m2</v>
          </cell>
          <cell r="F170">
            <v>75000</v>
          </cell>
          <cell r="G170">
            <v>75000</v>
          </cell>
          <cell r="H170">
            <v>4900</v>
          </cell>
          <cell r="I170">
            <v>4900</v>
          </cell>
          <cell r="J170">
            <v>70000</v>
          </cell>
          <cell r="K170">
            <v>70000</v>
          </cell>
          <cell r="L170">
            <v>100</v>
          </cell>
          <cell r="M170">
            <v>100</v>
          </cell>
        </row>
        <row r="171">
          <cell r="C171" t="str">
            <v>자전거보관대</v>
          </cell>
          <cell r="D171">
            <v>1</v>
          </cell>
          <cell r="E171" t="str">
            <v>개소</v>
          </cell>
          <cell r="F171">
            <v>2130000</v>
          </cell>
          <cell r="G171">
            <v>2130000</v>
          </cell>
          <cell r="H171">
            <v>300000</v>
          </cell>
          <cell r="I171">
            <v>300000</v>
          </cell>
          <cell r="J171">
            <v>1830000</v>
          </cell>
          <cell r="K171">
            <v>1830000</v>
          </cell>
          <cell r="M171">
            <v>0</v>
          </cell>
        </row>
        <row r="172">
          <cell r="C172" t="str">
            <v>잔디줄눈W100</v>
          </cell>
          <cell r="D172">
            <v>1</v>
          </cell>
          <cell r="E172" t="str">
            <v>m</v>
          </cell>
          <cell r="F172">
            <v>1650</v>
          </cell>
          <cell r="G172">
            <v>1650</v>
          </cell>
          <cell r="H172">
            <v>550</v>
          </cell>
          <cell r="I172">
            <v>550</v>
          </cell>
          <cell r="J172">
            <v>1100</v>
          </cell>
          <cell r="K172">
            <v>1100</v>
          </cell>
          <cell r="L172">
            <v>0</v>
          </cell>
          <cell r="M172">
            <v>0</v>
          </cell>
        </row>
        <row r="173">
          <cell r="C173" t="str">
            <v>장식가벽산석쌓기(H1500xW400)</v>
          </cell>
          <cell r="D173">
            <v>1</v>
          </cell>
          <cell r="E173" t="str">
            <v>m</v>
          </cell>
          <cell r="F173">
            <v>410000</v>
          </cell>
          <cell r="G173">
            <v>410000</v>
          </cell>
          <cell r="H173">
            <v>130000</v>
          </cell>
          <cell r="I173">
            <v>130000</v>
          </cell>
          <cell r="J173">
            <v>280000</v>
          </cell>
          <cell r="K173">
            <v>280000</v>
          </cell>
          <cell r="L173">
            <v>0</v>
          </cell>
          <cell r="M173">
            <v>0</v>
          </cell>
        </row>
        <row r="174">
          <cell r="C174" t="str">
            <v>장식가벽H1200xW300</v>
          </cell>
          <cell r="D174">
            <v>1</v>
          </cell>
          <cell r="E174" t="str">
            <v>m</v>
          </cell>
          <cell r="F174">
            <v>328000</v>
          </cell>
          <cell r="G174">
            <v>328000</v>
          </cell>
          <cell r="H174">
            <v>88000</v>
          </cell>
          <cell r="I174">
            <v>88000</v>
          </cell>
          <cell r="J174">
            <v>240000</v>
          </cell>
          <cell r="K174">
            <v>240000</v>
          </cell>
          <cell r="L174">
            <v>0</v>
          </cell>
          <cell r="M174">
            <v>0</v>
          </cell>
        </row>
        <row r="175">
          <cell r="C175" t="str">
            <v>장식가벽H1500xW300</v>
          </cell>
          <cell r="D175">
            <v>1</v>
          </cell>
          <cell r="E175" t="str">
            <v>m</v>
          </cell>
          <cell r="F175">
            <v>410000</v>
          </cell>
          <cell r="G175">
            <v>410000</v>
          </cell>
          <cell r="H175">
            <v>130000</v>
          </cell>
          <cell r="I175">
            <v>130000</v>
          </cell>
          <cell r="J175">
            <v>280000</v>
          </cell>
          <cell r="K175">
            <v>280000</v>
          </cell>
          <cell r="L175" t="str">
            <v/>
          </cell>
          <cell r="M175">
            <v>0</v>
          </cell>
        </row>
        <row r="176">
          <cell r="C176" t="str">
            <v>장식가벽H1800,L12000</v>
          </cell>
          <cell r="D176">
            <v>1</v>
          </cell>
          <cell r="E176" t="str">
            <v>EA</v>
          </cell>
          <cell r="F176">
            <v>4100000</v>
          </cell>
          <cell r="G176">
            <v>4100000</v>
          </cell>
          <cell r="H176">
            <v>1700000</v>
          </cell>
          <cell r="I176">
            <v>1700000</v>
          </cell>
          <cell r="J176">
            <v>2400000</v>
          </cell>
          <cell r="K176">
            <v>2400000</v>
          </cell>
          <cell r="L176">
            <v>0</v>
          </cell>
          <cell r="M176">
            <v>0</v>
          </cell>
        </row>
        <row r="177">
          <cell r="C177" t="str">
            <v>장식가벽H800xW300</v>
          </cell>
          <cell r="D177">
            <v>1</v>
          </cell>
          <cell r="E177" t="str">
            <v>m</v>
          </cell>
          <cell r="F177">
            <v>252000</v>
          </cell>
          <cell r="G177">
            <v>252000</v>
          </cell>
          <cell r="H177">
            <v>72000</v>
          </cell>
          <cell r="I177">
            <v>72000</v>
          </cell>
          <cell r="J177">
            <v>180000</v>
          </cell>
          <cell r="K177">
            <v>180000</v>
          </cell>
          <cell r="L177">
            <v>0</v>
          </cell>
          <cell r="M177">
            <v>0</v>
          </cell>
        </row>
        <row r="178">
          <cell r="C178" t="str">
            <v>장식가벽H900-1500,L2.5</v>
          </cell>
          <cell r="D178">
            <v>1</v>
          </cell>
          <cell r="E178" t="str">
            <v>EA</v>
          </cell>
          <cell r="F178">
            <v>1000000</v>
          </cell>
          <cell r="G178">
            <v>1000000</v>
          </cell>
          <cell r="H178">
            <v>280000</v>
          </cell>
          <cell r="I178">
            <v>280000</v>
          </cell>
          <cell r="J178">
            <v>720000</v>
          </cell>
          <cell r="K178">
            <v>720000</v>
          </cell>
          <cell r="L178">
            <v>0</v>
          </cell>
          <cell r="M178">
            <v>0</v>
          </cell>
        </row>
        <row r="179">
          <cell r="C179" t="str">
            <v>장식가벽H900xW300</v>
          </cell>
          <cell r="D179">
            <v>1</v>
          </cell>
          <cell r="E179" t="str">
            <v>m</v>
          </cell>
          <cell r="F179">
            <v>267000</v>
          </cell>
          <cell r="G179">
            <v>267000</v>
          </cell>
          <cell r="H179">
            <v>77000</v>
          </cell>
          <cell r="I179">
            <v>77000</v>
          </cell>
          <cell r="J179">
            <v>190000</v>
          </cell>
          <cell r="K179">
            <v>190000</v>
          </cell>
          <cell r="L179">
            <v>0</v>
          </cell>
          <cell r="M179">
            <v>0</v>
          </cell>
        </row>
        <row r="180">
          <cell r="C180" t="str">
            <v>장식가벽H1000xW300</v>
          </cell>
          <cell r="D180">
            <v>1</v>
          </cell>
          <cell r="E180" t="str">
            <v>m</v>
          </cell>
          <cell r="F180">
            <v>277000</v>
          </cell>
          <cell r="G180">
            <v>277000</v>
          </cell>
          <cell r="H180">
            <v>77000</v>
          </cell>
          <cell r="I180">
            <v>77000</v>
          </cell>
          <cell r="J180">
            <v>200000</v>
          </cell>
          <cell r="K180">
            <v>200000</v>
          </cell>
          <cell r="L180">
            <v>0</v>
          </cell>
          <cell r="M180">
            <v>0</v>
          </cell>
        </row>
        <row r="181">
          <cell r="C181" t="str">
            <v>장식가벽H600xW300</v>
          </cell>
          <cell r="D181">
            <v>1</v>
          </cell>
          <cell r="E181" t="str">
            <v>m</v>
          </cell>
          <cell r="F181">
            <v>241000</v>
          </cell>
          <cell r="G181">
            <v>241000</v>
          </cell>
          <cell r="H181">
            <v>61000</v>
          </cell>
          <cell r="I181">
            <v>61000</v>
          </cell>
          <cell r="J181">
            <v>180000</v>
          </cell>
          <cell r="K181">
            <v>180000</v>
          </cell>
          <cell r="L181">
            <v>0</v>
          </cell>
          <cell r="M181">
            <v>0</v>
          </cell>
        </row>
        <row r="182">
          <cell r="C182" t="str">
            <v>장식기둥</v>
          </cell>
          <cell r="D182">
            <v>1</v>
          </cell>
          <cell r="E182" t="str">
            <v>EA</v>
          </cell>
          <cell r="F182">
            <v>1000000</v>
          </cell>
          <cell r="G182">
            <v>1000000</v>
          </cell>
          <cell r="H182">
            <v>200000</v>
          </cell>
          <cell r="I182">
            <v>200000</v>
          </cell>
          <cell r="J182">
            <v>800000</v>
          </cell>
          <cell r="K182">
            <v>800000</v>
          </cell>
          <cell r="M182">
            <v>0</v>
          </cell>
        </row>
        <row r="183">
          <cell r="C183" t="str">
            <v>점토경계블럭230x114xT76</v>
          </cell>
          <cell r="D183">
            <v>1</v>
          </cell>
          <cell r="E183" t="str">
            <v>m</v>
          </cell>
          <cell r="F183">
            <v>43000</v>
          </cell>
          <cell r="G183">
            <v>43000</v>
          </cell>
          <cell r="H183">
            <v>15000</v>
          </cell>
          <cell r="I183">
            <v>15000</v>
          </cell>
          <cell r="J183">
            <v>28000</v>
          </cell>
          <cell r="K183">
            <v>28000</v>
          </cell>
          <cell r="M183">
            <v>0</v>
          </cell>
        </row>
        <row r="184">
          <cell r="C184" t="str">
            <v>점토벽돌계단</v>
          </cell>
          <cell r="D184">
            <v>1</v>
          </cell>
          <cell r="E184" t="str">
            <v>m</v>
          </cell>
          <cell r="F184">
            <v>33000</v>
          </cell>
          <cell r="G184">
            <v>33000</v>
          </cell>
          <cell r="H184">
            <v>11000</v>
          </cell>
          <cell r="I184">
            <v>11000</v>
          </cell>
          <cell r="J184">
            <v>22000</v>
          </cell>
          <cell r="K184">
            <v>22000</v>
          </cell>
          <cell r="L184">
            <v>0</v>
          </cell>
          <cell r="M184">
            <v>0</v>
          </cell>
        </row>
        <row r="185">
          <cell r="C185" t="str">
            <v>점토벽돌포장230x114xT60,아이보리</v>
          </cell>
          <cell r="D185">
            <v>1</v>
          </cell>
          <cell r="E185" t="str">
            <v>m2</v>
          </cell>
          <cell r="F185">
            <v>38000</v>
          </cell>
          <cell r="G185">
            <v>38000</v>
          </cell>
          <cell r="H185">
            <v>7200</v>
          </cell>
          <cell r="I185">
            <v>7200</v>
          </cell>
          <cell r="J185">
            <v>30800</v>
          </cell>
          <cell r="K185">
            <v>30800</v>
          </cell>
          <cell r="L185">
            <v>0</v>
          </cell>
          <cell r="M185">
            <v>0</v>
          </cell>
        </row>
        <row r="186">
          <cell r="C186" t="str">
            <v>점토벽돌포장230x114xT60,그레이</v>
          </cell>
          <cell r="D186">
            <v>1</v>
          </cell>
          <cell r="E186" t="str">
            <v>m2</v>
          </cell>
          <cell r="F186">
            <v>38000</v>
          </cell>
          <cell r="G186">
            <v>38000</v>
          </cell>
          <cell r="H186">
            <v>7200</v>
          </cell>
          <cell r="I186">
            <v>7200</v>
          </cell>
          <cell r="J186">
            <v>30800</v>
          </cell>
          <cell r="K186">
            <v>30800</v>
          </cell>
          <cell r="L186">
            <v>0</v>
          </cell>
          <cell r="M186">
            <v>0</v>
          </cell>
        </row>
        <row r="187">
          <cell r="C187" t="str">
            <v>점토벽돌포장230x114xT60,레드</v>
          </cell>
          <cell r="D187">
            <v>1</v>
          </cell>
          <cell r="E187" t="str">
            <v>m2</v>
          </cell>
          <cell r="F187">
            <v>38000</v>
          </cell>
          <cell r="G187">
            <v>38000</v>
          </cell>
          <cell r="H187">
            <v>7200</v>
          </cell>
          <cell r="I187">
            <v>7200</v>
          </cell>
          <cell r="J187">
            <v>30800</v>
          </cell>
          <cell r="K187">
            <v>30800</v>
          </cell>
          <cell r="L187">
            <v>0</v>
          </cell>
          <cell r="M187">
            <v>0</v>
          </cell>
        </row>
        <row r="188">
          <cell r="C188" t="str">
            <v>점토벽돌포장230x114xT60,아이보리</v>
          </cell>
          <cell r="D188">
            <v>1</v>
          </cell>
          <cell r="E188" t="str">
            <v>m2</v>
          </cell>
          <cell r="F188">
            <v>38000</v>
          </cell>
          <cell r="G188">
            <v>38000</v>
          </cell>
          <cell r="H188">
            <v>7200</v>
          </cell>
          <cell r="I188">
            <v>7200</v>
          </cell>
          <cell r="J188">
            <v>30800</v>
          </cell>
          <cell r="K188">
            <v>30800</v>
          </cell>
          <cell r="L188">
            <v>0</v>
          </cell>
          <cell r="M188">
            <v>0</v>
          </cell>
        </row>
        <row r="189">
          <cell r="C189" t="str">
            <v>점토벽돌포장230x114xT60,핑크</v>
          </cell>
          <cell r="D189">
            <v>1</v>
          </cell>
          <cell r="E189" t="str">
            <v>m2</v>
          </cell>
          <cell r="F189">
            <v>38000</v>
          </cell>
          <cell r="G189">
            <v>38000</v>
          </cell>
          <cell r="H189">
            <v>7200</v>
          </cell>
          <cell r="I189">
            <v>7200</v>
          </cell>
          <cell r="J189">
            <v>30800</v>
          </cell>
          <cell r="K189">
            <v>30800</v>
          </cell>
          <cell r="L189">
            <v>0</v>
          </cell>
          <cell r="M189">
            <v>0</v>
          </cell>
        </row>
        <row r="190">
          <cell r="C190" t="str">
            <v>점프대112205</v>
          </cell>
          <cell r="D190">
            <v>1</v>
          </cell>
          <cell r="E190" t="str">
            <v>EA</v>
          </cell>
          <cell r="F190">
            <v>1400000</v>
          </cell>
          <cell r="G190">
            <v>1400000</v>
          </cell>
          <cell r="H190">
            <v>400000</v>
          </cell>
          <cell r="I190">
            <v>400000</v>
          </cell>
          <cell r="J190">
            <v>1000000</v>
          </cell>
          <cell r="K190">
            <v>1000000</v>
          </cell>
          <cell r="M190">
            <v>0</v>
          </cell>
        </row>
        <row r="191">
          <cell r="C191" t="str">
            <v>조명열주H3500</v>
          </cell>
          <cell r="D191">
            <v>1</v>
          </cell>
          <cell r="E191" t="str">
            <v>EA</v>
          </cell>
          <cell r="F191">
            <v>2000000</v>
          </cell>
          <cell r="G191">
            <v>2000000</v>
          </cell>
          <cell r="H191">
            <v>100000</v>
          </cell>
          <cell r="I191">
            <v>100000</v>
          </cell>
          <cell r="J191">
            <v>1900000</v>
          </cell>
          <cell r="K191">
            <v>1900000</v>
          </cell>
          <cell r="M191">
            <v>0</v>
          </cell>
        </row>
        <row r="192">
          <cell r="C192" t="str">
            <v>조합그네141170</v>
          </cell>
          <cell r="D192">
            <v>1</v>
          </cell>
          <cell r="E192" t="str">
            <v>EA</v>
          </cell>
          <cell r="F192">
            <v>1700000</v>
          </cell>
          <cell r="G192">
            <v>1700000</v>
          </cell>
          <cell r="H192">
            <v>500000</v>
          </cell>
          <cell r="I192">
            <v>500000</v>
          </cell>
          <cell r="J192">
            <v>1200000</v>
          </cell>
          <cell r="K192">
            <v>1200000</v>
          </cell>
          <cell r="M192">
            <v>0</v>
          </cell>
        </row>
        <row r="193">
          <cell r="C193" t="str">
            <v>조합놀이대120012</v>
          </cell>
          <cell r="D193">
            <v>1</v>
          </cell>
          <cell r="E193" t="str">
            <v>EA</v>
          </cell>
          <cell r="F193">
            <v>19000000</v>
          </cell>
          <cell r="G193">
            <v>19000000</v>
          </cell>
          <cell r="H193">
            <v>5500000</v>
          </cell>
          <cell r="I193">
            <v>5500000</v>
          </cell>
          <cell r="J193">
            <v>13500000</v>
          </cell>
          <cell r="K193">
            <v>13500000</v>
          </cell>
          <cell r="M193">
            <v>0</v>
          </cell>
        </row>
        <row r="194">
          <cell r="C194" t="str">
            <v>조합놀이대120100</v>
          </cell>
          <cell r="D194">
            <v>1</v>
          </cell>
          <cell r="E194" t="str">
            <v>EA</v>
          </cell>
          <cell r="F194">
            <v>12800000</v>
          </cell>
          <cell r="G194">
            <v>12800000</v>
          </cell>
          <cell r="H194">
            <v>3800000</v>
          </cell>
          <cell r="I194">
            <v>3800000</v>
          </cell>
          <cell r="J194">
            <v>9000000</v>
          </cell>
          <cell r="K194">
            <v>9000000</v>
          </cell>
          <cell r="M194">
            <v>0</v>
          </cell>
        </row>
        <row r="195">
          <cell r="C195" t="str">
            <v>조합놀이대120126</v>
          </cell>
          <cell r="D195">
            <v>1</v>
          </cell>
          <cell r="E195" t="str">
            <v>EA</v>
          </cell>
          <cell r="F195">
            <v>8600000</v>
          </cell>
          <cell r="G195">
            <v>8600000</v>
          </cell>
          <cell r="H195">
            <v>2200000</v>
          </cell>
          <cell r="I195">
            <v>2200000</v>
          </cell>
          <cell r="J195">
            <v>6400000</v>
          </cell>
          <cell r="K195">
            <v>6400000</v>
          </cell>
          <cell r="L195">
            <v>0</v>
          </cell>
          <cell r="M195">
            <v>0</v>
          </cell>
        </row>
        <row r="196">
          <cell r="C196" t="str">
            <v>조합놀이대122051</v>
          </cell>
          <cell r="D196">
            <v>1</v>
          </cell>
          <cell r="E196" t="str">
            <v>EA</v>
          </cell>
          <cell r="F196">
            <v>8000000</v>
          </cell>
          <cell r="G196">
            <v>8000000</v>
          </cell>
          <cell r="H196">
            <v>2400000</v>
          </cell>
          <cell r="I196">
            <v>2400000</v>
          </cell>
          <cell r="J196">
            <v>5600000</v>
          </cell>
          <cell r="K196">
            <v>5600000</v>
          </cell>
          <cell r="M196">
            <v>0</v>
          </cell>
        </row>
        <row r="197">
          <cell r="C197" t="str">
            <v>조합놀이대138050</v>
          </cell>
          <cell r="D197">
            <v>1</v>
          </cell>
          <cell r="E197" t="str">
            <v>EA</v>
          </cell>
          <cell r="F197">
            <v>1800000</v>
          </cell>
          <cell r="G197">
            <v>1800000</v>
          </cell>
          <cell r="H197">
            <v>500000</v>
          </cell>
          <cell r="I197">
            <v>500000</v>
          </cell>
          <cell r="J197">
            <v>1300000</v>
          </cell>
          <cell r="K197">
            <v>1300000</v>
          </cell>
          <cell r="M197">
            <v>0</v>
          </cell>
        </row>
        <row r="198">
          <cell r="C198" t="str">
            <v>조합놀이대QG0069</v>
          </cell>
          <cell r="D198">
            <v>1</v>
          </cell>
          <cell r="E198" t="str">
            <v>EA</v>
          </cell>
          <cell r="F198">
            <v>8500000</v>
          </cell>
          <cell r="G198">
            <v>8500000</v>
          </cell>
          <cell r="H198">
            <v>2500000</v>
          </cell>
          <cell r="I198">
            <v>2500000</v>
          </cell>
          <cell r="J198">
            <v>6000000</v>
          </cell>
          <cell r="K198">
            <v>6000000</v>
          </cell>
          <cell r="M198">
            <v>0</v>
          </cell>
        </row>
        <row r="199">
          <cell r="C199" t="str">
            <v>조합놀이대QG0121</v>
          </cell>
          <cell r="D199">
            <v>1</v>
          </cell>
          <cell r="E199" t="str">
            <v>EA</v>
          </cell>
          <cell r="F199">
            <v>22000000</v>
          </cell>
          <cell r="G199">
            <v>22000000</v>
          </cell>
          <cell r="H199">
            <v>6000000</v>
          </cell>
          <cell r="I199">
            <v>6000000</v>
          </cell>
          <cell r="J199">
            <v>16000000</v>
          </cell>
          <cell r="K199">
            <v>16000000</v>
          </cell>
          <cell r="M199">
            <v>0</v>
          </cell>
        </row>
        <row r="200">
          <cell r="C200" t="str">
            <v>조합놀이대QG0352</v>
          </cell>
          <cell r="D200">
            <v>1</v>
          </cell>
          <cell r="E200" t="str">
            <v>EA</v>
          </cell>
          <cell r="F200">
            <v>16000000</v>
          </cell>
          <cell r="G200">
            <v>16000000</v>
          </cell>
          <cell r="H200">
            <v>5000000</v>
          </cell>
          <cell r="I200">
            <v>5000000</v>
          </cell>
          <cell r="J200">
            <v>11000000</v>
          </cell>
          <cell r="K200">
            <v>11000000</v>
          </cell>
          <cell r="M200">
            <v>0</v>
          </cell>
        </row>
        <row r="201">
          <cell r="C201" t="str">
            <v>조합놀이대QI0703</v>
          </cell>
          <cell r="D201">
            <v>1</v>
          </cell>
          <cell r="E201" t="str">
            <v>EA</v>
          </cell>
          <cell r="F201">
            <v>25000000</v>
          </cell>
          <cell r="G201">
            <v>25000000</v>
          </cell>
          <cell r="H201">
            <v>7000000</v>
          </cell>
          <cell r="I201">
            <v>7000000</v>
          </cell>
          <cell r="J201">
            <v>18000000</v>
          </cell>
          <cell r="K201">
            <v>18000000</v>
          </cell>
          <cell r="M201">
            <v>0</v>
          </cell>
        </row>
        <row r="202">
          <cell r="C202" t="str">
            <v>조형가벽H1500</v>
          </cell>
          <cell r="D202">
            <v>1</v>
          </cell>
          <cell r="E202" t="str">
            <v>개소</v>
          </cell>
          <cell r="F202">
            <v>40000000</v>
          </cell>
          <cell r="G202">
            <v>40000000</v>
          </cell>
          <cell r="H202">
            <v>10000000</v>
          </cell>
          <cell r="I202">
            <v>10000000</v>
          </cell>
          <cell r="J202">
            <v>30000000</v>
          </cell>
          <cell r="K202">
            <v>30000000</v>
          </cell>
          <cell r="M202">
            <v>0</v>
          </cell>
        </row>
        <row r="203">
          <cell r="C203" t="str">
            <v>조형가벽"A"H1500-2500</v>
          </cell>
          <cell r="D203">
            <v>1</v>
          </cell>
          <cell r="E203" t="str">
            <v>EA</v>
          </cell>
          <cell r="F203">
            <v>28600000</v>
          </cell>
          <cell r="G203">
            <v>28600000</v>
          </cell>
          <cell r="H203">
            <v>10600000</v>
          </cell>
          <cell r="I203">
            <v>10600000</v>
          </cell>
          <cell r="J203">
            <v>18000000</v>
          </cell>
          <cell r="K203">
            <v>18000000</v>
          </cell>
          <cell r="L203">
            <v>0</v>
          </cell>
          <cell r="M203">
            <v>0</v>
          </cell>
        </row>
        <row r="204">
          <cell r="C204" t="str">
            <v>조형가벽"B"H2500,L4000</v>
          </cell>
          <cell r="D204">
            <v>1</v>
          </cell>
          <cell r="E204" t="str">
            <v>EA</v>
          </cell>
          <cell r="F204">
            <v>940000</v>
          </cell>
          <cell r="G204">
            <v>940000</v>
          </cell>
          <cell r="H204">
            <v>390000</v>
          </cell>
          <cell r="I204">
            <v>390000</v>
          </cell>
          <cell r="J204">
            <v>550000</v>
          </cell>
          <cell r="K204">
            <v>550000</v>
          </cell>
          <cell r="L204">
            <v>0</v>
          </cell>
          <cell r="M204">
            <v>0</v>
          </cell>
        </row>
        <row r="205">
          <cell r="C205" t="str">
            <v>준공석(머릿돌)</v>
          </cell>
          <cell r="D205">
            <v>1</v>
          </cell>
          <cell r="E205" t="str">
            <v>개소</v>
          </cell>
          <cell r="F205">
            <v>1980000</v>
          </cell>
          <cell r="G205">
            <v>1980000</v>
          </cell>
          <cell r="H205">
            <v>480000</v>
          </cell>
          <cell r="I205">
            <v>480000</v>
          </cell>
          <cell r="J205">
            <v>1500000</v>
          </cell>
          <cell r="K205">
            <v>1500000</v>
          </cell>
          <cell r="L205">
            <v>0</v>
          </cell>
          <cell r="M205">
            <v>0</v>
          </cell>
        </row>
        <row r="206">
          <cell r="C206" t="str">
            <v>집수정750x650</v>
          </cell>
          <cell r="D206">
            <v>1</v>
          </cell>
          <cell r="E206" t="str">
            <v>개소</v>
          </cell>
          <cell r="F206">
            <v>183000</v>
          </cell>
          <cell r="G206">
            <v>183000</v>
          </cell>
          <cell r="H206">
            <v>100000</v>
          </cell>
          <cell r="I206">
            <v>100000</v>
          </cell>
          <cell r="J206">
            <v>83000</v>
          </cell>
          <cell r="K206">
            <v>83000</v>
          </cell>
          <cell r="M206">
            <v>0</v>
          </cell>
        </row>
        <row r="207">
          <cell r="C207" t="str">
            <v>차면목책</v>
          </cell>
          <cell r="D207">
            <v>1</v>
          </cell>
          <cell r="E207" t="str">
            <v>m</v>
          </cell>
          <cell r="F207">
            <v>210000</v>
          </cell>
          <cell r="G207">
            <v>210000</v>
          </cell>
          <cell r="H207">
            <v>30000</v>
          </cell>
          <cell r="I207">
            <v>30000</v>
          </cell>
          <cell r="J207">
            <v>180000</v>
          </cell>
          <cell r="K207">
            <v>180000</v>
          </cell>
          <cell r="M207">
            <v>0</v>
          </cell>
        </row>
        <row r="208">
          <cell r="C208" t="str">
            <v>첨경물물확(석확)</v>
          </cell>
          <cell r="D208">
            <v>1</v>
          </cell>
          <cell r="E208" t="str">
            <v>개소</v>
          </cell>
          <cell r="F208">
            <v>900000</v>
          </cell>
          <cell r="G208">
            <v>900000</v>
          </cell>
          <cell r="H208">
            <v>200000</v>
          </cell>
          <cell r="I208">
            <v>200000</v>
          </cell>
          <cell r="J208">
            <v>700000</v>
          </cell>
          <cell r="K208">
            <v>700000</v>
          </cell>
          <cell r="L208">
            <v>0</v>
          </cell>
          <cell r="M208">
            <v>0</v>
          </cell>
        </row>
        <row r="209">
          <cell r="C209" t="str">
            <v>첨경물장독대하부자갈깔기포장</v>
          </cell>
          <cell r="D209">
            <v>1</v>
          </cell>
          <cell r="E209" t="str">
            <v>EA</v>
          </cell>
          <cell r="F209">
            <v>760000</v>
          </cell>
          <cell r="G209">
            <v>760000</v>
          </cell>
          <cell r="H209">
            <v>150000</v>
          </cell>
          <cell r="I209">
            <v>150000</v>
          </cell>
          <cell r="J209">
            <v>610000</v>
          </cell>
          <cell r="K209">
            <v>610000</v>
          </cell>
          <cell r="L209">
            <v>0</v>
          </cell>
          <cell r="M209">
            <v>0</v>
          </cell>
        </row>
        <row r="210">
          <cell r="C210" t="str">
            <v>침목계단250x150x1250,6단</v>
          </cell>
          <cell r="D210">
            <v>1</v>
          </cell>
          <cell r="E210" t="str">
            <v>개소</v>
          </cell>
          <cell r="F210">
            <v>253000</v>
          </cell>
          <cell r="G210">
            <v>253000</v>
          </cell>
          <cell r="H210">
            <v>33000</v>
          </cell>
          <cell r="I210">
            <v>33000</v>
          </cell>
          <cell r="J210">
            <v>220000</v>
          </cell>
          <cell r="K210">
            <v>220000</v>
          </cell>
          <cell r="L210">
            <v>0</v>
          </cell>
          <cell r="M210">
            <v>0</v>
          </cell>
        </row>
        <row r="211">
          <cell r="C211" t="str">
            <v>침목계단250x150x1250,7단</v>
          </cell>
          <cell r="D211">
            <v>1</v>
          </cell>
          <cell r="E211" t="str">
            <v>개소</v>
          </cell>
          <cell r="F211">
            <v>304000</v>
          </cell>
          <cell r="G211">
            <v>304000</v>
          </cell>
          <cell r="H211">
            <v>44000</v>
          </cell>
          <cell r="I211">
            <v>44000</v>
          </cell>
          <cell r="J211">
            <v>260000</v>
          </cell>
          <cell r="K211">
            <v>260000</v>
          </cell>
          <cell r="L211">
            <v>0</v>
          </cell>
          <cell r="M211">
            <v>0</v>
          </cell>
        </row>
        <row r="212">
          <cell r="C212" t="str">
            <v>침목난간250x150x500-800</v>
          </cell>
          <cell r="D212">
            <v>1</v>
          </cell>
          <cell r="E212" t="str">
            <v>m</v>
          </cell>
          <cell r="F212">
            <v>90000</v>
          </cell>
          <cell r="G212">
            <v>90000</v>
          </cell>
          <cell r="H212">
            <v>20000</v>
          </cell>
          <cell r="I212">
            <v>20000</v>
          </cell>
          <cell r="J212">
            <v>70000</v>
          </cell>
          <cell r="K212">
            <v>70000</v>
          </cell>
          <cell r="L212">
            <v>0</v>
          </cell>
          <cell r="M212">
            <v>0</v>
          </cell>
        </row>
        <row r="213">
          <cell r="C213" t="str">
            <v>카프포장T250</v>
          </cell>
          <cell r="D213">
            <v>1</v>
          </cell>
          <cell r="E213" t="str">
            <v>m2</v>
          </cell>
          <cell r="F213">
            <v>21000</v>
          </cell>
          <cell r="G213">
            <v>21000</v>
          </cell>
          <cell r="H213">
            <v>8000</v>
          </cell>
          <cell r="I213">
            <v>8000</v>
          </cell>
          <cell r="J213">
            <v>12000</v>
          </cell>
          <cell r="K213">
            <v>12000</v>
          </cell>
          <cell r="L213">
            <v>1000</v>
          </cell>
          <cell r="M213">
            <v>1000</v>
          </cell>
        </row>
        <row r="214">
          <cell r="C214" t="str">
            <v>코끼리미끄럼대141115</v>
          </cell>
          <cell r="D214">
            <v>1</v>
          </cell>
          <cell r="E214" t="str">
            <v>EA</v>
          </cell>
          <cell r="F214">
            <v>3600000</v>
          </cell>
          <cell r="G214">
            <v>3600000</v>
          </cell>
          <cell r="H214">
            <v>1100000</v>
          </cell>
          <cell r="I214">
            <v>1100000</v>
          </cell>
          <cell r="J214">
            <v>2500000</v>
          </cell>
          <cell r="K214">
            <v>2500000</v>
          </cell>
          <cell r="M214">
            <v>0</v>
          </cell>
        </row>
        <row r="215">
          <cell r="C215" t="str">
            <v>터널101080</v>
          </cell>
          <cell r="D215">
            <v>1</v>
          </cell>
          <cell r="E215" t="str">
            <v>EA</v>
          </cell>
          <cell r="F215">
            <v>1500000</v>
          </cell>
          <cell r="G215">
            <v>1500000</v>
          </cell>
          <cell r="H215">
            <v>400000</v>
          </cell>
          <cell r="I215">
            <v>400000</v>
          </cell>
          <cell r="J215">
            <v>1100000</v>
          </cell>
          <cell r="K215">
            <v>1100000</v>
          </cell>
          <cell r="M215">
            <v>0</v>
          </cell>
        </row>
        <row r="216">
          <cell r="C216" t="str">
            <v>테니스네트</v>
          </cell>
          <cell r="D216">
            <v>1</v>
          </cell>
          <cell r="E216" t="str">
            <v>개소</v>
          </cell>
          <cell r="F216">
            <v>80000</v>
          </cell>
          <cell r="G216">
            <v>80000</v>
          </cell>
          <cell r="I216">
            <v>0</v>
          </cell>
          <cell r="J216">
            <v>80000</v>
          </cell>
          <cell r="K216">
            <v>80000</v>
          </cell>
          <cell r="M216">
            <v>0</v>
          </cell>
        </row>
        <row r="217">
          <cell r="C217" t="str">
            <v>테니스장출입문(대형)H2100xW2500</v>
          </cell>
          <cell r="D217">
            <v>1</v>
          </cell>
          <cell r="E217" t="str">
            <v>개소</v>
          </cell>
          <cell r="F217">
            <v>400000</v>
          </cell>
          <cell r="G217">
            <v>400000</v>
          </cell>
          <cell r="I217">
            <v>0</v>
          </cell>
          <cell r="J217">
            <v>400000</v>
          </cell>
          <cell r="K217">
            <v>400000</v>
          </cell>
          <cell r="M217">
            <v>0</v>
          </cell>
        </row>
        <row r="218">
          <cell r="C218" t="str">
            <v>테니스장출입문(소형)H2000xW1000</v>
          </cell>
          <cell r="D218">
            <v>1</v>
          </cell>
          <cell r="E218" t="str">
            <v>개소</v>
          </cell>
          <cell r="F218">
            <v>250000</v>
          </cell>
          <cell r="G218">
            <v>250000</v>
          </cell>
          <cell r="I218">
            <v>0</v>
          </cell>
          <cell r="J218">
            <v>250000</v>
          </cell>
          <cell r="K218">
            <v>250000</v>
          </cell>
          <cell r="M218">
            <v>0</v>
          </cell>
        </row>
        <row r="219">
          <cell r="C219" t="str">
            <v>테니스장휀스H3000xL2500</v>
          </cell>
          <cell r="D219">
            <v>1</v>
          </cell>
          <cell r="E219" t="str">
            <v>경간</v>
          </cell>
          <cell r="F219">
            <v>200000</v>
          </cell>
          <cell r="G219">
            <v>200000</v>
          </cell>
          <cell r="H219">
            <v>70000</v>
          </cell>
          <cell r="I219">
            <v>70000</v>
          </cell>
          <cell r="J219">
            <v>130000</v>
          </cell>
          <cell r="K219">
            <v>130000</v>
          </cell>
          <cell r="M219">
            <v>0</v>
          </cell>
        </row>
        <row r="220">
          <cell r="C220" t="str">
            <v>테니스포스트</v>
          </cell>
          <cell r="D220">
            <v>1</v>
          </cell>
          <cell r="E220" t="str">
            <v>조</v>
          </cell>
          <cell r="F220">
            <v>275000</v>
          </cell>
          <cell r="G220">
            <v>275000</v>
          </cell>
          <cell r="H220">
            <v>45000</v>
          </cell>
          <cell r="I220">
            <v>45000</v>
          </cell>
          <cell r="J220">
            <v>230000</v>
          </cell>
          <cell r="K220">
            <v>230000</v>
          </cell>
          <cell r="M220">
            <v>0</v>
          </cell>
        </row>
        <row r="221">
          <cell r="C221" t="str">
            <v>통과형파고라D4000</v>
          </cell>
          <cell r="D221">
            <v>1</v>
          </cell>
          <cell r="E221" t="str">
            <v>EA</v>
          </cell>
          <cell r="F221">
            <v>4300000</v>
          </cell>
          <cell r="G221">
            <v>4300000</v>
          </cell>
          <cell r="H221">
            <v>800000</v>
          </cell>
          <cell r="I221">
            <v>800000</v>
          </cell>
          <cell r="J221">
            <v>3500000</v>
          </cell>
          <cell r="K221">
            <v>3500000</v>
          </cell>
          <cell r="L221">
            <v>0</v>
          </cell>
          <cell r="M221">
            <v>0</v>
          </cell>
        </row>
        <row r="222">
          <cell r="C222" t="str">
            <v>통나무장의자W400xL6000</v>
          </cell>
          <cell r="D222">
            <v>1</v>
          </cell>
          <cell r="E222" t="str">
            <v>EA</v>
          </cell>
          <cell r="F222">
            <v>970000</v>
          </cell>
          <cell r="G222">
            <v>970000</v>
          </cell>
          <cell r="H222">
            <v>220000</v>
          </cell>
          <cell r="I222">
            <v>220000</v>
          </cell>
          <cell r="J222">
            <v>750000</v>
          </cell>
          <cell r="K222">
            <v>750000</v>
          </cell>
          <cell r="M222">
            <v>0</v>
          </cell>
        </row>
        <row r="223">
          <cell r="C223" t="str">
            <v>통돌벤치450x450</v>
          </cell>
          <cell r="D223">
            <v>1</v>
          </cell>
          <cell r="E223" t="str">
            <v>EA</v>
          </cell>
          <cell r="F223">
            <v>255000</v>
          </cell>
          <cell r="G223">
            <v>255000</v>
          </cell>
          <cell r="H223">
            <v>55000</v>
          </cell>
          <cell r="I223">
            <v>55000</v>
          </cell>
          <cell r="J223">
            <v>200000</v>
          </cell>
          <cell r="K223">
            <v>200000</v>
          </cell>
          <cell r="L223">
            <v>0</v>
          </cell>
          <cell r="M223">
            <v>0</v>
          </cell>
        </row>
        <row r="224">
          <cell r="C224" t="str">
            <v>통돌벤치D400</v>
          </cell>
          <cell r="D224">
            <v>1</v>
          </cell>
          <cell r="E224" t="str">
            <v>EA</v>
          </cell>
          <cell r="F224">
            <v>255000</v>
          </cell>
          <cell r="G224">
            <v>255000</v>
          </cell>
          <cell r="H224">
            <v>55000</v>
          </cell>
          <cell r="I224">
            <v>55000</v>
          </cell>
          <cell r="J224">
            <v>200000</v>
          </cell>
          <cell r="K224">
            <v>200000</v>
          </cell>
          <cell r="L224">
            <v>0</v>
          </cell>
          <cell r="M224">
            <v>0</v>
          </cell>
        </row>
        <row r="225">
          <cell r="C225" t="str">
            <v>트랠리스H1200</v>
          </cell>
          <cell r="D225">
            <v>1</v>
          </cell>
          <cell r="E225" t="str">
            <v>m</v>
          </cell>
          <cell r="F225">
            <v>165000</v>
          </cell>
          <cell r="G225">
            <v>165000</v>
          </cell>
          <cell r="H225">
            <v>55000</v>
          </cell>
          <cell r="I225">
            <v>55000</v>
          </cell>
          <cell r="J225">
            <v>110000</v>
          </cell>
          <cell r="K225">
            <v>110000</v>
          </cell>
          <cell r="L225">
            <v>0</v>
          </cell>
          <cell r="M225">
            <v>0</v>
          </cell>
        </row>
        <row r="226">
          <cell r="C226" t="str">
            <v>트랠리스(문주형)H3700</v>
          </cell>
          <cell r="D226">
            <v>1</v>
          </cell>
          <cell r="E226" t="str">
            <v>EA</v>
          </cell>
          <cell r="F226">
            <v>11000000</v>
          </cell>
          <cell r="G226">
            <v>11000000</v>
          </cell>
          <cell r="H226">
            <v>1500000</v>
          </cell>
          <cell r="I226">
            <v>1500000</v>
          </cell>
          <cell r="J226">
            <v>9500000</v>
          </cell>
          <cell r="K226">
            <v>9500000</v>
          </cell>
          <cell r="L226">
            <v>0</v>
          </cell>
          <cell r="M226">
            <v>0</v>
          </cell>
        </row>
        <row r="227">
          <cell r="C227" t="str">
            <v>트랠리스(열주형)H3700</v>
          </cell>
          <cell r="D227">
            <v>1</v>
          </cell>
          <cell r="E227" t="str">
            <v>EA</v>
          </cell>
          <cell r="F227">
            <v>2500000</v>
          </cell>
          <cell r="G227">
            <v>2500000</v>
          </cell>
          <cell r="H227">
            <v>500000</v>
          </cell>
          <cell r="I227">
            <v>500000</v>
          </cell>
          <cell r="J227">
            <v>2000000</v>
          </cell>
          <cell r="K227">
            <v>2000000</v>
          </cell>
          <cell r="L227">
            <v>0</v>
          </cell>
          <cell r="M227">
            <v>0</v>
          </cell>
        </row>
        <row r="228">
          <cell r="C228" t="str">
            <v>트렌치BF200</v>
          </cell>
          <cell r="D228">
            <v>1</v>
          </cell>
          <cell r="E228" t="str">
            <v>m</v>
          </cell>
          <cell r="F228">
            <v>74000</v>
          </cell>
          <cell r="G228">
            <v>74000</v>
          </cell>
          <cell r="H228">
            <v>22000</v>
          </cell>
          <cell r="I228">
            <v>22000</v>
          </cell>
          <cell r="J228">
            <v>52000</v>
          </cell>
          <cell r="K228">
            <v>52000</v>
          </cell>
          <cell r="M228">
            <v>0</v>
          </cell>
        </row>
        <row r="229">
          <cell r="C229" t="str">
            <v>트렌치W300</v>
          </cell>
          <cell r="D229">
            <v>1</v>
          </cell>
          <cell r="E229" t="str">
            <v>m</v>
          </cell>
          <cell r="F229">
            <v>74000</v>
          </cell>
          <cell r="G229">
            <v>74000</v>
          </cell>
          <cell r="H229">
            <v>22000</v>
          </cell>
          <cell r="I229">
            <v>22000</v>
          </cell>
          <cell r="J229">
            <v>52000</v>
          </cell>
          <cell r="K229">
            <v>52000</v>
          </cell>
          <cell r="M229">
            <v>0</v>
          </cell>
        </row>
        <row r="230">
          <cell r="C230" t="str">
            <v>트렐리스H2500</v>
          </cell>
          <cell r="D230">
            <v>1</v>
          </cell>
          <cell r="E230" t="str">
            <v>EA</v>
          </cell>
          <cell r="F230">
            <v>690000</v>
          </cell>
          <cell r="G230">
            <v>690000</v>
          </cell>
          <cell r="H230">
            <v>430000</v>
          </cell>
          <cell r="I230">
            <v>430000</v>
          </cell>
          <cell r="J230">
            <v>260000</v>
          </cell>
          <cell r="K230">
            <v>260000</v>
          </cell>
          <cell r="M230">
            <v>0</v>
          </cell>
        </row>
        <row r="231">
          <cell r="C231" t="str">
            <v>파고라3200x3200</v>
          </cell>
          <cell r="D231">
            <v>1</v>
          </cell>
          <cell r="E231" t="str">
            <v>EA</v>
          </cell>
          <cell r="F231">
            <v>3700000</v>
          </cell>
          <cell r="G231">
            <v>3700000</v>
          </cell>
          <cell r="H231">
            <v>200000</v>
          </cell>
          <cell r="I231">
            <v>200000</v>
          </cell>
          <cell r="J231">
            <v>3500000</v>
          </cell>
          <cell r="K231">
            <v>3500000</v>
          </cell>
          <cell r="M231">
            <v>0</v>
          </cell>
        </row>
        <row r="232">
          <cell r="C232" t="str">
            <v>파고라4500x4500</v>
          </cell>
          <cell r="D232">
            <v>1</v>
          </cell>
          <cell r="E232" t="str">
            <v>개소</v>
          </cell>
          <cell r="F232">
            <v>4300000</v>
          </cell>
          <cell r="G232">
            <v>4300000</v>
          </cell>
          <cell r="H232">
            <v>300000</v>
          </cell>
          <cell r="I232">
            <v>300000</v>
          </cell>
          <cell r="J232">
            <v>4000000</v>
          </cell>
          <cell r="K232">
            <v>4000000</v>
          </cell>
          <cell r="M232">
            <v>0</v>
          </cell>
        </row>
        <row r="233">
          <cell r="C233" t="str">
            <v>파고라61820</v>
          </cell>
          <cell r="D233">
            <v>1</v>
          </cell>
          <cell r="E233" t="str">
            <v>EA</v>
          </cell>
          <cell r="F233">
            <v>1700000</v>
          </cell>
          <cell r="G233">
            <v>1700000</v>
          </cell>
          <cell r="H233">
            <v>500000</v>
          </cell>
          <cell r="I233">
            <v>500000</v>
          </cell>
          <cell r="J233">
            <v>1200000</v>
          </cell>
          <cell r="K233">
            <v>1200000</v>
          </cell>
          <cell r="M233">
            <v>0</v>
          </cell>
        </row>
        <row r="234">
          <cell r="C234" t="str">
            <v>파고라H2700xW3000</v>
          </cell>
          <cell r="D234">
            <v>1</v>
          </cell>
          <cell r="E234" t="str">
            <v>개소</v>
          </cell>
          <cell r="F234">
            <v>3400000</v>
          </cell>
          <cell r="G234">
            <v>3400000</v>
          </cell>
          <cell r="H234">
            <v>200000</v>
          </cell>
          <cell r="I234">
            <v>200000</v>
          </cell>
          <cell r="J234">
            <v>3200000</v>
          </cell>
          <cell r="K234">
            <v>3200000</v>
          </cell>
          <cell r="M234">
            <v>0</v>
          </cell>
        </row>
        <row r="235">
          <cell r="C235" t="str">
            <v>팔각쉘터4000x4000</v>
          </cell>
          <cell r="D235">
            <v>1</v>
          </cell>
          <cell r="E235" t="str">
            <v>EA</v>
          </cell>
          <cell r="F235">
            <v>7800000</v>
          </cell>
          <cell r="G235">
            <v>7800000</v>
          </cell>
          <cell r="H235">
            <v>2500000</v>
          </cell>
          <cell r="I235">
            <v>2500000</v>
          </cell>
          <cell r="J235">
            <v>5300000</v>
          </cell>
          <cell r="K235">
            <v>5300000</v>
          </cell>
          <cell r="L235">
            <v>0</v>
          </cell>
          <cell r="M235">
            <v>0</v>
          </cell>
        </row>
        <row r="236">
          <cell r="C236" t="str">
            <v>팔각쉘터70206</v>
          </cell>
          <cell r="D236">
            <v>1</v>
          </cell>
          <cell r="E236" t="str">
            <v>EA</v>
          </cell>
          <cell r="F236">
            <v>8100000</v>
          </cell>
          <cell r="G236">
            <v>8100000</v>
          </cell>
          <cell r="H236">
            <v>2400000</v>
          </cell>
          <cell r="I236">
            <v>2400000</v>
          </cell>
          <cell r="J236">
            <v>5700000</v>
          </cell>
          <cell r="K236">
            <v>5700000</v>
          </cell>
          <cell r="M236">
            <v>0</v>
          </cell>
        </row>
        <row r="237">
          <cell r="C237" t="str">
            <v>팔각정자6000xH4300</v>
          </cell>
          <cell r="D237">
            <v>1</v>
          </cell>
          <cell r="E237" t="str">
            <v>EA</v>
          </cell>
          <cell r="F237">
            <v>13100000</v>
          </cell>
          <cell r="G237">
            <v>13100000</v>
          </cell>
          <cell r="H237">
            <v>1100000</v>
          </cell>
          <cell r="I237">
            <v>1100000</v>
          </cell>
          <cell r="J237">
            <v>12000000</v>
          </cell>
          <cell r="K237">
            <v>12000000</v>
          </cell>
          <cell r="M237">
            <v>0</v>
          </cell>
        </row>
        <row r="238">
          <cell r="C238" t="str">
            <v>평의자516</v>
          </cell>
          <cell r="D238">
            <v>1</v>
          </cell>
          <cell r="E238" t="str">
            <v>EA</v>
          </cell>
          <cell r="F238">
            <v>230000</v>
          </cell>
          <cell r="G238">
            <v>230000</v>
          </cell>
          <cell r="H238">
            <v>70000</v>
          </cell>
          <cell r="I238">
            <v>70000</v>
          </cell>
          <cell r="J238">
            <v>160000</v>
          </cell>
          <cell r="K238">
            <v>160000</v>
          </cell>
          <cell r="M238">
            <v>0</v>
          </cell>
        </row>
        <row r="239">
          <cell r="C239" t="str">
            <v>평의자W460xL1800</v>
          </cell>
          <cell r="D239">
            <v>1</v>
          </cell>
          <cell r="E239" t="str">
            <v>개소</v>
          </cell>
          <cell r="F239">
            <v>235000</v>
          </cell>
          <cell r="G239">
            <v>235000</v>
          </cell>
          <cell r="H239">
            <v>55000</v>
          </cell>
          <cell r="I239">
            <v>55000</v>
          </cell>
          <cell r="J239">
            <v>180000</v>
          </cell>
          <cell r="K239">
            <v>180000</v>
          </cell>
          <cell r="L239">
            <v>0</v>
          </cell>
          <cell r="M239">
            <v>0</v>
          </cell>
        </row>
        <row r="240">
          <cell r="C240" t="str">
            <v>평파고라7500x4200</v>
          </cell>
          <cell r="D240">
            <v>1</v>
          </cell>
          <cell r="E240" t="str">
            <v>EA</v>
          </cell>
          <cell r="F240">
            <v>3750000</v>
          </cell>
          <cell r="G240">
            <v>3750000</v>
          </cell>
          <cell r="H240">
            <v>550000</v>
          </cell>
          <cell r="I240">
            <v>550000</v>
          </cell>
          <cell r="J240">
            <v>3200000</v>
          </cell>
          <cell r="K240">
            <v>3200000</v>
          </cell>
          <cell r="L240">
            <v>0</v>
          </cell>
          <cell r="M240">
            <v>0</v>
          </cell>
        </row>
        <row r="241">
          <cell r="C241" t="str">
            <v>포장경계석100x100x1000,직선</v>
          </cell>
          <cell r="D241">
            <v>1</v>
          </cell>
          <cell r="E241" t="str">
            <v>m</v>
          </cell>
          <cell r="F241">
            <v>22500</v>
          </cell>
          <cell r="G241">
            <v>22500</v>
          </cell>
          <cell r="H241">
            <v>5500</v>
          </cell>
          <cell r="I241">
            <v>5500</v>
          </cell>
          <cell r="J241">
            <v>17000</v>
          </cell>
          <cell r="K241">
            <v>17000</v>
          </cell>
          <cell r="M241">
            <v>0</v>
          </cell>
        </row>
        <row r="242">
          <cell r="C242" t="str">
            <v>포장경계석120x120x1000,곡선</v>
          </cell>
          <cell r="D242">
            <v>1</v>
          </cell>
          <cell r="E242" t="str">
            <v>m</v>
          </cell>
          <cell r="F242">
            <v>27000</v>
          </cell>
          <cell r="G242">
            <v>27000</v>
          </cell>
          <cell r="H242">
            <v>7000</v>
          </cell>
          <cell r="I242">
            <v>7000</v>
          </cell>
          <cell r="J242">
            <v>20000</v>
          </cell>
          <cell r="K242">
            <v>20000</v>
          </cell>
          <cell r="M242">
            <v>0</v>
          </cell>
        </row>
        <row r="243">
          <cell r="C243" t="str">
            <v>포장경계석120x120x1000,직선</v>
          </cell>
          <cell r="D243">
            <v>1</v>
          </cell>
          <cell r="E243" t="str">
            <v>m</v>
          </cell>
          <cell r="F243">
            <v>22000</v>
          </cell>
          <cell r="G243">
            <v>22000</v>
          </cell>
          <cell r="H243">
            <v>7000</v>
          </cell>
          <cell r="I243">
            <v>7000</v>
          </cell>
          <cell r="J243">
            <v>15000</v>
          </cell>
          <cell r="K243">
            <v>15000</v>
          </cell>
          <cell r="M243">
            <v>0</v>
          </cell>
        </row>
        <row r="244">
          <cell r="C244" t="str">
            <v>포천석판석포장T30</v>
          </cell>
          <cell r="D244">
            <v>1</v>
          </cell>
          <cell r="E244" t="str">
            <v>m2</v>
          </cell>
          <cell r="F244">
            <v>72000</v>
          </cell>
          <cell r="G244">
            <v>72000</v>
          </cell>
          <cell r="H244">
            <v>22000</v>
          </cell>
          <cell r="I244">
            <v>22000</v>
          </cell>
          <cell r="J244">
            <v>50000</v>
          </cell>
          <cell r="K244">
            <v>50000</v>
          </cell>
          <cell r="L244">
            <v>0</v>
          </cell>
          <cell r="M244">
            <v>0</v>
          </cell>
        </row>
        <row r="245">
          <cell r="C245" t="str">
            <v>플랜터H400,W400</v>
          </cell>
          <cell r="D245">
            <v>1</v>
          </cell>
          <cell r="E245" t="str">
            <v>m2</v>
          </cell>
          <cell r="F245">
            <v>165000</v>
          </cell>
          <cell r="G245">
            <v>165000</v>
          </cell>
          <cell r="H245">
            <v>70000</v>
          </cell>
          <cell r="I245">
            <v>70000</v>
          </cell>
          <cell r="J245">
            <v>95000</v>
          </cell>
          <cell r="K245">
            <v>95000</v>
          </cell>
          <cell r="M245">
            <v>0</v>
          </cell>
        </row>
        <row r="246">
          <cell r="C246" t="str">
            <v>플랜터H600,W300</v>
          </cell>
          <cell r="D246">
            <v>1</v>
          </cell>
          <cell r="E246" t="str">
            <v>m2</v>
          </cell>
          <cell r="F246">
            <v>220000</v>
          </cell>
          <cell r="G246">
            <v>220000</v>
          </cell>
          <cell r="H246">
            <v>90000</v>
          </cell>
          <cell r="I246">
            <v>90000</v>
          </cell>
          <cell r="J246">
            <v>130000</v>
          </cell>
          <cell r="K246">
            <v>130000</v>
          </cell>
          <cell r="M246">
            <v>0</v>
          </cell>
        </row>
        <row r="247">
          <cell r="C247" t="str">
            <v>플랜터H600,W400</v>
          </cell>
          <cell r="D247">
            <v>1</v>
          </cell>
          <cell r="E247" t="str">
            <v>m</v>
          </cell>
          <cell r="F247">
            <v>217000</v>
          </cell>
          <cell r="G247">
            <v>217000</v>
          </cell>
          <cell r="H247">
            <v>77000</v>
          </cell>
          <cell r="I247">
            <v>77000</v>
          </cell>
          <cell r="J247">
            <v>140000</v>
          </cell>
          <cell r="K247">
            <v>140000</v>
          </cell>
          <cell r="L247">
            <v>0</v>
          </cell>
          <cell r="M247">
            <v>0</v>
          </cell>
        </row>
        <row r="248">
          <cell r="C248" t="str">
            <v>플랜터(마그마벽돌)H400</v>
          </cell>
          <cell r="D248">
            <v>1</v>
          </cell>
          <cell r="E248" t="str">
            <v>m</v>
          </cell>
          <cell r="F248">
            <v>99000</v>
          </cell>
          <cell r="G248">
            <v>99000</v>
          </cell>
          <cell r="H248">
            <v>46000</v>
          </cell>
          <cell r="I248">
            <v>46000</v>
          </cell>
          <cell r="J248">
            <v>53000</v>
          </cell>
          <cell r="K248">
            <v>53000</v>
          </cell>
          <cell r="L248">
            <v>0</v>
          </cell>
          <cell r="M248">
            <v>0</v>
          </cell>
        </row>
        <row r="249">
          <cell r="C249" t="str">
            <v>플랜터(마그마벽돌)H800</v>
          </cell>
          <cell r="D249">
            <v>1</v>
          </cell>
          <cell r="E249" t="str">
            <v>m</v>
          </cell>
          <cell r="F249">
            <v>116000</v>
          </cell>
          <cell r="G249">
            <v>116000</v>
          </cell>
          <cell r="H249">
            <v>50000</v>
          </cell>
          <cell r="I249">
            <v>50000</v>
          </cell>
          <cell r="J249">
            <v>66000</v>
          </cell>
          <cell r="K249">
            <v>66000</v>
          </cell>
          <cell r="L249">
            <v>0</v>
          </cell>
          <cell r="M249">
            <v>0</v>
          </cell>
        </row>
        <row r="250">
          <cell r="C250" t="str">
            <v>플랜터H900xW300</v>
          </cell>
          <cell r="D250">
            <v>1</v>
          </cell>
          <cell r="E250" t="str">
            <v>m</v>
          </cell>
          <cell r="F250">
            <v>176000</v>
          </cell>
          <cell r="G250">
            <v>176000</v>
          </cell>
          <cell r="H250">
            <v>66000</v>
          </cell>
          <cell r="I250">
            <v>66000</v>
          </cell>
          <cell r="J250">
            <v>110000</v>
          </cell>
          <cell r="K250">
            <v>110000</v>
          </cell>
          <cell r="L250">
            <v>0</v>
          </cell>
          <cell r="M250">
            <v>0</v>
          </cell>
        </row>
        <row r="251">
          <cell r="C251" t="str">
            <v>플랜터(적벽돌)H500,900</v>
          </cell>
          <cell r="D251">
            <v>1</v>
          </cell>
          <cell r="E251" t="str">
            <v>m2</v>
          </cell>
          <cell r="F251">
            <v>94000</v>
          </cell>
          <cell r="G251">
            <v>94000</v>
          </cell>
          <cell r="H251">
            <v>19000</v>
          </cell>
          <cell r="I251">
            <v>19000</v>
          </cell>
          <cell r="J251">
            <v>75000</v>
          </cell>
          <cell r="K251">
            <v>75000</v>
          </cell>
          <cell r="M251">
            <v>0</v>
          </cell>
        </row>
        <row r="252">
          <cell r="C252" t="str">
            <v>플랜트겸의자1800x1800</v>
          </cell>
          <cell r="D252">
            <v>1</v>
          </cell>
          <cell r="E252" t="str">
            <v>EA</v>
          </cell>
          <cell r="F252">
            <v>770000</v>
          </cell>
          <cell r="G252">
            <v>770000</v>
          </cell>
          <cell r="H252">
            <v>220000</v>
          </cell>
          <cell r="I252">
            <v>220000</v>
          </cell>
          <cell r="J252">
            <v>550000</v>
          </cell>
          <cell r="K252">
            <v>550000</v>
          </cell>
          <cell r="L252">
            <v>0</v>
          </cell>
          <cell r="M252">
            <v>0</v>
          </cell>
        </row>
        <row r="253">
          <cell r="C253" t="str">
            <v>플랜트박스H500</v>
          </cell>
          <cell r="D253">
            <v>1</v>
          </cell>
          <cell r="E253" t="str">
            <v>m2</v>
          </cell>
          <cell r="F253">
            <v>213000</v>
          </cell>
          <cell r="G253">
            <v>213000</v>
          </cell>
          <cell r="H253">
            <v>43000</v>
          </cell>
          <cell r="I253">
            <v>43000</v>
          </cell>
          <cell r="J253">
            <v>170000</v>
          </cell>
          <cell r="K253">
            <v>170000</v>
          </cell>
          <cell r="M253">
            <v>0</v>
          </cell>
        </row>
        <row r="254">
          <cell r="C254" t="str">
            <v>하늘오르기112217</v>
          </cell>
          <cell r="D254">
            <v>1</v>
          </cell>
          <cell r="E254" t="str">
            <v>EA</v>
          </cell>
          <cell r="F254">
            <v>6100000</v>
          </cell>
          <cell r="G254">
            <v>6100000</v>
          </cell>
          <cell r="H254">
            <v>1800000</v>
          </cell>
          <cell r="I254">
            <v>1800000</v>
          </cell>
          <cell r="J254">
            <v>4300000</v>
          </cell>
          <cell r="K254">
            <v>4300000</v>
          </cell>
          <cell r="M254">
            <v>0</v>
          </cell>
        </row>
        <row r="255">
          <cell r="C255" t="str">
            <v>헬리콥터101035</v>
          </cell>
          <cell r="D255">
            <v>1</v>
          </cell>
          <cell r="E255" t="str">
            <v>EA</v>
          </cell>
          <cell r="F255">
            <v>1700000</v>
          </cell>
          <cell r="G255">
            <v>1700000</v>
          </cell>
          <cell r="H255">
            <v>500000</v>
          </cell>
          <cell r="I255">
            <v>500000</v>
          </cell>
          <cell r="J255">
            <v>1200000</v>
          </cell>
          <cell r="K255">
            <v>1200000</v>
          </cell>
          <cell r="M255">
            <v>0</v>
          </cell>
        </row>
        <row r="256">
          <cell r="C256" t="str">
            <v>화강석경계석(곡선)150x200x1000</v>
          </cell>
          <cell r="D256">
            <v>1</v>
          </cell>
          <cell r="E256" t="str">
            <v>m</v>
          </cell>
          <cell r="F256">
            <v>41800</v>
          </cell>
          <cell r="G256">
            <v>41800</v>
          </cell>
          <cell r="H256">
            <v>8800</v>
          </cell>
          <cell r="I256">
            <v>8800</v>
          </cell>
          <cell r="J256">
            <v>33000</v>
          </cell>
          <cell r="K256">
            <v>33000</v>
          </cell>
          <cell r="L256">
            <v>0</v>
          </cell>
          <cell r="M256">
            <v>0</v>
          </cell>
        </row>
        <row r="257">
          <cell r="C257" t="str">
            <v>화강석경계석(곡선)200x300x1000</v>
          </cell>
          <cell r="D257">
            <v>1</v>
          </cell>
          <cell r="E257" t="str">
            <v>m</v>
          </cell>
          <cell r="F257">
            <v>35700</v>
          </cell>
          <cell r="G257">
            <v>35700</v>
          </cell>
          <cell r="H257">
            <v>7700</v>
          </cell>
          <cell r="I257">
            <v>7700</v>
          </cell>
          <cell r="J257">
            <v>28000</v>
          </cell>
          <cell r="K257">
            <v>28000</v>
          </cell>
          <cell r="L257">
            <v>0</v>
          </cell>
          <cell r="M257">
            <v>0</v>
          </cell>
        </row>
        <row r="258">
          <cell r="C258" t="str">
            <v>화강석계단T210x300x1000</v>
          </cell>
          <cell r="D258">
            <v>1</v>
          </cell>
          <cell r="E258" t="str">
            <v>m</v>
          </cell>
          <cell r="F258">
            <v>410000</v>
          </cell>
          <cell r="G258">
            <v>410000</v>
          </cell>
          <cell r="H258">
            <v>150000</v>
          </cell>
          <cell r="I258">
            <v>150000</v>
          </cell>
          <cell r="J258">
            <v>260000</v>
          </cell>
          <cell r="K258">
            <v>260000</v>
          </cell>
          <cell r="L258" t="str">
            <v/>
          </cell>
          <cell r="M258">
            <v>0</v>
          </cell>
        </row>
        <row r="259">
          <cell r="C259" t="str">
            <v>화강석계단T30</v>
          </cell>
          <cell r="D259">
            <v>1</v>
          </cell>
          <cell r="E259" t="str">
            <v>개소</v>
          </cell>
          <cell r="F259">
            <v>5000000</v>
          </cell>
          <cell r="G259">
            <v>5000000</v>
          </cell>
          <cell r="H259">
            <v>1500000</v>
          </cell>
          <cell r="I259">
            <v>1500000</v>
          </cell>
          <cell r="J259">
            <v>3500000</v>
          </cell>
          <cell r="K259">
            <v>3500000</v>
          </cell>
          <cell r="M259">
            <v>0</v>
          </cell>
        </row>
        <row r="260">
          <cell r="C260" t="str">
            <v>화강석통석(녹지경계)300x400x변화치수</v>
          </cell>
          <cell r="D260">
            <v>1</v>
          </cell>
          <cell r="E260" t="str">
            <v>m</v>
          </cell>
          <cell r="F260">
            <v>350000</v>
          </cell>
          <cell r="G260">
            <v>350000</v>
          </cell>
          <cell r="H260">
            <v>120000</v>
          </cell>
          <cell r="I260">
            <v>120000</v>
          </cell>
          <cell r="J260">
            <v>230000</v>
          </cell>
          <cell r="K260">
            <v>230000</v>
          </cell>
          <cell r="M260">
            <v>0</v>
          </cell>
        </row>
        <row r="261">
          <cell r="C261" t="str">
            <v>화강석통석놓기400x400x변화치수</v>
          </cell>
          <cell r="D261">
            <v>1</v>
          </cell>
          <cell r="E261" t="str">
            <v>개소</v>
          </cell>
          <cell r="F261">
            <v>1000000</v>
          </cell>
          <cell r="G261">
            <v>1000000</v>
          </cell>
          <cell r="H261">
            <v>200000</v>
          </cell>
          <cell r="I261">
            <v>200000</v>
          </cell>
          <cell r="J261">
            <v>800000</v>
          </cell>
          <cell r="K261">
            <v>800000</v>
          </cell>
          <cell r="M261">
            <v>0</v>
          </cell>
        </row>
        <row r="262">
          <cell r="C262" t="str">
            <v>화강석판석포장300x300xT30</v>
          </cell>
          <cell r="D262">
            <v>1</v>
          </cell>
          <cell r="E262" t="str">
            <v>m2</v>
          </cell>
          <cell r="F262">
            <v>75000</v>
          </cell>
          <cell r="G262">
            <v>75000</v>
          </cell>
          <cell r="H262">
            <v>25000</v>
          </cell>
          <cell r="I262">
            <v>25000</v>
          </cell>
          <cell r="J262">
            <v>50000</v>
          </cell>
          <cell r="K262">
            <v>50000</v>
          </cell>
          <cell r="L262">
            <v>0</v>
          </cell>
          <cell r="M262">
            <v>0</v>
          </cell>
        </row>
        <row r="263">
          <cell r="C263" t="str">
            <v>화강석판석포장300x400xT30</v>
          </cell>
          <cell r="D263">
            <v>1</v>
          </cell>
          <cell r="E263" t="str">
            <v>m2</v>
          </cell>
          <cell r="F263">
            <v>87000</v>
          </cell>
          <cell r="G263">
            <v>87000</v>
          </cell>
          <cell r="H263">
            <v>47000</v>
          </cell>
          <cell r="I263">
            <v>47000</v>
          </cell>
          <cell r="J263">
            <v>40000</v>
          </cell>
          <cell r="K263">
            <v>40000</v>
          </cell>
          <cell r="M263">
            <v>0</v>
          </cell>
        </row>
        <row r="264">
          <cell r="C264" t="str">
            <v>화강석플랜터H200-H1000</v>
          </cell>
          <cell r="D264">
            <v>1</v>
          </cell>
          <cell r="E264" t="str">
            <v>m</v>
          </cell>
          <cell r="F264">
            <v>174000</v>
          </cell>
          <cell r="G264">
            <v>174000</v>
          </cell>
          <cell r="H264">
            <v>44000</v>
          </cell>
          <cell r="I264">
            <v>44000</v>
          </cell>
          <cell r="J264">
            <v>130000</v>
          </cell>
          <cell r="K264">
            <v>130000</v>
          </cell>
          <cell r="L264">
            <v>0</v>
          </cell>
          <cell r="M264">
            <v>0</v>
          </cell>
        </row>
        <row r="265">
          <cell r="C265" t="str">
            <v>화단박스H450</v>
          </cell>
          <cell r="D265">
            <v>1</v>
          </cell>
          <cell r="E265" t="str">
            <v>m</v>
          </cell>
          <cell r="F265">
            <v>100000</v>
          </cell>
          <cell r="G265">
            <v>100000</v>
          </cell>
          <cell r="H265">
            <v>25000</v>
          </cell>
          <cell r="I265">
            <v>25000</v>
          </cell>
          <cell r="J265">
            <v>75000</v>
          </cell>
          <cell r="K265">
            <v>75000</v>
          </cell>
          <cell r="M265">
            <v>0</v>
          </cell>
        </row>
        <row r="266">
          <cell r="C266" t="str">
            <v>화단박스W=190</v>
          </cell>
          <cell r="D266">
            <v>1</v>
          </cell>
          <cell r="E266" t="str">
            <v>m</v>
          </cell>
          <cell r="F266">
            <v>41000</v>
          </cell>
          <cell r="G266">
            <v>41000</v>
          </cell>
          <cell r="H266">
            <v>8000</v>
          </cell>
          <cell r="I266">
            <v>8000</v>
          </cell>
          <cell r="J266">
            <v>33000</v>
          </cell>
          <cell r="K266">
            <v>33000</v>
          </cell>
          <cell r="M266">
            <v>0</v>
          </cell>
        </row>
        <row r="267">
          <cell r="C267" t="str">
            <v>회전무대101077</v>
          </cell>
          <cell r="D267">
            <v>1</v>
          </cell>
          <cell r="E267" t="str">
            <v>EA</v>
          </cell>
          <cell r="F267">
            <v>1200000</v>
          </cell>
          <cell r="G267">
            <v>1200000</v>
          </cell>
          <cell r="H267">
            <v>370000</v>
          </cell>
          <cell r="I267">
            <v>370000</v>
          </cell>
          <cell r="J267">
            <v>830000</v>
          </cell>
          <cell r="K267">
            <v>830000</v>
          </cell>
          <cell r="M267">
            <v>0</v>
          </cell>
        </row>
        <row r="268">
          <cell r="C268" t="str">
            <v>회전무대112201</v>
          </cell>
          <cell r="D268">
            <v>1</v>
          </cell>
          <cell r="E268" t="str">
            <v>EA</v>
          </cell>
          <cell r="F268">
            <v>2500000</v>
          </cell>
          <cell r="G268">
            <v>2500000</v>
          </cell>
          <cell r="H268">
            <v>700000</v>
          </cell>
          <cell r="I268">
            <v>700000</v>
          </cell>
          <cell r="J268">
            <v>1800000</v>
          </cell>
          <cell r="K268">
            <v>1800000</v>
          </cell>
          <cell r="M268">
            <v>0</v>
          </cell>
        </row>
        <row r="269">
          <cell r="C269" t="str">
            <v>휀스(A)어린이놀이터</v>
          </cell>
          <cell r="D269">
            <v>1</v>
          </cell>
          <cell r="E269" t="str">
            <v>m</v>
          </cell>
          <cell r="F269">
            <v>225000</v>
          </cell>
          <cell r="G269">
            <v>225000</v>
          </cell>
          <cell r="H269">
            <v>28000</v>
          </cell>
          <cell r="I269">
            <v>28000</v>
          </cell>
          <cell r="J269">
            <v>197000</v>
          </cell>
          <cell r="K269">
            <v>197000</v>
          </cell>
          <cell r="M269">
            <v>0</v>
          </cell>
        </row>
        <row r="270">
          <cell r="C270" t="str">
            <v>휀스(B)차폐용(목재)</v>
          </cell>
          <cell r="D270">
            <v>1</v>
          </cell>
          <cell r="E270" t="str">
            <v>m</v>
          </cell>
          <cell r="F270">
            <v>600000</v>
          </cell>
          <cell r="G270">
            <v>600000</v>
          </cell>
          <cell r="H270">
            <v>130000</v>
          </cell>
          <cell r="I270">
            <v>130000</v>
          </cell>
          <cell r="J270">
            <v>470000</v>
          </cell>
          <cell r="K270">
            <v>470000</v>
          </cell>
          <cell r="M270">
            <v>0</v>
          </cell>
        </row>
        <row r="271">
          <cell r="C271" t="str">
            <v>휀스(C)차폐용(난간)</v>
          </cell>
          <cell r="D271">
            <v>1</v>
          </cell>
          <cell r="E271" t="str">
            <v>m</v>
          </cell>
          <cell r="F271">
            <v>133000</v>
          </cell>
          <cell r="G271">
            <v>133000</v>
          </cell>
          <cell r="H271">
            <v>17000</v>
          </cell>
          <cell r="I271">
            <v>17000</v>
          </cell>
          <cell r="J271">
            <v>116000</v>
          </cell>
          <cell r="K271">
            <v>116000</v>
          </cell>
          <cell r="M271">
            <v>0</v>
          </cell>
        </row>
        <row r="272">
          <cell r="C272" t="str">
            <v>휀스(D)안전용</v>
          </cell>
          <cell r="D272">
            <v>1</v>
          </cell>
          <cell r="E272" t="str">
            <v>m</v>
          </cell>
          <cell r="F272">
            <v>299000</v>
          </cell>
          <cell r="G272">
            <v>299000</v>
          </cell>
          <cell r="H272">
            <v>28000</v>
          </cell>
          <cell r="I272">
            <v>28000</v>
          </cell>
          <cell r="J272">
            <v>271000</v>
          </cell>
          <cell r="K272">
            <v>271000</v>
          </cell>
          <cell r="M272">
            <v>0</v>
          </cell>
        </row>
        <row r="273">
          <cell r="C273" t="str">
            <v>휀스(E)안전용(난간)</v>
          </cell>
          <cell r="D273">
            <v>1</v>
          </cell>
          <cell r="E273" t="str">
            <v>m</v>
          </cell>
          <cell r="F273">
            <v>166000</v>
          </cell>
          <cell r="G273">
            <v>166000</v>
          </cell>
          <cell r="H273">
            <v>17000</v>
          </cell>
          <cell r="I273">
            <v>17000</v>
          </cell>
          <cell r="J273">
            <v>149000</v>
          </cell>
          <cell r="K273">
            <v>149000</v>
          </cell>
          <cell r="M273">
            <v>0</v>
          </cell>
        </row>
        <row r="274">
          <cell r="C274" t="str">
            <v>휀스(F)방음용</v>
          </cell>
          <cell r="D274">
            <v>1</v>
          </cell>
          <cell r="E274" t="str">
            <v>m</v>
          </cell>
          <cell r="F274">
            <v>650000</v>
          </cell>
          <cell r="G274">
            <v>650000</v>
          </cell>
          <cell r="H274">
            <v>200000</v>
          </cell>
          <cell r="I274">
            <v>200000</v>
          </cell>
          <cell r="J274">
            <v>450000</v>
          </cell>
          <cell r="K274">
            <v>450000</v>
          </cell>
          <cell r="M274">
            <v>0</v>
          </cell>
        </row>
        <row r="275">
          <cell r="C275" t="str">
            <v>휀스(G)산벽부</v>
          </cell>
          <cell r="D275">
            <v>1</v>
          </cell>
          <cell r="E275" t="str">
            <v>m</v>
          </cell>
          <cell r="F275">
            <v>68000</v>
          </cell>
          <cell r="G275">
            <v>68000</v>
          </cell>
          <cell r="H275">
            <v>17000</v>
          </cell>
          <cell r="I275">
            <v>17000</v>
          </cell>
          <cell r="J275">
            <v>51000</v>
          </cell>
          <cell r="K275">
            <v>51000</v>
          </cell>
          <cell r="M275">
            <v>0</v>
          </cell>
        </row>
        <row r="276">
          <cell r="C276" t="str">
            <v>흄관D300</v>
          </cell>
          <cell r="D276">
            <v>1</v>
          </cell>
          <cell r="E276" t="str">
            <v>m</v>
          </cell>
          <cell r="F276">
            <v>41000</v>
          </cell>
          <cell r="G276">
            <v>41000</v>
          </cell>
          <cell r="H276">
            <v>23000</v>
          </cell>
          <cell r="I276">
            <v>23000</v>
          </cell>
          <cell r="J276">
            <v>18000</v>
          </cell>
          <cell r="K276">
            <v>18000</v>
          </cell>
          <cell r="M276">
            <v>0</v>
          </cell>
        </row>
        <row r="277">
          <cell r="C277" t="str">
            <v>흔들놀이40,44,45</v>
          </cell>
          <cell r="D277">
            <v>1</v>
          </cell>
          <cell r="E277" t="str">
            <v>EA</v>
          </cell>
          <cell r="F277">
            <v>1000000</v>
          </cell>
          <cell r="G277">
            <v>1000000</v>
          </cell>
          <cell r="H277">
            <v>300000</v>
          </cell>
          <cell r="I277">
            <v>300000</v>
          </cell>
          <cell r="J277">
            <v>700000</v>
          </cell>
          <cell r="K277">
            <v>700000</v>
          </cell>
          <cell r="M277">
            <v>0</v>
          </cell>
        </row>
        <row r="278">
          <cell r="C278" t="str">
            <v>흔들놀이그룹10470</v>
          </cell>
          <cell r="D278">
            <v>1</v>
          </cell>
          <cell r="E278" t="str">
            <v>EA</v>
          </cell>
          <cell r="F278">
            <v>4700000</v>
          </cell>
          <cell r="G278">
            <v>4700000</v>
          </cell>
          <cell r="H278">
            <v>1400000</v>
          </cell>
          <cell r="I278">
            <v>1400000</v>
          </cell>
          <cell r="J278">
            <v>3300000</v>
          </cell>
          <cell r="K278">
            <v>3300000</v>
          </cell>
          <cell r="M278">
            <v>0</v>
          </cell>
        </row>
        <row r="279">
          <cell r="C279" t="str">
            <v>흔들의자112208</v>
          </cell>
          <cell r="D279">
            <v>1</v>
          </cell>
          <cell r="E279" t="str">
            <v>EA</v>
          </cell>
          <cell r="F279">
            <v>1800000</v>
          </cell>
          <cell r="G279">
            <v>1800000</v>
          </cell>
          <cell r="H279">
            <v>550000</v>
          </cell>
          <cell r="I279">
            <v>550000</v>
          </cell>
          <cell r="J279">
            <v>1250000</v>
          </cell>
          <cell r="K279">
            <v>1250000</v>
          </cell>
          <cell r="M279">
            <v>0</v>
          </cell>
        </row>
        <row r="280">
          <cell r="C280" t="str">
            <v>FLOWER POTφ1200</v>
          </cell>
          <cell r="D280">
            <v>1</v>
          </cell>
          <cell r="E280" t="str">
            <v>EA</v>
          </cell>
          <cell r="F280">
            <v>1200000</v>
          </cell>
          <cell r="G280">
            <v>1200000</v>
          </cell>
          <cell r="H280" t="str">
            <v/>
          </cell>
          <cell r="I280">
            <v>0</v>
          </cell>
          <cell r="J280">
            <v>1200000</v>
          </cell>
          <cell r="K280">
            <v>1200000</v>
          </cell>
          <cell r="L280" t="str">
            <v/>
          </cell>
          <cell r="M280">
            <v>0</v>
          </cell>
        </row>
        <row r="281">
          <cell r="C281" t="str">
            <v>SITTING WALLL6500</v>
          </cell>
          <cell r="D281">
            <v>1</v>
          </cell>
          <cell r="E281" t="str">
            <v>EA</v>
          </cell>
          <cell r="F281">
            <v>1300000</v>
          </cell>
          <cell r="G281">
            <v>1300000</v>
          </cell>
          <cell r="H281">
            <v>500000</v>
          </cell>
          <cell r="I281">
            <v>500000</v>
          </cell>
          <cell r="J281">
            <v>800000</v>
          </cell>
          <cell r="K281">
            <v>800000</v>
          </cell>
          <cell r="L281">
            <v>0</v>
          </cell>
          <cell r="M281">
            <v>0</v>
          </cell>
        </row>
        <row r="282">
          <cell r="C282" t="str">
            <v>Tree Seat541</v>
          </cell>
          <cell r="D282">
            <v>1</v>
          </cell>
          <cell r="E282" t="str">
            <v>EA</v>
          </cell>
          <cell r="F282">
            <v>1200000</v>
          </cell>
          <cell r="G282">
            <v>1200000</v>
          </cell>
          <cell r="H282">
            <v>360000</v>
          </cell>
          <cell r="I282">
            <v>360000</v>
          </cell>
          <cell r="J282">
            <v>840000</v>
          </cell>
          <cell r="K282">
            <v>840000</v>
          </cell>
          <cell r="M282">
            <v>0</v>
          </cell>
        </row>
        <row r="283">
          <cell r="C283" t="str">
            <v>U형측구W500</v>
          </cell>
          <cell r="D283">
            <v>1</v>
          </cell>
          <cell r="E283" t="str">
            <v>m</v>
          </cell>
          <cell r="F283">
            <v>36000</v>
          </cell>
          <cell r="G283">
            <v>36000</v>
          </cell>
          <cell r="H283">
            <v>10000</v>
          </cell>
          <cell r="I283">
            <v>10000</v>
          </cell>
          <cell r="J283">
            <v>26000</v>
          </cell>
          <cell r="K283">
            <v>26000</v>
          </cell>
          <cell r="M283">
            <v>0</v>
          </cell>
        </row>
        <row r="284">
          <cell r="C284" t="str">
            <v>WOOD DECK</v>
          </cell>
          <cell r="D284">
            <v>1</v>
          </cell>
          <cell r="E284" t="str">
            <v>m2</v>
          </cell>
          <cell r="F284">
            <v>132000</v>
          </cell>
          <cell r="G284">
            <v>132000</v>
          </cell>
          <cell r="H284">
            <v>55000</v>
          </cell>
          <cell r="I284">
            <v>55000</v>
          </cell>
          <cell r="J284">
            <v>77000</v>
          </cell>
          <cell r="K284">
            <v>77000</v>
          </cell>
          <cell r="L284">
            <v>0</v>
          </cell>
          <cell r="M284">
            <v>0</v>
          </cell>
        </row>
        <row r="285">
          <cell r="C285" t="str">
            <v>WOOD DECK"A"H200</v>
          </cell>
          <cell r="D285">
            <v>1</v>
          </cell>
          <cell r="E285" t="str">
            <v>식</v>
          </cell>
          <cell r="F285">
            <v>8400000</v>
          </cell>
          <cell r="G285">
            <v>8400000</v>
          </cell>
          <cell r="H285">
            <v>1400000</v>
          </cell>
          <cell r="I285">
            <v>1400000</v>
          </cell>
          <cell r="J285">
            <v>7000000</v>
          </cell>
          <cell r="K285">
            <v>7000000</v>
          </cell>
          <cell r="L285">
            <v>0</v>
          </cell>
          <cell r="M285">
            <v>0</v>
          </cell>
        </row>
        <row r="286">
          <cell r="C286" t="str">
            <v>WOOD DECK"B"H140</v>
          </cell>
          <cell r="D286">
            <v>1</v>
          </cell>
          <cell r="E286" t="str">
            <v>식</v>
          </cell>
          <cell r="F286">
            <v>1500000</v>
          </cell>
          <cell r="G286">
            <v>1500000</v>
          </cell>
          <cell r="H286">
            <v>350000</v>
          </cell>
          <cell r="I286">
            <v>350000</v>
          </cell>
          <cell r="J286">
            <v>1150000</v>
          </cell>
          <cell r="K286">
            <v>1150000</v>
          </cell>
          <cell r="L286">
            <v>0</v>
          </cell>
          <cell r="M286">
            <v>0</v>
          </cell>
        </row>
        <row r="287">
          <cell r="C287" t="str">
            <v>WOOD DECK"C"H140</v>
          </cell>
          <cell r="D287">
            <v>1</v>
          </cell>
          <cell r="E287" t="str">
            <v>식</v>
          </cell>
          <cell r="F287">
            <v>2300000</v>
          </cell>
          <cell r="G287">
            <v>2300000</v>
          </cell>
          <cell r="H287">
            <v>600000</v>
          </cell>
          <cell r="I287">
            <v>600000</v>
          </cell>
          <cell r="J287">
            <v>1700000</v>
          </cell>
          <cell r="K287">
            <v>1700000</v>
          </cell>
          <cell r="L287">
            <v>0</v>
          </cell>
          <cell r="M287">
            <v>0</v>
          </cell>
        </row>
        <row r="288">
          <cell r="C288" t="str">
            <v>WOOD FENCEH1200</v>
          </cell>
          <cell r="D288">
            <v>1</v>
          </cell>
          <cell r="E288" t="str">
            <v>m</v>
          </cell>
          <cell r="F288">
            <v>100000</v>
          </cell>
          <cell r="G288">
            <v>100000</v>
          </cell>
          <cell r="H288">
            <v>30000</v>
          </cell>
          <cell r="I288">
            <v>30000</v>
          </cell>
          <cell r="J288">
            <v>70000</v>
          </cell>
          <cell r="K288">
            <v>70000</v>
          </cell>
          <cell r="L288">
            <v>0</v>
          </cell>
          <cell r="M288">
            <v>0</v>
          </cell>
        </row>
        <row r="289">
          <cell r="C289" t="str">
            <v>단지안내사인</v>
          </cell>
          <cell r="D289">
            <v>1</v>
          </cell>
          <cell r="E289" t="str">
            <v>개소</v>
          </cell>
          <cell r="F289">
            <v>0</v>
          </cell>
          <cell r="G289">
            <v>0</v>
          </cell>
          <cell r="H289" t="str">
            <v/>
          </cell>
          <cell r="I289">
            <v>0</v>
          </cell>
          <cell r="J289" t="str">
            <v/>
          </cell>
          <cell r="K289">
            <v>0</v>
          </cell>
          <cell r="L289" t="str">
            <v/>
          </cell>
          <cell r="M289">
            <v>0</v>
          </cell>
        </row>
        <row r="290">
          <cell r="C290" t="str">
            <v>주차장유도사인</v>
          </cell>
          <cell r="D290">
            <v>1</v>
          </cell>
          <cell r="E290" t="str">
            <v>개소</v>
          </cell>
          <cell r="F290">
            <v>0</v>
          </cell>
          <cell r="G290">
            <v>0</v>
          </cell>
          <cell r="H290" t="str">
            <v/>
          </cell>
          <cell r="I290">
            <v>0</v>
          </cell>
          <cell r="J290" t="str">
            <v/>
          </cell>
          <cell r="K290">
            <v>0</v>
          </cell>
          <cell r="L290" t="str">
            <v/>
          </cell>
          <cell r="M290">
            <v>0</v>
          </cell>
        </row>
        <row r="291">
          <cell r="C291" t="str">
            <v>게시판</v>
          </cell>
          <cell r="D291">
            <v>1</v>
          </cell>
          <cell r="E291" t="str">
            <v>개소</v>
          </cell>
          <cell r="F291">
            <v>0</v>
          </cell>
          <cell r="G291">
            <v>0</v>
          </cell>
          <cell r="H291" t="str">
            <v/>
          </cell>
          <cell r="I291">
            <v>0</v>
          </cell>
          <cell r="J291" t="str">
            <v/>
          </cell>
          <cell r="K291">
            <v>0</v>
          </cell>
          <cell r="L291" t="str">
            <v/>
          </cell>
          <cell r="M291">
            <v>0</v>
          </cell>
        </row>
        <row r="292">
          <cell r="C292" t="str">
            <v>출입구메인사인</v>
          </cell>
          <cell r="D292">
            <v>1</v>
          </cell>
          <cell r="E292" t="str">
            <v>개소</v>
          </cell>
          <cell r="F292">
            <v>0</v>
          </cell>
          <cell r="G292">
            <v>0</v>
          </cell>
          <cell r="H292" t="str">
            <v/>
          </cell>
          <cell r="I292">
            <v>0</v>
          </cell>
          <cell r="J292" t="str">
            <v/>
          </cell>
          <cell r="K292">
            <v>0</v>
          </cell>
          <cell r="L292" t="str">
            <v/>
          </cell>
          <cell r="M292">
            <v>0</v>
          </cell>
        </row>
        <row r="293">
          <cell r="C293" t="str">
            <v>도로폴유도사인</v>
          </cell>
          <cell r="D293">
            <v>1</v>
          </cell>
          <cell r="E293" t="str">
            <v>개소</v>
          </cell>
          <cell r="F293">
            <v>0</v>
          </cell>
          <cell r="G293">
            <v>0</v>
          </cell>
          <cell r="H293" t="str">
            <v/>
          </cell>
          <cell r="I293">
            <v>0</v>
          </cell>
          <cell r="J293" t="str">
            <v/>
          </cell>
          <cell r="K293">
            <v>0</v>
          </cell>
          <cell r="L293" t="str">
            <v/>
          </cell>
          <cell r="M293">
            <v>0</v>
          </cell>
        </row>
        <row r="294">
          <cell r="C294" t="str">
            <v>단지시설유도사인</v>
          </cell>
          <cell r="D294">
            <v>1</v>
          </cell>
          <cell r="E294" t="str">
            <v>개소</v>
          </cell>
          <cell r="F294">
            <v>0</v>
          </cell>
          <cell r="G294">
            <v>0</v>
          </cell>
          <cell r="H294" t="str">
            <v/>
          </cell>
          <cell r="I294">
            <v>0</v>
          </cell>
          <cell r="J294" t="str">
            <v/>
          </cell>
          <cell r="K294">
            <v>0</v>
          </cell>
          <cell r="L294" t="str">
            <v/>
          </cell>
          <cell r="M294">
            <v>0</v>
          </cell>
        </row>
        <row r="295">
          <cell r="C295" t="str">
            <v>바닥POINT500*500</v>
          </cell>
          <cell r="D295">
            <v>1</v>
          </cell>
          <cell r="E295" t="str">
            <v>EA</v>
          </cell>
          <cell r="F295">
            <v>151000</v>
          </cell>
          <cell r="G295">
            <v>151000</v>
          </cell>
          <cell r="H295">
            <v>65000</v>
          </cell>
          <cell r="I295">
            <v>65000</v>
          </cell>
          <cell r="J295">
            <v>86000</v>
          </cell>
          <cell r="K295">
            <v>86000</v>
          </cell>
          <cell r="L295">
            <v>0</v>
          </cell>
          <cell r="M295">
            <v>0</v>
          </cell>
        </row>
        <row r="296">
          <cell r="C296" t="str">
            <v>가로등</v>
          </cell>
          <cell r="D296">
            <v>1</v>
          </cell>
          <cell r="E296" t="str">
            <v>개소</v>
          </cell>
          <cell r="F296">
            <v>600000</v>
          </cell>
          <cell r="G296">
            <v>600000</v>
          </cell>
          <cell r="H296">
            <v>50000</v>
          </cell>
          <cell r="I296">
            <v>50000</v>
          </cell>
          <cell r="J296">
            <v>550000</v>
          </cell>
          <cell r="K296">
            <v>550000</v>
          </cell>
          <cell r="L296" t="str">
            <v/>
          </cell>
          <cell r="M296">
            <v>0</v>
          </cell>
        </row>
        <row r="297">
          <cell r="C297" t="str">
            <v>정원등</v>
          </cell>
          <cell r="D297">
            <v>1</v>
          </cell>
          <cell r="E297" t="str">
            <v>개소</v>
          </cell>
          <cell r="F297">
            <v>2324000</v>
          </cell>
          <cell r="G297">
            <v>2324000</v>
          </cell>
          <cell r="H297">
            <v>624000</v>
          </cell>
          <cell r="I297">
            <v>624000</v>
          </cell>
          <cell r="J297">
            <v>1700000</v>
          </cell>
          <cell r="K297">
            <v>1700000</v>
          </cell>
          <cell r="L297" t="str">
            <v/>
          </cell>
          <cell r="M297">
            <v>0</v>
          </cell>
        </row>
        <row r="298">
          <cell r="C298" t="str">
            <v>UP-light</v>
          </cell>
          <cell r="D298">
            <v>1</v>
          </cell>
          <cell r="E298" t="str">
            <v>개소</v>
          </cell>
          <cell r="F298">
            <v>1404000</v>
          </cell>
          <cell r="G298">
            <v>1404000</v>
          </cell>
          <cell r="H298">
            <v>234000</v>
          </cell>
          <cell r="I298">
            <v>234000</v>
          </cell>
          <cell r="J298">
            <v>1170000</v>
          </cell>
          <cell r="K298">
            <v>1170000</v>
          </cell>
          <cell r="M298">
            <v>0</v>
          </cell>
        </row>
        <row r="299">
          <cell r="C299" t="str">
            <v>볼라드등</v>
          </cell>
          <cell r="D299">
            <v>1</v>
          </cell>
          <cell r="E299" t="str">
            <v>개소</v>
          </cell>
          <cell r="F299">
            <v>676000</v>
          </cell>
          <cell r="G299">
            <v>676000</v>
          </cell>
          <cell r="H299">
            <v>196000</v>
          </cell>
          <cell r="I299">
            <v>196000</v>
          </cell>
          <cell r="J299">
            <v>480000</v>
          </cell>
          <cell r="K299">
            <v>480000</v>
          </cell>
          <cell r="M299">
            <v>0</v>
          </cell>
        </row>
        <row r="300">
          <cell r="C300" t="str">
            <v>잔디등</v>
          </cell>
          <cell r="D300">
            <v>1</v>
          </cell>
          <cell r="E300" t="str">
            <v>개소</v>
          </cell>
          <cell r="F300">
            <v>234000</v>
          </cell>
          <cell r="G300">
            <v>234000</v>
          </cell>
          <cell r="H300">
            <v>39000</v>
          </cell>
          <cell r="I300">
            <v>39000</v>
          </cell>
          <cell r="J300">
            <v>195000</v>
          </cell>
          <cell r="K300">
            <v>195000</v>
          </cell>
          <cell r="M300">
            <v>0</v>
          </cell>
        </row>
        <row r="301">
          <cell r="C301" t="str">
            <v>Control Box</v>
          </cell>
          <cell r="D301">
            <v>1</v>
          </cell>
          <cell r="E301" t="str">
            <v>개소</v>
          </cell>
          <cell r="F301">
            <v>1400000</v>
          </cell>
          <cell r="G301">
            <v>1400000</v>
          </cell>
          <cell r="H301">
            <v>230000</v>
          </cell>
          <cell r="I301">
            <v>230000</v>
          </cell>
          <cell r="J301">
            <v>1170000</v>
          </cell>
          <cell r="K301">
            <v>1170000</v>
          </cell>
          <cell r="M301">
            <v>0</v>
          </cell>
        </row>
        <row r="302">
          <cell r="C302" t="str">
            <v>원목경계목H200-250</v>
          </cell>
          <cell r="D302">
            <v>1</v>
          </cell>
          <cell r="E302" t="str">
            <v>m</v>
          </cell>
          <cell r="F302">
            <v>60000</v>
          </cell>
          <cell r="G302">
            <v>60000</v>
          </cell>
          <cell r="H302">
            <v>20000</v>
          </cell>
          <cell r="I302">
            <v>20000</v>
          </cell>
          <cell r="J302">
            <v>40000</v>
          </cell>
          <cell r="K302">
            <v>40000</v>
          </cell>
          <cell r="M302">
            <v>0</v>
          </cell>
        </row>
        <row r="303">
          <cell r="C303" t="str">
            <v>조경토포설T200</v>
          </cell>
          <cell r="D303">
            <v>1</v>
          </cell>
          <cell r="E303" t="str">
            <v>m3</v>
          </cell>
          <cell r="F303">
            <v>9000</v>
          </cell>
          <cell r="G303">
            <v>9000</v>
          </cell>
          <cell r="H303">
            <v>2000</v>
          </cell>
          <cell r="I303">
            <v>2000</v>
          </cell>
          <cell r="J303">
            <v>7000</v>
          </cell>
          <cell r="K303">
            <v>7000</v>
          </cell>
          <cell r="M303">
            <v>0</v>
          </cell>
        </row>
        <row r="304">
          <cell r="C304" t="str">
            <v>산석의자H400xW300xL1000</v>
          </cell>
          <cell r="D304">
            <v>1</v>
          </cell>
          <cell r="E304" t="str">
            <v>EA</v>
          </cell>
          <cell r="F304">
            <v>150000</v>
          </cell>
          <cell r="G304">
            <v>150000</v>
          </cell>
          <cell r="H304">
            <v>30000</v>
          </cell>
          <cell r="I304">
            <v>30000</v>
          </cell>
          <cell r="J304">
            <v>120000</v>
          </cell>
          <cell r="K304">
            <v>120000</v>
          </cell>
          <cell r="M304">
            <v>0</v>
          </cell>
        </row>
        <row r="305">
          <cell r="C305" t="str">
            <v>흄관D250,보호공포함</v>
          </cell>
          <cell r="D305">
            <v>1</v>
          </cell>
          <cell r="E305" t="str">
            <v>본</v>
          </cell>
          <cell r="F305">
            <v>138000</v>
          </cell>
          <cell r="G305">
            <v>138000</v>
          </cell>
          <cell r="H305">
            <v>73000</v>
          </cell>
          <cell r="I305">
            <v>73000</v>
          </cell>
          <cell r="J305">
            <v>65000</v>
          </cell>
          <cell r="K305">
            <v>65000</v>
          </cell>
          <cell r="M305">
            <v>0</v>
          </cell>
        </row>
        <row r="306">
          <cell r="C306" t="str">
            <v>휀스(H)산벽하단부</v>
          </cell>
          <cell r="D306">
            <v>1</v>
          </cell>
          <cell r="E306" t="str">
            <v>경간</v>
          </cell>
          <cell r="F306">
            <v>40000</v>
          </cell>
          <cell r="G306">
            <v>40000</v>
          </cell>
          <cell r="H306">
            <v>17000</v>
          </cell>
          <cell r="I306">
            <v>17000</v>
          </cell>
          <cell r="J306">
            <v>23000</v>
          </cell>
          <cell r="K306">
            <v>23000</v>
          </cell>
          <cell r="M306">
            <v>0</v>
          </cell>
        </row>
        <row r="309">
          <cell r="C309" t="str">
            <v>조형가이즈까향H4.5xW1.8</v>
          </cell>
          <cell r="D309">
            <v>1</v>
          </cell>
          <cell r="E309" t="str">
            <v>주</v>
          </cell>
          <cell r="F309">
            <v>1360000</v>
          </cell>
          <cell r="G309">
            <v>1360000</v>
          </cell>
          <cell r="H309">
            <v>30000</v>
          </cell>
          <cell r="I309">
            <v>30000</v>
          </cell>
          <cell r="J309">
            <v>1330000</v>
          </cell>
          <cell r="K309">
            <v>1330000</v>
          </cell>
          <cell r="M309">
            <v>0</v>
          </cell>
        </row>
        <row r="310">
          <cell r="C310" t="str">
            <v>조형가이즈까향H4.0xW1.5</v>
          </cell>
          <cell r="D310">
            <v>1</v>
          </cell>
          <cell r="E310" t="str">
            <v>주</v>
          </cell>
          <cell r="F310">
            <v>846500</v>
          </cell>
          <cell r="G310">
            <v>846500</v>
          </cell>
          <cell r="H310">
            <v>20000</v>
          </cell>
          <cell r="I310">
            <v>20000</v>
          </cell>
          <cell r="J310">
            <v>826500</v>
          </cell>
          <cell r="K310">
            <v>826500</v>
          </cell>
          <cell r="M310">
            <v>0</v>
          </cell>
        </row>
        <row r="311">
          <cell r="C311" t="str">
            <v>조형가이즈까향H3.0xW1.2</v>
          </cell>
          <cell r="D311">
            <v>1</v>
          </cell>
          <cell r="E311" t="str">
            <v>주</v>
          </cell>
          <cell r="F311">
            <v>319000</v>
          </cell>
          <cell r="G311">
            <v>319000</v>
          </cell>
          <cell r="H311">
            <v>15000</v>
          </cell>
          <cell r="I311">
            <v>15000</v>
          </cell>
          <cell r="J311">
            <v>304000</v>
          </cell>
          <cell r="K311">
            <v>304000</v>
          </cell>
          <cell r="M311">
            <v>0</v>
          </cell>
        </row>
        <row r="312">
          <cell r="C312" t="str">
            <v>구상나무H2.5xW1.0</v>
          </cell>
          <cell r="D312">
            <v>1</v>
          </cell>
          <cell r="E312" t="str">
            <v>주</v>
          </cell>
          <cell r="F312">
            <v>151500</v>
          </cell>
          <cell r="G312">
            <v>151500</v>
          </cell>
          <cell r="H312">
            <v>9000</v>
          </cell>
          <cell r="I312">
            <v>9000</v>
          </cell>
          <cell r="J312">
            <v>142500</v>
          </cell>
          <cell r="K312">
            <v>142500</v>
          </cell>
          <cell r="M312">
            <v>0</v>
          </cell>
        </row>
        <row r="313">
          <cell r="C313" t="str">
            <v>구상나무H2.0xW0.8</v>
          </cell>
          <cell r="D313">
            <v>1</v>
          </cell>
          <cell r="E313" t="str">
            <v>주</v>
          </cell>
          <cell r="F313">
            <v>91500</v>
          </cell>
          <cell r="G313">
            <v>91500</v>
          </cell>
          <cell r="H313">
            <v>6000</v>
          </cell>
          <cell r="I313">
            <v>6000</v>
          </cell>
          <cell r="J313">
            <v>85500</v>
          </cell>
          <cell r="K313">
            <v>85500</v>
          </cell>
          <cell r="M313">
            <v>0</v>
          </cell>
        </row>
        <row r="314">
          <cell r="C314" t="str">
            <v>독일가문비H3.5xW1.8</v>
          </cell>
          <cell r="D314">
            <v>1</v>
          </cell>
          <cell r="E314" t="str">
            <v>주</v>
          </cell>
          <cell r="F314">
            <v>117500</v>
          </cell>
          <cell r="G314">
            <v>117500</v>
          </cell>
          <cell r="H314">
            <v>13000</v>
          </cell>
          <cell r="I314">
            <v>13000</v>
          </cell>
          <cell r="J314">
            <v>104500</v>
          </cell>
          <cell r="K314">
            <v>104500</v>
          </cell>
          <cell r="M314">
            <v>0</v>
          </cell>
        </row>
        <row r="315">
          <cell r="C315" t="str">
            <v>섬잣나무H1.5xW0.6</v>
          </cell>
          <cell r="D315">
            <v>1</v>
          </cell>
          <cell r="E315" t="str">
            <v>주</v>
          </cell>
          <cell r="F315">
            <v>33500</v>
          </cell>
          <cell r="G315">
            <v>33500</v>
          </cell>
          <cell r="H315">
            <v>5000</v>
          </cell>
          <cell r="I315">
            <v>5000</v>
          </cell>
          <cell r="J315">
            <v>28500</v>
          </cell>
          <cell r="K315">
            <v>28500</v>
          </cell>
          <cell r="M315">
            <v>0</v>
          </cell>
        </row>
        <row r="316">
          <cell r="C316" t="str">
            <v>섬잣나무(조형)H3.5xW1.8</v>
          </cell>
          <cell r="D316">
            <v>1</v>
          </cell>
          <cell r="E316" t="str">
            <v>주</v>
          </cell>
          <cell r="F316">
            <v>2677000</v>
          </cell>
          <cell r="G316">
            <v>2677000</v>
          </cell>
          <cell r="H316">
            <v>17000</v>
          </cell>
          <cell r="I316">
            <v>17000</v>
          </cell>
          <cell r="J316">
            <v>2660000</v>
          </cell>
          <cell r="K316">
            <v>2660000</v>
          </cell>
          <cell r="M316">
            <v>0</v>
          </cell>
        </row>
        <row r="317">
          <cell r="C317" t="str">
            <v>소나무(조형)H5.0xR30</v>
          </cell>
          <cell r="D317">
            <v>1</v>
          </cell>
          <cell r="E317" t="str">
            <v>주</v>
          </cell>
          <cell r="F317">
            <v>3160000</v>
          </cell>
          <cell r="G317">
            <v>3160000</v>
          </cell>
          <cell r="H317">
            <v>120000</v>
          </cell>
          <cell r="I317">
            <v>120000</v>
          </cell>
          <cell r="J317">
            <v>3040000</v>
          </cell>
          <cell r="K317">
            <v>3040000</v>
          </cell>
          <cell r="M317">
            <v>0</v>
          </cell>
        </row>
        <row r="318">
          <cell r="C318" t="str">
            <v>소나무(조형)H5.0xR25</v>
          </cell>
          <cell r="D318">
            <v>1</v>
          </cell>
          <cell r="E318" t="str">
            <v>주</v>
          </cell>
          <cell r="F318">
            <v>2655000</v>
          </cell>
          <cell r="G318">
            <v>2655000</v>
          </cell>
          <cell r="H318">
            <v>90000</v>
          </cell>
          <cell r="I318">
            <v>90000</v>
          </cell>
          <cell r="J318">
            <v>2565000</v>
          </cell>
          <cell r="K318">
            <v>2565000</v>
          </cell>
          <cell r="M318">
            <v>0</v>
          </cell>
        </row>
        <row r="319">
          <cell r="C319" t="str">
            <v>소나무(조형)H5.0xR20</v>
          </cell>
          <cell r="D319">
            <v>1</v>
          </cell>
          <cell r="E319" t="str">
            <v>주</v>
          </cell>
          <cell r="F319">
            <v>1780000</v>
          </cell>
          <cell r="G319">
            <v>1780000</v>
          </cell>
          <cell r="H319">
            <v>70000</v>
          </cell>
          <cell r="I319">
            <v>70000</v>
          </cell>
          <cell r="J319">
            <v>1710000</v>
          </cell>
          <cell r="K319">
            <v>1710000</v>
          </cell>
          <cell r="M319">
            <v>0</v>
          </cell>
        </row>
        <row r="320">
          <cell r="C320" t="str">
            <v>소나무(조형)H4.0xR15</v>
          </cell>
          <cell r="D320">
            <v>1</v>
          </cell>
          <cell r="E320" t="str">
            <v>주</v>
          </cell>
          <cell r="F320">
            <v>809750</v>
          </cell>
          <cell r="G320">
            <v>809750</v>
          </cell>
          <cell r="H320">
            <v>45000</v>
          </cell>
          <cell r="I320">
            <v>45000</v>
          </cell>
          <cell r="J320">
            <v>764750</v>
          </cell>
          <cell r="K320">
            <v>764750</v>
          </cell>
          <cell r="M320">
            <v>0</v>
          </cell>
        </row>
        <row r="321">
          <cell r="C321" t="str">
            <v>소나무(조형)H3.0xR12</v>
          </cell>
          <cell r="D321">
            <v>1</v>
          </cell>
          <cell r="E321" t="str">
            <v>주</v>
          </cell>
          <cell r="F321">
            <v>681000</v>
          </cell>
          <cell r="G321">
            <v>681000</v>
          </cell>
          <cell r="H321">
            <v>35000</v>
          </cell>
          <cell r="I321">
            <v>35000</v>
          </cell>
          <cell r="J321">
            <v>646000</v>
          </cell>
          <cell r="K321">
            <v>646000</v>
          </cell>
          <cell r="M321">
            <v>0</v>
          </cell>
        </row>
        <row r="322">
          <cell r="C322" t="str">
            <v>소나무(조형)H3.0xR10</v>
          </cell>
          <cell r="D322">
            <v>1</v>
          </cell>
          <cell r="E322" t="str">
            <v>주</v>
          </cell>
          <cell r="F322">
            <v>363000</v>
          </cell>
          <cell r="G322">
            <v>363000</v>
          </cell>
          <cell r="H322">
            <v>25000</v>
          </cell>
          <cell r="I322">
            <v>25000</v>
          </cell>
          <cell r="J322">
            <v>338000</v>
          </cell>
          <cell r="K322">
            <v>338000</v>
          </cell>
          <cell r="M322">
            <v>0</v>
          </cell>
        </row>
        <row r="323">
          <cell r="C323" t="str">
            <v>소나무(가브리)H2.0xL5.0xR20</v>
          </cell>
          <cell r="D323">
            <v>1</v>
          </cell>
          <cell r="E323" t="str">
            <v>주</v>
          </cell>
          <cell r="F323">
            <v>1590000</v>
          </cell>
          <cell r="G323">
            <v>1590000</v>
          </cell>
          <cell r="H323">
            <v>70000</v>
          </cell>
          <cell r="I323">
            <v>70000</v>
          </cell>
          <cell r="J323">
            <v>1520000</v>
          </cell>
          <cell r="K323">
            <v>1520000</v>
          </cell>
          <cell r="M323">
            <v>0</v>
          </cell>
        </row>
        <row r="324">
          <cell r="C324" t="str">
            <v>소나무(가브리)L3.0xR10</v>
          </cell>
          <cell r="D324">
            <v>1</v>
          </cell>
          <cell r="E324" t="str">
            <v>주</v>
          </cell>
          <cell r="F324">
            <v>457500</v>
          </cell>
          <cell r="G324">
            <v>457500</v>
          </cell>
          <cell r="H324">
            <v>30000</v>
          </cell>
          <cell r="I324">
            <v>30000</v>
          </cell>
          <cell r="J324">
            <v>427500</v>
          </cell>
          <cell r="K324">
            <v>427500</v>
          </cell>
          <cell r="M324">
            <v>0</v>
          </cell>
        </row>
        <row r="325">
          <cell r="C325" t="str">
            <v>소나무(둥근형)H2.0xW2.2</v>
          </cell>
          <cell r="D325">
            <v>1</v>
          </cell>
          <cell r="E325" t="str">
            <v>주</v>
          </cell>
          <cell r="F325">
            <v>627500</v>
          </cell>
          <cell r="G325">
            <v>627500</v>
          </cell>
          <cell r="H325">
            <v>10000</v>
          </cell>
          <cell r="I325">
            <v>10000</v>
          </cell>
          <cell r="J325">
            <v>617500</v>
          </cell>
          <cell r="K325">
            <v>617500</v>
          </cell>
          <cell r="M325">
            <v>0</v>
          </cell>
        </row>
        <row r="326">
          <cell r="C326" t="str">
            <v>소나무(둥근형)H1.0xW1.2</v>
          </cell>
          <cell r="D326">
            <v>1</v>
          </cell>
          <cell r="E326" t="str">
            <v>주</v>
          </cell>
          <cell r="F326">
            <v>146500</v>
          </cell>
          <cell r="G326">
            <v>146500</v>
          </cell>
          <cell r="H326">
            <v>4000</v>
          </cell>
          <cell r="I326">
            <v>4000</v>
          </cell>
          <cell r="J326">
            <v>142500</v>
          </cell>
          <cell r="K326">
            <v>142500</v>
          </cell>
          <cell r="M326">
            <v>0</v>
          </cell>
        </row>
        <row r="327">
          <cell r="C327" t="str">
            <v>스트로브잣나무H3.0xW1.5</v>
          </cell>
          <cell r="D327">
            <v>1</v>
          </cell>
          <cell r="E327" t="str">
            <v>주</v>
          </cell>
          <cell r="F327">
            <v>62000</v>
          </cell>
          <cell r="G327">
            <v>62000</v>
          </cell>
          <cell r="H327">
            <v>11000</v>
          </cell>
          <cell r="I327">
            <v>11000</v>
          </cell>
          <cell r="J327">
            <v>51000</v>
          </cell>
          <cell r="K327">
            <v>51000</v>
          </cell>
          <cell r="M327">
            <v>0</v>
          </cell>
        </row>
        <row r="328">
          <cell r="C328" t="str">
            <v>스트로브잣나무H2.5xW1.2</v>
          </cell>
          <cell r="D328">
            <v>1</v>
          </cell>
          <cell r="E328" t="str">
            <v>주</v>
          </cell>
          <cell r="F328">
            <v>43000</v>
          </cell>
          <cell r="G328">
            <v>43000</v>
          </cell>
          <cell r="H328">
            <v>9000</v>
          </cell>
          <cell r="I328">
            <v>9000</v>
          </cell>
          <cell r="J328">
            <v>34000</v>
          </cell>
          <cell r="K328">
            <v>34000</v>
          </cell>
          <cell r="M328">
            <v>0</v>
          </cell>
        </row>
        <row r="329">
          <cell r="C329" t="str">
            <v>실편백H2.5xW1.8</v>
          </cell>
          <cell r="D329">
            <v>1</v>
          </cell>
          <cell r="E329" t="str">
            <v>주</v>
          </cell>
          <cell r="F329">
            <v>70750</v>
          </cell>
          <cell r="G329">
            <v>70750</v>
          </cell>
          <cell r="H329">
            <v>9000</v>
          </cell>
          <cell r="I329">
            <v>9000</v>
          </cell>
          <cell r="J329">
            <v>61750</v>
          </cell>
          <cell r="K329">
            <v>61750</v>
          </cell>
          <cell r="M329">
            <v>0</v>
          </cell>
        </row>
        <row r="330">
          <cell r="C330" t="str">
            <v>잣나무H3.0xW1.5</v>
          </cell>
          <cell r="D330">
            <v>1</v>
          </cell>
          <cell r="E330" t="str">
            <v>주</v>
          </cell>
          <cell r="F330">
            <v>28100</v>
          </cell>
          <cell r="G330">
            <v>28100</v>
          </cell>
          <cell r="H330">
            <v>11000</v>
          </cell>
          <cell r="I330">
            <v>11000</v>
          </cell>
          <cell r="J330">
            <v>17100</v>
          </cell>
          <cell r="K330">
            <v>17100</v>
          </cell>
          <cell r="M330">
            <v>0</v>
          </cell>
        </row>
        <row r="331">
          <cell r="C331" t="str">
            <v>잣나무H2.5xW1.2</v>
          </cell>
          <cell r="D331">
            <v>1</v>
          </cell>
          <cell r="E331" t="str">
            <v>주</v>
          </cell>
          <cell r="F331">
            <v>20400</v>
          </cell>
          <cell r="G331">
            <v>20400</v>
          </cell>
          <cell r="H331">
            <v>9000</v>
          </cell>
          <cell r="I331">
            <v>9000</v>
          </cell>
          <cell r="J331">
            <v>11400</v>
          </cell>
          <cell r="K331">
            <v>11400</v>
          </cell>
          <cell r="M331">
            <v>0</v>
          </cell>
        </row>
        <row r="332">
          <cell r="C332" t="str">
            <v>전나무H2.0xW1.0</v>
          </cell>
          <cell r="D332">
            <v>1</v>
          </cell>
          <cell r="E332" t="str">
            <v>주</v>
          </cell>
          <cell r="F332">
            <v>25950</v>
          </cell>
          <cell r="G332">
            <v>25950</v>
          </cell>
          <cell r="H332">
            <v>6000</v>
          </cell>
          <cell r="I332">
            <v>6000</v>
          </cell>
          <cell r="J332">
            <v>19950</v>
          </cell>
          <cell r="K332">
            <v>19950</v>
          </cell>
          <cell r="M332">
            <v>0</v>
          </cell>
        </row>
        <row r="333">
          <cell r="C333" t="str">
            <v>주목H2.5xW1.5</v>
          </cell>
          <cell r="D333">
            <v>1</v>
          </cell>
          <cell r="E333" t="str">
            <v>주</v>
          </cell>
          <cell r="F333">
            <v>436500</v>
          </cell>
          <cell r="G333">
            <v>436500</v>
          </cell>
          <cell r="H333">
            <v>9000</v>
          </cell>
          <cell r="I333">
            <v>9000</v>
          </cell>
          <cell r="J333">
            <v>427500</v>
          </cell>
          <cell r="K333">
            <v>427500</v>
          </cell>
          <cell r="M333">
            <v>0</v>
          </cell>
        </row>
        <row r="334">
          <cell r="C334" t="str">
            <v>주목H2.0xW1.0</v>
          </cell>
          <cell r="D334">
            <v>1</v>
          </cell>
          <cell r="E334" t="str">
            <v>주</v>
          </cell>
          <cell r="F334">
            <v>167500</v>
          </cell>
          <cell r="G334">
            <v>167500</v>
          </cell>
          <cell r="H334">
            <v>6000</v>
          </cell>
          <cell r="I334">
            <v>6000</v>
          </cell>
          <cell r="J334">
            <v>161500</v>
          </cell>
          <cell r="K334">
            <v>161500</v>
          </cell>
          <cell r="M334">
            <v>0</v>
          </cell>
        </row>
        <row r="335">
          <cell r="C335" t="str">
            <v>주목H1.5xW0.8</v>
          </cell>
          <cell r="D335">
            <v>1</v>
          </cell>
          <cell r="E335" t="str">
            <v>주</v>
          </cell>
          <cell r="F335">
            <v>89500</v>
          </cell>
          <cell r="G335">
            <v>89500</v>
          </cell>
          <cell r="H335">
            <v>4000</v>
          </cell>
          <cell r="I335">
            <v>4000</v>
          </cell>
          <cell r="J335">
            <v>85500</v>
          </cell>
          <cell r="K335">
            <v>85500</v>
          </cell>
          <cell r="M335">
            <v>0</v>
          </cell>
        </row>
        <row r="336">
          <cell r="C336" t="str">
            <v>측백나무H2.5xW0.8</v>
          </cell>
          <cell r="D336">
            <v>1</v>
          </cell>
          <cell r="E336" t="str">
            <v>주</v>
          </cell>
          <cell r="F336">
            <v>28950</v>
          </cell>
          <cell r="G336">
            <v>28950</v>
          </cell>
          <cell r="H336">
            <v>9000</v>
          </cell>
          <cell r="I336">
            <v>9000</v>
          </cell>
          <cell r="J336">
            <v>19950</v>
          </cell>
          <cell r="K336">
            <v>19950</v>
          </cell>
          <cell r="M336">
            <v>0</v>
          </cell>
        </row>
        <row r="337">
          <cell r="C337" t="str">
            <v>향나무(조형)H4.0xW1.8</v>
          </cell>
          <cell r="D337">
            <v>1</v>
          </cell>
          <cell r="E337" t="str">
            <v>주</v>
          </cell>
          <cell r="F337">
            <v>761000</v>
          </cell>
          <cell r="G337">
            <v>761000</v>
          </cell>
          <cell r="H337">
            <v>20000</v>
          </cell>
          <cell r="I337">
            <v>20000</v>
          </cell>
          <cell r="J337">
            <v>741000</v>
          </cell>
          <cell r="K337">
            <v>741000</v>
          </cell>
          <cell r="M337">
            <v>0</v>
          </cell>
        </row>
        <row r="338">
          <cell r="C338" t="str">
            <v>향나무(가브리)H3.0xL5.0</v>
          </cell>
          <cell r="D338">
            <v>1</v>
          </cell>
          <cell r="E338" t="str">
            <v>주</v>
          </cell>
          <cell r="F338">
            <v>2842500</v>
          </cell>
          <cell r="G338">
            <v>2842500</v>
          </cell>
          <cell r="H338">
            <v>50000</v>
          </cell>
          <cell r="I338">
            <v>50000</v>
          </cell>
          <cell r="J338">
            <v>2792500</v>
          </cell>
          <cell r="K338">
            <v>2792500</v>
          </cell>
          <cell r="M338">
            <v>0</v>
          </cell>
        </row>
        <row r="339">
          <cell r="C339" t="str">
            <v>향나무(가브리)H3.0xL4.0</v>
          </cell>
          <cell r="D339">
            <v>1</v>
          </cell>
          <cell r="E339" t="str">
            <v>주</v>
          </cell>
          <cell r="F339">
            <v>2035000</v>
          </cell>
          <cell r="G339">
            <v>2035000</v>
          </cell>
          <cell r="H339">
            <v>40000</v>
          </cell>
          <cell r="I339">
            <v>40000</v>
          </cell>
          <cell r="J339">
            <v>1995000</v>
          </cell>
          <cell r="K339">
            <v>1995000</v>
          </cell>
          <cell r="M339">
            <v>0</v>
          </cell>
        </row>
        <row r="340">
          <cell r="C340" t="str">
            <v>전나무H9.0xR30</v>
          </cell>
          <cell r="D340">
            <v>1</v>
          </cell>
          <cell r="E340" t="str">
            <v>주</v>
          </cell>
          <cell r="F340">
            <v>1830000</v>
          </cell>
          <cell r="G340">
            <v>1830000</v>
          </cell>
          <cell r="H340">
            <v>120000</v>
          </cell>
          <cell r="I340">
            <v>120000</v>
          </cell>
          <cell r="J340">
            <v>1710000</v>
          </cell>
          <cell r="K340">
            <v>1710000</v>
          </cell>
          <cell r="M340">
            <v>0</v>
          </cell>
        </row>
        <row r="341">
          <cell r="C341" t="str">
            <v>꽃사과H5.0xR30</v>
          </cell>
          <cell r="D341">
            <v>1</v>
          </cell>
          <cell r="E341" t="str">
            <v>주</v>
          </cell>
          <cell r="F341">
            <v>1545000</v>
          </cell>
          <cell r="G341">
            <v>1545000</v>
          </cell>
          <cell r="H341">
            <v>120000</v>
          </cell>
          <cell r="I341">
            <v>120000</v>
          </cell>
          <cell r="J341">
            <v>1425000</v>
          </cell>
          <cell r="K341">
            <v>1425000</v>
          </cell>
          <cell r="M341">
            <v>0</v>
          </cell>
        </row>
        <row r="342">
          <cell r="C342" t="str">
            <v>감나무H4.0xR15</v>
          </cell>
          <cell r="D342">
            <v>1</v>
          </cell>
          <cell r="E342" t="str">
            <v>주</v>
          </cell>
          <cell r="F342">
            <v>187500</v>
          </cell>
          <cell r="G342">
            <v>187500</v>
          </cell>
          <cell r="H342">
            <v>45000</v>
          </cell>
          <cell r="I342">
            <v>45000</v>
          </cell>
          <cell r="J342">
            <v>142500</v>
          </cell>
          <cell r="K342">
            <v>142500</v>
          </cell>
          <cell r="M342">
            <v>0</v>
          </cell>
        </row>
        <row r="343">
          <cell r="C343" t="str">
            <v>감나무H3.0xR10</v>
          </cell>
          <cell r="D343">
            <v>1</v>
          </cell>
          <cell r="E343" t="str">
            <v>주</v>
          </cell>
          <cell r="F343">
            <v>105750</v>
          </cell>
          <cell r="G343">
            <v>105750</v>
          </cell>
          <cell r="H343">
            <v>25000</v>
          </cell>
          <cell r="I343">
            <v>25000</v>
          </cell>
          <cell r="J343">
            <v>80750</v>
          </cell>
          <cell r="K343">
            <v>80750</v>
          </cell>
          <cell r="M343">
            <v>0</v>
          </cell>
        </row>
        <row r="344">
          <cell r="C344" t="str">
            <v>감나무H2.5xR6</v>
          </cell>
          <cell r="D344">
            <v>1</v>
          </cell>
          <cell r="E344" t="str">
            <v>주</v>
          </cell>
          <cell r="F344">
            <v>55600</v>
          </cell>
          <cell r="G344">
            <v>55600</v>
          </cell>
          <cell r="H344">
            <v>10000</v>
          </cell>
          <cell r="I344">
            <v>10000</v>
          </cell>
          <cell r="J344">
            <v>45600</v>
          </cell>
          <cell r="K344">
            <v>45600</v>
          </cell>
          <cell r="M344">
            <v>0</v>
          </cell>
        </row>
        <row r="345">
          <cell r="C345" t="str">
            <v>고로쇠H4.5xR15</v>
          </cell>
          <cell r="D345">
            <v>1</v>
          </cell>
          <cell r="E345" t="str">
            <v>주</v>
          </cell>
          <cell r="F345">
            <v>235000</v>
          </cell>
          <cell r="G345">
            <v>235000</v>
          </cell>
          <cell r="H345">
            <v>45000</v>
          </cell>
          <cell r="I345">
            <v>45000</v>
          </cell>
          <cell r="J345">
            <v>190000</v>
          </cell>
          <cell r="K345">
            <v>190000</v>
          </cell>
          <cell r="M345">
            <v>0</v>
          </cell>
        </row>
        <row r="346">
          <cell r="C346" t="str">
            <v>고로쇠H4.0xR12</v>
          </cell>
          <cell r="D346">
            <v>1</v>
          </cell>
          <cell r="E346" t="str">
            <v>주</v>
          </cell>
          <cell r="F346">
            <v>139500</v>
          </cell>
          <cell r="G346">
            <v>139500</v>
          </cell>
          <cell r="H346">
            <v>35000</v>
          </cell>
          <cell r="I346">
            <v>35000</v>
          </cell>
          <cell r="J346">
            <v>104500</v>
          </cell>
          <cell r="K346">
            <v>104500</v>
          </cell>
          <cell r="M346">
            <v>0</v>
          </cell>
        </row>
        <row r="347">
          <cell r="C347" t="str">
            <v>고로쇠H5.0xR30</v>
          </cell>
          <cell r="D347">
            <v>1</v>
          </cell>
          <cell r="E347" t="str">
            <v>주</v>
          </cell>
          <cell r="F347">
            <v>1260000</v>
          </cell>
          <cell r="G347">
            <v>1260000</v>
          </cell>
          <cell r="H347">
            <v>120000</v>
          </cell>
          <cell r="I347">
            <v>120000</v>
          </cell>
          <cell r="J347">
            <v>1140000</v>
          </cell>
          <cell r="K347">
            <v>1140000</v>
          </cell>
          <cell r="M347">
            <v>0</v>
          </cell>
        </row>
        <row r="348">
          <cell r="C348" t="str">
            <v>고로쇠H5.0xR35</v>
          </cell>
          <cell r="D348">
            <v>1</v>
          </cell>
          <cell r="E348" t="str">
            <v>주</v>
          </cell>
          <cell r="F348">
            <v>1850000</v>
          </cell>
          <cell r="G348">
            <v>1850000</v>
          </cell>
          <cell r="H348">
            <v>140000</v>
          </cell>
          <cell r="I348">
            <v>140000</v>
          </cell>
          <cell r="J348">
            <v>1710000</v>
          </cell>
          <cell r="K348">
            <v>1710000</v>
          </cell>
          <cell r="M348">
            <v>0</v>
          </cell>
        </row>
        <row r="349">
          <cell r="C349" t="str">
            <v>계수나무H5.0xR20</v>
          </cell>
          <cell r="D349">
            <v>1</v>
          </cell>
          <cell r="E349" t="str">
            <v>주</v>
          </cell>
          <cell r="F349">
            <v>901500</v>
          </cell>
          <cell r="G349">
            <v>901500</v>
          </cell>
          <cell r="H349">
            <v>75000</v>
          </cell>
          <cell r="I349">
            <v>75000</v>
          </cell>
          <cell r="J349">
            <v>826500</v>
          </cell>
          <cell r="K349">
            <v>826500</v>
          </cell>
          <cell r="M349">
            <v>0</v>
          </cell>
        </row>
        <row r="350">
          <cell r="C350" t="str">
            <v>계수나무H3.5xR8</v>
          </cell>
          <cell r="D350">
            <v>1</v>
          </cell>
          <cell r="E350" t="str">
            <v>주</v>
          </cell>
          <cell r="F350">
            <v>79850</v>
          </cell>
          <cell r="G350">
            <v>79850</v>
          </cell>
          <cell r="H350">
            <v>20000</v>
          </cell>
          <cell r="I350">
            <v>20000</v>
          </cell>
          <cell r="J350">
            <v>59850</v>
          </cell>
          <cell r="K350">
            <v>59850</v>
          </cell>
          <cell r="M350">
            <v>0</v>
          </cell>
        </row>
        <row r="351">
          <cell r="C351" t="str">
            <v>계수나무H4.0xR10</v>
          </cell>
          <cell r="D351">
            <v>1</v>
          </cell>
          <cell r="E351" t="str">
            <v>주</v>
          </cell>
          <cell r="F351">
            <v>139000</v>
          </cell>
          <cell r="G351">
            <v>139000</v>
          </cell>
          <cell r="H351">
            <v>25000</v>
          </cell>
          <cell r="I351">
            <v>25000</v>
          </cell>
          <cell r="J351">
            <v>114000</v>
          </cell>
          <cell r="K351">
            <v>114000</v>
          </cell>
          <cell r="M351">
            <v>0</v>
          </cell>
        </row>
        <row r="352">
          <cell r="C352" t="str">
            <v>꽃복숭아H2.0xR4</v>
          </cell>
          <cell r="D352">
            <v>1</v>
          </cell>
          <cell r="E352" t="str">
            <v>주</v>
          </cell>
          <cell r="F352">
            <v>26850</v>
          </cell>
          <cell r="G352">
            <v>26850</v>
          </cell>
          <cell r="H352">
            <v>5000</v>
          </cell>
          <cell r="I352">
            <v>5000</v>
          </cell>
          <cell r="J352">
            <v>21850</v>
          </cell>
          <cell r="K352">
            <v>21850</v>
          </cell>
          <cell r="M352">
            <v>0</v>
          </cell>
        </row>
        <row r="353">
          <cell r="C353" t="str">
            <v>꽃아그배H2.5xR6</v>
          </cell>
          <cell r="D353">
            <v>1</v>
          </cell>
          <cell r="E353" t="str">
            <v>주</v>
          </cell>
          <cell r="F353">
            <v>52750</v>
          </cell>
          <cell r="G353">
            <v>52750</v>
          </cell>
          <cell r="H353">
            <v>10000</v>
          </cell>
          <cell r="I353">
            <v>10000</v>
          </cell>
          <cell r="J353">
            <v>42750</v>
          </cell>
          <cell r="K353">
            <v>42750</v>
          </cell>
          <cell r="M353">
            <v>0</v>
          </cell>
        </row>
        <row r="354">
          <cell r="C354" t="str">
            <v>꽃사과H2.5xR6</v>
          </cell>
          <cell r="D354">
            <v>1</v>
          </cell>
          <cell r="E354" t="str">
            <v>주</v>
          </cell>
          <cell r="F354">
            <v>43250</v>
          </cell>
          <cell r="G354">
            <v>43250</v>
          </cell>
          <cell r="H354">
            <v>10000</v>
          </cell>
          <cell r="I354">
            <v>10000</v>
          </cell>
          <cell r="J354">
            <v>33250</v>
          </cell>
          <cell r="K354">
            <v>33250</v>
          </cell>
          <cell r="M354">
            <v>0</v>
          </cell>
        </row>
        <row r="355">
          <cell r="C355" t="str">
            <v>모감주H4.5xR20</v>
          </cell>
          <cell r="D355">
            <v>1</v>
          </cell>
          <cell r="E355" t="str">
            <v>주</v>
          </cell>
          <cell r="F355">
            <v>597500</v>
          </cell>
          <cell r="G355">
            <v>597500</v>
          </cell>
          <cell r="H355">
            <v>75000</v>
          </cell>
          <cell r="I355">
            <v>75000</v>
          </cell>
          <cell r="J355">
            <v>522500</v>
          </cell>
          <cell r="K355">
            <v>522500</v>
          </cell>
          <cell r="M355">
            <v>0</v>
          </cell>
        </row>
        <row r="356">
          <cell r="C356" t="str">
            <v>모감주H5.0xR25</v>
          </cell>
          <cell r="D356">
            <v>1</v>
          </cell>
          <cell r="E356" t="str">
            <v>주</v>
          </cell>
          <cell r="F356">
            <v>945000</v>
          </cell>
          <cell r="G356">
            <v>945000</v>
          </cell>
          <cell r="H356">
            <v>90000</v>
          </cell>
          <cell r="I356">
            <v>90000</v>
          </cell>
          <cell r="J356">
            <v>855000</v>
          </cell>
          <cell r="K356">
            <v>855000</v>
          </cell>
          <cell r="M356">
            <v>0</v>
          </cell>
        </row>
        <row r="357">
          <cell r="C357" t="str">
            <v>모감주H3.5xR12</v>
          </cell>
          <cell r="D357">
            <v>1</v>
          </cell>
          <cell r="E357" t="str">
            <v>주</v>
          </cell>
          <cell r="F357">
            <v>225000</v>
          </cell>
          <cell r="G357">
            <v>225000</v>
          </cell>
          <cell r="H357">
            <v>35000</v>
          </cell>
          <cell r="I357">
            <v>35000</v>
          </cell>
          <cell r="J357">
            <v>190000</v>
          </cell>
          <cell r="K357">
            <v>190000</v>
          </cell>
          <cell r="M357">
            <v>0</v>
          </cell>
        </row>
        <row r="358">
          <cell r="C358" t="str">
            <v>노각나무H5.0xR25</v>
          </cell>
          <cell r="D358">
            <v>1</v>
          </cell>
          <cell r="E358" t="str">
            <v>주</v>
          </cell>
          <cell r="F358">
            <v>2180000</v>
          </cell>
          <cell r="G358">
            <v>2180000</v>
          </cell>
          <cell r="H358">
            <v>90000</v>
          </cell>
          <cell r="I358">
            <v>90000</v>
          </cell>
          <cell r="J358">
            <v>2090000</v>
          </cell>
          <cell r="K358">
            <v>2090000</v>
          </cell>
          <cell r="M358">
            <v>0</v>
          </cell>
        </row>
        <row r="359">
          <cell r="C359" t="str">
            <v>노각나무H4.0xR15</v>
          </cell>
          <cell r="D359">
            <v>1</v>
          </cell>
          <cell r="E359" t="str">
            <v>주</v>
          </cell>
          <cell r="F359">
            <v>662500</v>
          </cell>
          <cell r="G359">
            <v>662500</v>
          </cell>
          <cell r="H359">
            <v>45000</v>
          </cell>
          <cell r="I359">
            <v>45000</v>
          </cell>
          <cell r="J359">
            <v>617500</v>
          </cell>
          <cell r="K359">
            <v>617500</v>
          </cell>
          <cell r="M359">
            <v>0</v>
          </cell>
        </row>
        <row r="360">
          <cell r="C360" t="str">
            <v>노각나무H3.5xR10</v>
          </cell>
          <cell r="D360">
            <v>1</v>
          </cell>
          <cell r="E360" t="str">
            <v>주</v>
          </cell>
          <cell r="F360">
            <v>215000</v>
          </cell>
          <cell r="G360">
            <v>215000</v>
          </cell>
          <cell r="H360">
            <v>25000</v>
          </cell>
          <cell r="I360">
            <v>25000</v>
          </cell>
          <cell r="J360">
            <v>190000</v>
          </cell>
          <cell r="K360">
            <v>190000</v>
          </cell>
          <cell r="M360">
            <v>0</v>
          </cell>
        </row>
        <row r="361">
          <cell r="C361" t="str">
            <v>느릅나무H4.5xR20</v>
          </cell>
          <cell r="D361">
            <v>1</v>
          </cell>
          <cell r="E361" t="str">
            <v>주</v>
          </cell>
          <cell r="F361">
            <v>550000</v>
          </cell>
          <cell r="G361">
            <v>550000</v>
          </cell>
          <cell r="H361">
            <v>75000</v>
          </cell>
          <cell r="I361">
            <v>75000</v>
          </cell>
          <cell r="J361">
            <v>475000</v>
          </cell>
          <cell r="K361">
            <v>475000</v>
          </cell>
          <cell r="M361">
            <v>0</v>
          </cell>
        </row>
        <row r="362">
          <cell r="C362" t="str">
            <v>느릅나무H3.0xR5</v>
          </cell>
          <cell r="D362">
            <v>1</v>
          </cell>
          <cell r="E362" t="str">
            <v>주</v>
          </cell>
          <cell r="F362">
            <v>28000</v>
          </cell>
          <cell r="G362">
            <v>28000</v>
          </cell>
          <cell r="H362">
            <v>9000</v>
          </cell>
          <cell r="I362">
            <v>9000</v>
          </cell>
          <cell r="J362">
            <v>19000</v>
          </cell>
          <cell r="K362">
            <v>19000</v>
          </cell>
          <cell r="M362">
            <v>0</v>
          </cell>
        </row>
        <row r="363">
          <cell r="C363" t="str">
            <v>물푸레나무H6.0xR50</v>
          </cell>
          <cell r="D363">
            <v>1</v>
          </cell>
          <cell r="E363" t="str">
            <v>주</v>
          </cell>
          <cell r="F363">
            <v>3860000</v>
          </cell>
          <cell r="G363">
            <v>3860000</v>
          </cell>
          <cell r="H363">
            <v>250000</v>
          </cell>
          <cell r="I363">
            <v>250000</v>
          </cell>
          <cell r="J363">
            <v>3610000</v>
          </cell>
          <cell r="K363">
            <v>3610000</v>
          </cell>
          <cell r="M363">
            <v>0</v>
          </cell>
        </row>
        <row r="364">
          <cell r="C364" t="str">
            <v>느티나무H6.0xR40</v>
          </cell>
          <cell r="D364">
            <v>1</v>
          </cell>
          <cell r="E364" t="str">
            <v>주</v>
          </cell>
          <cell r="F364">
            <v>3970000</v>
          </cell>
          <cell r="G364">
            <v>3970000</v>
          </cell>
          <cell r="H364">
            <v>170000</v>
          </cell>
          <cell r="I364">
            <v>170000</v>
          </cell>
          <cell r="J364">
            <v>3800000</v>
          </cell>
          <cell r="K364">
            <v>3800000</v>
          </cell>
          <cell r="M364">
            <v>0</v>
          </cell>
        </row>
        <row r="365">
          <cell r="C365" t="str">
            <v>느티나무H5.0xR30</v>
          </cell>
          <cell r="D365">
            <v>1</v>
          </cell>
          <cell r="E365" t="str">
            <v>주</v>
          </cell>
          <cell r="F365">
            <v>1877500</v>
          </cell>
          <cell r="G365">
            <v>1877500</v>
          </cell>
          <cell r="H365">
            <v>120000</v>
          </cell>
          <cell r="I365">
            <v>120000</v>
          </cell>
          <cell r="J365">
            <v>1757500</v>
          </cell>
          <cell r="K365">
            <v>1757500</v>
          </cell>
          <cell r="M365">
            <v>0</v>
          </cell>
        </row>
        <row r="366">
          <cell r="C366" t="str">
            <v>느티나무H4.5xR20</v>
          </cell>
          <cell r="D366">
            <v>1</v>
          </cell>
          <cell r="E366" t="str">
            <v>주</v>
          </cell>
          <cell r="F366">
            <v>569000</v>
          </cell>
          <cell r="G366">
            <v>569000</v>
          </cell>
          <cell r="H366">
            <v>75000</v>
          </cell>
          <cell r="I366">
            <v>75000</v>
          </cell>
          <cell r="J366">
            <v>494000</v>
          </cell>
          <cell r="K366">
            <v>494000</v>
          </cell>
          <cell r="M366">
            <v>0</v>
          </cell>
        </row>
        <row r="367">
          <cell r="C367" t="str">
            <v>느티나무H4.0xR15</v>
          </cell>
          <cell r="D367">
            <v>1</v>
          </cell>
          <cell r="E367" t="str">
            <v>주</v>
          </cell>
          <cell r="F367">
            <v>311000</v>
          </cell>
          <cell r="G367">
            <v>311000</v>
          </cell>
          <cell r="H367">
            <v>45000</v>
          </cell>
          <cell r="I367">
            <v>45000</v>
          </cell>
          <cell r="J367">
            <v>266000</v>
          </cell>
          <cell r="K367">
            <v>266000</v>
          </cell>
          <cell r="M367">
            <v>0</v>
          </cell>
        </row>
        <row r="368">
          <cell r="C368" t="str">
            <v>느티나무H4.0xR8</v>
          </cell>
          <cell r="D368">
            <v>1</v>
          </cell>
          <cell r="E368" t="str">
            <v>주</v>
          </cell>
          <cell r="F368">
            <v>60000</v>
          </cell>
          <cell r="G368">
            <v>60000</v>
          </cell>
          <cell r="H368">
            <v>20000</v>
          </cell>
          <cell r="I368">
            <v>20000</v>
          </cell>
          <cell r="J368">
            <v>40000</v>
          </cell>
          <cell r="K368">
            <v>40000</v>
          </cell>
          <cell r="M368">
            <v>0</v>
          </cell>
        </row>
        <row r="369">
          <cell r="C369" t="str">
            <v>대왕참나무H3.0xR10</v>
          </cell>
          <cell r="D369">
            <v>1</v>
          </cell>
          <cell r="E369" t="str">
            <v>주</v>
          </cell>
          <cell r="F369">
            <v>148500</v>
          </cell>
          <cell r="G369">
            <v>148500</v>
          </cell>
          <cell r="H369">
            <v>25000</v>
          </cell>
          <cell r="I369">
            <v>25000</v>
          </cell>
          <cell r="J369">
            <v>123500</v>
          </cell>
          <cell r="K369">
            <v>123500</v>
          </cell>
          <cell r="M369">
            <v>0</v>
          </cell>
        </row>
        <row r="370">
          <cell r="C370" t="str">
            <v>대왕참나무H3.0xR8</v>
          </cell>
          <cell r="D370">
            <v>1</v>
          </cell>
          <cell r="E370" t="str">
            <v>주</v>
          </cell>
          <cell r="F370">
            <v>105500</v>
          </cell>
          <cell r="G370">
            <v>105500</v>
          </cell>
          <cell r="H370">
            <v>20000</v>
          </cell>
          <cell r="I370">
            <v>20000</v>
          </cell>
          <cell r="J370">
            <v>85500</v>
          </cell>
          <cell r="K370">
            <v>85500</v>
          </cell>
          <cell r="M370">
            <v>0</v>
          </cell>
        </row>
        <row r="371">
          <cell r="C371" t="str">
            <v>대추나무H4.0xR15</v>
          </cell>
          <cell r="D371">
            <v>1</v>
          </cell>
          <cell r="E371" t="str">
            <v>주</v>
          </cell>
          <cell r="F371">
            <v>235000</v>
          </cell>
          <cell r="G371">
            <v>235000</v>
          </cell>
          <cell r="H371">
            <v>45000</v>
          </cell>
          <cell r="I371">
            <v>45000</v>
          </cell>
          <cell r="J371">
            <v>190000</v>
          </cell>
          <cell r="K371">
            <v>190000</v>
          </cell>
          <cell r="M371">
            <v>0</v>
          </cell>
        </row>
        <row r="372">
          <cell r="C372" t="str">
            <v>대추나무H2.5xR6</v>
          </cell>
          <cell r="D372">
            <v>1</v>
          </cell>
          <cell r="E372" t="str">
            <v>주</v>
          </cell>
          <cell r="F372">
            <v>38500</v>
          </cell>
          <cell r="G372">
            <v>38500</v>
          </cell>
          <cell r="H372">
            <v>10000</v>
          </cell>
          <cell r="I372">
            <v>10000</v>
          </cell>
          <cell r="J372">
            <v>28500</v>
          </cell>
          <cell r="K372">
            <v>28500</v>
          </cell>
          <cell r="M372">
            <v>0</v>
          </cell>
        </row>
        <row r="373">
          <cell r="C373" t="str">
            <v>때죽나무H3.0xR6</v>
          </cell>
          <cell r="D373">
            <v>1</v>
          </cell>
          <cell r="E373" t="str">
            <v>주</v>
          </cell>
          <cell r="F373">
            <v>46100</v>
          </cell>
          <cell r="G373">
            <v>46100</v>
          </cell>
          <cell r="H373">
            <v>10000</v>
          </cell>
          <cell r="I373">
            <v>10000</v>
          </cell>
          <cell r="J373">
            <v>36100</v>
          </cell>
          <cell r="K373">
            <v>36100</v>
          </cell>
          <cell r="M373">
            <v>0</v>
          </cell>
        </row>
        <row r="374">
          <cell r="C374" t="str">
            <v>때죽나무H2.5xR5</v>
          </cell>
          <cell r="D374">
            <v>1</v>
          </cell>
          <cell r="E374" t="str">
            <v>주</v>
          </cell>
          <cell r="F374">
            <v>38450</v>
          </cell>
          <cell r="G374">
            <v>38450</v>
          </cell>
          <cell r="H374">
            <v>9000</v>
          </cell>
          <cell r="I374">
            <v>9000</v>
          </cell>
          <cell r="J374">
            <v>29450</v>
          </cell>
          <cell r="K374">
            <v>29450</v>
          </cell>
          <cell r="M374">
            <v>0</v>
          </cell>
        </row>
        <row r="375">
          <cell r="C375" t="str">
            <v>루브라참나무H3.5xR12</v>
          </cell>
          <cell r="D375">
            <v>1</v>
          </cell>
          <cell r="E375" t="str">
            <v>주</v>
          </cell>
          <cell r="F375">
            <v>206000</v>
          </cell>
          <cell r="G375">
            <v>206000</v>
          </cell>
          <cell r="H375">
            <v>35000</v>
          </cell>
          <cell r="I375">
            <v>35000</v>
          </cell>
          <cell r="J375">
            <v>171000</v>
          </cell>
          <cell r="K375">
            <v>171000</v>
          </cell>
          <cell r="M375">
            <v>0</v>
          </cell>
        </row>
        <row r="376">
          <cell r="C376" t="str">
            <v>루브라참나무H3.0xR10</v>
          </cell>
          <cell r="D376">
            <v>1</v>
          </cell>
          <cell r="E376" t="str">
            <v>주</v>
          </cell>
          <cell r="F376">
            <v>139000</v>
          </cell>
          <cell r="G376">
            <v>139000</v>
          </cell>
          <cell r="H376">
            <v>25000</v>
          </cell>
          <cell r="I376">
            <v>25000</v>
          </cell>
          <cell r="J376">
            <v>114000</v>
          </cell>
          <cell r="K376">
            <v>114000</v>
          </cell>
          <cell r="M376">
            <v>0</v>
          </cell>
        </row>
        <row r="377">
          <cell r="C377" t="str">
            <v>루브라참나무H3.0xR8</v>
          </cell>
          <cell r="D377">
            <v>1</v>
          </cell>
          <cell r="E377" t="str">
            <v>주</v>
          </cell>
          <cell r="F377">
            <v>100750</v>
          </cell>
          <cell r="G377">
            <v>100750</v>
          </cell>
          <cell r="H377">
            <v>20000</v>
          </cell>
          <cell r="I377">
            <v>20000</v>
          </cell>
          <cell r="J377">
            <v>80750</v>
          </cell>
          <cell r="K377">
            <v>80750</v>
          </cell>
          <cell r="M377">
            <v>0</v>
          </cell>
        </row>
        <row r="378">
          <cell r="C378" t="str">
            <v>마가목H2.5xR5</v>
          </cell>
          <cell r="D378">
            <v>1</v>
          </cell>
          <cell r="E378" t="str">
            <v>주</v>
          </cell>
          <cell r="F378">
            <v>37500</v>
          </cell>
          <cell r="G378">
            <v>37500</v>
          </cell>
          <cell r="H378">
            <v>9000</v>
          </cell>
          <cell r="I378">
            <v>9000</v>
          </cell>
          <cell r="J378">
            <v>28500</v>
          </cell>
          <cell r="K378">
            <v>28500</v>
          </cell>
          <cell r="M378">
            <v>0</v>
          </cell>
        </row>
        <row r="379">
          <cell r="C379" t="str">
            <v>매실나무H4.0xR15</v>
          </cell>
          <cell r="D379">
            <v>1</v>
          </cell>
          <cell r="E379" t="str">
            <v>주</v>
          </cell>
          <cell r="F379">
            <v>282500</v>
          </cell>
          <cell r="G379">
            <v>282500</v>
          </cell>
          <cell r="H379">
            <v>45000</v>
          </cell>
          <cell r="I379">
            <v>45000</v>
          </cell>
          <cell r="J379">
            <v>237500</v>
          </cell>
          <cell r="K379">
            <v>237500</v>
          </cell>
          <cell r="M379">
            <v>0</v>
          </cell>
        </row>
        <row r="380">
          <cell r="C380" t="str">
            <v>매자나무H2.5xR6</v>
          </cell>
          <cell r="D380">
            <v>1</v>
          </cell>
          <cell r="E380" t="str">
            <v>주</v>
          </cell>
          <cell r="F380">
            <v>33750</v>
          </cell>
          <cell r="G380">
            <v>33750</v>
          </cell>
          <cell r="H380">
            <v>10000</v>
          </cell>
          <cell r="I380">
            <v>10000</v>
          </cell>
          <cell r="J380">
            <v>23750</v>
          </cell>
          <cell r="K380">
            <v>23750</v>
          </cell>
          <cell r="M380">
            <v>0</v>
          </cell>
        </row>
        <row r="381">
          <cell r="C381" t="str">
            <v>매화나무H3.0xR8</v>
          </cell>
          <cell r="D381">
            <v>1</v>
          </cell>
          <cell r="E381" t="str">
            <v>주</v>
          </cell>
          <cell r="F381">
            <v>62750</v>
          </cell>
          <cell r="G381">
            <v>62750</v>
          </cell>
          <cell r="H381">
            <v>20000</v>
          </cell>
          <cell r="I381">
            <v>20000</v>
          </cell>
          <cell r="J381">
            <v>42750</v>
          </cell>
          <cell r="K381">
            <v>42750</v>
          </cell>
          <cell r="M381">
            <v>0</v>
          </cell>
        </row>
        <row r="382">
          <cell r="C382" t="str">
            <v>메타세콰이아H5.0xB12</v>
          </cell>
          <cell r="D382">
            <v>1</v>
          </cell>
          <cell r="E382" t="str">
            <v>주</v>
          </cell>
          <cell r="F382">
            <v>187500</v>
          </cell>
          <cell r="G382">
            <v>187500</v>
          </cell>
          <cell r="H382">
            <v>45000</v>
          </cell>
          <cell r="I382">
            <v>45000</v>
          </cell>
          <cell r="J382">
            <v>142500</v>
          </cell>
          <cell r="K382">
            <v>142500</v>
          </cell>
          <cell r="M382">
            <v>0</v>
          </cell>
        </row>
        <row r="383">
          <cell r="C383" t="str">
            <v>낙우송H3.5xB8</v>
          </cell>
          <cell r="D383">
            <v>1</v>
          </cell>
          <cell r="E383" t="str">
            <v>주</v>
          </cell>
          <cell r="F383">
            <v>117000</v>
          </cell>
          <cell r="G383">
            <v>117000</v>
          </cell>
          <cell r="H383">
            <v>47000</v>
          </cell>
          <cell r="I383">
            <v>47000</v>
          </cell>
          <cell r="J383">
            <v>70000</v>
          </cell>
          <cell r="K383">
            <v>70000</v>
          </cell>
          <cell r="M383">
            <v>0</v>
          </cell>
        </row>
        <row r="384">
          <cell r="C384" t="str">
            <v>낙우송H3.5xB6</v>
          </cell>
          <cell r="D384">
            <v>1</v>
          </cell>
          <cell r="E384" t="str">
            <v>주</v>
          </cell>
          <cell r="F384">
            <v>77000</v>
          </cell>
          <cell r="G384">
            <v>77000</v>
          </cell>
          <cell r="H384">
            <v>20000</v>
          </cell>
          <cell r="I384">
            <v>20000</v>
          </cell>
          <cell r="J384">
            <v>57000</v>
          </cell>
          <cell r="K384">
            <v>57000</v>
          </cell>
          <cell r="M384">
            <v>0</v>
          </cell>
        </row>
        <row r="385">
          <cell r="C385" t="str">
            <v>낙우송H3.0xB5</v>
          </cell>
          <cell r="D385">
            <v>1</v>
          </cell>
          <cell r="E385" t="str">
            <v>주</v>
          </cell>
          <cell r="F385">
            <v>48250</v>
          </cell>
          <cell r="G385">
            <v>48250</v>
          </cell>
          <cell r="H385">
            <v>15000</v>
          </cell>
          <cell r="I385">
            <v>15000</v>
          </cell>
          <cell r="J385">
            <v>33250</v>
          </cell>
          <cell r="K385">
            <v>33250</v>
          </cell>
          <cell r="M385">
            <v>0</v>
          </cell>
        </row>
        <row r="386">
          <cell r="C386" t="str">
            <v>상수리나무H5.0xR45</v>
          </cell>
          <cell r="D386">
            <v>1</v>
          </cell>
          <cell r="E386" t="str">
            <v>주</v>
          </cell>
          <cell r="F386">
            <v>2575000</v>
          </cell>
          <cell r="G386">
            <v>2575000</v>
          </cell>
          <cell r="H386">
            <v>200000</v>
          </cell>
          <cell r="I386">
            <v>200000</v>
          </cell>
          <cell r="J386">
            <v>2375000</v>
          </cell>
          <cell r="K386">
            <v>2375000</v>
          </cell>
          <cell r="M386">
            <v>0</v>
          </cell>
        </row>
        <row r="387">
          <cell r="C387" t="str">
            <v>모과나무H4.0xR15</v>
          </cell>
          <cell r="D387">
            <v>1</v>
          </cell>
          <cell r="E387" t="str">
            <v>주</v>
          </cell>
          <cell r="F387">
            <v>282500</v>
          </cell>
          <cell r="G387">
            <v>282500</v>
          </cell>
          <cell r="H387">
            <v>45000</v>
          </cell>
          <cell r="I387">
            <v>45000</v>
          </cell>
          <cell r="J387">
            <v>237500</v>
          </cell>
          <cell r="K387">
            <v>237500</v>
          </cell>
          <cell r="M387">
            <v>0</v>
          </cell>
        </row>
        <row r="388">
          <cell r="C388" t="str">
            <v>모과나무H3.0xR8</v>
          </cell>
          <cell r="D388">
            <v>1</v>
          </cell>
          <cell r="E388" t="str">
            <v>주</v>
          </cell>
          <cell r="F388">
            <v>84600</v>
          </cell>
          <cell r="G388">
            <v>84600</v>
          </cell>
          <cell r="H388">
            <v>20000</v>
          </cell>
          <cell r="I388">
            <v>20000</v>
          </cell>
          <cell r="J388">
            <v>64600</v>
          </cell>
          <cell r="K388">
            <v>64600</v>
          </cell>
          <cell r="M388">
            <v>0</v>
          </cell>
        </row>
        <row r="389">
          <cell r="C389" t="str">
            <v>모과나무H2.5xR6</v>
          </cell>
          <cell r="D389">
            <v>1</v>
          </cell>
          <cell r="E389" t="str">
            <v>주</v>
          </cell>
          <cell r="F389">
            <v>52750</v>
          </cell>
          <cell r="G389">
            <v>52750</v>
          </cell>
          <cell r="H389">
            <v>10000</v>
          </cell>
          <cell r="I389">
            <v>10000</v>
          </cell>
          <cell r="J389">
            <v>42750</v>
          </cell>
          <cell r="K389">
            <v>42750</v>
          </cell>
          <cell r="M389">
            <v>0</v>
          </cell>
        </row>
        <row r="390">
          <cell r="C390" t="str">
            <v>목련H5.0xR35</v>
          </cell>
          <cell r="D390">
            <v>1</v>
          </cell>
          <cell r="E390" t="str">
            <v>주</v>
          </cell>
          <cell r="F390">
            <v>2050000</v>
          </cell>
          <cell r="G390">
            <v>2050000</v>
          </cell>
          <cell r="H390">
            <v>150000</v>
          </cell>
          <cell r="I390">
            <v>150000</v>
          </cell>
          <cell r="J390">
            <v>1900000</v>
          </cell>
          <cell r="K390">
            <v>1900000</v>
          </cell>
          <cell r="M390">
            <v>0</v>
          </cell>
        </row>
        <row r="391">
          <cell r="C391" t="str">
            <v>목련H5.0xR30</v>
          </cell>
          <cell r="D391">
            <v>1</v>
          </cell>
          <cell r="E391" t="str">
            <v>주</v>
          </cell>
          <cell r="F391">
            <v>1545000</v>
          </cell>
          <cell r="G391">
            <v>1545000</v>
          </cell>
          <cell r="H391">
            <v>120000</v>
          </cell>
          <cell r="I391">
            <v>120000</v>
          </cell>
          <cell r="J391">
            <v>1425000</v>
          </cell>
          <cell r="K391">
            <v>1425000</v>
          </cell>
          <cell r="M391">
            <v>0</v>
          </cell>
        </row>
        <row r="392">
          <cell r="C392" t="str">
            <v>목련H4.0xR15</v>
          </cell>
          <cell r="D392">
            <v>1</v>
          </cell>
          <cell r="E392" t="str">
            <v>주</v>
          </cell>
          <cell r="F392">
            <v>263500</v>
          </cell>
          <cell r="G392">
            <v>263500</v>
          </cell>
          <cell r="H392">
            <v>45000</v>
          </cell>
          <cell r="I392">
            <v>45000</v>
          </cell>
          <cell r="J392">
            <v>218500</v>
          </cell>
          <cell r="K392">
            <v>218500</v>
          </cell>
          <cell r="M392">
            <v>0</v>
          </cell>
        </row>
        <row r="393">
          <cell r="C393" t="str">
            <v>목련H3.0xR10</v>
          </cell>
          <cell r="D393">
            <v>1</v>
          </cell>
          <cell r="E393" t="str">
            <v>주</v>
          </cell>
          <cell r="F393">
            <v>115250</v>
          </cell>
          <cell r="G393">
            <v>115250</v>
          </cell>
          <cell r="H393">
            <v>25000</v>
          </cell>
          <cell r="I393">
            <v>25000</v>
          </cell>
          <cell r="J393">
            <v>90250</v>
          </cell>
          <cell r="K393">
            <v>90250</v>
          </cell>
          <cell r="M393">
            <v>0</v>
          </cell>
        </row>
        <row r="394">
          <cell r="C394" t="str">
            <v>목련H2.5xR8</v>
          </cell>
          <cell r="D394">
            <v>1</v>
          </cell>
          <cell r="E394" t="str">
            <v>주</v>
          </cell>
          <cell r="F394">
            <v>91250</v>
          </cell>
          <cell r="G394">
            <v>91250</v>
          </cell>
          <cell r="H394">
            <v>20000</v>
          </cell>
          <cell r="I394">
            <v>20000</v>
          </cell>
          <cell r="J394">
            <v>71250</v>
          </cell>
          <cell r="K394">
            <v>71250</v>
          </cell>
          <cell r="M394">
            <v>0</v>
          </cell>
        </row>
        <row r="395">
          <cell r="C395" t="str">
            <v>목련H2.5xR6</v>
          </cell>
          <cell r="D395">
            <v>1</v>
          </cell>
          <cell r="E395" t="str">
            <v>주</v>
          </cell>
          <cell r="F395">
            <v>46100</v>
          </cell>
          <cell r="G395">
            <v>46100</v>
          </cell>
          <cell r="H395">
            <v>10000</v>
          </cell>
          <cell r="I395">
            <v>10000</v>
          </cell>
          <cell r="J395">
            <v>36100</v>
          </cell>
          <cell r="K395">
            <v>36100</v>
          </cell>
          <cell r="M395">
            <v>0</v>
          </cell>
        </row>
        <row r="396">
          <cell r="C396" t="str">
            <v>밤나무H3.0xR10</v>
          </cell>
          <cell r="D396">
            <v>1</v>
          </cell>
          <cell r="E396" t="str">
            <v>주</v>
          </cell>
          <cell r="F396">
            <v>110500</v>
          </cell>
          <cell r="G396">
            <v>110500</v>
          </cell>
          <cell r="H396">
            <v>25000</v>
          </cell>
          <cell r="I396">
            <v>25000</v>
          </cell>
          <cell r="J396">
            <v>85500</v>
          </cell>
          <cell r="K396">
            <v>85500</v>
          </cell>
          <cell r="M396">
            <v>0</v>
          </cell>
        </row>
        <row r="397">
          <cell r="C397" t="str">
            <v>벗나무H4.0xB15</v>
          </cell>
          <cell r="D397">
            <v>1</v>
          </cell>
          <cell r="E397" t="str">
            <v>주</v>
          </cell>
          <cell r="F397">
            <v>455000</v>
          </cell>
          <cell r="G397">
            <v>455000</v>
          </cell>
          <cell r="H397">
            <v>75000</v>
          </cell>
          <cell r="I397">
            <v>75000</v>
          </cell>
          <cell r="J397">
            <v>380000</v>
          </cell>
          <cell r="K397">
            <v>380000</v>
          </cell>
          <cell r="M397">
            <v>0</v>
          </cell>
        </row>
        <row r="398">
          <cell r="C398" t="str">
            <v>벗나무H4.0xB10</v>
          </cell>
          <cell r="D398">
            <v>1</v>
          </cell>
          <cell r="E398" t="str">
            <v>주</v>
          </cell>
          <cell r="F398">
            <v>160000</v>
          </cell>
          <cell r="G398">
            <v>160000</v>
          </cell>
          <cell r="H398">
            <v>35000</v>
          </cell>
          <cell r="I398">
            <v>35000</v>
          </cell>
          <cell r="J398">
            <v>125000</v>
          </cell>
          <cell r="K398">
            <v>125000</v>
          </cell>
          <cell r="M398">
            <v>0</v>
          </cell>
        </row>
        <row r="399">
          <cell r="C399" t="str">
            <v>벗나무H3.5xB8</v>
          </cell>
          <cell r="D399">
            <v>1</v>
          </cell>
          <cell r="E399" t="str">
            <v>주</v>
          </cell>
          <cell r="F399">
            <v>96250</v>
          </cell>
          <cell r="G399">
            <v>96250</v>
          </cell>
          <cell r="H399">
            <v>25000</v>
          </cell>
          <cell r="I399">
            <v>25000</v>
          </cell>
          <cell r="J399">
            <v>71250</v>
          </cell>
          <cell r="K399">
            <v>71250</v>
          </cell>
          <cell r="M399">
            <v>0</v>
          </cell>
        </row>
        <row r="400">
          <cell r="C400" t="str">
            <v>벗나무H2.5xB5</v>
          </cell>
          <cell r="D400">
            <v>1</v>
          </cell>
          <cell r="E400" t="str">
            <v>주</v>
          </cell>
          <cell r="F400">
            <v>36600</v>
          </cell>
          <cell r="G400">
            <v>36600</v>
          </cell>
          <cell r="H400">
            <v>10000</v>
          </cell>
          <cell r="I400">
            <v>10000</v>
          </cell>
          <cell r="J400">
            <v>26600</v>
          </cell>
          <cell r="K400">
            <v>26600</v>
          </cell>
          <cell r="M400">
            <v>0</v>
          </cell>
        </row>
        <row r="401">
          <cell r="C401" t="str">
            <v>보리수나무H2.5xW1.0</v>
          </cell>
          <cell r="D401">
            <v>1</v>
          </cell>
          <cell r="E401" t="str">
            <v>주</v>
          </cell>
          <cell r="F401">
            <v>73750</v>
          </cell>
          <cell r="G401">
            <v>73750</v>
          </cell>
          <cell r="H401">
            <v>12000</v>
          </cell>
          <cell r="I401">
            <v>12000</v>
          </cell>
          <cell r="J401">
            <v>61750</v>
          </cell>
          <cell r="K401">
            <v>61750</v>
          </cell>
          <cell r="M401">
            <v>0</v>
          </cell>
        </row>
        <row r="402">
          <cell r="C402" t="str">
            <v>보리수나무H2.0xR4</v>
          </cell>
          <cell r="D402">
            <v>1</v>
          </cell>
          <cell r="E402" t="str">
            <v>주</v>
          </cell>
          <cell r="F402">
            <v>28750</v>
          </cell>
          <cell r="G402">
            <v>28750</v>
          </cell>
          <cell r="H402">
            <v>5000</v>
          </cell>
          <cell r="I402">
            <v>5000</v>
          </cell>
          <cell r="J402">
            <v>23750</v>
          </cell>
          <cell r="K402">
            <v>23750</v>
          </cell>
          <cell r="M402">
            <v>0</v>
          </cell>
        </row>
        <row r="403">
          <cell r="C403" t="str">
            <v>복자기H3.0xR8</v>
          </cell>
          <cell r="D403">
            <v>1</v>
          </cell>
          <cell r="E403" t="str">
            <v>주</v>
          </cell>
          <cell r="F403">
            <v>100750</v>
          </cell>
          <cell r="G403">
            <v>100750</v>
          </cell>
          <cell r="H403">
            <v>20000</v>
          </cell>
          <cell r="I403">
            <v>20000</v>
          </cell>
          <cell r="J403">
            <v>80750</v>
          </cell>
          <cell r="K403">
            <v>80750</v>
          </cell>
          <cell r="M403">
            <v>0</v>
          </cell>
        </row>
        <row r="404">
          <cell r="C404" t="str">
            <v>산사나무H4.5xR30</v>
          </cell>
          <cell r="D404">
            <v>1</v>
          </cell>
          <cell r="E404" t="str">
            <v>주</v>
          </cell>
          <cell r="F404">
            <v>2115000</v>
          </cell>
          <cell r="G404">
            <v>2115000</v>
          </cell>
          <cell r="H404">
            <v>120000</v>
          </cell>
          <cell r="I404">
            <v>120000</v>
          </cell>
          <cell r="J404">
            <v>1995000</v>
          </cell>
          <cell r="K404">
            <v>1995000</v>
          </cell>
          <cell r="M404">
            <v>0</v>
          </cell>
        </row>
        <row r="405">
          <cell r="C405" t="str">
            <v>산사나무H3.0xR8</v>
          </cell>
          <cell r="D405">
            <v>1</v>
          </cell>
          <cell r="E405" t="str">
            <v>주</v>
          </cell>
          <cell r="F405">
            <v>100750</v>
          </cell>
          <cell r="G405">
            <v>100750</v>
          </cell>
          <cell r="H405">
            <v>20000</v>
          </cell>
          <cell r="I405">
            <v>20000</v>
          </cell>
          <cell r="J405">
            <v>80750</v>
          </cell>
          <cell r="K405">
            <v>80750</v>
          </cell>
          <cell r="M405">
            <v>0</v>
          </cell>
        </row>
        <row r="406">
          <cell r="C406" t="str">
            <v>산사나무H2.5xR6</v>
          </cell>
          <cell r="D406">
            <v>1</v>
          </cell>
          <cell r="E406" t="str">
            <v>주</v>
          </cell>
          <cell r="F406">
            <v>60350</v>
          </cell>
          <cell r="G406">
            <v>60350</v>
          </cell>
          <cell r="H406">
            <v>10000</v>
          </cell>
          <cell r="I406">
            <v>10000</v>
          </cell>
          <cell r="J406">
            <v>50350</v>
          </cell>
          <cell r="K406">
            <v>50350</v>
          </cell>
          <cell r="M406">
            <v>0</v>
          </cell>
        </row>
        <row r="407">
          <cell r="C407" t="str">
            <v>산딸나무H3.0xR8</v>
          </cell>
          <cell r="D407">
            <v>1</v>
          </cell>
          <cell r="E407" t="str">
            <v>주</v>
          </cell>
          <cell r="F407">
            <v>105500</v>
          </cell>
          <cell r="G407">
            <v>105500</v>
          </cell>
          <cell r="H407">
            <v>20000</v>
          </cell>
          <cell r="I407">
            <v>20000</v>
          </cell>
          <cell r="J407">
            <v>85500</v>
          </cell>
          <cell r="K407">
            <v>85500</v>
          </cell>
          <cell r="M407">
            <v>0</v>
          </cell>
        </row>
        <row r="408">
          <cell r="C408" t="str">
            <v>산딸나무H2.5xR6</v>
          </cell>
          <cell r="D408">
            <v>1</v>
          </cell>
          <cell r="E408" t="str">
            <v>주</v>
          </cell>
          <cell r="F408">
            <v>86000</v>
          </cell>
          <cell r="G408">
            <v>86000</v>
          </cell>
          <cell r="H408">
            <v>31000</v>
          </cell>
          <cell r="I408">
            <v>31000</v>
          </cell>
          <cell r="J408">
            <v>55000</v>
          </cell>
          <cell r="K408">
            <v>55000</v>
          </cell>
          <cell r="M408">
            <v>0</v>
          </cell>
        </row>
        <row r="409">
          <cell r="C409" t="str">
            <v>산딸나무H2.0xR5</v>
          </cell>
          <cell r="D409">
            <v>1</v>
          </cell>
          <cell r="E409" t="str">
            <v>주</v>
          </cell>
          <cell r="F409">
            <v>25050</v>
          </cell>
          <cell r="G409">
            <v>25050</v>
          </cell>
          <cell r="H409">
            <v>7000</v>
          </cell>
          <cell r="I409">
            <v>7000</v>
          </cell>
          <cell r="J409">
            <v>18050</v>
          </cell>
          <cell r="K409">
            <v>18050</v>
          </cell>
          <cell r="M409">
            <v>0</v>
          </cell>
        </row>
        <row r="410">
          <cell r="C410" t="str">
            <v>산딸나무H2.0xR4</v>
          </cell>
          <cell r="D410">
            <v>1</v>
          </cell>
          <cell r="E410" t="str">
            <v>주</v>
          </cell>
          <cell r="F410">
            <v>23000</v>
          </cell>
          <cell r="G410">
            <v>23000</v>
          </cell>
          <cell r="H410">
            <v>5000</v>
          </cell>
          <cell r="I410">
            <v>5000</v>
          </cell>
          <cell r="J410">
            <v>18000</v>
          </cell>
          <cell r="K410">
            <v>18000</v>
          </cell>
          <cell r="M410">
            <v>0</v>
          </cell>
        </row>
        <row r="411">
          <cell r="C411" t="str">
            <v>산수유H5.0xR30</v>
          </cell>
          <cell r="D411">
            <v>1</v>
          </cell>
          <cell r="E411" t="str">
            <v>주</v>
          </cell>
          <cell r="F411">
            <v>1640000</v>
          </cell>
          <cell r="G411">
            <v>1640000</v>
          </cell>
          <cell r="H411">
            <v>120000</v>
          </cell>
          <cell r="I411">
            <v>120000</v>
          </cell>
          <cell r="J411">
            <v>1520000</v>
          </cell>
          <cell r="K411">
            <v>1520000</v>
          </cell>
          <cell r="M411">
            <v>0</v>
          </cell>
        </row>
        <row r="412">
          <cell r="C412" t="str">
            <v>산수유H4.0xR20</v>
          </cell>
          <cell r="D412">
            <v>1</v>
          </cell>
          <cell r="E412" t="str">
            <v>주</v>
          </cell>
          <cell r="F412">
            <v>835000</v>
          </cell>
          <cell r="G412">
            <v>835000</v>
          </cell>
          <cell r="H412">
            <v>75000</v>
          </cell>
          <cell r="I412">
            <v>75000</v>
          </cell>
          <cell r="J412">
            <v>760000</v>
          </cell>
          <cell r="K412">
            <v>760000</v>
          </cell>
          <cell r="M412">
            <v>0</v>
          </cell>
        </row>
        <row r="413">
          <cell r="C413" t="str">
            <v>산수유H2.5xR7</v>
          </cell>
          <cell r="D413">
            <v>1</v>
          </cell>
          <cell r="E413" t="str">
            <v>주</v>
          </cell>
          <cell r="F413">
            <v>63500</v>
          </cell>
          <cell r="G413">
            <v>63500</v>
          </cell>
          <cell r="H413">
            <v>16000</v>
          </cell>
          <cell r="I413">
            <v>16000</v>
          </cell>
          <cell r="J413">
            <v>47500</v>
          </cell>
          <cell r="K413">
            <v>47500</v>
          </cell>
          <cell r="M413">
            <v>0</v>
          </cell>
        </row>
        <row r="414">
          <cell r="C414" t="str">
            <v>산수유H2.0xR5</v>
          </cell>
          <cell r="D414">
            <v>1</v>
          </cell>
          <cell r="E414" t="str">
            <v>주</v>
          </cell>
          <cell r="F414">
            <v>26950</v>
          </cell>
          <cell r="G414">
            <v>26950</v>
          </cell>
          <cell r="H414">
            <v>7000</v>
          </cell>
          <cell r="I414">
            <v>7000</v>
          </cell>
          <cell r="J414">
            <v>19950</v>
          </cell>
          <cell r="K414">
            <v>19950</v>
          </cell>
          <cell r="M414">
            <v>0</v>
          </cell>
        </row>
        <row r="415">
          <cell r="C415" t="str">
            <v>살구나무H4.0xR15</v>
          </cell>
          <cell r="D415">
            <v>1</v>
          </cell>
          <cell r="E415" t="str">
            <v>주</v>
          </cell>
          <cell r="F415">
            <v>292000</v>
          </cell>
          <cell r="G415">
            <v>292000</v>
          </cell>
          <cell r="H415">
            <v>45000</v>
          </cell>
          <cell r="I415">
            <v>45000</v>
          </cell>
          <cell r="J415">
            <v>247000</v>
          </cell>
          <cell r="K415">
            <v>247000</v>
          </cell>
          <cell r="M415">
            <v>0</v>
          </cell>
        </row>
        <row r="416">
          <cell r="C416" t="str">
            <v>살구나무H3.5xR10</v>
          </cell>
          <cell r="D416">
            <v>1</v>
          </cell>
          <cell r="E416" t="str">
            <v>주</v>
          </cell>
          <cell r="F416">
            <v>153250</v>
          </cell>
          <cell r="G416">
            <v>153250</v>
          </cell>
          <cell r="H416">
            <v>25000</v>
          </cell>
          <cell r="I416">
            <v>25000</v>
          </cell>
          <cell r="J416">
            <v>128250</v>
          </cell>
          <cell r="K416">
            <v>128250</v>
          </cell>
          <cell r="M416">
            <v>0</v>
          </cell>
        </row>
        <row r="417">
          <cell r="C417" t="str">
            <v>살구나무H3.0xR8</v>
          </cell>
          <cell r="D417">
            <v>1</v>
          </cell>
          <cell r="E417" t="str">
            <v>주</v>
          </cell>
          <cell r="F417">
            <v>86500</v>
          </cell>
          <cell r="G417">
            <v>86500</v>
          </cell>
          <cell r="H417">
            <v>20000</v>
          </cell>
          <cell r="I417">
            <v>20000</v>
          </cell>
          <cell r="J417">
            <v>66500</v>
          </cell>
          <cell r="K417">
            <v>66500</v>
          </cell>
          <cell r="M417">
            <v>0</v>
          </cell>
        </row>
        <row r="418">
          <cell r="C418" t="str">
            <v>살구나무H2.5xR6</v>
          </cell>
          <cell r="D418">
            <v>1</v>
          </cell>
          <cell r="E418" t="str">
            <v>주</v>
          </cell>
          <cell r="F418">
            <v>40400</v>
          </cell>
          <cell r="G418">
            <v>40400</v>
          </cell>
          <cell r="H418">
            <v>10000</v>
          </cell>
          <cell r="I418">
            <v>10000</v>
          </cell>
          <cell r="J418">
            <v>30400</v>
          </cell>
          <cell r="K418">
            <v>30400</v>
          </cell>
          <cell r="M418">
            <v>0</v>
          </cell>
        </row>
        <row r="419">
          <cell r="C419" t="str">
            <v>은행나무H4.5xB30</v>
          </cell>
          <cell r="D419">
            <v>1</v>
          </cell>
          <cell r="E419" t="str">
            <v>주</v>
          </cell>
          <cell r="F419">
            <v>2545000</v>
          </cell>
          <cell r="G419">
            <v>2545000</v>
          </cell>
          <cell r="H419">
            <v>170000</v>
          </cell>
          <cell r="I419">
            <v>170000</v>
          </cell>
          <cell r="J419">
            <v>2375000</v>
          </cell>
          <cell r="K419">
            <v>2375000</v>
          </cell>
          <cell r="M419">
            <v>0</v>
          </cell>
        </row>
        <row r="420">
          <cell r="C420" t="str">
            <v>은행나무H4.5xB20</v>
          </cell>
          <cell r="D420">
            <v>1</v>
          </cell>
          <cell r="E420" t="str">
            <v>주</v>
          </cell>
          <cell r="F420">
            <v>470000</v>
          </cell>
          <cell r="G420">
            <v>470000</v>
          </cell>
          <cell r="H420">
            <v>90000</v>
          </cell>
          <cell r="I420">
            <v>90000</v>
          </cell>
          <cell r="J420">
            <v>380000</v>
          </cell>
          <cell r="K420">
            <v>380000</v>
          </cell>
          <cell r="M420">
            <v>0</v>
          </cell>
        </row>
        <row r="421">
          <cell r="C421" t="str">
            <v>은행나무H3.5xB12</v>
          </cell>
          <cell r="D421">
            <v>1</v>
          </cell>
          <cell r="E421" t="str">
            <v>주</v>
          </cell>
          <cell r="F421">
            <v>246000</v>
          </cell>
          <cell r="G421">
            <v>246000</v>
          </cell>
          <cell r="H421">
            <v>75000</v>
          </cell>
          <cell r="I421">
            <v>75000</v>
          </cell>
          <cell r="J421">
            <v>171000</v>
          </cell>
          <cell r="K421">
            <v>171000</v>
          </cell>
          <cell r="M421">
            <v>0</v>
          </cell>
        </row>
        <row r="422">
          <cell r="C422" t="str">
            <v>오동나무H3.0xR10</v>
          </cell>
          <cell r="D422">
            <v>1</v>
          </cell>
          <cell r="E422" t="str">
            <v>주</v>
          </cell>
          <cell r="F422">
            <v>167250</v>
          </cell>
          <cell r="G422">
            <v>167250</v>
          </cell>
          <cell r="H422">
            <v>20000</v>
          </cell>
          <cell r="I422">
            <v>20000</v>
          </cell>
          <cell r="J422">
            <v>147250</v>
          </cell>
          <cell r="K422">
            <v>147250</v>
          </cell>
          <cell r="M422">
            <v>0</v>
          </cell>
        </row>
        <row r="423">
          <cell r="C423" t="str">
            <v>이팝나무H2.5xR6</v>
          </cell>
          <cell r="D423">
            <v>1</v>
          </cell>
          <cell r="E423" t="str">
            <v>주</v>
          </cell>
          <cell r="F423">
            <v>43250</v>
          </cell>
          <cell r="G423">
            <v>43250</v>
          </cell>
          <cell r="H423">
            <v>10000</v>
          </cell>
          <cell r="I423">
            <v>10000</v>
          </cell>
          <cell r="J423">
            <v>33250</v>
          </cell>
          <cell r="K423">
            <v>33250</v>
          </cell>
          <cell r="M423">
            <v>0</v>
          </cell>
        </row>
        <row r="424">
          <cell r="C424" t="str">
            <v>일본목련H4.0xB15</v>
          </cell>
          <cell r="D424">
            <v>1</v>
          </cell>
          <cell r="E424" t="str">
            <v>주</v>
          </cell>
          <cell r="F424">
            <v>1785000</v>
          </cell>
          <cell r="G424">
            <v>1785000</v>
          </cell>
          <cell r="H424">
            <v>75000</v>
          </cell>
          <cell r="I424">
            <v>75000</v>
          </cell>
          <cell r="J424">
            <v>1710000</v>
          </cell>
          <cell r="K424">
            <v>1710000</v>
          </cell>
          <cell r="M424">
            <v>0</v>
          </cell>
        </row>
        <row r="425">
          <cell r="C425" t="str">
            <v>자귀나무H3.0xR10</v>
          </cell>
          <cell r="D425">
            <v>1</v>
          </cell>
          <cell r="E425" t="str">
            <v>주</v>
          </cell>
          <cell r="F425">
            <v>110500</v>
          </cell>
          <cell r="G425">
            <v>110500</v>
          </cell>
          <cell r="H425">
            <v>25000</v>
          </cell>
          <cell r="I425">
            <v>25000</v>
          </cell>
          <cell r="J425">
            <v>85500</v>
          </cell>
          <cell r="K425">
            <v>85500</v>
          </cell>
          <cell r="M425">
            <v>0</v>
          </cell>
        </row>
        <row r="426">
          <cell r="C426" t="str">
            <v>자목련H3.5xR12</v>
          </cell>
          <cell r="D426">
            <v>1</v>
          </cell>
          <cell r="E426" t="str">
            <v>주</v>
          </cell>
          <cell r="F426">
            <v>177500</v>
          </cell>
          <cell r="G426">
            <v>177500</v>
          </cell>
          <cell r="H426">
            <v>35000</v>
          </cell>
          <cell r="I426">
            <v>35000</v>
          </cell>
          <cell r="J426">
            <v>142500</v>
          </cell>
          <cell r="K426">
            <v>142500</v>
          </cell>
          <cell r="M426">
            <v>0</v>
          </cell>
        </row>
        <row r="427">
          <cell r="C427" t="str">
            <v>자목련H3.0xR8</v>
          </cell>
          <cell r="D427">
            <v>1</v>
          </cell>
          <cell r="E427" t="str">
            <v>주</v>
          </cell>
          <cell r="F427">
            <v>96000</v>
          </cell>
          <cell r="G427">
            <v>96000</v>
          </cell>
          <cell r="H427">
            <v>20000</v>
          </cell>
          <cell r="I427">
            <v>20000</v>
          </cell>
          <cell r="J427">
            <v>76000</v>
          </cell>
          <cell r="K427">
            <v>76000</v>
          </cell>
          <cell r="M427">
            <v>0</v>
          </cell>
        </row>
        <row r="428">
          <cell r="C428" t="str">
            <v>자작나무H4.5xB20</v>
          </cell>
          <cell r="D428">
            <v>1</v>
          </cell>
          <cell r="E428" t="str">
            <v>주</v>
          </cell>
          <cell r="F428">
            <v>802500</v>
          </cell>
          <cell r="G428">
            <v>802500</v>
          </cell>
          <cell r="H428">
            <v>90000</v>
          </cell>
          <cell r="I428">
            <v>90000</v>
          </cell>
          <cell r="J428">
            <v>712500</v>
          </cell>
          <cell r="K428">
            <v>712500</v>
          </cell>
          <cell r="M428">
            <v>0</v>
          </cell>
        </row>
        <row r="429">
          <cell r="C429" t="str">
            <v>자작나무H4.0xB15</v>
          </cell>
          <cell r="D429">
            <v>1</v>
          </cell>
          <cell r="E429" t="str">
            <v>주</v>
          </cell>
          <cell r="F429">
            <v>284000</v>
          </cell>
          <cell r="G429">
            <v>284000</v>
          </cell>
          <cell r="H429">
            <v>75000</v>
          </cell>
          <cell r="I429">
            <v>75000</v>
          </cell>
          <cell r="J429">
            <v>209000</v>
          </cell>
          <cell r="K429">
            <v>209000</v>
          </cell>
          <cell r="M429">
            <v>0</v>
          </cell>
        </row>
        <row r="430">
          <cell r="C430" t="str">
            <v>자작나무H4.0xB10</v>
          </cell>
          <cell r="D430">
            <v>1</v>
          </cell>
          <cell r="E430" t="str">
            <v>주</v>
          </cell>
          <cell r="F430">
            <v>158500</v>
          </cell>
          <cell r="G430">
            <v>158500</v>
          </cell>
          <cell r="H430">
            <v>35000</v>
          </cell>
          <cell r="I430">
            <v>35000</v>
          </cell>
          <cell r="J430">
            <v>123500</v>
          </cell>
          <cell r="K430">
            <v>123500</v>
          </cell>
          <cell r="M430">
            <v>0</v>
          </cell>
        </row>
        <row r="431">
          <cell r="C431" t="str">
            <v>중국단풍H3.0xR8</v>
          </cell>
          <cell r="D431">
            <v>1</v>
          </cell>
          <cell r="E431" t="str">
            <v>주</v>
          </cell>
          <cell r="F431">
            <v>81750</v>
          </cell>
          <cell r="G431">
            <v>81750</v>
          </cell>
          <cell r="H431">
            <v>20000</v>
          </cell>
          <cell r="I431">
            <v>20000</v>
          </cell>
          <cell r="J431">
            <v>61750</v>
          </cell>
          <cell r="K431">
            <v>61750</v>
          </cell>
          <cell r="M431">
            <v>0</v>
          </cell>
        </row>
        <row r="432">
          <cell r="C432" t="str">
            <v>중국단풍H2.5xR6</v>
          </cell>
          <cell r="D432">
            <v>1</v>
          </cell>
          <cell r="E432" t="str">
            <v>주</v>
          </cell>
          <cell r="F432">
            <v>48000</v>
          </cell>
          <cell r="G432">
            <v>48000</v>
          </cell>
          <cell r="H432">
            <v>10000</v>
          </cell>
          <cell r="I432">
            <v>10000</v>
          </cell>
          <cell r="J432">
            <v>38000</v>
          </cell>
          <cell r="K432">
            <v>38000</v>
          </cell>
          <cell r="M432">
            <v>0</v>
          </cell>
        </row>
        <row r="433">
          <cell r="C433" t="str">
            <v>졸참나무H3.0xR8</v>
          </cell>
          <cell r="D433">
            <v>1</v>
          </cell>
          <cell r="E433" t="str">
            <v>주</v>
          </cell>
          <cell r="F433">
            <v>100750</v>
          </cell>
          <cell r="G433">
            <v>100750</v>
          </cell>
          <cell r="H433">
            <v>20000</v>
          </cell>
          <cell r="I433">
            <v>20000</v>
          </cell>
          <cell r="J433">
            <v>80750</v>
          </cell>
          <cell r="K433">
            <v>80750</v>
          </cell>
          <cell r="M433">
            <v>0</v>
          </cell>
        </row>
        <row r="434">
          <cell r="C434" t="str">
            <v>쪽동백H2.0xR5</v>
          </cell>
          <cell r="D434">
            <v>1</v>
          </cell>
          <cell r="E434" t="str">
            <v>주</v>
          </cell>
          <cell r="F434">
            <v>22200</v>
          </cell>
          <cell r="G434">
            <v>22200</v>
          </cell>
          <cell r="H434">
            <v>7000</v>
          </cell>
          <cell r="I434">
            <v>7000</v>
          </cell>
          <cell r="J434">
            <v>15200</v>
          </cell>
          <cell r="K434">
            <v>15200</v>
          </cell>
          <cell r="M434">
            <v>0</v>
          </cell>
        </row>
        <row r="435">
          <cell r="C435" t="str">
            <v>청단풍H4.5xR30</v>
          </cell>
          <cell r="D435">
            <v>1</v>
          </cell>
          <cell r="E435" t="str">
            <v>주</v>
          </cell>
          <cell r="F435">
            <v>1830000</v>
          </cell>
          <cell r="G435">
            <v>1830000</v>
          </cell>
          <cell r="H435">
            <v>120000</v>
          </cell>
          <cell r="I435">
            <v>120000</v>
          </cell>
          <cell r="J435">
            <v>1710000</v>
          </cell>
          <cell r="K435">
            <v>1710000</v>
          </cell>
          <cell r="M435">
            <v>0</v>
          </cell>
        </row>
        <row r="436">
          <cell r="C436" t="str">
            <v>청단풍H4.0xR20</v>
          </cell>
          <cell r="D436">
            <v>1</v>
          </cell>
          <cell r="E436" t="str">
            <v>주</v>
          </cell>
          <cell r="F436">
            <v>1025000</v>
          </cell>
          <cell r="G436">
            <v>1025000</v>
          </cell>
          <cell r="H436">
            <v>75000</v>
          </cell>
          <cell r="I436">
            <v>75000</v>
          </cell>
          <cell r="J436">
            <v>950000</v>
          </cell>
          <cell r="K436">
            <v>950000</v>
          </cell>
          <cell r="M436">
            <v>0</v>
          </cell>
        </row>
        <row r="437">
          <cell r="C437" t="str">
            <v>청단풍H3.0xR10</v>
          </cell>
          <cell r="D437">
            <v>1</v>
          </cell>
          <cell r="E437" t="str">
            <v>주</v>
          </cell>
          <cell r="F437">
            <v>120000</v>
          </cell>
          <cell r="G437">
            <v>120000</v>
          </cell>
          <cell r="H437">
            <v>25000</v>
          </cell>
          <cell r="I437">
            <v>25000</v>
          </cell>
          <cell r="J437">
            <v>95000</v>
          </cell>
          <cell r="K437">
            <v>95000</v>
          </cell>
          <cell r="M437">
            <v>0</v>
          </cell>
        </row>
        <row r="438">
          <cell r="C438" t="str">
            <v>청단풍H2.5xR8</v>
          </cell>
          <cell r="D438">
            <v>1</v>
          </cell>
          <cell r="E438" t="str">
            <v>주</v>
          </cell>
          <cell r="F438">
            <v>81750</v>
          </cell>
          <cell r="G438">
            <v>81750</v>
          </cell>
          <cell r="H438">
            <v>20000</v>
          </cell>
          <cell r="I438">
            <v>20000</v>
          </cell>
          <cell r="J438">
            <v>61750</v>
          </cell>
          <cell r="K438">
            <v>61750</v>
          </cell>
          <cell r="M438">
            <v>0</v>
          </cell>
        </row>
        <row r="439">
          <cell r="C439" t="str">
            <v>청단풍H2.5xR6</v>
          </cell>
          <cell r="D439">
            <v>1</v>
          </cell>
          <cell r="E439" t="str">
            <v>주</v>
          </cell>
          <cell r="F439">
            <v>40400</v>
          </cell>
          <cell r="G439">
            <v>40400</v>
          </cell>
          <cell r="H439">
            <v>10000</v>
          </cell>
          <cell r="I439">
            <v>10000</v>
          </cell>
          <cell r="J439">
            <v>30400</v>
          </cell>
          <cell r="K439">
            <v>30400</v>
          </cell>
          <cell r="M439">
            <v>0</v>
          </cell>
        </row>
        <row r="440">
          <cell r="C440" t="str">
            <v>층층나무H3.5xR10</v>
          </cell>
          <cell r="D440">
            <v>1</v>
          </cell>
          <cell r="E440" t="str">
            <v>주</v>
          </cell>
          <cell r="F440">
            <v>167500</v>
          </cell>
          <cell r="G440">
            <v>167500</v>
          </cell>
          <cell r="H440">
            <v>25000</v>
          </cell>
          <cell r="I440">
            <v>25000</v>
          </cell>
          <cell r="J440">
            <v>142500</v>
          </cell>
          <cell r="K440">
            <v>142500</v>
          </cell>
          <cell r="M440">
            <v>0</v>
          </cell>
        </row>
        <row r="441">
          <cell r="C441" t="str">
            <v>층층나무H3.5xR8</v>
          </cell>
          <cell r="D441">
            <v>1</v>
          </cell>
          <cell r="E441" t="str">
            <v>주</v>
          </cell>
          <cell r="F441">
            <v>105500</v>
          </cell>
          <cell r="G441">
            <v>105500</v>
          </cell>
          <cell r="H441">
            <v>20000</v>
          </cell>
          <cell r="I441">
            <v>20000</v>
          </cell>
          <cell r="J441">
            <v>85500</v>
          </cell>
          <cell r="K441">
            <v>85500</v>
          </cell>
          <cell r="M441">
            <v>0</v>
          </cell>
        </row>
        <row r="442">
          <cell r="C442" t="str">
            <v>칠엽수H4.0xR25</v>
          </cell>
          <cell r="D442">
            <v>1</v>
          </cell>
          <cell r="E442" t="str">
            <v>주</v>
          </cell>
          <cell r="F442">
            <v>1990000</v>
          </cell>
          <cell r="G442">
            <v>1990000</v>
          </cell>
          <cell r="H442">
            <v>90000</v>
          </cell>
          <cell r="I442">
            <v>90000</v>
          </cell>
          <cell r="J442">
            <v>1900000</v>
          </cell>
          <cell r="K442">
            <v>1900000</v>
          </cell>
          <cell r="M442">
            <v>0</v>
          </cell>
        </row>
        <row r="443">
          <cell r="C443" t="str">
            <v>칠엽수H2.5xR8</v>
          </cell>
          <cell r="D443">
            <v>1</v>
          </cell>
          <cell r="E443" t="str">
            <v>주</v>
          </cell>
          <cell r="F443">
            <v>124500</v>
          </cell>
          <cell r="G443">
            <v>124500</v>
          </cell>
          <cell r="H443">
            <v>20000</v>
          </cell>
          <cell r="I443">
            <v>20000</v>
          </cell>
          <cell r="J443">
            <v>104500</v>
          </cell>
          <cell r="K443">
            <v>104500</v>
          </cell>
          <cell r="M443">
            <v>0</v>
          </cell>
        </row>
        <row r="444">
          <cell r="C444" t="str">
            <v>팥배나무H3.0xR6</v>
          </cell>
          <cell r="D444">
            <v>1</v>
          </cell>
          <cell r="E444" t="str">
            <v>주</v>
          </cell>
          <cell r="F444">
            <v>48000</v>
          </cell>
          <cell r="G444">
            <v>48000</v>
          </cell>
          <cell r="H444">
            <v>10000</v>
          </cell>
          <cell r="I444">
            <v>10000</v>
          </cell>
          <cell r="J444">
            <v>38000</v>
          </cell>
          <cell r="K444">
            <v>38000</v>
          </cell>
          <cell r="M444">
            <v>0</v>
          </cell>
        </row>
        <row r="445">
          <cell r="C445" t="str">
            <v>팽나무H4.0xR15</v>
          </cell>
          <cell r="D445">
            <v>1</v>
          </cell>
          <cell r="E445" t="str">
            <v>주</v>
          </cell>
          <cell r="F445">
            <v>311000</v>
          </cell>
          <cell r="G445">
            <v>311000</v>
          </cell>
          <cell r="H445">
            <v>45000</v>
          </cell>
          <cell r="I445">
            <v>45000</v>
          </cell>
          <cell r="J445">
            <v>266000</v>
          </cell>
          <cell r="K445">
            <v>266000</v>
          </cell>
          <cell r="M445">
            <v>0</v>
          </cell>
        </row>
        <row r="446">
          <cell r="C446" t="str">
            <v>홍단풍H3.5xR15</v>
          </cell>
          <cell r="D446">
            <v>1</v>
          </cell>
          <cell r="E446" t="str">
            <v>주</v>
          </cell>
          <cell r="F446">
            <v>900000</v>
          </cell>
          <cell r="G446">
            <v>900000</v>
          </cell>
          <cell r="H446">
            <v>45000</v>
          </cell>
          <cell r="I446">
            <v>45000</v>
          </cell>
          <cell r="J446">
            <v>855000</v>
          </cell>
          <cell r="K446">
            <v>855000</v>
          </cell>
          <cell r="M446">
            <v>0</v>
          </cell>
        </row>
        <row r="447">
          <cell r="C447" t="str">
            <v>회화나무H5.0xR30</v>
          </cell>
          <cell r="D447">
            <v>1</v>
          </cell>
          <cell r="E447" t="str">
            <v>주</v>
          </cell>
          <cell r="F447">
            <v>1640000</v>
          </cell>
          <cell r="G447">
            <v>1640000</v>
          </cell>
          <cell r="H447">
            <v>120000</v>
          </cell>
          <cell r="I447">
            <v>120000</v>
          </cell>
          <cell r="J447">
            <v>1520000</v>
          </cell>
          <cell r="K447">
            <v>1520000</v>
          </cell>
          <cell r="M447">
            <v>0</v>
          </cell>
        </row>
        <row r="448">
          <cell r="C448" t="str">
            <v>회화나무H4.0xR15</v>
          </cell>
          <cell r="D448">
            <v>1</v>
          </cell>
          <cell r="E448" t="str">
            <v>주</v>
          </cell>
          <cell r="F448">
            <v>349000</v>
          </cell>
          <cell r="G448">
            <v>349000</v>
          </cell>
          <cell r="H448">
            <v>45000</v>
          </cell>
          <cell r="I448">
            <v>45000</v>
          </cell>
          <cell r="J448">
            <v>304000</v>
          </cell>
          <cell r="K448">
            <v>304000</v>
          </cell>
          <cell r="M448">
            <v>0</v>
          </cell>
        </row>
        <row r="449">
          <cell r="C449" t="str">
            <v>회화나무H3.5xR8</v>
          </cell>
          <cell r="D449">
            <v>1</v>
          </cell>
          <cell r="E449" t="str">
            <v>주</v>
          </cell>
          <cell r="F449">
            <v>67500</v>
          </cell>
          <cell r="G449">
            <v>67500</v>
          </cell>
          <cell r="H449">
            <v>20000</v>
          </cell>
          <cell r="I449">
            <v>20000</v>
          </cell>
          <cell r="J449">
            <v>47500</v>
          </cell>
          <cell r="K449">
            <v>47500</v>
          </cell>
          <cell r="M449">
            <v>0</v>
          </cell>
        </row>
        <row r="450">
          <cell r="C450" t="str">
            <v>눈주목H0.5xW0.5</v>
          </cell>
          <cell r="D450">
            <v>1</v>
          </cell>
          <cell r="E450" t="str">
            <v>주</v>
          </cell>
          <cell r="F450">
            <v>20300</v>
          </cell>
          <cell r="G450">
            <v>20300</v>
          </cell>
          <cell r="H450">
            <v>1500</v>
          </cell>
          <cell r="I450">
            <v>1500</v>
          </cell>
          <cell r="J450">
            <v>18800</v>
          </cell>
          <cell r="K450">
            <v>18800</v>
          </cell>
          <cell r="M450">
            <v>0</v>
          </cell>
        </row>
        <row r="451">
          <cell r="C451" t="str">
            <v>눈주목H0.4xW0.4</v>
          </cell>
          <cell r="D451">
            <v>1</v>
          </cell>
          <cell r="E451" t="str">
            <v>주</v>
          </cell>
          <cell r="F451">
            <v>12000</v>
          </cell>
          <cell r="G451">
            <v>12000</v>
          </cell>
          <cell r="H451">
            <v>1500</v>
          </cell>
          <cell r="I451">
            <v>1500</v>
          </cell>
          <cell r="J451">
            <v>10500</v>
          </cell>
          <cell r="K451">
            <v>10500</v>
          </cell>
          <cell r="M451">
            <v>0</v>
          </cell>
        </row>
        <row r="452">
          <cell r="C452" t="str">
            <v>사철나무H1.5xW0.5</v>
          </cell>
          <cell r="D452">
            <v>1</v>
          </cell>
          <cell r="E452" t="str">
            <v>주</v>
          </cell>
          <cell r="F452">
            <v>5500</v>
          </cell>
          <cell r="G452">
            <v>5500</v>
          </cell>
          <cell r="H452">
            <v>2000</v>
          </cell>
          <cell r="I452">
            <v>2000</v>
          </cell>
          <cell r="J452">
            <v>3500</v>
          </cell>
          <cell r="K452">
            <v>3500</v>
          </cell>
          <cell r="M452">
            <v>0</v>
          </cell>
        </row>
        <row r="453">
          <cell r="C453" t="str">
            <v>사철나무H1.2xW0.4</v>
          </cell>
          <cell r="D453">
            <v>1</v>
          </cell>
          <cell r="E453" t="str">
            <v>주</v>
          </cell>
          <cell r="F453">
            <v>6900</v>
          </cell>
          <cell r="G453">
            <v>6900</v>
          </cell>
          <cell r="H453">
            <v>2000</v>
          </cell>
          <cell r="I453">
            <v>2000</v>
          </cell>
          <cell r="J453">
            <v>4900</v>
          </cell>
          <cell r="K453">
            <v>4900</v>
          </cell>
          <cell r="M453">
            <v>0</v>
          </cell>
        </row>
        <row r="454">
          <cell r="C454" t="str">
            <v>사철나무H1.0xW0.3</v>
          </cell>
          <cell r="D454">
            <v>1</v>
          </cell>
          <cell r="E454" t="str">
            <v>주</v>
          </cell>
          <cell r="F454">
            <v>3200</v>
          </cell>
          <cell r="G454">
            <v>3200</v>
          </cell>
          <cell r="H454">
            <v>2000</v>
          </cell>
          <cell r="I454">
            <v>2000</v>
          </cell>
          <cell r="J454">
            <v>1200</v>
          </cell>
          <cell r="K454">
            <v>1200</v>
          </cell>
          <cell r="M454">
            <v>0</v>
          </cell>
        </row>
        <row r="455">
          <cell r="C455" t="str">
            <v>회양목H0.4xW0.5</v>
          </cell>
          <cell r="D455">
            <v>1</v>
          </cell>
          <cell r="E455" t="str">
            <v>주</v>
          </cell>
          <cell r="F455">
            <v>6500</v>
          </cell>
          <cell r="G455">
            <v>6500</v>
          </cell>
          <cell r="H455">
            <v>1500</v>
          </cell>
          <cell r="I455">
            <v>1500</v>
          </cell>
          <cell r="J455">
            <v>5000</v>
          </cell>
          <cell r="K455">
            <v>5000</v>
          </cell>
          <cell r="M455">
            <v>0</v>
          </cell>
        </row>
        <row r="456">
          <cell r="C456" t="str">
            <v>회양목H0.3xW0.3</v>
          </cell>
          <cell r="D456">
            <v>1</v>
          </cell>
          <cell r="E456" t="str">
            <v>주</v>
          </cell>
          <cell r="F456">
            <v>5000</v>
          </cell>
          <cell r="G456">
            <v>5000</v>
          </cell>
          <cell r="H456">
            <v>1500</v>
          </cell>
          <cell r="I456">
            <v>1500</v>
          </cell>
          <cell r="J456">
            <v>3500</v>
          </cell>
          <cell r="K456">
            <v>3500</v>
          </cell>
          <cell r="M456">
            <v>0</v>
          </cell>
        </row>
        <row r="457">
          <cell r="C457" t="str">
            <v>개나리H1.2x5지</v>
          </cell>
          <cell r="D457">
            <v>1</v>
          </cell>
          <cell r="E457" t="str">
            <v>주</v>
          </cell>
          <cell r="F457">
            <v>4000</v>
          </cell>
          <cell r="G457">
            <v>4000</v>
          </cell>
          <cell r="H457">
            <v>2000</v>
          </cell>
          <cell r="I457">
            <v>2000</v>
          </cell>
          <cell r="J457">
            <v>2000</v>
          </cell>
          <cell r="K457">
            <v>2000</v>
          </cell>
          <cell r="M457">
            <v>0</v>
          </cell>
        </row>
        <row r="458">
          <cell r="C458" t="str">
            <v>갯버들H0.5</v>
          </cell>
          <cell r="D458">
            <v>1</v>
          </cell>
          <cell r="E458" t="str">
            <v>주</v>
          </cell>
          <cell r="F458">
            <v>2870</v>
          </cell>
          <cell r="G458">
            <v>2870</v>
          </cell>
          <cell r="H458">
            <v>1000</v>
          </cell>
          <cell r="I458">
            <v>1000</v>
          </cell>
          <cell r="J458">
            <v>1870</v>
          </cell>
          <cell r="K458">
            <v>1870</v>
          </cell>
          <cell r="M458">
            <v>0</v>
          </cell>
        </row>
        <row r="459">
          <cell r="C459" t="str">
            <v>겹철쭉H0.5xW0.6</v>
          </cell>
          <cell r="D459">
            <v>1</v>
          </cell>
          <cell r="E459" t="str">
            <v>주</v>
          </cell>
          <cell r="F459">
            <v>6000</v>
          </cell>
          <cell r="G459">
            <v>6000</v>
          </cell>
          <cell r="H459">
            <v>1500</v>
          </cell>
          <cell r="I459">
            <v>1500</v>
          </cell>
          <cell r="J459">
            <v>4500</v>
          </cell>
          <cell r="K459">
            <v>4500</v>
          </cell>
          <cell r="M459">
            <v>0</v>
          </cell>
        </row>
        <row r="460">
          <cell r="C460" t="str">
            <v>겹철쭉H0.4xW0.5</v>
          </cell>
          <cell r="D460">
            <v>1</v>
          </cell>
          <cell r="E460" t="str">
            <v>주</v>
          </cell>
          <cell r="F460">
            <v>5500</v>
          </cell>
          <cell r="G460">
            <v>5500</v>
          </cell>
          <cell r="H460">
            <v>1500</v>
          </cell>
          <cell r="I460">
            <v>1500</v>
          </cell>
          <cell r="J460">
            <v>4000</v>
          </cell>
          <cell r="K460">
            <v>4000</v>
          </cell>
          <cell r="M460">
            <v>0</v>
          </cell>
        </row>
        <row r="461">
          <cell r="C461" t="str">
            <v>겹철쭉H0.3xW0.4</v>
          </cell>
          <cell r="D461">
            <v>1</v>
          </cell>
          <cell r="E461" t="str">
            <v>주</v>
          </cell>
          <cell r="F461">
            <v>4500</v>
          </cell>
          <cell r="G461">
            <v>4500</v>
          </cell>
          <cell r="H461">
            <v>1500</v>
          </cell>
          <cell r="I461">
            <v>1500</v>
          </cell>
          <cell r="J461">
            <v>3000</v>
          </cell>
          <cell r="K461">
            <v>3000</v>
          </cell>
          <cell r="M461">
            <v>0</v>
          </cell>
        </row>
        <row r="462">
          <cell r="C462" t="str">
            <v>낙상홍H1.8xW0.8</v>
          </cell>
          <cell r="D462">
            <v>1</v>
          </cell>
          <cell r="E462" t="str">
            <v>주</v>
          </cell>
          <cell r="F462">
            <v>25500</v>
          </cell>
          <cell r="G462">
            <v>25500</v>
          </cell>
          <cell r="H462">
            <v>2500</v>
          </cell>
          <cell r="I462">
            <v>2500</v>
          </cell>
          <cell r="J462">
            <v>23000</v>
          </cell>
          <cell r="K462">
            <v>23000</v>
          </cell>
          <cell r="M462">
            <v>0</v>
          </cell>
        </row>
        <row r="463">
          <cell r="C463" t="str">
            <v>낙상홍H1.5xW0.6</v>
          </cell>
          <cell r="D463">
            <v>1</v>
          </cell>
          <cell r="E463" t="str">
            <v>주</v>
          </cell>
          <cell r="F463">
            <v>12500</v>
          </cell>
          <cell r="G463">
            <v>12500</v>
          </cell>
          <cell r="H463">
            <v>2000</v>
          </cell>
          <cell r="I463">
            <v>2000</v>
          </cell>
          <cell r="J463">
            <v>10500</v>
          </cell>
          <cell r="K463">
            <v>10500</v>
          </cell>
          <cell r="M463">
            <v>0</v>
          </cell>
        </row>
        <row r="464">
          <cell r="C464" t="str">
            <v>대왕H0.4xW0.5</v>
          </cell>
          <cell r="D464">
            <v>1</v>
          </cell>
          <cell r="E464" t="str">
            <v>주</v>
          </cell>
          <cell r="F464">
            <v>5000</v>
          </cell>
          <cell r="G464">
            <v>5000</v>
          </cell>
          <cell r="H464">
            <v>1500</v>
          </cell>
          <cell r="I464">
            <v>1500</v>
          </cell>
          <cell r="J464">
            <v>3500</v>
          </cell>
          <cell r="K464">
            <v>3500</v>
          </cell>
          <cell r="M464">
            <v>0</v>
          </cell>
        </row>
        <row r="465">
          <cell r="C465" t="str">
            <v>명자나무H1.0xW0.6</v>
          </cell>
          <cell r="D465">
            <v>1</v>
          </cell>
          <cell r="E465" t="str">
            <v>주</v>
          </cell>
          <cell r="F465">
            <v>5500</v>
          </cell>
          <cell r="G465">
            <v>5500</v>
          </cell>
          <cell r="H465">
            <v>2000</v>
          </cell>
          <cell r="I465">
            <v>2000</v>
          </cell>
          <cell r="J465">
            <v>3500</v>
          </cell>
          <cell r="K465">
            <v>3500</v>
          </cell>
          <cell r="M465">
            <v>0</v>
          </cell>
        </row>
        <row r="466">
          <cell r="C466" t="str">
            <v>모란H1.5x5가지</v>
          </cell>
          <cell r="D466">
            <v>1</v>
          </cell>
          <cell r="E466" t="str">
            <v>주</v>
          </cell>
          <cell r="F466">
            <v>7500</v>
          </cell>
          <cell r="G466">
            <v>7500</v>
          </cell>
          <cell r="H466">
            <v>2000</v>
          </cell>
          <cell r="I466">
            <v>2000</v>
          </cell>
          <cell r="J466">
            <v>5500</v>
          </cell>
          <cell r="K466">
            <v>5500</v>
          </cell>
          <cell r="M466">
            <v>0</v>
          </cell>
        </row>
        <row r="467">
          <cell r="C467" t="str">
            <v>모란H0.6x5가지</v>
          </cell>
          <cell r="D467">
            <v>1</v>
          </cell>
          <cell r="E467" t="str">
            <v>주</v>
          </cell>
          <cell r="F467">
            <v>7100</v>
          </cell>
          <cell r="G467">
            <v>7100</v>
          </cell>
          <cell r="H467">
            <v>1500</v>
          </cell>
          <cell r="I467">
            <v>1500</v>
          </cell>
          <cell r="J467">
            <v>5600</v>
          </cell>
          <cell r="K467">
            <v>5600</v>
          </cell>
          <cell r="M467">
            <v>0</v>
          </cell>
        </row>
        <row r="468">
          <cell r="C468" t="str">
            <v>목수국H1.0xW0.6</v>
          </cell>
          <cell r="D468">
            <v>1</v>
          </cell>
          <cell r="E468" t="str">
            <v>주</v>
          </cell>
          <cell r="F468">
            <v>10000</v>
          </cell>
          <cell r="G468">
            <v>10000</v>
          </cell>
          <cell r="H468">
            <v>2000</v>
          </cell>
          <cell r="I468">
            <v>2000</v>
          </cell>
          <cell r="J468">
            <v>8000</v>
          </cell>
          <cell r="K468">
            <v>8000</v>
          </cell>
          <cell r="M468">
            <v>0</v>
          </cell>
        </row>
        <row r="469">
          <cell r="C469" t="str">
            <v>매자나무H0.8xW0.5</v>
          </cell>
          <cell r="D469">
            <v>1</v>
          </cell>
          <cell r="E469" t="str">
            <v>주</v>
          </cell>
          <cell r="F469">
            <v>8000</v>
          </cell>
          <cell r="G469">
            <v>8000</v>
          </cell>
          <cell r="H469">
            <v>2000</v>
          </cell>
          <cell r="I469">
            <v>2000</v>
          </cell>
          <cell r="J469">
            <v>6000</v>
          </cell>
          <cell r="K469">
            <v>6000</v>
          </cell>
          <cell r="M469">
            <v>0</v>
          </cell>
        </row>
        <row r="470">
          <cell r="C470" t="str">
            <v>박태기나무H1.0xW0.3</v>
          </cell>
          <cell r="D470">
            <v>1</v>
          </cell>
          <cell r="E470" t="str">
            <v>주</v>
          </cell>
          <cell r="F470">
            <v>4500</v>
          </cell>
          <cell r="G470">
            <v>4500</v>
          </cell>
          <cell r="H470">
            <v>2000</v>
          </cell>
          <cell r="I470">
            <v>2000</v>
          </cell>
          <cell r="J470">
            <v>2500</v>
          </cell>
          <cell r="K470">
            <v>2500</v>
          </cell>
          <cell r="M470">
            <v>0</v>
          </cell>
        </row>
        <row r="471">
          <cell r="C471" t="str">
            <v>병꽃나무H1.2xW0.6</v>
          </cell>
          <cell r="D471">
            <v>1</v>
          </cell>
          <cell r="E471" t="str">
            <v>주</v>
          </cell>
          <cell r="F471">
            <v>4100</v>
          </cell>
          <cell r="G471">
            <v>4100</v>
          </cell>
          <cell r="H471">
            <v>2000</v>
          </cell>
          <cell r="I471">
            <v>2000</v>
          </cell>
          <cell r="J471">
            <v>2100</v>
          </cell>
          <cell r="K471">
            <v>2100</v>
          </cell>
          <cell r="M471">
            <v>0</v>
          </cell>
        </row>
        <row r="472">
          <cell r="C472" t="str">
            <v>병꽃나무H1.0xW0.4</v>
          </cell>
          <cell r="D472">
            <v>1</v>
          </cell>
          <cell r="E472" t="str">
            <v>주</v>
          </cell>
          <cell r="F472">
            <v>3100</v>
          </cell>
          <cell r="G472">
            <v>3100</v>
          </cell>
          <cell r="H472">
            <v>2000</v>
          </cell>
          <cell r="I472">
            <v>2000</v>
          </cell>
          <cell r="J472">
            <v>1100</v>
          </cell>
          <cell r="K472">
            <v>1100</v>
          </cell>
          <cell r="M472">
            <v>0</v>
          </cell>
        </row>
        <row r="473">
          <cell r="C473" t="str">
            <v>백철쭉H0.4xW0.5</v>
          </cell>
          <cell r="D473">
            <v>1</v>
          </cell>
          <cell r="E473" t="str">
            <v>주</v>
          </cell>
          <cell r="F473">
            <v>4700</v>
          </cell>
          <cell r="G473">
            <v>4700</v>
          </cell>
          <cell r="H473">
            <v>1500</v>
          </cell>
          <cell r="I473">
            <v>1500</v>
          </cell>
          <cell r="J473">
            <v>3200</v>
          </cell>
          <cell r="K473">
            <v>3200</v>
          </cell>
          <cell r="M473">
            <v>0</v>
          </cell>
        </row>
        <row r="474">
          <cell r="C474" t="str">
            <v>백철쭉H0.3xW0.4</v>
          </cell>
          <cell r="D474">
            <v>1</v>
          </cell>
          <cell r="E474" t="str">
            <v>주</v>
          </cell>
          <cell r="F474">
            <v>3700</v>
          </cell>
          <cell r="G474">
            <v>3700</v>
          </cell>
          <cell r="H474">
            <v>1500</v>
          </cell>
          <cell r="I474">
            <v>1500</v>
          </cell>
          <cell r="J474">
            <v>2200</v>
          </cell>
          <cell r="K474">
            <v>2200</v>
          </cell>
          <cell r="M474">
            <v>0</v>
          </cell>
        </row>
        <row r="475">
          <cell r="C475" t="str">
            <v>산수국H0.4xW0.6</v>
          </cell>
          <cell r="D475">
            <v>1</v>
          </cell>
          <cell r="E475" t="str">
            <v>주</v>
          </cell>
          <cell r="F475">
            <v>11500</v>
          </cell>
          <cell r="G475">
            <v>11500</v>
          </cell>
          <cell r="H475">
            <v>1500</v>
          </cell>
          <cell r="I475">
            <v>1500</v>
          </cell>
          <cell r="J475">
            <v>10000</v>
          </cell>
          <cell r="K475">
            <v>10000</v>
          </cell>
          <cell r="M475">
            <v>0</v>
          </cell>
        </row>
        <row r="476">
          <cell r="C476" t="str">
            <v>산철쭉H0.5xW0.5</v>
          </cell>
          <cell r="D476">
            <v>1</v>
          </cell>
          <cell r="E476" t="str">
            <v>주</v>
          </cell>
          <cell r="F476">
            <v>4300</v>
          </cell>
          <cell r="G476">
            <v>4300</v>
          </cell>
          <cell r="H476">
            <v>1500</v>
          </cell>
          <cell r="I476">
            <v>1500</v>
          </cell>
          <cell r="J476">
            <v>2800</v>
          </cell>
          <cell r="K476">
            <v>2800</v>
          </cell>
          <cell r="M476">
            <v>0</v>
          </cell>
        </row>
        <row r="477">
          <cell r="C477" t="str">
            <v>산철쭉H0.4xW0.5</v>
          </cell>
          <cell r="D477">
            <v>1</v>
          </cell>
          <cell r="E477" t="str">
            <v>주</v>
          </cell>
          <cell r="F477">
            <v>3900</v>
          </cell>
          <cell r="G477">
            <v>3900</v>
          </cell>
          <cell r="H477">
            <v>1500</v>
          </cell>
          <cell r="I477">
            <v>1500</v>
          </cell>
          <cell r="J477">
            <v>2400</v>
          </cell>
          <cell r="K477">
            <v>2400</v>
          </cell>
          <cell r="M477">
            <v>0</v>
          </cell>
        </row>
        <row r="478">
          <cell r="C478" t="str">
            <v>산철쭉H0.3xW0.4</v>
          </cell>
          <cell r="D478">
            <v>1</v>
          </cell>
          <cell r="E478" t="str">
            <v>주</v>
          </cell>
          <cell r="F478">
            <v>3300</v>
          </cell>
          <cell r="G478">
            <v>3300</v>
          </cell>
          <cell r="H478">
            <v>1500</v>
          </cell>
          <cell r="I478">
            <v>1500</v>
          </cell>
          <cell r="J478">
            <v>1800</v>
          </cell>
          <cell r="K478">
            <v>1800</v>
          </cell>
          <cell r="M478">
            <v>0</v>
          </cell>
        </row>
        <row r="479">
          <cell r="C479" t="str">
            <v>수수꽃다리H2.0xW1.0</v>
          </cell>
          <cell r="D479">
            <v>1</v>
          </cell>
          <cell r="E479" t="str">
            <v>주</v>
          </cell>
          <cell r="F479">
            <v>20000</v>
          </cell>
          <cell r="G479">
            <v>20000</v>
          </cell>
          <cell r="H479">
            <v>3000</v>
          </cell>
          <cell r="I479">
            <v>3000</v>
          </cell>
          <cell r="J479">
            <v>17000</v>
          </cell>
          <cell r="K479">
            <v>17000</v>
          </cell>
          <cell r="M479">
            <v>0</v>
          </cell>
        </row>
        <row r="480">
          <cell r="C480" t="str">
            <v>수수꽃다리H3.5xR15</v>
          </cell>
          <cell r="D480">
            <v>1</v>
          </cell>
          <cell r="E480" t="str">
            <v>주</v>
          </cell>
          <cell r="F480">
            <v>645000</v>
          </cell>
          <cell r="G480">
            <v>645000</v>
          </cell>
          <cell r="H480">
            <v>45000</v>
          </cell>
          <cell r="I480">
            <v>45000</v>
          </cell>
          <cell r="J480">
            <v>600000</v>
          </cell>
          <cell r="K480">
            <v>600000</v>
          </cell>
          <cell r="M480">
            <v>0</v>
          </cell>
        </row>
        <row r="481">
          <cell r="C481" t="str">
            <v>영산홍H0.4xW0.5</v>
          </cell>
          <cell r="D481">
            <v>1</v>
          </cell>
          <cell r="E481" t="str">
            <v>주</v>
          </cell>
          <cell r="F481">
            <v>4500</v>
          </cell>
          <cell r="G481">
            <v>4500</v>
          </cell>
          <cell r="H481">
            <v>1500</v>
          </cell>
          <cell r="I481">
            <v>1500</v>
          </cell>
          <cell r="J481">
            <v>3000</v>
          </cell>
          <cell r="K481">
            <v>3000</v>
          </cell>
          <cell r="M481">
            <v>0</v>
          </cell>
        </row>
        <row r="482">
          <cell r="C482" t="str">
            <v>영산홍H0.3xW0.4</v>
          </cell>
          <cell r="D482">
            <v>1</v>
          </cell>
          <cell r="E482" t="str">
            <v>주</v>
          </cell>
          <cell r="F482">
            <v>4000</v>
          </cell>
          <cell r="G482">
            <v>4000</v>
          </cell>
          <cell r="H482">
            <v>1500</v>
          </cell>
          <cell r="I482">
            <v>1500</v>
          </cell>
          <cell r="J482">
            <v>2500</v>
          </cell>
          <cell r="K482">
            <v>2500</v>
          </cell>
          <cell r="M482">
            <v>0</v>
          </cell>
        </row>
        <row r="483">
          <cell r="C483" t="str">
            <v>옥매화H1.0xW0.6</v>
          </cell>
          <cell r="D483">
            <v>1</v>
          </cell>
          <cell r="E483" t="str">
            <v>주</v>
          </cell>
          <cell r="F483">
            <v>7500</v>
          </cell>
          <cell r="G483">
            <v>7500</v>
          </cell>
          <cell r="H483">
            <v>2000</v>
          </cell>
          <cell r="I483">
            <v>2000</v>
          </cell>
          <cell r="J483">
            <v>5500</v>
          </cell>
          <cell r="K483">
            <v>5500</v>
          </cell>
          <cell r="M483">
            <v>0</v>
          </cell>
        </row>
        <row r="484">
          <cell r="C484" t="str">
            <v>자산홍H0.4xW0.5</v>
          </cell>
          <cell r="D484">
            <v>1</v>
          </cell>
          <cell r="E484" t="str">
            <v>주</v>
          </cell>
          <cell r="F484">
            <v>5000</v>
          </cell>
          <cell r="G484">
            <v>5000</v>
          </cell>
          <cell r="H484">
            <v>1500</v>
          </cell>
          <cell r="I484">
            <v>1500</v>
          </cell>
          <cell r="J484">
            <v>3500</v>
          </cell>
          <cell r="K484">
            <v>3500</v>
          </cell>
          <cell r="M484">
            <v>0</v>
          </cell>
        </row>
        <row r="485">
          <cell r="C485" t="str">
            <v>자산홍H0.3xW0.3</v>
          </cell>
          <cell r="D485">
            <v>1</v>
          </cell>
          <cell r="E485" t="str">
            <v>주</v>
          </cell>
          <cell r="F485">
            <v>4300</v>
          </cell>
          <cell r="G485">
            <v>4300</v>
          </cell>
          <cell r="H485">
            <v>1500</v>
          </cell>
          <cell r="I485">
            <v>1500</v>
          </cell>
          <cell r="J485">
            <v>2800</v>
          </cell>
          <cell r="K485">
            <v>2800</v>
          </cell>
          <cell r="M485">
            <v>0</v>
          </cell>
        </row>
        <row r="486">
          <cell r="C486" t="str">
            <v>철쭉H1.5xW1.0</v>
          </cell>
          <cell r="D486">
            <v>1</v>
          </cell>
          <cell r="E486" t="str">
            <v>주</v>
          </cell>
          <cell r="F486">
            <v>37000</v>
          </cell>
          <cell r="G486">
            <v>37000</v>
          </cell>
          <cell r="H486">
            <v>2000</v>
          </cell>
          <cell r="I486">
            <v>2000</v>
          </cell>
          <cell r="J486">
            <v>35000</v>
          </cell>
          <cell r="K486">
            <v>35000</v>
          </cell>
          <cell r="M486">
            <v>0</v>
          </cell>
        </row>
        <row r="487">
          <cell r="C487" t="str">
            <v>철쭉H0.4xW0.5</v>
          </cell>
          <cell r="D487">
            <v>1</v>
          </cell>
          <cell r="E487" t="str">
            <v>주</v>
          </cell>
          <cell r="F487">
            <v>5000</v>
          </cell>
          <cell r="G487">
            <v>5000</v>
          </cell>
          <cell r="H487">
            <v>1500</v>
          </cell>
          <cell r="I487">
            <v>1500</v>
          </cell>
          <cell r="J487">
            <v>3500</v>
          </cell>
          <cell r="K487">
            <v>3500</v>
          </cell>
          <cell r="M487">
            <v>0</v>
          </cell>
        </row>
        <row r="488">
          <cell r="C488" t="str">
            <v>진달래H0.5xW0.4</v>
          </cell>
          <cell r="D488">
            <v>1</v>
          </cell>
          <cell r="E488" t="str">
            <v>주</v>
          </cell>
          <cell r="F488">
            <v>3600</v>
          </cell>
          <cell r="G488">
            <v>3600</v>
          </cell>
          <cell r="H488">
            <v>1500</v>
          </cell>
          <cell r="I488">
            <v>1500</v>
          </cell>
          <cell r="J488">
            <v>2100</v>
          </cell>
          <cell r="K488">
            <v>2100</v>
          </cell>
          <cell r="M488">
            <v>0</v>
          </cell>
        </row>
        <row r="489">
          <cell r="C489" t="str">
            <v>조팝나무H1.0xW0.5</v>
          </cell>
          <cell r="D489">
            <v>1</v>
          </cell>
          <cell r="E489" t="str">
            <v>주</v>
          </cell>
          <cell r="F489">
            <v>4800</v>
          </cell>
          <cell r="G489">
            <v>4800</v>
          </cell>
          <cell r="H489">
            <v>2000</v>
          </cell>
          <cell r="I489">
            <v>2000</v>
          </cell>
          <cell r="J489">
            <v>2800</v>
          </cell>
          <cell r="K489">
            <v>2800</v>
          </cell>
          <cell r="M489">
            <v>0</v>
          </cell>
        </row>
        <row r="490">
          <cell r="C490" t="str">
            <v>조팝나무H0.8xW0.4</v>
          </cell>
          <cell r="D490">
            <v>1</v>
          </cell>
          <cell r="E490" t="str">
            <v>주</v>
          </cell>
          <cell r="F490">
            <v>4000</v>
          </cell>
          <cell r="G490">
            <v>4000</v>
          </cell>
          <cell r="H490">
            <v>2000</v>
          </cell>
          <cell r="I490">
            <v>2000</v>
          </cell>
          <cell r="J490">
            <v>2000</v>
          </cell>
          <cell r="K490">
            <v>2000</v>
          </cell>
          <cell r="M490">
            <v>0</v>
          </cell>
        </row>
        <row r="491">
          <cell r="C491" t="str">
            <v>쥐똥나무H1.5xW0.4</v>
          </cell>
          <cell r="D491">
            <v>1</v>
          </cell>
          <cell r="E491" t="str">
            <v>주</v>
          </cell>
          <cell r="F491">
            <v>4000</v>
          </cell>
          <cell r="G491">
            <v>4000</v>
          </cell>
          <cell r="H491">
            <v>2000</v>
          </cell>
          <cell r="I491">
            <v>2000</v>
          </cell>
          <cell r="J491">
            <v>2000</v>
          </cell>
          <cell r="K491">
            <v>2000</v>
          </cell>
          <cell r="M491">
            <v>0</v>
          </cell>
        </row>
        <row r="492">
          <cell r="C492" t="str">
            <v>쥐똥나무H1.2xW0.3</v>
          </cell>
          <cell r="D492">
            <v>1</v>
          </cell>
          <cell r="E492" t="str">
            <v>주</v>
          </cell>
          <cell r="F492">
            <v>3000</v>
          </cell>
          <cell r="G492">
            <v>3000</v>
          </cell>
          <cell r="H492">
            <v>2000</v>
          </cell>
          <cell r="I492">
            <v>2000</v>
          </cell>
          <cell r="J492">
            <v>1000</v>
          </cell>
          <cell r="K492">
            <v>1000</v>
          </cell>
          <cell r="M492">
            <v>0</v>
          </cell>
        </row>
        <row r="493">
          <cell r="C493" t="str">
            <v>해당화H1.2x4가지</v>
          </cell>
          <cell r="D493">
            <v>1</v>
          </cell>
          <cell r="E493" t="str">
            <v>주</v>
          </cell>
          <cell r="F493">
            <v>13000</v>
          </cell>
          <cell r="G493">
            <v>13000</v>
          </cell>
          <cell r="H493">
            <v>2000</v>
          </cell>
          <cell r="I493">
            <v>2000</v>
          </cell>
          <cell r="J493">
            <v>11000</v>
          </cell>
          <cell r="K493">
            <v>11000</v>
          </cell>
          <cell r="M493">
            <v>0</v>
          </cell>
        </row>
        <row r="494">
          <cell r="C494" t="str">
            <v>화살나무H1.0xW0.6</v>
          </cell>
          <cell r="D494">
            <v>1</v>
          </cell>
          <cell r="E494" t="str">
            <v>주</v>
          </cell>
          <cell r="F494">
            <v>14000</v>
          </cell>
          <cell r="G494">
            <v>14000</v>
          </cell>
          <cell r="H494">
            <v>2000</v>
          </cell>
          <cell r="I494">
            <v>2000</v>
          </cell>
          <cell r="J494">
            <v>12000</v>
          </cell>
          <cell r="K494">
            <v>12000</v>
          </cell>
          <cell r="M494">
            <v>0</v>
          </cell>
        </row>
        <row r="495">
          <cell r="C495" t="str">
            <v>황매화H1.2xW0.8</v>
          </cell>
          <cell r="D495">
            <v>1</v>
          </cell>
          <cell r="E495" t="str">
            <v>주</v>
          </cell>
          <cell r="F495">
            <v>7500</v>
          </cell>
          <cell r="G495">
            <v>7500</v>
          </cell>
          <cell r="H495">
            <v>2000</v>
          </cell>
          <cell r="I495">
            <v>2000</v>
          </cell>
          <cell r="J495">
            <v>5500</v>
          </cell>
          <cell r="K495">
            <v>5500</v>
          </cell>
          <cell r="M495">
            <v>0</v>
          </cell>
        </row>
        <row r="496">
          <cell r="C496" t="str">
            <v>황매화H1.0xW0.6</v>
          </cell>
          <cell r="D496">
            <v>1</v>
          </cell>
          <cell r="E496" t="str">
            <v>주</v>
          </cell>
          <cell r="F496">
            <v>5000</v>
          </cell>
          <cell r="G496">
            <v>5000</v>
          </cell>
          <cell r="H496">
            <v>2000</v>
          </cell>
          <cell r="I496">
            <v>2000</v>
          </cell>
          <cell r="J496">
            <v>3000</v>
          </cell>
          <cell r="K496">
            <v>3000</v>
          </cell>
          <cell r="M496">
            <v>0</v>
          </cell>
        </row>
        <row r="497">
          <cell r="C497" t="str">
            <v>흰말채나무H1.2xW0.6</v>
          </cell>
          <cell r="D497">
            <v>1</v>
          </cell>
          <cell r="E497" t="str">
            <v>주</v>
          </cell>
          <cell r="F497">
            <v>4700</v>
          </cell>
          <cell r="G497">
            <v>4700</v>
          </cell>
          <cell r="H497">
            <v>2000</v>
          </cell>
          <cell r="I497">
            <v>2000</v>
          </cell>
          <cell r="J497">
            <v>2700</v>
          </cell>
          <cell r="K497">
            <v>2700</v>
          </cell>
          <cell r="M497">
            <v>0</v>
          </cell>
        </row>
        <row r="498">
          <cell r="C498" t="str">
            <v>구절초3치포트</v>
          </cell>
          <cell r="D498">
            <v>1</v>
          </cell>
          <cell r="E498" t="str">
            <v>본</v>
          </cell>
          <cell r="F498">
            <v>1130</v>
          </cell>
          <cell r="G498">
            <v>1130</v>
          </cell>
          <cell r="H498">
            <v>130</v>
          </cell>
          <cell r="I498">
            <v>130</v>
          </cell>
          <cell r="J498">
            <v>1000</v>
          </cell>
          <cell r="K498">
            <v>1000</v>
          </cell>
          <cell r="M498">
            <v>0</v>
          </cell>
        </row>
        <row r="499">
          <cell r="C499" t="str">
            <v>금낭화4치포트</v>
          </cell>
          <cell r="D499">
            <v>1</v>
          </cell>
          <cell r="E499" t="str">
            <v>본</v>
          </cell>
          <cell r="F499">
            <v>2830</v>
          </cell>
          <cell r="G499">
            <v>2830</v>
          </cell>
          <cell r="H499">
            <v>130</v>
          </cell>
          <cell r="I499">
            <v>130</v>
          </cell>
          <cell r="J499">
            <v>2700</v>
          </cell>
          <cell r="K499">
            <v>2700</v>
          </cell>
          <cell r="M499">
            <v>0</v>
          </cell>
        </row>
        <row r="500">
          <cell r="C500" t="str">
            <v>관중5치포트</v>
          </cell>
          <cell r="D500">
            <v>1</v>
          </cell>
          <cell r="E500" t="str">
            <v>본</v>
          </cell>
          <cell r="F500">
            <v>4930</v>
          </cell>
          <cell r="G500">
            <v>4930</v>
          </cell>
          <cell r="H500">
            <v>130</v>
          </cell>
          <cell r="I500">
            <v>130</v>
          </cell>
          <cell r="J500">
            <v>4800</v>
          </cell>
          <cell r="K500">
            <v>4800</v>
          </cell>
          <cell r="M500">
            <v>0</v>
          </cell>
        </row>
        <row r="501">
          <cell r="C501" t="str">
            <v>꽃잔디3치포트</v>
          </cell>
          <cell r="D501">
            <v>1</v>
          </cell>
          <cell r="E501" t="str">
            <v>본</v>
          </cell>
          <cell r="F501">
            <v>560</v>
          </cell>
          <cell r="G501">
            <v>560</v>
          </cell>
          <cell r="H501">
            <v>130</v>
          </cell>
          <cell r="I501">
            <v>130</v>
          </cell>
          <cell r="J501">
            <v>430</v>
          </cell>
          <cell r="K501">
            <v>430</v>
          </cell>
          <cell r="M501">
            <v>0</v>
          </cell>
        </row>
        <row r="502">
          <cell r="C502" t="str">
            <v>꽃창포4~5분얼</v>
          </cell>
          <cell r="D502">
            <v>1</v>
          </cell>
          <cell r="E502" t="str">
            <v>본</v>
          </cell>
          <cell r="F502">
            <v>2630</v>
          </cell>
          <cell r="G502">
            <v>2630</v>
          </cell>
          <cell r="H502">
            <v>130</v>
          </cell>
          <cell r="I502">
            <v>130</v>
          </cell>
          <cell r="J502">
            <v>2500</v>
          </cell>
          <cell r="K502">
            <v>2500</v>
          </cell>
          <cell r="M502">
            <v>0</v>
          </cell>
        </row>
        <row r="503">
          <cell r="C503" t="str">
            <v>노루오줌4치포트</v>
          </cell>
          <cell r="D503">
            <v>1</v>
          </cell>
          <cell r="E503" t="str">
            <v>본</v>
          </cell>
          <cell r="F503">
            <v>1430</v>
          </cell>
          <cell r="G503">
            <v>1430</v>
          </cell>
          <cell r="H503">
            <v>130</v>
          </cell>
          <cell r="I503">
            <v>130</v>
          </cell>
          <cell r="J503">
            <v>1300</v>
          </cell>
          <cell r="K503">
            <v>1300</v>
          </cell>
          <cell r="M503">
            <v>0</v>
          </cell>
        </row>
        <row r="504">
          <cell r="C504" t="str">
            <v>능소화L4.0xR15</v>
          </cell>
          <cell r="D504">
            <v>1</v>
          </cell>
          <cell r="E504" t="str">
            <v>본</v>
          </cell>
          <cell r="F504">
            <v>595000</v>
          </cell>
          <cell r="G504">
            <v>595000</v>
          </cell>
          <cell r="H504">
            <v>45000</v>
          </cell>
          <cell r="I504">
            <v>45000</v>
          </cell>
          <cell r="J504">
            <v>550000</v>
          </cell>
          <cell r="K504">
            <v>550000</v>
          </cell>
          <cell r="M504">
            <v>0</v>
          </cell>
        </row>
        <row r="505">
          <cell r="C505" t="str">
            <v>담쟁이덩굴L0.4x2-3년생</v>
          </cell>
          <cell r="D505">
            <v>1</v>
          </cell>
          <cell r="E505" t="str">
            <v>본</v>
          </cell>
          <cell r="F505">
            <v>1130</v>
          </cell>
          <cell r="G505">
            <v>1130</v>
          </cell>
          <cell r="H505">
            <v>130</v>
          </cell>
          <cell r="I505">
            <v>130</v>
          </cell>
          <cell r="J505">
            <v>1000</v>
          </cell>
          <cell r="K505">
            <v>1000</v>
          </cell>
          <cell r="M505">
            <v>0</v>
          </cell>
        </row>
        <row r="506">
          <cell r="C506" t="str">
            <v>돌나물3치포트</v>
          </cell>
          <cell r="D506">
            <v>1</v>
          </cell>
          <cell r="E506" t="str">
            <v>본</v>
          </cell>
          <cell r="F506">
            <v>1130</v>
          </cell>
          <cell r="G506">
            <v>1130</v>
          </cell>
          <cell r="H506">
            <v>130</v>
          </cell>
          <cell r="I506">
            <v>130</v>
          </cell>
          <cell r="J506">
            <v>1000</v>
          </cell>
          <cell r="K506">
            <v>1000</v>
          </cell>
          <cell r="M506">
            <v>0</v>
          </cell>
        </row>
        <row r="507">
          <cell r="C507" t="str">
            <v>돌단풍4치포트</v>
          </cell>
          <cell r="D507">
            <v>1</v>
          </cell>
          <cell r="E507" t="str">
            <v>본</v>
          </cell>
          <cell r="F507">
            <v>1430</v>
          </cell>
          <cell r="G507">
            <v>1430</v>
          </cell>
          <cell r="H507">
            <v>130</v>
          </cell>
          <cell r="I507">
            <v>130</v>
          </cell>
          <cell r="J507">
            <v>1300</v>
          </cell>
          <cell r="K507">
            <v>1300</v>
          </cell>
          <cell r="M507">
            <v>0</v>
          </cell>
        </row>
        <row r="508">
          <cell r="C508" t="str">
            <v>등나무L3.5xR8</v>
          </cell>
          <cell r="D508">
            <v>1</v>
          </cell>
          <cell r="E508" t="str">
            <v>본</v>
          </cell>
          <cell r="F508">
            <v>115000</v>
          </cell>
          <cell r="G508">
            <v>115000</v>
          </cell>
          <cell r="H508">
            <v>20000</v>
          </cell>
          <cell r="I508">
            <v>20000</v>
          </cell>
          <cell r="J508">
            <v>95000</v>
          </cell>
          <cell r="K508">
            <v>95000</v>
          </cell>
          <cell r="M508">
            <v>0</v>
          </cell>
        </row>
        <row r="509">
          <cell r="C509" t="str">
            <v>맥문동3~5분얼</v>
          </cell>
          <cell r="D509">
            <v>1</v>
          </cell>
          <cell r="E509" t="str">
            <v>본</v>
          </cell>
          <cell r="F509">
            <v>480</v>
          </cell>
          <cell r="G509">
            <v>480</v>
          </cell>
          <cell r="H509">
            <v>130</v>
          </cell>
          <cell r="I509">
            <v>130</v>
          </cell>
          <cell r="J509">
            <v>350</v>
          </cell>
          <cell r="K509">
            <v>350</v>
          </cell>
          <cell r="M509">
            <v>0</v>
          </cell>
        </row>
        <row r="510">
          <cell r="C510" t="str">
            <v>바위치3치포트</v>
          </cell>
          <cell r="D510">
            <v>1</v>
          </cell>
          <cell r="E510" t="str">
            <v>본</v>
          </cell>
          <cell r="F510">
            <v>1030</v>
          </cell>
          <cell r="G510">
            <v>1030</v>
          </cell>
          <cell r="H510">
            <v>130</v>
          </cell>
          <cell r="I510">
            <v>130</v>
          </cell>
          <cell r="J510">
            <v>900</v>
          </cell>
          <cell r="K510">
            <v>900</v>
          </cell>
          <cell r="M510">
            <v>0</v>
          </cell>
        </row>
        <row r="511">
          <cell r="C511" t="str">
            <v>붓꽃7~10분얼</v>
          </cell>
          <cell r="D511">
            <v>1</v>
          </cell>
          <cell r="E511" t="str">
            <v>본</v>
          </cell>
          <cell r="F511">
            <v>1630</v>
          </cell>
          <cell r="G511">
            <v>1630</v>
          </cell>
          <cell r="H511">
            <v>130</v>
          </cell>
          <cell r="I511">
            <v>130</v>
          </cell>
          <cell r="J511">
            <v>1500</v>
          </cell>
          <cell r="K511">
            <v>1500</v>
          </cell>
          <cell r="M511">
            <v>0</v>
          </cell>
        </row>
        <row r="512">
          <cell r="C512" t="str">
            <v>비비추4~5분얼</v>
          </cell>
          <cell r="D512">
            <v>1</v>
          </cell>
          <cell r="E512" t="str">
            <v>본</v>
          </cell>
          <cell r="F512">
            <v>2130</v>
          </cell>
          <cell r="G512">
            <v>2130</v>
          </cell>
          <cell r="H512">
            <v>130</v>
          </cell>
          <cell r="I512">
            <v>130</v>
          </cell>
          <cell r="J512">
            <v>2000</v>
          </cell>
          <cell r="K512">
            <v>2000</v>
          </cell>
          <cell r="M512">
            <v>0</v>
          </cell>
        </row>
        <row r="513">
          <cell r="C513" t="str">
            <v>비비추2~3분얼</v>
          </cell>
          <cell r="D513">
            <v>1</v>
          </cell>
          <cell r="E513" t="str">
            <v>본</v>
          </cell>
          <cell r="F513">
            <v>1430</v>
          </cell>
          <cell r="G513">
            <v>1430</v>
          </cell>
          <cell r="H513">
            <v>130</v>
          </cell>
          <cell r="I513">
            <v>130</v>
          </cell>
          <cell r="J513">
            <v>1300</v>
          </cell>
          <cell r="K513">
            <v>1300</v>
          </cell>
          <cell r="M513">
            <v>0</v>
          </cell>
        </row>
        <row r="514">
          <cell r="C514" t="str">
            <v>백리향4치포트</v>
          </cell>
          <cell r="D514">
            <v>1</v>
          </cell>
          <cell r="E514" t="str">
            <v>본</v>
          </cell>
          <cell r="F514">
            <v>1930</v>
          </cell>
          <cell r="G514">
            <v>1930</v>
          </cell>
          <cell r="H514">
            <v>130</v>
          </cell>
          <cell r="I514">
            <v>130</v>
          </cell>
          <cell r="J514">
            <v>1800</v>
          </cell>
          <cell r="K514">
            <v>1800</v>
          </cell>
          <cell r="M514">
            <v>0</v>
          </cell>
        </row>
        <row r="515">
          <cell r="C515" t="str">
            <v>사사4치포트</v>
          </cell>
          <cell r="D515">
            <v>1</v>
          </cell>
          <cell r="E515" t="str">
            <v>본</v>
          </cell>
          <cell r="F515">
            <v>1930</v>
          </cell>
          <cell r="G515">
            <v>1930</v>
          </cell>
          <cell r="H515">
            <v>130</v>
          </cell>
          <cell r="I515">
            <v>130</v>
          </cell>
          <cell r="J515">
            <v>1800</v>
          </cell>
          <cell r="K515">
            <v>1800</v>
          </cell>
          <cell r="M515">
            <v>0</v>
          </cell>
        </row>
        <row r="516">
          <cell r="C516" t="str">
            <v>수호초4치포트</v>
          </cell>
          <cell r="D516">
            <v>1</v>
          </cell>
          <cell r="E516" t="str">
            <v>본</v>
          </cell>
          <cell r="F516">
            <v>1930</v>
          </cell>
          <cell r="G516">
            <v>1930</v>
          </cell>
          <cell r="H516">
            <v>130</v>
          </cell>
          <cell r="I516">
            <v>130</v>
          </cell>
          <cell r="J516">
            <v>1800</v>
          </cell>
          <cell r="K516">
            <v>1800</v>
          </cell>
          <cell r="M516">
            <v>0</v>
          </cell>
        </row>
        <row r="517">
          <cell r="C517" t="str">
            <v>수선화개화구</v>
          </cell>
          <cell r="D517">
            <v>1</v>
          </cell>
          <cell r="E517" t="str">
            <v>본</v>
          </cell>
          <cell r="F517">
            <v>1930</v>
          </cell>
          <cell r="G517">
            <v>1930</v>
          </cell>
          <cell r="H517">
            <v>130</v>
          </cell>
          <cell r="I517">
            <v>130</v>
          </cell>
          <cell r="J517">
            <v>1800</v>
          </cell>
          <cell r="K517">
            <v>1800</v>
          </cell>
          <cell r="M517">
            <v>0</v>
          </cell>
        </row>
        <row r="518">
          <cell r="C518" t="str">
            <v>아이비3치포트</v>
          </cell>
          <cell r="D518">
            <v>1</v>
          </cell>
          <cell r="E518" t="str">
            <v>본</v>
          </cell>
          <cell r="F518">
            <v>2630</v>
          </cell>
          <cell r="G518">
            <v>2630</v>
          </cell>
          <cell r="H518">
            <v>130</v>
          </cell>
          <cell r="I518">
            <v>130</v>
          </cell>
          <cell r="J518">
            <v>2500</v>
          </cell>
          <cell r="K518">
            <v>2500</v>
          </cell>
          <cell r="M518">
            <v>0</v>
          </cell>
        </row>
        <row r="519">
          <cell r="C519" t="str">
            <v>아주가4치포트</v>
          </cell>
          <cell r="D519">
            <v>1</v>
          </cell>
          <cell r="E519" t="str">
            <v>본</v>
          </cell>
          <cell r="F519">
            <v>1130</v>
          </cell>
          <cell r="G519">
            <v>1130</v>
          </cell>
          <cell r="H519">
            <v>130</v>
          </cell>
          <cell r="I519">
            <v>130</v>
          </cell>
          <cell r="J519">
            <v>1000</v>
          </cell>
          <cell r="K519">
            <v>1000</v>
          </cell>
          <cell r="M519">
            <v>0</v>
          </cell>
        </row>
        <row r="520">
          <cell r="C520" t="str">
            <v>옥잠화2~3분얼</v>
          </cell>
          <cell r="D520">
            <v>1</v>
          </cell>
          <cell r="E520" t="str">
            <v>본</v>
          </cell>
          <cell r="F520">
            <v>2130</v>
          </cell>
          <cell r="G520">
            <v>2130</v>
          </cell>
          <cell r="H520">
            <v>130</v>
          </cell>
          <cell r="I520">
            <v>130</v>
          </cell>
          <cell r="J520">
            <v>2000</v>
          </cell>
          <cell r="K520">
            <v>2000</v>
          </cell>
          <cell r="M520">
            <v>0</v>
          </cell>
        </row>
        <row r="521">
          <cell r="C521" t="str">
            <v>영춘화H0.6x3가지</v>
          </cell>
          <cell r="D521">
            <v>1</v>
          </cell>
          <cell r="E521" t="str">
            <v>본</v>
          </cell>
          <cell r="F521">
            <v>2830</v>
          </cell>
          <cell r="G521">
            <v>2830</v>
          </cell>
          <cell r="H521">
            <v>130</v>
          </cell>
          <cell r="I521">
            <v>130</v>
          </cell>
          <cell r="J521">
            <v>2700</v>
          </cell>
          <cell r="K521">
            <v>2700</v>
          </cell>
          <cell r="M521">
            <v>0</v>
          </cell>
        </row>
        <row r="522">
          <cell r="C522" t="str">
            <v>유카H0.6xW0.4</v>
          </cell>
          <cell r="D522">
            <v>1</v>
          </cell>
          <cell r="E522" t="str">
            <v>본</v>
          </cell>
          <cell r="F522">
            <v>10500</v>
          </cell>
          <cell r="G522">
            <v>10500</v>
          </cell>
          <cell r="H522">
            <v>1500</v>
          </cell>
          <cell r="I522">
            <v>1500</v>
          </cell>
          <cell r="J522">
            <v>9000</v>
          </cell>
          <cell r="K522">
            <v>9000</v>
          </cell>
          <cell r="M522">
            <v>0</v>
          </cell>
        </row>
        <row r="523">
          <cell r="C523" t="str">
            <v>원추리2~3분얼</v>
          </cell>
          <cell r="D523">
            <v>1</v>
          </cell>
          <cell r="E523" t="str">
            <v>본</v>
          </cell>
          <cell r="F523">
            <v>1330</v>
          </cell>
          <cell r="G523">
            <v>1330</v>
          </cell>
          <cell r="H523">
            <v>130</v>
          </cell>
          <cell r="I523">
            <v>130</v>
          </cell>
          <cell r="J523">
            <v>1200</v>
          </cell>
          <cell r="K523">
            <v>1200</v>
          </cell>
          <cell r="M523">
            <v>0</v>
          </cell>
        </row>
        <row r="524">
          <cell r="C524" t="str">
            <v>인동덩굴L0.4,2-3년생</v>
          </cell>
          <cell r="D524">
            <v>1</v>
          </cell>
          <cell r="E524" t="str">
            <v>본</v>
          </cell>
          <cell r="F524">
            <v>3630</v>
          </cell>
          <cell r="G524">
            <v>3630</v>
          </cell>
          <cell r="H524">
            <v>130</v>
          </cell>
          <cell r="I524">
            <v>130</v>
          </cell>
          <cell r="J524">
            <v>3500</v>
          </cell>
          <cell r="K524">
            <v>3500</v>
          </cell>
          <cell r="M524">
            <v>0</v>
          </cell>
        </row>
        <row r="525">
          <cell r="C525" t="str">
            <v>작약H0.5x7분얼</v>
          </cell>
          <cell r="D525">
            <v>1</v>
          </cell>
          <cell r="E525" t="str">
            <v>본</v>
          </cell>
          <cell r="F525">
            <v>4500</v>
          </cell>
          <cell r="G525">
            <v>4500</v>
          </cell>
          <cell r="H525">
            <v>1500</v>
          </cell>
          <cell r="I525">
            <v>1500</v>
          </cell>
          <cell r="J525">
            <v>3000</v>
          </cell>
          <cell r="K525">
            <v>3000</v>
          </cell>
          <cell r="M525">
            <v>0</v>
          </cell>
        </row>
        <row r="526">
          <cell r="C526" t="str">
            <v>장미3년생,2지</v>
          </cell>
          <cell r="D526">
            <v>1</v>
          </cell>
          <cell r="E526" t="str">
            <v>본</v>
          </cell>
          <cell r="F526">
            <v>3700</v>
          </cell>
          <cell r="G526">
            <v>3700</v>
          </cell>
          <cell r="H526">
            <v>1500</v>
          </cell>
          <cell r="I526">
            <v>1500</v>
          </cell>
          <cell r="J526">
            <v>2200</v>
          </cell>
          <cell r="K526">
            <v>2200</v>
          </cell>
          <cell r="M526">
            <v>0</v>
          </cell>
        </row>
        <row r="527">
          <cell r="C527" t="str">
            <v>조릿대H0.4x5가지</v>
          </cell>
          <cell r="D527">
            <v>1</v>
          </cell>
          <cell r="E527" t="str">
            <v>본</v>
          </cell>
          <cell r="F527">
            <v>3600</v>
          </cell>
          <cell r="G527">
            <v>3600</v>
          </cell>
          <cell r="H527">
            <v>1500</v>
          </cell>
          <cell r="I527">
            <v>1500</v>
          </cell>
          <cell r="J527">
            <v>2100</v>
          </cell>
          <cell r="K527">
            <v>2100</v>
          </cell>
          <cell r="M527">
            <v>0</v>
          </cell>
        </row>
        <row r="528">
          <cell r="C528" t="str">
            <v>자연석쌓기동전면의자</v>
          </cell>
          <cell r="D528">
            <v>1</v>
          </cell>
          <cell r="E528" t="str">
            <v>Ton</v>
          </cell>
          <cell r="F528">
            <v>360000</v>
          </cell>
          <cell r="G528">
            <v>360000</v>
          </cell>
          <cell r="H528">
            <v>60000</v>
          </cell>
          <cell r="I528">
            <v>60000</v>
          </cell>
          <cell r="J528">
            <v>300000</v>
          </cell>
          <cell r="K528">
            <v>300000</v>
          </cell>
          <cell r="M528">
            <v>0</v>
          </cell>
        </row>
        <row r="529">
          <cell r="C529" t="str">
            <v>잔디(평떼)0.3x0.3x0.03</v>
          </cell>
          <cell r="D529">
            <v>1</v>
          </cell>
          <cell r="E529" t="str">
            <v>m2</v>
          </cell>
          <cell r="F529">
            <v>4400</v>
          </cell>
          <cell r="G529">
            <v>4400</v>
          </cell>
          <cell r="H529">
            <v>2100</v>
          </cell>
          <cell r="I529">
            <v>2100</v>
          </cell>
          <cell r="J529">
            <v>2300</v>
          </cell>
          <cell r="K529">
            <v>2300</v>
          </cell>
          <cell r="M529">
            <v>0</v>
          </cell>
        </row>
        <row r="530">
          <cell r="C530" t="str">
            <v>지주목이각</v>
          </cell>
          <cell r="D530">
            <v>1</v>
          </cell>
          <cell r="E530" t="str">
            <v>조</v>
          </cell>
          <cell r="F530">
            <v>3800</v>
          </cell>
          <cell r="G530">
            <v>3800</v>
          </cell>
          <cell r="H530">
            <v>0</v>
          </cell>
          <cell r="I530">
            <v>0</v>
          </cell>
          <cell r="J530">
            <v>3800</v>
          </cell>
          <cell r="K530">
            <v>3800</v>
          </cell>
          <cell r="M530">
            <v>0</v>
          </cell>
        </row>
        <row r="531">
          <cell r="C531" t="str">
            <v>지주목삼발이소형</v>
          </cell>
          <cell r="D531">
            <v>1</v>
          </cell>
          <cell r="E531" t="str">
            <v>조</v>
          </cell>
          <cell r="F531">
            <v>4500</v>
          </cell>
          <cell r="G531">
            <v>4500</v>
          </cell>
          <cell r="H531">
            <v>0</v>
          </cell>
          <cell r="I531">
            <v>0</v>
          </cell>
          <cell r="J531">
            <v>4500</v>
          </cell>
          <cell r="K531">
            <v>4500</v>
          </cell>
          <cell r="M531">
            <v>0</v>
          </cell>
        </row>
        <row r="532">
          <cell r="C532" t="str">
            <v>지주목삼발이대형</v>
          </cell>
          <cell r="D532">
            <v>1</v>
          </cell>
          <cell r="E532" t="str">
            <v>조</v>
          </cell>
          <cell r="F532">
            <v>6500</v>
          </cell>
          <cell r="G532">
            <v>6500</v>
          </cell>
          <cell r="H532">
            <v>0</v>
          </cell>
          <cell r="I532">
            <v>0</v>
          </cell>
          <cell r="J532">
            <v>6500</v>
          </cell>
          <cell r="K532">
            <v>6500</v>
          </cell>
          <cell r="M532">
            <v>0</v>
          </cell>
        </row>
        <row r="533">
          <cell r="C533" t="str">
            <v>지주목철재지주대</v>
          </cell>
          <cell r="D533">
            <v>1</v>
          </cell>
          <cell r="E533" t="str">
            <v>조</v>
          </cell>
          <cell r="F533">
            <v>15000</v>
          </cell>
          <cell r="G533">
            <v>15000</v>
          </cell>
          <cell r="H533">
            <v>0</v>
          </cell>
          <cell r="I533">
            <v>0</v>
          </cell>
          <cell r="J533">
            <v>15000</v>
          </cell>
          <cell r="K533">
            <v>15000</v>
          </cell>
          <cell r="M533">
            <v>0</v>
          </cell>
        </row>
        <row r="534">
          <cell r="C534" t="str">
            <v>부엽토유기질비료</v>
          </cell>
          <cell r="D534">
            <v>1</v>
          </cell>
          <cell r="E534" t="str">
            <v>kg</v>
          </cell>
          <cell r="F534">
            <v>180</v>
          </cell>
          <cell r="G534">
            <v>180</v>
          </cell>
          <cell r="H534">
            <v>0</v>
          </cell>
          <cell r="I534">
            <v>0</v>
          </cell>
          <cell r="J534">
            <v>180</v>
          </cell>
          <cell r="K534">
            <v>180</v>
          </cell>
          <cell r="M534">
            <v>0</v>
          </cell>
        </row>
        <row r="535">
          <cell r="C535" t="e">
            <v>#VALUE!</v>
          </cell>
        </row>
      </sheetData>
      <sheetData sheetId="1" refreshError="1"/>
      <sheetData sheetId="2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직구"/>
      <sheetName val="철근집계표"/>
      <sheetName val="보호몰탈 "/>
      <sheetName val="보호몰탈"/>
      <sheetName val="백호우계수"/>
      <sheetName val="단가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략"/>
      <sheetName val="이치-각평"/>
      <sheetName val="이치각평내역서"/>
      <sheetName val="적용수량 (3)"/>
      <sheetName val="적용수량 (2)"/>
      <sheetName val="주요1"/>
      <sheetName val="시,모산출"/>
      <sheetName val="주요2"/>
      <sheetName val="이월"/>
      <sheetName val="부대공집계"/>
      <sheetName val="본선도색제거집계 (3)"/>
      <sheetName val="갈매기표지판연장"/>
      <sheetName val="갈매기집계"/>
      <sheetName val="갈매기설치"/>
      <sheetName val="표지판현황"/>
      <sheetName val="데리네이터수량 (4)"/>
      <sheetName val="데리네이터수량 (3)"/>
      <sheetName val="데리네이터수량 (2)"/>
      <sheetName val="데리네이터수량"/>
      <sheetName val="데리네이터현황 (2)"/>
      <sheetName val="데리네이터현황"/>
      <sheetName val="규제봉집계"/>
      <sheetName val="규제봉현황"/>
      <sheetName val="중앙표지병"/>
      <sheetName val="표지병단위 (2)"/>
      <sheetName val="표지병단위"/>
      <sheetName val="표지병집계 (3)"/>
      <sheetName val="표지병집계 (2)"/>
      <sheetName val="표지병집계"/>
      <sheetName val="가드레일설치"/>
      <sheetName val="가드레일설치 (2)"/>
      <sheetName val="가드레일집계 (2)"/>
      <sheetName val="가드레일집계 (3)"/>
      <sheetName val="가드레일집계"/>
      <sheetName val="폐기물"/>
      <sheetName val="과속조서"/>
      <sheetName val="과속단위"/>
      <sheetName val="과속집계"/>
      <sheetName val="과속수량산출"/>
      <sheetName val="간지"/>
      <sheetName val="노면집계"/>
      <sheetName val="표지판수량집계 (3)"/>
      <sheetName val="표지판수량집계 (2)"/>
      <sheetName val="표지판수량집계"/>
      <sheetName val="표지판조서 (2)"/>
      <sheetName val="표지판조서"/>
      <sheetName val="표지판기초 (2)"/>
      <sheetName val="도색수량집계"/>
      <sheetName val="차선도색수량집계"/>
      <sheetName val="차선도색설치조서"/>
      <sheetName val="노면표시수량집계"/>
      <sheetName val="노면표시설치조서"/>
      <sheetName val="안전지대수량집계"/>
      <sheetName val="안전지대설치조서"/>
      <sheetName val="횡단보도수량집계"/>
      <sheetName val="횡단보도설치조서"/>
      <sheetName val="차선도색산출근거"/>
      <sheetName val="간지-1"/>
      <sheetName val="단가"/>
      <sheetName val="tggwan(mac)"/>
      <sheetName val="0001new"/>
      <sheetName val="자동제어"/>
    </sheetNames>
    <sheetDataSet>
      <sheetData sheetId="0" refreshError="1">
        <row r="2">
          <cell r="A2" t="str">
            <v>1.토   공</v>
          </cell>
          <cell r="C2" t="str">
            <v>식</v>
          </cell>
        </row>
        <row r="3">
          <cell r="A3" t="str">
            <v>1-1.기존구조물철거</v>
          </cell>
          <cell r="E3">
            <v>0</v>
          </cell>
        </row>
        <row r="4">
          <cell r="A4" t="str">
            <v>a.기존포장철거</v>
          </cell>
          <cell r="E4">
            <v>0</v>
          </cell>
        </row>
        <row r="5">
          <cell r="A5" t="str">
            <v>a-1.아스콘절단</v>
          </cell>
          <cell r="C5" t="str">
            <v>M</v>
          </cell>
          <cell r="D5">
            <v>3760</v>
          </cell>
          <cell r="E5">
            <v>1618</v>
          </cell>
          <cell r="F5">
            <v>6083680</v>
          </cell>
        </row>
        <row r="6">
          <cell r="A6" t="str">
            <v>a-2.아스팔트포장깨기</v>
          </cell>
          <cell r="B6" t="str">
            <v>기계90%+인력10%</v>
          </cell>
          <cell r="C6" t="str">
            <v>M3</v>
          </cell>
          <cell r="D6">
            <v>451</v>
          </cell>
          <cell r="E6">
            <v>19269</v>
          </cell>
          <cell r="F6">
            <v>8690319</v>
          </cell>
        </row>
        <row r="7">
          <cell r="A7" t="str">
            <v>b.기존구조물철거</v>
          </cell>
          <cell r="E7">
            <v>0</v>
          </cell>
          <cell r="F7">
            <v>0</v>
          </cell>
        </row>
        <row r="8">
          <cell r="A8" t="str">
            <v>b-1.콘크리트깨기</v>
          </cell>
          <cell r="B8" t="str">
            <v>무근30CM미만</v>
          </cell>
          <cell r="C8" t="str">
            <v>M3</v>
          </cell>
          <cell r="D8">
            <v>140</v>
          </cell>
          <cell r="E8">
            <v>27062</v>
          </cell>
          <cell r="F8">
            <v>3788680</v>
          </cell>
        </row>
        <row r="9">
          <cell r="A9" t="str">
            <v>b-2.콘크리트깨기</v>
          </cell>
          <cell r="B9" t="str">
            <v>철근30CM미만</v>
          </cell>
          <cell r="C9" t="str">
            <v>M3</v>
          </cell>
          <cell r="E9">
            <v>69440</v>
          </cell>
          <cell r="F9">
            <v>0</v>
          </cell>
        </row>
        <row r="10">
          <cell r="A10" t="str">
            <v>1-2.깍  기</v>
          </cell>
          <cell r="E10">
            <v>0</v>
          </cell>
          <cell r="F10">
            <v>0</v>
          </cell>
        </row>
        <row r="11">
          <cell r="A11" t="str">
            <v>a.흙깎기</v>
          </cell>
          <cell r="B11" t="str">
            <v>토 사</v>
          </cell>
          <cell r="C11" t="str">
            <v>M3</v>
          </cell>
          <cell r="E11">
            <v>812</v>
          </cell>
          <cell r="F11">
            <v>0</v>
          </cell>
        </row>
        <row r="12">
          <cell r="A12" t="str">
            <v>b.깍  기</v>
          </cell>
          <cell r="B12" t="str">
            <v>보조,동방층재</v>
          </cell>
          <cell r="C12" t="str">
            <v>M3</v>
          </cell>
          <cell r="E12">
            <v>1044</v>
          </cell>
          <cell r="F12">
            <v>0</v>
          </cell>
        </row>
        <row r="13">
          <cell r="A13" t="str">
            <v>1-3.노반준비공</v>
          </cell>
          <cell r="B13" t="str">
            <v>절토부</v>
          </cell>
          <cell r="C13" t="str">
            <v>M2</v>
          </cell>
          <cell r="E13">
            <v>197</v>
          </cell>
          <cell r="F13">
            <v>0</v>
          </cell>
        </row>
        <row r="14">
          <cell r="A14" t="str">
            <v>1-4.사토처리</v>
          </cell>
          <cell r="B14" t="str">
            <v>L=10KM</v>
          </cell>
          <cell r="C14" t="str">
            <v>M3</v>
          </cell>
          <cell r="E14">
            <v>5244</v>
          </cell>
          <cell r="F14">
            <v>0</v>
          </cell>
        </row>
        <row r="15">
          <cell r="A15" t="str">
            <v>2.배 수 공</v>
          </cell>
          <cell r="C15" t="str">
            <v>식</v>
          </cell>
          <cell r="F15">
            <v>0</v>
          </cell>
        </row>
        <row r="16">
          <cell r="A16" t="str">
            <v>2-1.구조물터파기</v>
          </cell>
          <cell r="B16" t="str">
            <v>토사,육상 0-6</v>
          </cell>
          <cell r="C16" t="str">
            <v>M3</v>
          </cell>
          <cell r="D16">
            <v>3356</v>
          </cell>
          <cell r="E16">
            <v>4779</v>
          </cell>
          <cell r="F16">
            <v>16038324</v>
          </cell>
        </row>
        <row r="17">
          <cell r="A17" t="str">
            <v>2-2.되메우기</v>
          </cell>
          <cell r="E17">
            <v>0</v>
          </cell>
          <cell r="F17">
            <v>0</v>
          </cell>
        </row>
        <row r="18">
          <cell r="A18" t="str">
            <v>a.되메우기및다짐</v>
          </cell>
          <cell r="B18" t="str">
            <v>인력30,기계70</v>
          </cell>
          <cell r="C18" t="str">
            <v>M3</v>
          </cell>
          <cell r="D18">
            <v>3356</v>
          </cell>
          <cell r="E18">
            <v>4057</v>
          </cell>
          <cell r="F18">
            <v>13615292</v>
          </cell>
        </row>
        <row r="19">
          <cell r="A19" t="str">
            <v>b.되메우기및다짐</v>
          </cell>
          <cell r="B19" t="str">
            <v>인력</v>
          </cell>
          <cell r="C19" t="str">
            <v>M3</v>
          </cell>
          <cell r="E19">
            <v>7215</v>
          </cell>
          <cell r="F19">
            <v>0</v>
          </cell>
        </row>
        <row r="20">
          <cell r="A20" t="str">
            <v>2-3.우수관로공</v>
          </cell>
          <cell r="E20">
            <v>0</v>
          </cell>
          <cell r="F20">
            <v>0</v>
          </cell>
        </row>
        <row r="21">
          <cell r="A21" t="str">
            <v>a.우수관로</v>
          </cell>
          <cell r="B21" t="str">
            <v>Φ1000MM-1련</v>
          </cell>
          <cell r="C21" t="str">
            <v>M</v>
          </cell>
          <cell r="E21">
            <v>40924</v>
          </cell>
          <cell r="F21">
            <v>0</v>
          </cell>
        </row>
        <row r="22">
          <cell r="A22" t="str">
            <v>b.우수관로</v>
          </cell>
          <cell r="B22" t="str">
            <v>Φ800MM-1련</v>
          </cell>
          <cell r="C22" t="str">
            <v>M</v>
          </cell>
          <cell r="D22">
            <v>940</v>
          </cell>
          <cell r="E22">
            <v>29376</v>
          </cell>
          <cell r="F22">
            <v>27613440</v>
          </cell>
        </row>
        <row r="23">
          <cell r="A23" t="str">
            <v>c.우수관로</v>
          </cell>
          <cell r="B23" t="str">
            <v>Φ300MM-1련</v>
          </cell>
          <cell r="C23" t="str">
            <v>M</v>
          </cell>
          <cell r="E23">
            <v>16871</v>
          </cell>
          <cell r="F23">
            <v>0</v>
          </cell>
        </row>
        <row r="24">
          <cell r="A24" t="str">
            <v>2-4.맨 홀 공</v>
          </cell>
          <cell r="D24" t="str">
            <v>16ea</v>
          </cell>
          <cell r="E24">
            <v>0</v>
          </cell>
          <cell r="F24">
            <v>16000000</v>
          </cell>
        </row>
        <row r="25">
          <cell r="A25" t="str">
            <v>a.콘크리트타설(무근)</v>
          </cell>
          <cell r="B25" t="str">
            <v>40-160-8</v>
          </cell>
          <cell r="C25" t="str">
            <v>M3</v>
          </cell>
          <cell r="E25">
            <v>18619</v>
          </cell>
          <cell r="F25">
            <v>0</v>
          </cell>
        </row>
        <row r="26">
          <cell r="A26" t="str">
            <v>b.콘크리트타설(철근)</v>
          </cell>
          <cell r="B26" t="str">
            <v>40-180-8</v>
          </cell>
          <cell r="C26" t="str">
            <v>M3</v>
          </cell>
          <cell r="E26">
            <v>20774</v>
          </cell>
          <cell r="F26">
            <v>0</v>
          </cell>
        </row>
        <row r="27">
          <cell r="A27" t="str">
            <v>c.콘크리트타설(철근)</v>
          </cell>
          <cell r="B27" t="str">
            <v>40-210-8</v>
          </cell>
          <cell r="C27" t="str">
            <v>M3</v>
          </cell>
          <cell r="E27">
            <v>20774</v>
          </cell>
          <cell r="F27">
            <v>0</v>
          </cell>
        </row>
        <row r="28">
          <cell r="A28" t="str">
            <v>d.원형거푸집 3회</v>
          </cell>
          <cell r="B28" t="str">
            <v>(0-7M)</v>
          </cell>
          <cell r="C28" t="str">
            <v>M2</v>
          </cell>
          <cell r="E28">
            <v>36739</v>
          </cell>
          <cell r="F28">
            <v>0</v>
          </cell>
        </row>
        <row r="29">
          <cell r="A29" t="str">
            <v>e.철근가공및조립</v>
          </cell>
          <cell r="B29" t="str">
            <v>보통</v>
          </cell>
          <cell r="C29" t="str">
            <v>TON</v>
          </cell>
          <cell r="E29">
            <v>320873</v>
          </cell>
          <cell r="F29">
            <v>0</v>
          </cell>
        </row>
        <row r="30">
          <cell r="A30" t="str">
            <v>f.사다리설치</v>
          </cell>
          <cell r="B30" t="str">
            <v>STS Φ22mm</v>
          </cell>
          <cell r="C30" t="str">
            <v>EA</v>
          </cell>
          <cell r="E30">
            <v>10938</v>
          </cell>
          <cell r="F30">
            <v>0</v>
          </cell>
        </row>
        <row r="31">
          <cell r="A31" t="str">
            <v>g.원형맨홀(주철제)</v>
          </cell>
          <cell r="B31" t="str">
            <v>ψ648㎜</v>
          </cell>
          <cell r="C31" t="str">
            <v>SET</v>
          </cell>
          <cell r="E31">
            <v>120000</v>
          </cell>
          <cell r="F31">
            <v>0</v>
          </cell>
        </row>
        <row r="32">
          <cell r="A32" t="str">
            <v>2-5.우수받이공</v>
          </cell>
          <cell r="E32">
            <v>0</v>
          </cell>
          <cell r="F32">
            <v>0</v>
          </cell>
        </row>
        <row r="33">
          <cell r="A33" t="str">
            <v>a.콘크리트타설(철근)</v>
          </cell>
          <cell r="B33" t="str">
            <v>40-210-8</v>
          </cell>
          <cell r="C33" t="str">
            <v>M3</v>
          </cell>
          <cell r="E33">
            <v>20774</v>
          </cell>
          <cell r="F33">
            <v>0</v>
          </cell>
        </row>
        <row r="34">
          <cell r="A34" t="str">
            <v>b.합판 거푸집</v>
          </cell>
          <cell r="B34" t="str">
            <v>4회사용</v>
          </cell>
          <cell r="C34" t="str">
            <v>M2</v>
          </cell>
          <cell r="E34">
            <v>13664</v>
          </cell>
          <cell r="F34">
            <v>0</v>
          </cell>
        </row>
        <row r="35">
          <cell r="A35" t="str">
            <v>c.철근가공및조립</v>
          </cell>
          <cell r="B35" t="str">
            <v>간단</v>
          </cell>
          <cell r="C35" t="str">
            <v>TON</v>
          </cell>
          <cell r="E35">
            <v>284297</v>
          </cell>
          <cell r="F35">
            <v>0</v>
          </cell>
        </row>
        <row r="36">
          <cell r="A36" t="str">
            <v>d.스틸그레이팅설치</v>
          </cell>
          <cell r="B36" t="str">
            <v>495*395*50</v>
          </cell>
          <cell r="C36" t="str">
            <v>개소</v>
          </cell>
          <cell r="E36">
            <v>34020</v>
          </cell>
          <cell r="F36">
            <v>0</v>
          </cell>
        </row>
        <row r="37">
          <cell r="A37" t="str">
            <v>3.포 장 공</v>
          </cell>
          <cell r="F37">
            <v>0</v>
          </cell>
        </row>
        <row r="38">
          <cell r="A38" t="str">
            <v>3-1.보조기층 포설및 다짐</v>
          </cell>
          <cell r="B38" t="str">
            <v>T=50CM</v>
          </cell>
          <cell r="C38" t="str">
            <v>M3</v>
          </cell>
          <cell r="D38">
            <v>1504</v>
          </cell>
          <cell r="E38">
            <v>8291</v>
          </cell>
          <cell r="F38">
            <v>12469664</v>
          </cell>
        </row>
        <row r="39">
          <cell r="A39" t="str">
            <v>3-2.프라임코팅</v>
          </cell>
          <cell r="B39" t="str">
            <v>MC-1,75 L/A</v>
          </cell>
          <cell r="C39" t="str">
            <v>a</v>
          </cell>
          <cell r="D39">
            <v>30.7</v>
          </cell>
          <cell r="E39">
            <v>31482</v>
          </cell>
          <cell r="F39">
            <v>966497.4</v>
          </cell>
        </row>
        <row r="40">
          <cell r="A40" t="str">
            <v>3-3.기층아스콘포설및다짐</v>
          </cell>
          <cell r="B40" t="str">
            <v>T=10CM,#467</v>
          </cell>
          <cell r="C40" t="str">
            <v>a</v>
          </cell>
          <cell r="D40">
            <v>31</v>
          </cell>
          <cell r="E40">
            <v>52589</v>
          </cell>
          <cell r="F40">
            <v>1630259</v>
          </cell>
        </row>
        <row r="41">
          <cell r="A41" t="str">
            <v>3-4.택코팅</v>
          </cell>
          <cell r="B41" t="str">
            <v>RSC-4,30L/A</v>
          </cell>
          <cell r="C41" t="str">
            <v>a</v>
          </cell>
          <cell r="D41">
            <v>31</v>
          </cell>
          <cell r="E41">
            <v>8753</v>
          </cell>
          <cell r="F41">
            <v>271343</v>
          </cell>
        </row>
        <row r="42">
          <cell r="A42" t="str">
            <v>3-5.표층아스콘포설및다짐</v>
          </cell>
          <cell r="B42" t="str">
            <v>T=5CM,#78</v>
          </cell>
          <cell r="C42" t="str">
            <v>a</v>
          </cell>
          <cell r="D42">
            <v>31</v>
          </cell>
          <cell r="E42">
            <v>49481</v>
          </cell>
          <cell r="F42">
            <v>1533911</v>
          </cell>
        </row>
        <row r="43">
          <cell r="A43" t="str">
            <v>4.부 대 공</v>
          </cell>
          <cell r="C43" t="str">
            <v>식</v>
          </cell>
          <cell r="F43">
            <v>0</v>
          </cell>
        </row>
        <row r="44">
          <cell r="A44" t="str">
            <v>4-1.교통표지판</v>
          </cell>
          <cell r="E44">
            <v>0</v>
          </cell>
          <cell r="F44">
            <v>0</v>
          </cell>
        </row>
        <row r="45">
          <cell r="A45" t="str">
            <v>a.삼각표지판</v>
          </cell>
          <cell r="B45" t="str">
            <v>1변 900</v>
          </cell>
          <cell r="C45" t="str">
            <v>EA</v>
          </cell>
          <cell r="E45">
            <v>116967</v>
          </cell>
          <cell r="F45">
            <v>0</v>
          </cell>
        </row>
        <row r="46">
          <cell r="A46" t="str">
            <v>b.이중삼각표지판</v>
          </cell>
          <cell r="B46" t="str">
            <v>1변 900</v>
          </cell>
          <cell r="C46" t="str">
            <v>EA</v>
          </cell>
          <cell r="E46">
            <v>159967</v>
          </cell>
          <cell r="F46">
            <v>0</v>
          </cell>
        </row>
        <row r="47">
          <cell r="A47" t="str">
            <v>c.오각표지판</v>
          </cell>
          <cell r="B47" t="str">
            <v>60*20*72</v>
          </cell>
          <cell r="C47" t="str">
            <v>EA</v>
          </cell>
          <cell r="E47">
            <v>94967</v>
          </cell>
          <cell r="F47">
            <v>0</v>
          </cell>
        </row>
        <row r="48">
          <cell r="A48" t="str">
            <v>4-2.차선도색</v>
          </cell>
          <cell r="E48">
            <v>0</v>
          </cell>
          <cell r="F48">
            <v>0</v>
          </cell>
        </row>
        <row r="49">
          <cell r="A49" t="str">
            <v>a.차선도색 (가열형)</v>
          </cell>
          <cell r="B49" t="str">
            <v>(백색/실선)</v>
          </cell>
          <cell r="C49" t="str">
            <v>M2</v>
          </cell>
          <cell r="D49">
            <v>423</v>
          </cell>
          <cell r="E49">
            <v>2374</v>
          </cell>
          <cell r="F49">
            <v>1004202</v>
          </cell>
        </row>
        <row r="50">
          <cell r="A50" t="str">
            <v>c.차선도색 (가열형)</v>
          </cell>
          <cell r="B50" t="str">
            <v>황색/실선</v>
          </cell>
          <cell r="C50" t="str">
            <v>M2</v>
          </cell>
          <cell r="E50">
            <v>2442</v>
          </cell>
          <cell r="F50">
            <v>0</v>
          </cell>
        </row>
        <row r="51">
          <cell r="A51" t="str">
            <v>4-3.차선규제봉(원상복귀형)SHR-847B</v>
          </cell>
          <cell r="B51" t="str">
            <v>D80x745x200mm</v>
          </cell>
          <cell r="C51" t="str">
            <v>개소</v>
          </cell>
          <cell r="E51">
            <v>110472</v>
          </cell>
          <cell r="F51">
            <v>0</v>
          </cell>
        </row>
        <row r="52">
          <cell r="A52" t="str">
            <v>4-4.도로표지병(양면)</v>
          </cell>
          <cell r="C52" t="str">
            <v>EA</v>
          </cell>
          <cell r="E52">
            <v>16319</v>
          </cell>
          <cell r="F52">
            <v>0</v>
          </cell>
        </row>
        <row r="53">
          <cell r="A53" t="str">
            <v>4-5.보차도경계석설치</v>
          </cell>
          <cell r="C53" t="str">
            <v>M</v>
          </cell>
          <cell r="E53">
            <v>21073</v>
          </cell>
          <cell r="F53">
            <v>0</v>
          </cell>
        </row>
        <row r="54">
          <cell r="A54" t="str">
            <v>4-6.도로경계석설치</v>
          </cell>
          <cell r="C54" t="str">
            <v>M</v>
          </cell>
          <cell r="E54">
            <v>8424</v>
          </cell>
          <cell r="F54">
            <v>0</v>
          </cell>
        </row>
        <row r="55">
          <cell r="A55" t="str">
            <v>4-7.보도 포장</v>
          </cell>
          <cell r="E55">
            <v>0</v>
          </cell>
          <cell r="F55">
            <v>0</v>
          </cell>
        </row>
        <row r="56">
          <cell r="A56" t="str">
            <v>a.소형 고압블럭포장</v>
          </cell>
          <cell r="C56" t="str">
            <v>M2</v>
          </cell>
          <cell r="E56">
            <v>8730</v>
          </cell>
          <cell r="F56">
            <v>0</v>
          </cell>
        </row>
        <row r="57">
          <cell r="A57" t="str">
            <v>b.고압점자블럭포설</v>
          </cell>
          <cell r="B57" t="str">
            <v>황색</v>
          </cell>
          <cell r="C57" t="str">
            <v>M2</v>
          </cell>
          <cell r="E57">
            <v>14779</v>
          </cell>
          <cell r="F57">
            <v>0</v>
          </cell>
        </row>
        <row r="58">
          <cell r="A58" t="str">
            <v>c.유도블럭포설</v>
          </cell>
          <cell r="B58" t="str">
            <v>황색</v>
          </cell>
          <cell r="C58" t="str">
            <v>M2</v>
          </cell>
          <cell r="E58">
            <v>14779</v>
          </cell>
          <cell r="F58">
            <v>0</v>
          </cell>
        </row>
        <row r="59">
          <cell r="A59" t="str">
            <v>4-8.교통안전시설</v>
          </cell>
          <cell r="E59">
            <v>0</v>
          </cell>
          <cell r="F59">
            <v>0</v>
          </cell>
        </row>
        <row r="60">
          <cell r="A60" t="str">
            <v>a.공사안내표지판</v>
          </cell>
          <cell r="B60" t="str">
            <v>1200x1700</v>
          </cell>
          <cell r="C60" t="str">
            <v>조</v>
          </cell>
          <cell r="E60">
            <v>217591</v>
          </cell>
          <cell r="F60">
            <v>0</v>
          </cell>
        </row>
        <row r="61">
          <cell r="A61" t="str">
            <v>b.도로용휀스</v>
          </cell>
          <cell r="B61" t="str">
            <v>2종 2200x2000x5" (용융도금)</v>
          </cell>
          <cell r="C61" t="str">
            <v>경간</v>
          </cell>
          <cell r="E61">
            <v>31100</v>
          </cell>
          <cell r="F61">
            <v>0</v>
          </cell>
        </row>
        <row r="62">
          <cell r="A62" t="str">
            <v>c.공사안전점멸등</v>
          </cell>
          <cell r="B62" t="str">
            <v>10m  220V</v>
          </cell>
          <cell r="C62" t="str">
            <v>조</v>
          </cell>
          <cell r="E62">
            <v>25000</v>
          </cell>
          <cell r="F62">
            <v>0</v>
          </cell>
        </row>
        <row r="63">
          <cell r="A63" t="str">
            <v>4-9.과속 방지턱</v>
          </cell>
          <cell r="B63" t="str">
            <v>L=3.6M</v>
          </cell>
          <cell r="C63" t="str">
            <v>조</v>
          </cell>
          <cell r="E63">
            <v>2250</v>
          </cell>
          <cell r="F63">
            <v>0</v>
          </cell>
        </row>
        <row r="64">
          <cell r="A64" t="str">
            <v>4-10.식 재 공</v>
          </cell>
          <cell r="E64">
            <v>0</v>
          </cell>
          <cell r="F64">
            <v>0</v>
          </cell>
        </row>
        <row r="65">
          <cell r="A65" t="str">
            <v>a.왕벗나무</v>
          </cell>
          <cell r="B65" t="str">
            <v>수고=4.0  흉고  =10</v>
          </cell>
          <cell r="C65" t="str">
            <v>주</v>
          </cell>
          <cell r="E65">
            <v>225500</v>
          </cell>
          <cell r="F65">
            <v>0</v>
          </cell>
        </row>
        <row r="66">
          <cell r="A66" t="str">
            <v>b.수목할증</v>
          </cell>
          <cell r="B66" t="str">
            <v>10%</v>
          </cell>
          <cell r="E66">
            <v>0</v>
          </cell>
          <cell r="F66">
            <v>0</v>
          </cell>
        </row>
        <row r="67">
          <cell r="A67" t="str">
            <v>c.토양개량재(부엽토)</v>
          </cell>
          <cell r="B67" t="str">
            <v>낙엽,토탄,계분,톱밥,왕사</v>
          </cell>
          <cell r="C67" t="str">
            <v>KG</v>
          </cell>
          <cell r="E67">
            <v>300</v>
          </cell>
          <cell r="F67">
            <v>0</v>
          </cell>
        </row>
        <row r="68">
          <cell r="A68" t="str">
            <v>d.왕벗나무식재</v>
          </cell>
          <cell r="C68" t="str">
            <v>주</v>
          </cell>
          <cell r="E68">
            <v>63994</v>
          </cell>
          <cell r="F68">
            <v>0</v>
          </cell>
        </row>
        <row r="69">
          <cell r="A69" t="str">
            <v>e.수목보호덮개설치</v>
          </cell>
          <cell r="C69" t="str">
            <v>개소</v>
          </cell>
          <cell r="E69">
            <v>85113</v>
          </cell>
          <cell r="F69">
            <v>0</v>
          </cell>
        </row>
        <row r="70">
          <cell r="A70" t="str">
            <v>f.수관 보호</v>
          </cell>
          <cell r="C70" t="str">
            <v>주</v>
          </cell>
          <cell r="E70">
            <v>18711</v>
          </cell>
          <cell r="F70">
            <v>0</v>
          </cell>
        </row>
        <row r="71">
          <cell r="A71" t="str">
            <v>4-11.가설사무실</v>
          </cell>
          <cell r="C71" t="str">
            <v>동</v>
          </cell>
          <cell r="E71">
            <v>4893623</v>
          </cell>
          <cell r="F71">
            <v>0</v>
          </cell>
        </row>
        <row r="72">
          <cell r="A72" t="str">
            <v>4-12.자재 운반</v>
          </cell>
          <cell r="E72">
            <v>0</v>
          </cell>
          <cell r="F72">
            <v>0</v>
          </cell>
        </row>
        <row r="73">
          <cell r="A73" t="str">
            <v>a.철근운반비</v>
          </cell>
          <cell r="C73" t="str">
            <v>TON</v>
          </cell>
          <cell r="E73">
            <v>8949</v>
          </cell>
          <cell r="F73">
            <v>0</v>
          </cell>
        </row>
        <row r="74">
          <cell r="A74" t="str">
            <v>b.시멘트운반비</v>
          </cell>
          <cell r="B74" t="str">
            <v>40KG/대</v>
          </cell>
          <cell r="C74" t="str">
            <v>대</v>
          </cell>
          <cell r="E74">
            <v>357</v>
          </cell>
          <cell r="F74">
            <v>0</v>
          </cell>
        </row>
        <row r="75">
          <cell r="A75" t="str">
            <v>c.보조기층운반</v>
          </cell>
          <cell r="B75" t="str">
            <v>L=18.5KM</v>
          </cell>
          <cell r="C75" t="str">
            <v>M3</v>
          </cell>
          <cell r="D75">
            <v>1564</v>
          </cell>
          <cell r="E75">
            <v>9893</v>
          </cell>
          <cell r="F75">
            <v>15472652</v>
          </cell>
        </row>
        <row r="76">
          <cell r="A76" t="str">
            <v>d.아스팔트운반</v>
          </cell>
          <cell r="B76" t="str">
            <v>L=10KM</v>
          </cell>
          <cell r="C76" t="str">
            <v>D</v>
          </cell>
          <cell r="D76">
            <v>18</v>
          </cell>
          <cell r="E76">
            <v>1789</v>
          </cell>
          <cell r="F76">
            <v>32202</v>
          </cell>
        </row>
        <row r="77">
          <cell r="A77" t="str">
            <v>e.모래운반</v>
          </cell>
          <cell r="B77" t="str">
            <v>L=18.5Km</v>
          </cell>
          <cell r="C77" t="str">
            <v>M3</v>
          </cell>
          <cell r="E77">
            <v>13012</v>
          </cell>
          <cell r="F77">
            <v>0</v>
          </cell>
        </row>
        <row r="78">
          <cell r="A78" t="str">
            <v>f.흄관운반비</v>
          </cell>
          <cell r="B78" t="str">
            <v>Φ300MM</v>
          </cell>
          <cell r="C78" t="str">
            <v>본</v>
          </cell>
          <cell r="E78">
            <v>1879</v>
          </cell>
          <cell r="F78">
            <v>0</v>
          </cell>
        </row>
        <row r="79">
          <cell r="A79" t="str">
            <v>g.흄관운반비</v>
          </cell>
          <cell r="B79" t="str">
            <v>Φ800MM</v>
          </cell>
          <cell r="C79" t="str">
            <v>본</v>
          </cell>
          <cell r="D79">
            <v>451</v>
          </cell>
          <cell r="E79">
            <v>10882</v>
          </cell>
          <cell r="F79">
            <v>4907782</v>
          </cell>
        </row>
        <row r="80">
          <cell r="A80" t="str">
            <v>h.흄관운반비</v>
          </cell>
          <cell r="B80" t="str">
            <v>Φ1000MM</v>
          </cell>
          <cell r="C80" t="str">
            <v>본</v>
          </cell>
          <cell r="E80">
            <v>17423</v>
          </cell>
          <cell r="F80">
            <v>0</v>
          </cell>
        </row>
        <row r="81">
          <cell r="A81" t="str">
            <v>4-13.중기운반비</v>
          </cell>
          <cell r="C81" t="str">
            <v>식</v>
          </cell>
          <cell r="E81">
            <v>864104</v>
          </cell>
          <cell r="F81">
            <v>0</v>
          </cell>
        </row>
        <row r="82">
          <cell r="A82" t="str">
            <v>4-14.PVC하수관연결</v>
          </cell>
          <cell r="B82" t="str">
            <v>ф100MM</v>
          </cell>
          <cell r="C82" t="str">
            <v>M</v>
          </cell>
          <cell r="E82">
            <v>2598</v>
          </cell>
          <cell r="F82">
            <v>0</v>
          </cell>
        </row>
        <row r="83">
          <cell r="A83" t="str">
            <v>4-15.상수도이설</v>
          </cell>
          <cell r="E83">
            <v>0</v>
          </cell>
          <cell r="F83">
            <v>0</v>
          </cell>
        </row>
        <row r="84">
          <cell r="A84" t="str">
            <v>a.K.P메카니칼조인트관부설및접합</v>
          </cell>
          <cell r="B84" t="str">
            <v>ф150MM</v>
          </cell>
          <cell r="C84" t="str">
            <v>M</v>
          </cell>
          <cell r="E84">
            <v>27764</v>
          </cell>
          <cell r="F84">
            <v>0</v>
          </cell>
        </row>
        <row r="85">
          <cell r="A85" t="str">
            <v>b.스테인레스강관접합및부설</v>
          </cell>
          <cell r="B85" t="str">
            <v>ф50MM</v>
          </cell>
          <cell r="C85" t="str">
            <v>M</v>
          </cell>
          <cell r="E85">
            <v>50268</v>
          </cell>
          <cell r="F85">
            <v>0</v>
          </cell>
        </row>
        <row r="86">
          <cell r="A86" t="str">
            <v>5.사급자재</v>
          </cell>
          <cell r="C86" t="str">
            <v>식</v>
          </cell>
          <cell r="F86">
            <v>0</v>
          </cell>
        </row>
        <row r="87">
          <cell r="A87" t="str">
            <v>5-1.레미콘</v>
          </cell>
          <cell r="E87">
            <v>0</v>
          </cell>
          <cell r="F87">
            <v>0</v>
          </cell>
        </row>
        <row r="88">
          <cell r="A88" t="str">
            <v>a.레미콘</v>
          </cell>
          <cell r="B88" t="str">
            <v>#57  25x210x12</v>
          </cell>
          <cell r="C88" t="str">
            <v>M3</v>
          </cell>
          <cell r="D88">
            <v>6</v>
          </cell>
          <cell r="E88">
            <v>40809.1</v>
          </cell>
          <cell r="F88">
            <v>244854.59999999998</v>
          </cell>
        </row>
        <row r="89">
          <cell r="A89" t="str">
            <v>b.레미콘</v>
          </cell>
          <cell r="B89" t="str">
            <v>#467 40x210x8</v>
          </cell>
          <cell r="C89" t="str">
            <v>M3</v>
          </cell>
          <cell r="D89">
            <v>38</v>
          </cell>
          <cell r="E89">
            <v>43330</v>
          </cell>
          <cell r="F89">
            <v>1646540</v>
          </cell>
        </row>
        <row r="90">
          <cell r="A90" t="str">
            <v>c.레미콘</v>
          </cell>
          <cell r="B90" t="str">
            <v>#467 40x180x8</v>
          </cell>
          <cell r="C90" t="str">
            <v>M3</v>
          </cell>
          <cell r="D90">
            <v>5</v>
          </cell>
          <cell r="E90">
            <v>39960</v>
          </cell>
          <cell r="F90">
            <v>199800</v>
          </cell>
        </row>
        <row r="91">
          <cell r="A91" t="str">
            <v>d.레미콘</v>
          </cell>
          <cell r="B91" t="str">
            <v>#467 40x160x8</v>
          </cell>
          <cell r="C91" t="str">
            <v>M3</v>
          </cell>
          <cell r="E91">
            <v>38510</v>
          </cell>
          <cell r="F91">
            <v>0</v>
          </cell>
        </row>
        <row r="92">
          <cell r="A92" t="str">
            <v>5-2.철  근</v>
          </cell>
          <cell r="E92">
            <v>0</v>
          </cell>
          <cell r="F92">
            <v>0</v>
          </cell>
        </row>
        <row r="93">
          <cell r="A93" t="str">
            <v>a.이형철근</v>
          </cell>
          <cell r="B93" t="str">
            <v>D19M/M,SD30A,30B</v>
          </cell>
          <cell r="C93" t="str">
            <v>TON</v>
          </cell>
          <cell r="E93">
            <v>239153</v>
          </cell>
          <cell r="F93">
            <v>0</v>
          </cell>
        </row>
        <row r="94">
          <cell r="A94" t="str">
            <v>b.이형철근</v>
          </cell>
          <cell r="B94" t="str">
            <v>D16M/M,SD30A,30B</v>
          </cell>
          <cell r="C94" t="str">
            <v>TON</v>
          </cell>
          <cell r="D94">
            <v>1</v>
          </cell>
          <cell r="E94">
            <v>239153</v>
          </cell>
          <cell r="F94">
            <v>239153</v>
          </cell>
        </row>
        <row r="95">
          <cell r="A95" t="str">
            <v>c.이형철근</v>
          </cell>
          <cell r="B95" t="str">
            <v>D13M/M,SD30A,30B</v>
          </cell>
          <cell r="C95" t="str">
            <v>TON</v>
          </cell>
          <cell r="E95">
            <v>243725</v>
          </cell>
          <cell r="F95">
            <v>0</v>
          </cell>
        </row>
        <row r="96">
          <cell r="A96" t="str">
            <v>5-3.아스팔트</v>
          </cell>
          <cell r="E96">
            <v>0</v>
          </cell>
          <cell r="F96">
            <v>0</v>
          </cell>
        </row>
        <row r="97">
          <cell r="A97" t="str">
            <v>a.아스팔트</v>
          </cell>
          <cell r="B97" t="str">
            <v>MC-1</v>
          </cell>
          <cell r="C97" t="str">
            <v>D/M</v>
          </cell>
          <cell r="D97">
            <v>13</v>
          </cell>
          <cell r="E97">
            <v>58000</v>
          </cell>
          <cell r="F97">
            <v>754000</v>
          </cell>
        </row>
        <row r="98">
          <cell r="A98" t="str">
            <v>b.아스팔트</v>
          </cell>
          <cell r="B98" t="str">
            <v>RS(C)-4</v>
          </cell>
          <cell r="C98" t="str">
            <v>D/M</v>
          </cell>
          <cell r="D98">
            <v>5</v>
          </cell>
          <cell r="E98">
            <v>52000</v>
          </cell>
          <cell r="F98">
            <v>260000</v>
          </cell>
        </row>
        <row r="99">
          <cell r="A99" t="str">
            <v>5-4.보조기층재</v>
          </cell>
          <cell r="C99" t="str">
            <v>M3</v>
          </cell>
          <cell r="D99">
            <v>1564</v>
          </cell>
          <cell r="E99">
            <v>8000</v>
          </cell>
          <cell r="F99">
            <v>12512000</v>
          </cell>
        </row>
        <row r="100">
          <cell r="A100" t="str">
            <v>5-5.모래</v>
          </cell>
          <cell r="C100" t="str">
            <v>M3</v>
          </cell>
          <cell r="E100">
            <v>7000</v>
          </cell>
          <cell r="F100">
            <v>0</v>
          </cell>
        </row>
        <row r="101">
          <cell r="A101" t="str">
            <v>5-6.보통시멘트</v>
          </cell>
          <cell r="B101" t="str">
            <v>40kg/대 (포장품)</v>
          </cell>
          <cell r="C101" t="str">
            <v>포대</v>
          </cell>
          <cell r="D101">
            <v>10</v>
          </cell>
          <cell r="E101">
            <v>2282</v>
          </cell>
          <cell r="F101">
            <v>22820</v>
          </cell>
        </row>
        <row r="102">
          <cell r="A102" t="str">
            <v>6. 건설폐기물처리수수료</v>
          </cell>
          <cell r="C102" t="str">
            <v>식</v>
          </cell>
          <cell r="F102">
            <v>0</v>
          </cell>
        </row>
        <row r="103">
          <cell r="A103" t="str">
            <v>폐기물처리비</v>
          </cell>
          <cell r="B103" t="str">
            <v>L=30KM</v>
          </cell>
          <cell r="C103" t="str">
            <v>M3</v>
          </cell>
          <cell r="D103">
            <v>591</v>
          </cell>
          <cell r="E103">
            <v>33876</v>
          </cell>
          <cell r="F103">
            <v>20020716</v>
          </cell>
        </row>
        <row r="104">
          <cell r="A104" t="str">
            <v>8. 관 급 자 재</v>
          </cell>
          <cell r="C104" t="str">
            <v>식</v>
          </cell>
          <cell r="F104">
            <v>0</v>
          </cell>
        </row>
        <row r="105">
          <cell r="A105" t="str">
            <v>7-1.아 스 콘</v>
          </cell>
          <cell r="E105">
            <v>0</v>
          </cell>
          <cell r="F105">
            <v>0</v>
          </cell>
        </row>
        <row r="106">
          <cell r="A106" t="str">
            <v>a.아스팔트콘크리트(아스콘)</v>
          </cell>
          <cell r="B106" t="str">
            <v>#78  표층용</v>
          </cell>
          <cell r="C106" t="str">
            <v>TON</v>
          </cell>
          <cell r="D106">
            <v>366</v>
          </cell>
          <cell r="E106">
            <v>31090</v>
          </cell>
          <cell r="F106">
            <v>11378940</v>
          </cell>
        </row>
        <row r="107">
          <cell r="A107" t="str">
            <v>b.아스팔트콘크리트(안정처리제)</v>
          </cell>
          <cell r="B107" t="str">
            <v>#467 기층용</v>
          </cell>
          <cell r="C107" t="str">
            <v>TON</v>
          </cell>
          <cell r="D107">
            <v>363</v>
          </cell>
          <cell r="E107">
            <v>28220</v>
          </cell>
          <cell r="F107">
            <v>10243860</v>
          </cell>
        </row>
        <row r="108">
          <cell r="A108" t="str">
            <v>조달 수수료</v>
          </cell>
          <cell r="B108" t="str">
            <v>0.8%</v>
          </cell>
          <cell r="E108">
            <v>0</v>
          </cell>
          <cell r="F108">
            <v>0</v>
          </cell>
        </row>
        <row r="109">
          <cell r="A109" t="str">
            <v>7-2.흄    관</v>
          </cell>
          <cell r="E109">
            <v>0</v>
          </cell>
          <cell r="F109">
            <v>0</v>
          </cell>
        </row>
        <row r="110">
          <cell r="A110" t="str">
            <v>a.원심력철근콘크리트관(보통2종)</v>
          </cell>
          <cell r="B110" t="str">
            <v>1000㎜</v>
          </cell>
          <cell r="C110" t="str">
            <v>M</v>
          </cell>
          <cell r="E110">
            <v>63256</v>
          </cell>
          <cell r="F110">
            <v>0</v>
          </cell>
        </row>
        <row r="111">
          <cell r="A111" t="str">
            <v>b.원심력철근콘크리트관(보통2종)</v>
          </cell>
          <cell r="B111" t="str">
            <v>800㎜</v>
          </cell>
          <cell r="C111" t="str">
            <v>M</v>
          </cell>
          <cell r="D111">
            <v>1128</v>
          </cell>
          <cell r="E111">
            <v>41608</v>
          </cell>
          <cell r="F111">
            <v>46933824</v>
          </cell>
        </row>
        <row r="112">
          <cell r="A112" t="str">
            <v>c.원심력철근콘크리트관(보통2종)</v>
          </cell>
          <cell r="B112" t="str">
            <v>300㎜</v>
          </cell>
          <cell r="C112" t="str">
            <v>M</v>
          </cell>
          <cell r="E112">
            <v>11832</v>
          </cell>
          <cell r="F112">
            <v>0</v>
          </cell>
        </row>
        <row r="113">
          <cell r="A113" t="str">
            <v>조달 수수료</v>
          </cell>
          <cell r="B113" t="str">
            <v>1%</v>
          </cell>
          <cell r="E113">
            <v>0</v>
          </cell>
          <cell r="F113">
            <v>0</v>
          </cell>
        </row>
        <row r="114">
          <cell r="A114" t="str">
            <v>7-3.경 계 석</v>
          </cell>
          <cell r="E114">
            <v>0</v>
          </cell>
          <cell r="F114">
            <v>0</v>
          </cell>
        </row>
        <row r="115">
          <cell r="A115" t="str">
            <v>a.보차도경계석(화강석)</v>
          </cell>
          <cell r="B115" t="str">
            <v>200x250x1000㎜ (직선)</v>
          </cell>
          <cell r="C115" t="str">
            <v>EA</v>
          </cell>
          <cell r="E115">
            <v>24980</v>
          </cell>
          <cell r="F115">
            <v>0</v>
          </cell>
        </row>
        <row r="116">
          <cell r="A116" t="str">
            <v>b.보차도경계석(화강석)</v>
          </cell>
          <cell r="B116" t="str">
            <v>200x250x1000㎜ (곡선)</v>
          </cell>
          <cell r="C116" t="str">
            <v>EA</v>
          </cell>
          <cell r="E116">
            <v>40500</v>
          </cell>
          <cell r="F116">
            <v>0</v>
          </cell>
        </row>
        <row r="117">
          <cell r="A117" t="str">
            <v>e.도로경계석(화강석)</v>
          </cell>
          <cell r="B117" t="str">
            <v>120x150x1000㎜</v>
          </cell>
          <cell r="C117" t="str">
            <v>EA</v>
          </cell>
          <cell r="E117">
            <v>20710</v>
          </cell>
          <cell r="F117">
            <v>0</v>
          </cell>
        </row>
        <row r="118">
          <cell r="A118" t="str">
            <v>조달 수수료</v>
          </cell>
          <cell r="B118" t="str">
            <v>1.0%</v>
          </cell>
          <cell r="E118">
            <v>0</v>
          </cell>
          <cell r="F118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S단가"/>
      <sheetName val="남부견적"/>
      <sheetName val="남부시중단가"/>
      <sheetName val="입석시중단가"/>
      <sheetName val="인터페이스견적"/>
      <sheetName val="인터페이스부품"/>
      <sheetName val="Sheet2"/>
      <sheetName val="Sheet3"/>
      <sheetName val="통합단가"/>
      <sheetName val="2.대외공문"/>
      <sheetName val="tggwan(mac)"/>
      <sheetName val="ilch"/>
      <sheetName val="#REF"/>
      <sheetName val="1.설계기준"/>
      <sheetName val="노임단가"/>
      <sheetName val="ABUT수량-A1"/>
      <sheetName val="말뚝지지력산정"/>
      <sheetName val="신규일위대가"/>
      <sheetName val="실행철강하도"/>
      <sheetName val="danga"/>
      <sheetName val="화재 탐지 설비"/>
      <sheetName val="단가"/>
      <sheetName val="I一般比"/>
      <sheetName val="Sheet1"/>
      <sheetName val="경"/>
      <sheetName val="부대내역"/>
      <sheetName val="개략"/>
      <sheetName val="REDUCER"/>
      <sheetName val="WE'T"/>
      <sheetName val="0001new"/>
      <sheetName val="중간부"/>
      <sheetName val="매출피벗"/>
      <sheetName val="2F 회의실견적(5_14 일대)"/>
      <sheetName val="세원견적서"/>
      <sheetName val="3BL공동구 수량"/>
      <sheetName val="내역서"/>
      <sheetName val="주형"/>
      <sheetName val="가도공"/>
      <sheetName val="토공(우물통,기타) "/>
      <sheetName val="입출재고현황 (2)"/>
      <sheetName val="P54"/>
      <sheetName val="내역"/>
      <sheetName val="터파기및재료"/>
      <sheetName val="설계조건"/>
      <sheetName val="2000전체분"/>
      <sheetName val="2000년1차"/>
      <sheetName val="Sheet5"/>
      <sheetName val="우수"/>
      <sheetName val="을"/>
      <sheetName val="전기품산출"/>
      <sheetName val="공량산출서"/>
      <sheetName val="BID"/>
      <sheetName val="b_balju_cho"/>
      <sheetName val="Sheet9"/>
      <sheetName val="일위대가표"/>
      <sheetName val="현장지지물물량"/>
      <sheetName val="데리네이타현황"/>
      <sheetName val="충주"/>
      <sheetName val="포장공자재집계표"/>
      <sheetName val="DATE"/>
      <sheetName val="사업수지"/>
      <sheetName val="직재"/>
      <sheetName val="STEEL BOX 단면설계(SEC.8)"/>
      <sheetName val="장비1월"/>
      <sheetName val="식간식대"/>
      <sheetName val="공제집계"/>
      <sheetName val="유류대(갑지)1월"/>
      <sheetName val="식간식대(갑지)"/>
      <sheetName val="자재대(갑지)"/>
      <sheetName val="자재(기술건철)"/>
      <sheetName val="전기"/>
      <sheetName val="수로단위수량"/>
      <sheetName val="청하배수"/>
      <sheetName val="도로"/>
      <sheetName val="우배수"/>
      <sheetName val="내역(한신APT)"/>
      <sheetName val="소일위대가코드표"/>
      <sheetName val="Products"/>
      <sheetName val="중갑지"/>
      <sheetName val="esc"/>
      <sheetName val="착공내역서"/>
      <sheetName val="단"/>
      <sheetName val="부하계산서"/>
      <sheetName val="공종별집계표"/>
      <sheetName val="화재_탐지_설비"/>
      <sheetName val="1_설계기준"/>
      <sheetName val="2_대외공문"/>
      <sheetName val="자재단가"/>
      <sheetName val="제잡비.xls"/>
      <sheetName val="노임"/>
      <sheetName val="1.설계조건"/>
      <sheetName val="건축"/>
      <sheetName val="내진해석"/>
      <sheetName val="운동장 (2)"/>
      <sheetName val="L_RPTA05_목록"/>
      <sheetName val="입상내역"/>
      <sheetName val="원가계산서"/>
      <sheetName val="수량산출서-2"/>
      <sheetName val="환율"/>
      <sheetName val="일위대가"/>
      <sheetName val="불출요청"/>
      <sheetName val="유기공정"/>
      <sheetName val="N賃率-職"/>
      <sheetName val="Y-WORK"/>
      <sheetName val="PNLIST"/>
      <sheetName val="WORK"/>
      <sheetName val="4.예산내역서"/>
      <sheetName val="본공사"/>
      <sheetName val="1_설계기준1"/>
      <sheetName val="순성토"/>
      <sheetName val="입력데이타"/>
      <sheetName val="기계내역"/>
      <sheetName val="TABLE"/>
      <sheetName val="횡분배정리(DB)"/>
      <sheetName val="직원동원계획"/>
      <sheetName val="CODE"/>
      <sheetName val="1공구산출내역서"/>
      <sheetName val="Piping Design Data"/>
      <sheetName val="전기일위대가"/>
      <sheetName val="JUCKEYK"/>
      <sheetName val="8.석축단위(H=1.5M)"/>
      <sheetName val="토 적 표"/>
      <sheetName val="Sheet1 (2)"/>
      <sheetName val="내"/>
      <sheetName val="가공2원도"/>
      <sheetName val="수량산출서"/>
      <sheetName val="rate"/>
      <sheetName val="위치조서"/>
      <sheetName val="계장산출서"/>
      <sheetName val="내역표지"/>
      <sheetName val="토목"/>
      <sheetName val="비교표"/>
      <sheetName val="단면가정"/>
      <sheetName val="방송(체육관)"/>
      <sheetName val="용수지선토적"/>
      <sheetName val="도로토적"/>
      <sheetName val="토공A"/>
      <sheetName val="지출결의서(1-3)"/>
      <sheetName val="COVER"/>
      <sheetName val="3련 BOX"/>
      <sheetName val="수량산출"/>
      <sheetName val="통신내역서"/>
      <sheetName val="단면치수"/>
      <sheetName val="5.정산서"/>
      <sheetName val="부하(성남)"/>
      <sheetName val="산출"/>
      <sheetName val="동력부하계산"/>
      <sheetName val="DHEQSUPT"/>
      <sheetName val="자재조사표"/>
      <sheetName val="인건비"/>
      <sheetName val="토적"/>
      <sheetName val="8.주형의 이음"/>
      <sheetName val="설계명세서"/>
      <sheetName val="건축집계표이수"/>
      <sheetName val="건축집계합계"/>
      <sheetName val="보차도경계석"/>
      <sheetName val="견적 업체 LIST"/>
      <sheetName val="자동제어"/>
      <sheetName val="기둥(원형)"/>
      <sheetName val="MEXICO-C"/>
      <sheetName val="대공종"/>
      <sheetName val="96배수"/>
      <sheetName val="집계표"/>
      <sheetName val="하수급견적대비"/>
      <sheetName val="표층포설및다짐"/>
      <sheetName val="내역서적용수량 (지방도893)"/>
      <sheetName val="설계기준 및 하중계산"/>
      <sheetName val="대치판정"/>
      <sheetName val="약품공급2"/>
      <sheetName val="플랜트 설치"/>
      <sheetName val="설계예산서1"/>
      <sheetName val="J直材4"/>
      <sheetName val="부대비율"/>
      <sheetName val="견적서(대외) (2)"/>
      <sheetName val="정부노임단가"/>
      <sheetName val="물량산출근거"/>
      <sheetName val="1"/>
      <sheetName val="토목내역서"/>
      <sheetName val="ALINE"/>
      <sheetName val="7.경제성결과"/>
      <sheetName val="설계예산서"/>
      <sheetName val="내역(영일)"/>
      <sheetName val="SORCE1"/>
      <sheetName val="역사이펀평균높이"/>
      <sheetName val="가시설단위수량"/>
      <sheetName val="이토변실(A3-LINE)"/>
      <sheetName val="견적서을지"/>
      <sheetName val="C-노임단가"/>
      <sheetName val="교각계산"/>
      <sheetName val="직노"/>
      <sheetName val="용량(1-2)"/>
      <sheetName val="일위대가목차"/>
      <sheetName val="2000년하반기"/>
      <sheetName val="Data&amp;Result"/>
      <sheetName val="소상 &quot;1&quot;"/>
      <sheetName val="제4절-1"/>
      <sheetName val="PROJECT BRIEF"/>
      <sheetName val="총괄"/>
      <sheetName val="예수금"/>
      <sheetName val="임시공사건"/>
      <sheetName val="적격"/>
      <sheetName val="단위수량"/>
      <sheetName val="A LINE"/>
      <sheetName val="데이타"/>
      <sheetName val="Macro(차단기)"/>
      <sheetName val="식재인부"/>
      <sheetName val="참조(2)"/>
      <sheetName val="참조"/>
      <sheetName val="단가산출서"/>
      <sheetName val="배수내역"/>
      <sheetName val="터널조도"/>
      <sheetName val="공사개요"/>
      <sheetName val="공통부대비"/>
      <sheetName val="과천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DATA"/>
      <sheetName val="OUTPUT1"/>
      <sheetName val="LOAD case"/>
      <sheetName val="Sheet3"/>
      <sheetName val="개략"/>
      <sheetName val="단가"/>
      <sheetName val="우수"/>
    </sheetNames>
    <sheetDataSet>
      <sheetData sheetId="0">
        <row r="66">
          <cell r="O66">
            <v>240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표지"/>
      <sheetName val="원가"/>
      <sheetName val="견적갑지"/>
      <sheetName val="견적을지"/>
      <sheetName val="관급자재집계표"/>
      <sheetName val="관급자재"/>
      <sheetName val="한전"/>
      <sheetName val="일대"/>
      <sheetName val="단위단가"/>
      <sheetName val="단위수량"/>
      <sheetName val="조도"/>
      <sheetName val="부하"/>
      <sheetName val="전압강하"/>
      <sheetName val="단가조사"/>
      <sheetName val="노무비단가"/>
      <sheetName val="INPUTDATA"/>
      <sheetName val="DATA 입력란"/>
      <sheetName val="1. 설계조건 2.단면가정 3. 하중계산"/>
      <sheetName val="b_balju"/>
      <sheetName val="input"/>
      <sheetName val="SG"/>
      <sheetName val="과천MAIN"/>
      <sheetName val="견적서"/>
      <sheetName val="단가 및 재료비"/>
      <sheetName val="1.설계조건"/>
      <sheetName val="골조시행"/>
      <sheetName val="정부노임"/>
      <sheetName val="guard(mac)"/>
      <sheetName val="내역서"/>
      <sheetName val="1.설계기준"/>
      <sheetName val="견적대비 견적서"/>
      <sheetName val="옥외외등집계표"/>
      <sheetName val="손익분석"/>
      <sheetName val="2002년 8월 20일"/>
      <sheetName val="sw1"/>
      <sheetName val="NOMUBI"/>
      <sheetName val="토목내역서"/>
      <sheetName val="평동산단진입도로개설(2차구간)가로등"/>
      <sheetName val="원하대비"/>
      <sheetName val="원도급"/>
      <sheetName val="하도급"/>
      <sheetName val="일위대가양식"/>
      <sheetName val="금액내역서"/>
      <sheetName val="노임단가"/>
      <sheetName val="Sheet1"/>
      <sheetName val="합천내역"/>
      <sheetName val="수량산출"/>
      <sheetName val="LOPCALC"/>
      <sheetName val="BOX"/>
      <sheetName val="#REF"/>
      <sheetName val="표지 (2)"/>
      <sheetName val="6. 케이블 굵기 선정"/>
      <sheetName val="일위대가"/>
      <sheetName val="인건-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부집계"/>
      <sheetName val="철근집계"/>
      <sheetName val="SLAB"/>
      <sheetName val="방호벽"/>
      <sheetName val="삽도"/>
      <sheetName val="일반수량집계"/>
      <sheetName val="교각철근집계표"/>
      <sheetName val="토공집계표"/>
      <sheetName val="PIER1"/>
      <sheetName val="PIER2"/>
      <sheetName val="Sheet1"/>
      <sheetName val="DATE"/>
      <sheetName val="영문교상부"/>
      <sheetName val="2공구산출내역"/>
      <sheetName val="INPUTDATA"/>
      <sheetName val="옹벽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장및면적(좌측)"/>
      <sheetName val="단가목록"/>
      <sheetName val="SLAB"/>
      <sheetName val="설계조건"/>
      <sheetName val="조명시설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댓가"/>
      <sheetName val="댓가-1"/>
      <sheetName val="적산-운반"/>
      <sheetName val="운용비"/>
      <sheetName val="97노임"/>
      <sheetName val="노무"/>
      <sheetName val="기초산출조사"/>
      <sheetName val="재료"/>
      <sheetName val="산출총괄"/>
      <sheetName val="대가총괄"/>
      <sheetName val="원가계산(C)"/>
      <sheetName val="갑지(c)"/>
      <sheetName val="(C)내역서"/>
      <sheetName val="원가계산(A)"/>
      <sheetName val="갑지(a)"/>
      <sheetName val="(A)내역서"/>
      <sheetName val="시설일위"/>
      <sheetName val="96보완계획7.12"/>
      <sheetName val="내역서"/>
      <sheetName val="코드표"/>
      <sheetName val="터파기및재료"/>
      <sheetName val="실행철강하도"/>
      <sheetName val="#REF"/>
      <sheetName val="산출근거"/>
      <sheetName val="suk(mac)"/>
      <sheetName val="A"/>
      <sheetName val="97kdRoad2"/>
      <sheetName val="총괄표"/>
      <sheetName val="토공(우물통,기타) "/>
      <sheetName val="SLAB"/>
      <sheetName val="S0"/>
      <sheetName val="수량산출"/>
      <sheetName val="대치판정"/>
      <sheetName val="설비"/>
      <sheetName val="조명시설"/>
      <sheetName val="노임단가"/>
      <sheetName val="단가"/>
      <sheetName val="정부노임단가"/>
      <sheetName val="충주"/>
      <sheetName val="중기"/>
      <sheetName val="ABUT수량-A1"/>
      <sheetName val="SG"/>
      <sheetName val="신규일위대가"/>
      <sheetName val="96보완계획7_12"/>
      <sheetName val="2000년1차"/>
      <sheetName val="2000전체분"/>
      <sheetName val="crude.SLAB RE-bar"/>
      <sheetName val="DATE"/>
      <sheetName val="4차원가계산서"/>
      <sheetName val="Sheet1"/>
      <sheetName val="단가목록"/>
      <sheetName val="주차구획선수량"/>
      <sheetName val="3CHBDC"/>
      <sheetName val="가도공"/>
      <sheetName val="인건비"/>
      <sheetName val="개략"/>
      <sheetName val="1.수인터널"/>
      <sheetName val="동해title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">
          <cell r="F4">
            <v>0</v>
          </cell>
          <cell r="H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H5">
            <v>0</v>
          </cell>
          <cell r="J5">
            <v>0</v>
          </cell>
          <cell r="K5">
            <v>0</v>
          </cell>
        </row>
        <row r="6">
          <cell r="F6">
            <v>73604593</v>
          </cell>
          <cell r="H6">
            <v>216640258</v>
          </cell>
          <cell r="J6">
            <v>98712358</v>
          </cell>
          <cell r="K6">
            <v>388957209</v>
          </cell>
        </row>
        <row r="7">
          <cell r="F7">
            <v>0</v>
          </cell>
          <cell r="H7">
            <v>0</v>
          </cell>
          <cell r="J7">
            <v>0</v>
          </cell>
          <cell r="K7">
            <v>0</v>
          </cell>
        </row>
        <row r="8">
          <cell r="F8">
            <v>10244531</v>
          </cell>
          <cell r="H8">
            <v>393302784</v>
          </cell>
          <cell r="J8">
            <v>298171241</v>
          </cell>
          <cell r="K8">
            <v>701718556</v>
          </cell>
        </row>
        <row r="9">
          <cell r="F9">
            <v>0</v>
          </cell>
          <cell r="H9">
            <v>0</v>
          </cell>
          <cell r="J9">
            <v>0</v>
          </cell>
          <cell r="K9">
            <v>0</v>
          </cell>
        </row>
        <row r="10">
          <cell r="F10">
            <v>0</v>
          </cell>
          <cell r="H10">
            <v>12217870</v>
          </cell>
          <cell r="J10">
            <v>25254380</v>
          </cell>
          <cell r="K10">
            <v>37472250</v>
          </cell>
        </row>
        <row r="11">
          <cell r="F11">
            <v>0</v>
          </cell>
          <cell r="H11">
            <v>0</v>
          </cell>
          <cell r="J11">
            <v>0</v>
          </cell>
          <cell r="K11">
            <v>0</v>
          </cell>
        </row>
        <row r="12">
          <cell r="F12">
            <v>83849124</v>
          </cell>
          <cell r="H12">
            <v>622160912</v>
          </cell>
          <cell r="J12">
            <v>422137979</v>
          </cell>
          <cell r="K12">
            <v>1128148015</v>
          </cell>
        </row>
        <row r="13">
          <cell r="F13">
            <v>0</v>
          </cell>
          <cell r="H13">
            <v>0</v>
          </cell>
          <cell r="J13">
            <v>0</v>
          </cell>
          <cell r="K13">
            <v>0</v>
          </cell>
        </row>
        <row r="14">
          <cell r="F14">
            <v>0</v>
          </cell>
          <cell r="H14">
            <v>0</v>
          </cell>
          <cell r="J14">
            <v>0</v>
          </cell>
          <cell r="K14">
            <v>87102500</v>
          </cell>
        </row>
        <row r="15">
          <cell r="F15">
            <v>0</v>
          </cell>
          <cell r="H15">
            <v>0</v>
          </cell>
          <cell r="J15">
            <v>0</v>
          </cell>
          <cell r="K15">
            <v>0</v>
          </cell>
        </row>
        <row r="16">
          <cell r="F16">
            <v>0</v>
          </cell>
          <cell r="H16">
            <v>0</v>
          </cell>
          <cell r="J16">
            <v>0</v>
          </cell>
          <cell r="K16">
            <v>44572900</v>
          </cell>
        </row>
        <row r="17">
          <cell r="F17">
            <v>0</v>
          </cell>
          <cell r="H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H18">
            <v>0</v>
          </cell>
          <cell r="J18">
            <v>0</v>
          </cell>
          <cell r="K18">
            <v>1259823415</v>
          </cell>
        </row>
        <row r="19"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F20">
            <v>0</v>
          </cell>
          <cell r="H20">
            <v>0</v>
          </cell>
          <cell r="J20">
            <v>0</v>
          </cell>
          <cell r="K20">
            <v>62991100</v>
          </cell>
        </row>
        <row r="21"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H22">
            <v>0</v>
          </cell>
          <cell r="J22">
            <v>0</v>
          </cell>
          <cell r="K22">
            <v>1322814515</v>
          </cell>
        </row>
        <row r="23"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F24">
            <v>0</v>
          </cell>
          <cell r="H24">
            <v>0</v>
          </cell>
          <cell r="J24">
            <v>0</v>
          </cell>
          <cell r="K24">
            <v>185802569</v>
          </cell>
        </row>
        <row r="25"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F26">
            <v>0</v>
          </cell>
          <cell r="H26">
            <v>0</v>
          </cell>
          <cell r="J26">
            <v>0</v>
          </cell>
          <cell r="K26">
            <v>69830452</v>
          </cell>
        </row>
        <row r="27"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F28">
            <v>0</v>
          </cell>
          <cell r="H28">
            <v>0</v>
          </cell>
          <cell r="J28">
            <v>0</v>
          </cell>
          <cell r="K28">
            <v>1578447536</v>
          </cell>
        </row>
        <row r="29"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F30">
            <v>0</v>
          </cell>
          <cell r="H30">
            <v>0</v>
          </cell>
          <cell r="J30">
            <v>0</v>
          </cell>
          <cell r="K30">
            <v>157844754</v>
          </cell>
        </row>
        <row r="31"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F32">
            <v>0</v>
          </cell>
          <cell r="H32">
            <v>0</v>
          </cell>
          <cell r="J32">
            <v>0</v>
          </cell>
          <cell r="K32">
            <v>3780000</v>
          </cell>
        </row>
        <row r="33"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F34">
            <v>0</v>
          </cell>
          <cell r="H34">
            <v>0</v>
          </cell>
          <cell r="J34">
            <v>0</v>
          </cell>
          <cell r="K34">
            <v>10027710</v>
          </cell>
        </row>
        <row r="35"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F36">
            <v>0</v>
          </cell>
          <cell r="H36">
            <v>0</v>
          </cell>
          <cell r="J36">
            <v>0</v>
          </cell>
          <cell r="K36">
            <v>1750100000</v>
          </cell>
        </row>
        <row r="37"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H38">
            <v>0</v>
          </cell>
          <cell r="J38">
            <v>0</v>
          </cell>
          <cell r="K38">
            <v>146810480</v>
          </cell>
        </row>
        <row r="39"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F40">
            <v>0</v>
          </cell>
          <cell r="H40">
            <v>0</v>
          </cell>
          <cell r="J40">
            <v>0</v>
          </cell>
          <cell r="K40">
            <v>1896910480</v>
          </cell>
        </row>
        <row r="41"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F42">
            <v>0</v>
          </cell>
          <cell r="H42">
            <v>0</v>
          </cell>
          <cell r="J42">
            <v>0</v>
          </cell>
          <cell r="K42">
            <v>0</v>
          </cell>
        </row>
        <row r="43"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4">
          <cell r="E74">
            <v>648</v>
          </cell>
          <cell r="F74">
            <v>972000</v>
          </cell>
          <cell r="G74">
            <v>531</v>
          </cell>
          <cell r="H74">
            <v>796500</v>
          </cell>
          <cell r="I74">
            <v>66</v>
          </cell>
          <cell r="J74">
            <v>99000</v>
          </cell>
          <cell r="K74">
            <v>1867500</v>
          </cell>
          <cell r="L74" t="str">
            <v>27호표</v>
          </cell>
        </row>
        <row r="75"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E76">
            <v>721</v>
          </cell>
          <cell r="F76">
            <v>21630</v>
          </cell>
          <cell r="G76">
            <v>559</v>
          </cell>
          <cell r="H76">
            <v>16770</v>
          </cell>
          <cell r="I76">
            <v>67</v>
          </cell>
          <cell r="J76">
            <v>2010</v>
          </cell>
          <cell r="K76">
            <v>40410</v>
          </cell>
          <cell r="L76" t="str">
            <v>26호표</v>
          </cell>
        </row>
        <row r="77"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E78">
            <v>5859</v>
          </cell>
          <cell r="F78">
            <v>585900</v>
          </cell>
          <cell r="G78">
            <v>117196</v>
          </cell>
          <cell r="H78">
            <v>11719600</v>
          </cell>
          <cell r="I78">
            <v>0</v>
          </cell>
          <cell r="J78">
            <v>0</v>
          </cell>
          <cell r="K78">
            <v>12305500</v>
          </cell>
          <cell r="L78" t="str">
            <v>14호표</v>
          </cell>
        </row>
        <row r="79"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E80">
            <v>902</v>
          </cell>
          <cell r="F80">
            <v>90200</v>
          </cell>
          <cell r="G80">
            <v>6664</v>
          </cell>
          <cell r="H80">
            <v>666400</v>
          </cell>
          <cell r="I80">
            <v>3495</v>
          </cell>
          <cell r="J80">
            <v>349500</v>
          </cell>
          <cell r="K80">
            <v>1106100</v>
          </cell>
          <cell r="L80" t="str">
            <v>15호표</v>
          </cell>
        </row>
        <row r="81"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E82">
            <v>902</v>
          </cell>
          <cell r="F82">
            <v>90200</v>
          </cell>
          <cell r="G82">
            <v>4760</v>
          </cell>
          <cell r="H82">
            <v>476000</v>
          </cell>
          <cell r="I82">
            <v>3495</v>
          </cell>
          <cell r="J82">
            <v>349500</v>
          </cell>
          <cell r="K82">
            <v>915700</v>
          </cell>
          <cell r="L82" t="str">
            <v>15-1호표</v>
          </cell>
        </row>
        <row r="83"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E84">
            <v>6939</v>
          </cell>
          <cell r="F84">
            <v>104085</v>
          </cell>
          <cell r="G84">
            <v>138786</v>
          </cell>
          <cell r="H84">
            <v>2081790</v>
          </cell>
          <cell r="I84">
            <v>0</v>
          </cell>
          <cell r="J84">
            <v>0</v>
          </cell>
          <cell r="K84">
            <v>2185875</v>
          </cell>
          <cell r="L84" t="str">
            <v>13호표</v>
          </cell>
        </row>
        <row r="85"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E86">
            <v>0</v>
          </cell>
          <cell r="F86">
            <v>0</v>
          </cell>
          <cell r="G86">
            <v>10763</v>
          </cell>
          <cell r="H86">
            <v>20664960</v>
          </cell>
          <cell r="I86">
            <v>0</v>
          </cell>
          <cell r="J86">
            <v>0</v>
          </cell>
          <cell r="K86">
            <v>20664960</v>
          </cell>
          <cell r="L86" t="str">
            <v>8호표</v>
          </cell>
        </row>
        <row r="87"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E88">
            <v>0</v>
          </cell>
          <cell r="F88">
            <v>0</v>
          </cell>
          <cell r="G88">
            <v>12720</v>
          </cell>
          <cell r="H88">
            <v>36977040</v>
          </cell>
          <cell r="I88">
            <v>0</v>
          </cell>
          <cell r="J88">
            <v>0</v>
          </cell>
          <cell r="K88">
            <v>36977040</v>
          </cell>
          <cell r="L88" t="str">
            <v>9호표</v>
          </cell>
        </row>
        <row r="89"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E90">
            <v>137</v>
          </cell>
          <cell r="F90">
            <v>211665</v>
          </cell>
          <cell r="G90">
            <v>1834</v>
          </cell>
          <cell r="H90">
            <v>2833530</v>
          </cell>
          <cell r="I90">
            <v>354</v>
          </cell>
          <cell r="J90">
            <v>546930</v>
          </cell>
          <cell r="K90">
            <v>3592125</v>
          </cell>
          <cell r="L90" t="str">
            <v>10호표</v>
          </cell>
        </row>
        <row r="91"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E92">
            <v>137</v>
          </cell>
          <cell r="F92">
            <v>211665</v>
          </cell>
          <cell r="G92">
            <v>1310</v>
          </cell>
          <cell r="H92">
            <v>2023950</v>
          </cell>
          <cell r="I92">
            <v>354</v>
          </cell>
          <cell r="J92">
            <v>546930</v>
          </cell>
          <cell r="K92">
            <v>2782545</v>
          </cell>
          <cell r="L92" t="str">
            <v>10-1호표</v>
          </cell>
        </row>
        <row r="93"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E94">
            <v>162</v>
          </cell>
          <cell r="F94">
            <v>268434</v>
          </cell>
          <cell r="G94">
            <v>917</v>
          </cell>
          <cell r="H94">
            <v>1519469</v>
          </cell>
          <cell r="I94">
            <v>391</v>
          </cell>
          <cell r="J94">
            <v>647887</v>
          </cell>
          <cell r="K94">
            <v>2435790</v>
          </cell>
          <cell r="L94" t="str">
            <v>11호표</v>
          </cell>
        </row>
        <row r="95"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E96">
            <v>162</v>
          </cell>
          <cell r="F96">
            <v>273294</v>
          </cell>
          <cell r="G96">
            <v>655</v>
          </cell>
          <cell r="H96">
            <v>1104985</v>
          </cell>
          <cell r="I96">
            <v>391</v>
          </cell>
          <cell r="J96">
            <v>659617</v>
          </cell>
          <cell r="K96">
            <v>2037896</v>
          </cell>
          <cell r="L96" t="str">
            <v>11-1호표</v>
          </cell>
        </row>
        <row r="97"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E98">
            <v>624</v>
          </cell>
          <cell r="F98">
            <v>3012048</v>
          </cell>
          <cell r="G98">
            <v>11691</v>
          </cell>
          <cell r="H98">
            <v>56432457</v>
          </cell>
          <cell r="I98">
            <v>2120</v>
          </cell>
          <cell r="J98">
            <v>10233240</v>
          </cell>
          <cell r="K98">
            <v>69677745</v>
          </cell>
          <cell r="L98" t="str">
            <v>16호표</v>
          </cell>
        </row>
        <row r="99"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E100">
            <v>798</v>
          </cell>
          <cell r="F100">
            <v>1232910</v>
          </cell>
          <cell r="G100">
            <v>4904</v>
          </cell>
          <cell r="H100">
            <v>7576680</v>
          </cell>
          <cell r="I100">
            <v>1662</v>
          </cell>
          <cell r="J100">
            <v>2567790</v>
          </cell>
          <cell r="K100">
            <v>11377380</v>
          </cell>
          <cell r="L100" t="str">
            <v>17호표</v>
          </cell>
        </row>
        <row r="101"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E102">
            <v>798</v>
          </cell>
          <cell r="F102">
            <v>1232910</v>
          </cell>
          <cell r="G102">
            <v>3503</v>
          </cell>
          <cell r="H102">
            <v>5412135</v>
          </cell>
          <cell r="I102">
            <v>1662</v>
          </cell>
          <cell r="J102">
            <v>2567790</v>
          </cell>
          <cell r="K102">
            <v>9212835</v>
          </cell>
          <cell r="L102" t="str">
            <v>17-1호표</v>
          </cell>
        </row>
        <row r="103"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E104">
            <v>5691</v>
          </cell>
          <cell r="F104">
            <v>9429987</v>
          </cell>
          <cell r="G104">
            <v>7959</v>
          </cell>
          <cell r="H104">
            <v>13188063</v>
          </cell>
          <cell r="I104">
            <v>7327</v>
          </cell>
          <cell r="J104">
            <v>12140839</v>
          </cell>
          <cell r="K104">
            <v>34758889</v>
          </cell>
          <cell r="L104" t="str">
            <v>18호표</v>
          </cell>
        </row>
        <row r="105"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E106">
            <v>5691</v>
          </cell>
          <cell r="F106">
            <v>9600717</v>
          </cell>
          <cell r="G106">
            <v>5685</v>
          </cell>
          <cell r="H106">
            <v>9590595</v>
          </cell>
          <cell r="I106">
            <v>7327</v>
          </cell>
          <cell r="J106">
            <v>12360649</v>
          </cell>
          <cell r="K106">
            <v>31551961</v>
          </cell>
          <cell r="L106" t="str">
            <v>18-1호표</v>
          </cell>
        </row>
        <row r="107"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E108">
            <v>5844</v>
          </cell>
          <cell r="F108">
            <v>46266948</v>
          </cell>
          <cell r="G108">
            <v>5502</v>
          </cell>
          <cell r="H108">
            <v>43559334</v>
          </cell>
          <cell r="I108">
            <v>7028</v>
          </cell>
          <cell r="J108">
            <v>55640676</v>
          </cell>
          <cell r="K108">
            <v>145466958</v>
          </cell>
          <cell r="L108" t="str">
            <v>19호표</v>
          </cell>
        </row>
        <row r="109"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F110">
            <v>73604593</v>
          </cell>
          <cell r="H110">
            <v>216640258</v>
          </cell>
          <cell r="J110">
            <v>98712358</v>
          </cell>
          <cell r="K110">
            <v>388957209</v>
          </cell>
        </row>
        <row r="111">
          <cell r="K111">
            <v>0</v>
          </cell>
        </row>
        <row r="114">
          <cell r="E114">
            <v>1405</v>
          </cell>
          <cell r="F114">
            <v>122235</v>
          </cell>
          <cell r="G114">
            <v>28016</v>
          </cell>
          <cell r="H114">
            <v>2437392</v>
          </cell>
          <cell r="I114">
            <v>965</v>
          </cell>
          <cell r="J114">
            <v>83955</v>
          </cell>
          <cell r="K114">
            <v>2643582</v>
          </cell>
          <cell r="L114" t="str">
            <v>28호표</v>
          </cell>
        </row>
        <row r="115"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E116">
            <v>1460</v>
          </cell>
          <cell r="F116">
            <v>13140</v>
          </cell>
          <cell r="G116">
            <v>18677</v>
          </cell>
          <cell r="H116">
            <v>168093</v>
          </cell>
          <cell r="I116">
            <v>635</v>
          </cell>
          <cell r="J116">
            <v>5715</v>
          </cell>
          <cell r="K116">
            <v>186948</v>
          </cell>
          <cell r="L116" t="str">
            <v>29호표</v>
          </cell>
        </row>
        <row r="117"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E118">
            <v>1458</v>
          </cell>
          <cell r="F118">
            <v>87480</v>
          </cell>
          <cell r="G118">
            <v>24362</v>
          </cell>
          <cell r="H118">
            <v>1461720</v>
          </cell>
          <cell r="I118">
            <v>3626</v>
          </cell>
          <cell r="J118">
            <v>217560</v>
          </cell>
          <cell r="K118">
            <v>1766760</v>
          </cell>
          <cell r="L118" t="str">
            <v>30호표</v>
          </cell>
        </row>
        <row r="119"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E120">
            <v>1458</v>
          </cell>
          <cell r="F120">
            <v>96228</v>
          </cell>
          <cell r="G120">
            <v>17402</v>
          </cell>
          <cell r="H120">
            <v>1148532</v>
          </cell>
          <cell r="I120">
            <v>3626</v>
          </cell>
          <cell r="J120">
            <v>239316</v>
          </cell>
          <cell r="K120">
            <v>1484076</v>
          </cell>
          <cell r="L120" t="str">
            <v>30-1호표</v>
          </cell>
        </row>
        <row r="121"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E122">
            <v>4431</v>
          </cell>
          <cell r="F122">
            <v>8862</v>
          </cell>
          <cell r="G122">
            <v>258186</v>
          </cell>
          <cell r="H122">
            <v>516372</v>
          </cell>
          <cell r="I122">
            <v>441837</v>
          </cell>
          <cell r="J122">
            <v>883674</v>
          </cell>
          <cell r="K122">
            <v>1408908</v>
          </cell>
          <cell r="L122" t="str">
            <v>34호표</v>
          </cell>
        </row>
        <row r="123"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E124">
            <v>8862</v>
          </cell>
          <cell r="F124">
            <v>239274</v>
          </cell>
          <cell r="G124">
            <v>516373</v>
          </cell>
          <cell r="H124">
            <v>13942071</v>
          </cell>
          <cell r="I124">
            <v>883674</v>
          </cell>
          <cell r="J124">
            <v>23859198</v>
          </cell>
          <cell r="K124">
            <v>38040543</v>
          </cell>
          <cell r="L124" t="str">
            <v>38호표</v>
          </cell>
        </row>
        <row r="125">
          <cell r="F125">
            <v>0</v>
          </cell>
          <cell r="H125">
            <v>0</v>
          </cell>
          <cell r="J125">
            <v>0</v>
          </cell>
          <cell r="K125">
            <v>0</v>
          </cell>
        </row>
        <row r="126">
          <cell r="E126">
            <v>8680</v>
          </cell>
          <cell r="F126">
            <v>164920</v>
          </cell>
          <cell r="G126">
            <v>521920</v>
          </cell>
          <cell r="H126">
            <v>9916480</v>
          </cell>
          <cell r="I126">
            <v>898976</v>
          </cell>
          <cell r="J126">
            <v>17080544</v>
          </cell>
          <cell r="K126">
            <v>27161944</v>
          </cell>
          <cell r="L126" t="str">
            <v>39호표</v>
          </cell>
        </row>
        <row r="127">
          <cell r="F127">
            <v>0</v>
          </cell>
          <cell r="H127">
            <v>0</v>
          </cell>
          <cell r="J127">
            <v>0</v>
          </cell>
          <cell r="K127">
            <v>0</v>
          </cell>
        </row>
        <row r="128">
          <cell r="E128">
            <v>8680</v>
          </cell>
          <cell r="F128">
            <v>86800</v>
          </cell>
          <cell r="G128">
            <v>521920</v>
          </cell>
          <cell r="H128">
            <v>5219200</v>
          </cell>
          <cell r="I128">
            <v>453755</v>
          </cell>
          <cell r="J128">
            <v>4537550</v>
          </cell>
          <cell r="K128">
            <v>9843550</v>
          </cell>
          <cell r="L128" t="str">
            <v>40호표</v>
          </cell>
        </row>
        <row r="129"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E130">
            <v>8680</v>
          </cell>
          <cell r="F130">
            <v>95480</v>
          </cell>
          <cell r="G130">
            <v>372800</v>
          </cell>
          <cell r="H130">
            <v>4100800</v>
          </cell>
          <cell r="I130">
            <v>453755</v>
          </cell>
          <cell r="J130">
            <v>4991305</v>
          </cell>
          <cell r="K130">
            <v>9187585</v>
          </cell>
          <cell r="L130" t="str">
            <v>40-1호표</v>
          </cell>
        </row>
        <row r="131"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E132">
            <v>10762</v>
          </cell>
          <cell r="F132">
            <v>204478</v>
          </cell>
          <cell r="G132">
            <v>672096</v>
          </cell>
          <cell r="H132">
            <v>12769824</v>
          </cell>
          <cell r="I132">
            <v>1177674</v>
          </cell>
          <cell r="J132">
            <v>22375806</v>
          </cell>
          <cell r="K132">
            <v>35350108</v>
          </cell>
          <cell r="L132" t="str">
            <v>42호표</v>
          </cell>
        </row>
        <row r="133"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E134">
            <v>13248</v>
          </cell>
          <cell r="F134">
            <v>158976</v>
          </cell>
          <cell r="G134">
            <v>723860</v>
          </cell>
          <cell r="H134">
            <v>8686320</v>
          </cell>
          <cell r="I134">
            <v>1202798</v>
          </cell>
          <cell r="J134">
            <v>14433576</v>
          </cell>
          <cell r="K134">
            <v>23278872</v>
          </cell>
          <cell r="L134" t="str">
            <v>43호표</v>
          </cell>
        </row>
        <row r="135"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E136">
            <v>13248</v>
          </cell>
          <cell r="F136">
            <v>79488</v>
          </cell>
          <cell r="G136">
            <v>723860</v>
          </cell>
          <cell r="H136">
            <v>4343160</v>
          </cell>
          <cell r="I136">
            <v>609170</v>
          </cell>
          <cell r="J136">
            <v>3655020</v>
          </cell>
          <cell r="K136">
            <v>8077668</v>
          </cell>
          <cell r="L136" t="str">
            <v>44호표</v>
          </cell>
        </row>
        <row r="137"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E138">
            <v>13248</v>
          </cell>
          <cell r="F138">
            <v>79488</v>
          </cell>
          <cell r="G138">
            <v>517043</v>
          </cell>
          <cell r="H138">
            <v>3102258</v>
          </cell>
          <cell r="I138">
            <v>609170</v>
          </cell>
          <cell r="J138">
            <v>3655020</v>
          </cell>
          <cell r="K138">
            <v>6836766</v>
          </cell>
          <cell r="L138" t="str">
            <v>44-1호표</v>
          </cell>
        </row>
        <row r="139"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E140">
            <v>5381</v>
          </cell>
          <cell r="F140">
            <v>505814</v>
          </cell>
          <cell r="G140">
            <v>448599</v>
          </cell>
          <cell r="H140">
            <v>42168306</v>
          </cell>
          <cell r="I140">
            <v>629892</v>
          </cell>
          <cell r="J140">
            <v>59209848</v>
          </cell>
          <cell r="K140">
            <v>101883968</v>
          </cell>
          <cell r="L140" t="str">
            <v>48호표</v>
          </cell>
        </row>
        <row r="141"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E142">
            <v>6624</v>
          </cell>
          <cell r="F142">
            <v>397440</v>
          </cell>
          <cell r="G142">
            <v>474481</v>
          </cell>
          <cell r="H142">
            <v>28468860</v>
          </cell>
          <cell r="I142">
            <v>642454</v>
          </cell>
          <cell r="J142">
            <v>38547240</v>
          </cell>
          <cell r="K142">
            <v>67413540</v>
          </cell>
          <cell r="L142" t="str">
            <v>49호표</v>
          </cell>
        </row>
        <row r="143"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E144">
            <v>6624</v>
          </cell>
          <cell r="F144">
            <v>218592</v>
          </cell>
          <cell r="G144">
            <v>474481</v>
          </cell>
          <cell r="H144">
            <v>15657873</v>
          </cell>
          <cell r="I144">
            <v>327242</v>
          </cell>
          <cell r="J144">
            <v>10798986</v>
          </cell>
          <cell r="K144">
            <v>26675451</v>
          </cell>
          <cell r="L144" t="str">
            <v>50호표</v>
          </cell>
        </row>
        <row r="145"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E146">
            <v>6624</v>
          </cell>
          <cell r="F146">
            <v>218592</v>
          </cell>
          <cell r="G146">
            <v>338915</v>
          </cell>
          <cell r="H146">
            <v>11184195</v>
          </cell>
          <cell r="I146">
            <v>327242</v>
          </cell>
          <cell r="J146">
            <v>10798986</v>
          </cell>
          <cell r="K146">
            <v>22201773</v>
          </cell>
          <cell r="L146" t="str">
            <v>50-1호표</v>
          </cell>
        </row>
        <row r="147"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C148">
            <v>75</v>
          </cell>
          <cell r="E148">
            <v>19679</v>
          </cell>
          <cell r="F148">
            <v>1475925</v>
          </cell>
          <cell r="G148">
            <v>509775</v>
          </cell>
          <cell r="H148">
            <v>38233125</v>
          </cell>
          <cell r="I148">
            <v>235518</v>
          </cell>
          <cell r="J148">
            <v>17663850</v>
          </cell>
          <cell r="K148">
            <v>57372900</v>
          </cell>
          <cell r="L148" t="str">
            <v>65호표</v>
          </cell>
        </row>
        <row r="149"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C150">
            <v>48</v>
          </cell>
          <cell r="E150">
            <v>19601</v>
          </cell>
          <cell r="F150">
            <v>940848</v>
          </cell>
          <cell r="G150">
            <v>429261</v>
          </cell>
          <cell r="H150">
            <v>20604528</v>
          </cell>
          <cell r="I150">
            <v>244323</v>
          </cell>
          <cell r="J150">
            <v>11727504</v>
          </cell>
          <cell r="K150">
            <v>33272880</v>
          </cell>
          <cell r="L150" t="str">
            <v>66호표</v>
          </cell>
        </row>
        <row r="151"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C152">
            <v>27</v>
          </cell>
          <cell r="E152">
            <v>19601</v>
          </cell>
          <cell r="F152">
            <v>529227</v>
          </cell>
          <cell r="G152">
            <v>429261</v>
          </cell>
          <cell r="H152">
            <v>11590047</v>
          </cell>
          <cell r="I152">
            <v>102135</v>
          </cell>
          <cell r="J152">
            <v>2757645</v>
          </cell>
          <cell r="K152">
            <v>14876919</v>
          </cell>
          <cell r="L152" t="str">
            <v>67호표</v>
          </cell>
        </row>
        <row r="153"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C154">
            <v>27</v>
          </cell>
          <cell r="E154">
            <v>19601</v>
          </cell>
          <cell r="F154">
            <v>529227</v>
          </cell>
          <cell r="G154">
            <v>398523</v>
          </cell>
          <cell r="H154">
            <v>10760121</v>
          </cell>
          <cell r="I154">
            <v>102135</v>
          </cell>
          <cell r="J154">
            <v>2757645</v>
          </cell>
          <cell r="K154">
            <v>14046993</v>
          </cell>
          <cell r="L154" t="str">
            <v>67-1호표</v>
          </cell>
        </row>
        <row r="155"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C156">
            <v>19</v>
          </cell>
          <cell r="E156">
            <v>24059</v>
          </cell>
          <cell r="F156">
            <v>457121</v>
          </cell>
          <cell r="G156">
            <v>565807</v>
          </cell>
          <cell r="H156">
            <v>10750333</v>
          </cell>
          <cell r="I156">
            <v>467828</v>
          </cell>
          <cell r="J156">
            <v>8888732</v>
          </cell>
          <cell r="K156">
            <v>20096186</v>
          </cell>
          <cell r="L156" t="str">
            <v>69호표</v>
          </cell>
        </row>
        <row r="157"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C158">
            <v>12</v>
          </cell>
          <cell r="E158">
            <v>23903</v>
          </cell>
          <cell r="F158">
            <v>286836</v>
          </cell>
          <cell r="G158">
            <v>501283</v>
          </cell>
          <cell r="H158">
            <v>6015396</v>
          </cell>
          <cell r="I158">
            <v>485438</v>
          </cell>
          <cell r="J158">
            <v>5825256</v>
          </cell>
          <cell r="K158">
            <v>12127488</v>
          </cell>
          <cell r="L158" t="str">
            <v>70호표</v>
          </cell>
        </row>
        <row r="159"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C160">
            <v>6</v>
          </cell>
          <cell r="E160">
            <v>23903</v>
          </cell>
          <cell r="F160">
            <v>143418</v>
          </cell>
          <cell r="G160">
            <v>501283</v>
          </cell>
          <cell r="H160">
            <v>3007698</v>
          </cell>
          <cell r="I160">
            <v>201063</v>
          </cell>
          <cell r="J160">
            <v>1206378</v>
          </cell>
          <cell r="K160">
            <v>4357494</v>
          </cell>
          <cell r="L160" t="str">
            <v>71호표</v>
          </cell>
        </row>
        <row r="161"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C162">
            <v>6</v>
          </cell>
          <cell r="E162">
            <v>23903</v>
          </cell>
          <cell r="F162">
            <v>143418</v>
          </cell>
          <cell r="G162">
            <v>449967</v>
          </cell>
          <cell r="H162">
            <v>2699802</v>
          </cell>
          <cell r="I162">
            <v>201063</v>
          </cell>
          <cell r="J162">
            <v>1206378</v>
          </cell>
          <cell r="K162">
            <v>4049598</v>
          </cell>
          <cell r="L162" t="str">
            <v>71-1호표</v>
          </cell>
        </row>
        <row r="163"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E164">
            <v>11546</v>
          </cell>
          <cell r="F164">
            <v>1085324</v>
          </cell>
          <cell r="G164">
            <v>604720</v>
          </cell>
          <cell r="H164">
            <v>56843680</v>
          </cell>
          <cell r="I164">
            <v>161344</v>
          </cell>
          <cell r="J164">
            <v>15166336</v>
          </cell>
          <cell r="K164">
            <v>73095340</v>
          </cell>
          <cell r="L164" t="str">
            <v>73호표</v>
          </cell>
        </row>
        <row r="165"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E166">
            <v>12450</v>
          </cell>
          <cell r="F166">
            <v>747000</v>
          </cell>
          <cell r="G166">
            <v>507466</v>
          </cell>
          <cell r="H166">
            <v>30447960</v>
          </cell>
          <cell r="I166">
            <v>169594</v>
          </cell>
          <cell r="J166">
            <v>10175640</v>
          </cell>
          <cell r="K166">
            <v>41370600</v>
          </cell>
          <cell r="L166" t="str">
            <v>74호표</v>
          </cell>
        </row>
        <row r="167"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E168">
            <v>12450</v>
          </cell>
          <cell r="F168">
            <v>410850</v>
          </cell>
          <cell r="G168">
            <v>507466</v>
          </cell>
          <cell r="H168">
            <v>16746378</v>
          </cell>
          <cell r="I168">
            <v>71713</v>
          </cell>
          <cell r="J168">
            <v>2366529</v>
          </cell>
          <cell r="K168">
            <v>19523757</v>
          </cell>
          <cell r="L168" t="str">
            <v>75호표</v>
          </cell>
        </row>
        <row r="169"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E170">
            <v>12450</v>
          </cell>
          <cell r="F170">
            <v>410850</v>
          </cell>
          <cell r="G170">
            <v>480494</v>
          </cell>
          <cell r="H170">
            <v>15856302</v>
          </cell>
          <cell r="I170">
            <v>71713</v>
          </cell>
          <cell r="J170">
            <v>2366529</v>
          </cell>
          <cell r="K170">
            <v>18633681</v>
          </cell>
          <cell r="L170" t="str">
            <v>75-1호표</v>
          </cell>
        </row>
        <row r="171"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E172">
            <v>153600</v>
          </cell>
          <cell r="F172">
            <v>307200</v>
          </cell>
          <cell r="G172">
            <v>2227979</v>
          </cell>
          <cell r="H172">
            <v>4455958</v>
          </cell>
          <cell r="I172">
            <v>344760</v>
          </cell>
          <cell r="J172">
            <v>689520</v>
          </cell>
          <cell r="K172">
            <v>5452678</v>
          </cell>
          <cell r="L172" t="str">
            <v>54호표</v>
          </cell>
        </row>
        <row r="173"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F174">
            <v>10244531</v>
          </cell>
          <cell r="H174">
            <v>393302784</v>
          </cell>
          <cell r="J174">
            <v>298171241</v>
          </cell>
          <cell r="K174">
            <v>701718556</v>
          </cell>
        </row>
        <row r="175">
          <cell r="K175">
            <v>0</v>
          </cell>
        </row>
        <row r="178">
          <cell r="F178">
            <v>0</v>
          </cell>
          <cell r="H178">
            <v>0</v>
          </cell>
          <cell r="I178">
            <v>65550</v>
          </cell>
          <cell r="J178">
            <v>1966500</v>
          </cell>
          <cell r="K178">
            <v>1966500</v>
          </cell>
          <cell r="L178" t="str">
            <v>120호표</v>
          </cell>
        </row>
        <row r="179"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F180">
            <v>0</v>
          </cell>
          <cell r="H180">
            <v>0</v>
          </cell>
          <cell r="I180">
            <v>39372</v>
          </cell>
          <cell r="J180">
            <v>1574880</v>
          </cell>
          <cell r="K180">
            <v>1574880</v>
          </cell>
          <cell r="L180" t="str">
            <v>121호표</v>
          </cell>
        </row>
        <row r="181"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F182">
            <v>0</v>
          </cell>
          <cell r="H182">
            <v>0</v>
          </cell>
          <cell r="I182">
            <v>5500</v>
          </cell>
          <cell r="J182">
            <v>2200000</v>
          </cell>
          <cell r="K182">
            <v>2200000</v>
          </cell>
          <cell r="L182" t="str">
            <v>118호표</v>
          </cell>
        </row>
        <row r="183"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E184">
            <v>0</v>
          </cell>
          <cell r="F184">
            <v>0</v>
          </cell>
          <cell r="H184">
            <v>0</v>
          </cell>
          <cell r="I184">
            <v>1397</v>
          </cell>
          <cell r="J184">
            <v>1397000</v>
          </cell>
          <cell r="K184">
            <v>1397000</v>
          </cell>
          <cell r="L184" t="str">
            <v>119호표</v>
          </cell>
        </row>
        <row r="185">
          <cell r="F185">
            <v>0</v>
          </cell>
          <cell r="H185">
            <v>0</v>
          </cell>
          <cell r="J185">
            <v>0</v>
          </cell>
          <cell r="K185">
            <v>0</v>
          </cell>
        </row>
        <row r="186">
          <cell r="F186">
            <v>0</v>
          </cell>
          <cell r="H186">
            <v>0</v>
          </cell>
          <cell r="I186">
            <v>130581</v>
          </cell>
          <cell r="J186">
            <v>6529050</v>
          </cell>
          <cell r="K186">
            <v>6529050</v>
          </cell>
          <cell r="L186" t="str">
            <v>114호표</v>
          </cell>
        </row>
        <row r="187">
          <cell r="F187">
            <v>0</v>
          </cell>
          <cell r="H187">
            <v>0</v>
          </cell>
          <cell r="J187">
            <v>0</v>
          </cell>
          <cell r="K187">
            <v>0</v>
          </cell>
        </row>
        <row r="188"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5791</v>
          </cell>
          <cell r="J188">
            <v>11582000</v>
          </cell>
          <cell r="K188">
            <v>11582000</v>
          </cell>
          <cell r="L188" t="str">
            <v>112호표</v>
          </cell>
        </row>
        <row r="189"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E190">
            <v>0</v>
          </cell>
          <cell r="F190">
            <v>0</v>
          </cell>
          <cell r="G190">
            <v>59231</v>
          </cell>
          <cell r="H190">
            <v>11846200</v>
          </cell>
          <cell r="I190">
            <v>0</v>
          </cell>
          <cell r="J190">
            <v>0</v>
          </cell>
          <cell r="K190">
            <v>11846200</v>
          </cell>
          <cell r="L190" t="str">
            <v>113호표</v>
          </cell>
        </row>
        <row r="191"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E192">
            <v>0</v>
          </cell>
          <cell r="F192">
            <v>0</v>
          </cell>
          <cell r="G192">
            <v>12389</v>
          </cell>
          <cell r="H192">
            <v>371670</v>
          </cell>
          <cell r="I192">
            <v>165</v>
          </cell>
          <cell r="J192">
            <v>4950</v>
          </cell>
          <cell r="K192">
            <v>376620</v>
          </cell>
          <cell r="L192" t="str">
            <v>123호표</v>
          </cell>
        </row>
        <row r="193"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F194">
            <v>0</v>
          </cell>
          <cell r="H194">
            <v>12217870</v>
          </cell>
          <cell r="J194">
            <v>25254380</v>
          </cell>
          <cell r="K194">
            <v>37472250</v>
          </cell>
        </row>
        <row r="195">
          <cell r="K195">
            <v>0</v>
          </cell>
        </row>
        <row r="196">
          <cell r="F196">
            <v>83849124</v>
          </cell>
          <cell r="H196">
            <v>622160912</v>
          </cell>
          <cell r="J196">
            <v>422137979</v>
          </cell>
          <cell r="K196">
            <v>1128148015</v>
          </cell>
        </row>
        <row r="197"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K198">
            <v>87102500</v>
          </cell>
        </row>
        <row r="199">
          <cell r="K199">
            <v>0</v>
          </cell>
        </row>
        <row r="200">
          <cell r="K200">
            <v>44572900</v>
          </cell>
        </row>
        <row r="201">
          <cell r="K201">
            <v>0</v>
          </cell>
        </row>
        <row r="202">
          <cell r="K202">
            <v>1259823415</v>
          </cell>
        </row>
        <row r="203">
          <cell r="K203">
            <v>0</v>
          </cell>
        </row>
        <row r="204">
          <cell r="K204">
            <v>62991100</v>
          </cell>
        </row>
        <row r="205">
          <cell r="K205">
            <v>0</v>
          </cell>
        </row>
        <row r="206">
          <cell r="K206">
            <v>1322814515</v>
          </cell>
        </row>
        <row r="207">
          <cell r="K207">
            <v>0</v>
          </cell>
        </row>
        <row r="208">
          <cell r="K208">
            <v>185802569</v>
          </cell>
        </row>
        <row r="209">
          <cell r="K209">
            <v>0</v>
          </cell>
        </row>
        <row r="210">
          <cell r="K210">
            <v>69830452</v>
          </cell>
        </row>
        <row r="211">
          <cell r="K211">
            <v>0</v>
          </cell>
        </row>
        <row r="212">
          <cell r="K212">
            <v>1578447536</v>
          </cell>
        </row>
        <row r="213">
          <cell r="K213">
            <v>0</v>
          </cell>
        </row>
        <row r="214">
          <cell r="K214">
            <v>157844754</v>
          </cell>
        </row>
        <row r="215">
          <cell r="K215">
            <v>0</v>
          </cell>
        </row>
        <row r="216">
          <cell r="I216">
            <v>12000</v>
          </cell>
          <cell r="J216">
            <v>3780000</v>
          </cell>
          <cell r="K216">
            <v>3780000</v>
          </cell>
        </row>
        <row r="217">
          <cell r="J217">
            <v>0</v>
          </cell>
          <cell r="K217">
            <v>0</v>
          </cell>
        </row>
        <row r="218">
          <cell r="I218">
            <v>14470</v>
          </cell>
          <cell r="J218">
            <v>10027710</v>
          </cell>
          <cell r="K218">
            <v>10027710</v>
          </cell>
        </row>
        <row r="219">
          <cell r="J219">
            <v>0</v>
          </cell>
          <cell r="K219">
            <v>0</v>
          </cell>
        </row>
        <row r="220">
          <cell r="K220">
            <v>1750100000</v>
          </cell>
        </row>
        <row r="221">
          <cell r="K221">
            <v>0</v>
          </cell>
        </row>
        <row r="222">
          <cell r="K222">
            <v>146810480</v>
          </cell>
        </row>
        <row r="223">
          <cell r="K223">
            <v>0</v>
          </cell>
        </row>
        <row r="224">
          <cell r="K224">
            <v>1896910480</v>
          </cell>
        </row>
        <row r="242">
          <cell r="E242">
            <v>21320</v>
          </cell>
          <cell r="F242">
            <v>54408640</v>
          </cell>
          <cell r="K242">
            <v>54408640</v>
          </cell>
        </row>
        <row r="243">
          <cell r="F243">
            <v>0</v>
          </cell>
          <cell r="K243">
            <v>0</v>
          </cell>
        </row>
        <row r="244">
          <cell r="E244">
            <v>17060</v>
          </cell>
          <cell r="F244">
            <v>78510120</v>
          </cell>
          <cell r="K244">
            <v>78510120</v>
          </cell>
        </row>
        <row r="245">
          <cell r="F245">
            <v>0</v>
          </cell>
          <cell r="K245">
            <v>0</v>
          </cell>
        </row>
        <row r="246">
          <cell r="E246">
            <v>2035</v>
          </cell>
          <cell r="F246">
            <v>396825</v>
          </cell>
          <cell r="K246">
            <v>396825</v>
          </cell>
        </row>
        <row r="247">
          <cell r="F247">
            <v>0</v>
          </cell>
          <cell r="K247">
            <v>0</v>
          </cell>
        </row>
        <row r="248">
          <cell r="E248">
            <v>4950</v>
          </cell>
          <cell r="F248">
            <v>148500</v>
          </cell>
          <cell r="K248">
            <v>148500</v>
          </cell>
        </row>
        <row r="249">
          <cell r="F249">
            <v>0</v>
          </cell>
          <cell r="K249">
            <v>0</v>
          </cell>
        </row>
        <row r="250">
          <cell r="F250">
            <v>133464080</v>
          </cell>
          <cell r="K250">
            <v>133464080</v>
          </cell>
        </row>
        <row r="251">
          <cell r="F251">
            <v>0</v>
          </cell>
          <cell r="K251">
            <v>0</v>
          </cell>
        </row>
        <row r="252">
          <cell r="F252">
            <v>13346400</v>
          </cell>
          <cell r="K252">
            <v>13346400</v>
          </cell>
        </row>
        <row r="253">
          <cell r="F253">
            <v>0</v>
          </cell>
          <cell r="K253">
            <v>0</v>
          </cell>
        </row>
        <row r="254">
          <cell r="F254">
            <v>146810480</v>
          </cell>
          <cell r="K254">
            <v>146810480</v>
          </cell>
        </row>
        <row r="255">
          <cell r="F255">
            <v>0</v>
          </cell>
          <cell r="K255">
            <v>0</v>
          </cell>
        </row>
        <row r="256">
          <cell r="F256">
            <v>0</v>
          </cell>
          <cell r="H256">
            <v>0</v>
          </cell>
          <cell r="J256">
            <v>0</v>
          </cell>
          <cell r="K256">
            <v>0</v>
          </cell>
        </row>
        <row r="257">
          <cell r="F257">
            <v>0</v>
          </cell>
          <cell r="H257">
            <v>0</v>
          </cell>
          <cell r="J257">
            <v>0</v>
          </cell>
          <cell r="K257">
            <v>0</v>
          </cell>
        </row>
        <row r="258">
          <cell r="F258">
            <v>0</v>
          </cell>
          <cell r="H258">
            <v>0</v>
          </cell>
          <cell r="J258">
            <v>0</v>
          </cell>
          <cell r="K258">
            <v>0</v>
          </cell>
        </row>
        <row r="259">
          <cell r="F259">
            <v>0</v>
          </cell>
          <cell r="H259">
            <v>0</v>
          </cell>
          <cell r="J259">
            <v>0</v>
          </cell>
          <cell r="K259">
            <v>0</v>
          </cell>
        </row>
        <row r="260">
          <cell r="F260">
            <v>0</v>
          </cell>
          <cell r="H260">
            <v>0</v>
          </cell>
          <cell r="J260">
            <v>0</v>
          </cell>
          <cell r="K260">
            <v>0</v>
          </cell>
        </row>
        <row r="261">
          <cell r="F261">
            <v>0</v>
          </cell>
          <cell r="H261">
            <v>0</v>
          </cell>
          <cell r="J261">
            <v>0</v>
          </cell>
          <cell r="K261">
            <v>0</v>
          </cell>
        </row>
        <row r="262">
          <cell r="F262">
            <v>0</v>
          </cell>
          <cell r="H262">
            <v>0</v>
          </cell>
          <cell r="J262">
            <v>0</v>
          </cell>
          <cell r="K262">
            <v>0</v>
          </cell>
        </row>
        <row r="263">
          <cell r="F263">
            <v>0</v>
          </cell>
          <cell r="H263">
            <v>0</v>
          </cell>
          <cell r="J263">
            <v>0</v>
          </cell>
          <cell r="K263">
            <v>0</v>
          </cell>
        </row>
        <row r="264">
          <cell r="F264">
            <v>0</v>
          </cell>
          <cell r="H264">
            <v>0</v>
          </cell>
          <cell r="J264">
            <v>0</v>
          </cell>
          <cell r="K264">
            <v>0</v>
          </cell>
        </row>
        <row r="265">
          <cell r="F265">
            <v>0</v>
          </cell>
          <cell r="H265">
            <v>0</v>
          </cell>
          <cell r="J265">
            <v>0</v>
          </cell>
          <cell r="K265">
            <v>0</v>
          </cell>
        </row>
        <row r="266">
          <cell r="F266">
            <v>0</v>
          </cell>
          <cell r="H266">
            <v>0</v>
          </cell>
          <cell r="J266">
            <v>0</v>
          </cell>
          <cell r="K266">
            <v>0</v>
          </cell>
        </row>
        <row r="267">
          <cell r="F267">
            <v>0</v>
          </cell>
          <cell r="H267">
            <v>0</v>
          </cell>
          <cell r="J267">
            <v>0</v>
          </cell>
          <cell r="K267">
            <v>0</v>
          </cell>
        </row>
        <row r="268">
          <cell r="F268">
            <v>0</v>
          </cell>
          <cell r="H268">
            <v>0</v>
          </cell>
          <cell r="J268">
            <v>0</v>
          </cell>
          <cell r="K268">
            <v>0</v>
          </cell>
        </row>
        <row r="269">
          <cell r="F269">
            <v>0</v>
          </cell>
          <cell r="H269">
            <v>0</v>
          </cell>
          <cell r="J269">
            <v>0</v>
          </cell>
          <cell r="K269">
            <v>0</v>
          </cell>
        </row>
        <row r="270">
          <cell r="F270">
            <v>0</v>
          </cell>
          <cell r="H270">
            <v>0</v>
          </cell>
          <cell r="J270">
            <v>0</v>
          </cell>
          <cell r="K270">
            <v>0</v>
          </cell>
        </row>
        <row r="271">
          <cell r="F271">
            <v>0</v>
          </cell>
          <cell r="H271">
            <v>0</v>
          </cell>
          <cell r="J271">
            <v>0</v>
          </cell>
          <cell r="K271">
            <v>0</v>
          </cell>
        </row>
        <row r="272">
          <cell r="F272">
            <v>0</v>
          </cell>
          <cell r="H272">
            <v>0</v>
          </cell>
          <cell r="J272">
            <v>0</v>
          </cell>
          <cell r="K272">
            <v>0</v>
          </cell>
        </row>
        <row r="273">
          <cell r="F273">
            <v>0</v>
          </cell>
          <cell r="H273">
            <v>0</v>
          </cell>
          <cell r="J273">
            <v>0</v>
          </cell>
          <cell r="K273">
            <v>0</v>
          </cell>
        </row>
        <row r="276">
          <cell r="E276">
            <v>4117</v>
          </cell>
          <cell r="F276">
            <v>41120596</v>
          </cell>
          <cell r="K276">
            <v>41120596</v>
          </cell>
        </row>
        <row r="277">
          <cell r="F277">
            <v>0</v>
          </cell>
          <cell r="K277">
            <v>0</v>
          </cell>
        </row>
        <row r="278">
          <cell r="E278">
            <v>3636</v>
          </cell>
          <cell r="F278">
            <v>28709856</v>
          </cell>
          <cell r="K278">
            <v>28709856</v>
          </cell>
        </row>
        <row r="279">
          <cell r="F279">
            <v>0</v>
          </cell>
          <cell r="K279">
            <v>0</v>
          </cell>
        </row>
        <row r="280">
          <cell r="F280">
            <v>69830452</v>
          </cell>
          <cell r="K280">
            <v>69830452</v>
          </cell>
        </row>
        <row r="281">
          <cell r="K281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설건물"/>
      <sheetName val="시추조사비"/>
      <sheetName val="측량조사수량산출근거"/>
      <sheetName val="측량수량집계"/>
      <sheetName val="가도공"/>
      <sheetName val="precast"/>
      <sheetName val="감독차량비"/>
      <sheetName val="시험비(선정)"/>
      <sheetName val="시험비(관리)"/>
      <sheetName val="교통관리비"/>
      <sheetName val="가도표지판"/>
      <sheetName val="간지"/>
      <sheetName val="BOQ"/>
      <sheetName val="토공유동표"/>
      <sheetName val="토공집계표"/>
      <sheetName val="순성토"/>
      <sheetName val="흙운반(1)"/>
      <sheetName val="흙운반(2)"/>
      <sheetName val="흙운반(도쟈,덤프)"/>
      <sheetName val="타공종이기수량"/>
      <sheetName val="규준틀집계표"/>
      <sheetName val="내역서"/>
      <sheetName val="토공내역서적용수량"/>
      <sheetName val="법면보호공수량집계"/>
      <sheetName val="깨기수량집계 )"/>
      <sheetName val="xxxxxx"/>
      <sheetName val="Ⅰ.수량명세서"/>
      <sheetName val="Ⅱ.자재집계표"/>
      <sheetName val="구입(레미콘)"/>
      <sheetName val="배수공철근집계표"/>
      <sheetName val="몰   탈"/>
      <sheetName val="타공종 이월수량"/>
      <sheetName val="토공유동표-순성토"/>
      <sheetName val="타공종이기수량집계"/>
      <sheetName val="공종별이월수량"/>
      <sheetName val="토적집계표-1"/>
      <sheetName val="토적집계표-2"/>
      <sheetName val="흙운반집계표"/>
      <sheetName val="흙운반"/>
      <sheetName val="순성토및사토집계표"/>
      <sheetName val="규준틀설치집계표"/>
      <sheetName val="규준틀설치"/>
      <sheetName val="EPS수량집계"/>
      <sheetName val="EPS계산서"/>
      <sheetName val="법면보호공집계표"/>
      <sheetName val="가보호망"/>
      <sheetName val="총괄자재집계"/>
      <sheetName val="건설폐기물처리"/>
      <sheetName val="구조물철거집계"/>
      <sheetName val="기존구조물 깨기"/>
      <sheetName val="측구철거"/>
      <sheetName val="기존포장(ASP)깨기 집계"/>
      <sheetName val="기존포장(ASP)절단"/>
      <sheetName val="보도철거"/>
      <sheetName val="표지판철거"/>
      <sheetName val="가로등,가로수이설"/>
      <sheetName val="가옥철거"/>
      <sheetName val="INPUTDATA"/>
      <sheetName val="개략"/>
      <sheetName val="(A)내역서"/>
      <sheetName val="말뚝지지력산정"/>
      <sheetName val="터파기및재료"/>
      <sheetName val="토공정보"/>
      <sheetName val="3BL공동구 수량"/>
      <sheetName val="ABUT수량-A1"/>
      <sheetName val="tggwan(mac)"/>
      <sheetName val="수량집계"/>
      <sheetName val="기존포장 깨기 수량 집계표"/>
      <sheetName val="배수구조물 깨기 수량 집계표"/>
      <sheetName val="단위1"/>
      <sheetName val="단위수량 (2)"/>
      <sheetName val="버스"/>
      <sheetName val="가로수집계"/>
      <sheetName val="가록수제"/>
      <sheetName val="S0"/>
      <sheetName val="INPUT"/>
      <sheetName val="suk(mac)"/>
      <sheetName val="1.설계조건"/>
      <sheetName val="5.3 단면가정"/>
      <sheetName val="참조자료"/>
      <sheetName val="잡철물"/>
      <sheetName val="지구단위계획"/>
      <sheetName val="#REF"/>
      <sheetName val="DATA-UPS"/>
      <sheetName val="공종별자재"/>
      <sheetName val="수량산출서"/>
      <sheetName val="CODE1"/>
      <sheetName val="TYPE-A"/>
      <sheetName val="산출근거"/>
      <sheetName val="부대내역"/>
      <sheetName val="계정"/>
      <sheetName val="Sheet1"/>
      <sheetName val="주차구획선수량"/>
      <sheetName val="DATE"/>
      <sheetName val="지수표"/>
      <sheetName val="96.12"/>
      <sheetName val="2.대외공문"/>
      <sheetName val="Template"/>
      <sheetName val="hp5월가격"/>
      <sheetName val="노무비"/>
      <sheetName val="Initial Input Variable"/>
      <sheetName val="Assumptions"/>
      <sheetName val="Tenants"/>
      <sheetName val="1.CB"/>
      <sheetName val="변수"/>
      <sheetName val="토지만(명세표)"/>
      <sheetName val="수금 "/>
      <sheetName val="노임단가"/>
      <sheetName val="안산기계장치"/>
      <sheetName val="EQT-ESTN"/>
      <sheetName val="주현(해보)"/>
      <sheetName val="주현(영광)"/>
      <sheetName val="데리네이타현황"/>
      <sheetName val="BID"/>
      <sheetName val="Sheet17"/>
      <sheetName val="1.설계기준"/>
      <sheetName val="우수"/>
      <sheetName val="콘크리트포장단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횡배수관토공단위(180)"/>
      <sheetName val="횡배수관토공단위(90)"/>
      <sheetName val="tggwan(mac)"/>
      <sheetName val="우수"/>
      <sheetName val="가도공"/>
      <sheetName val="단가대비표"/>
      <sheetName val="ABUT수량-A1"/>
    </sheetNames>
    <sheetDataSet>
      <sheetData sheetId="0" refreshError="1"/>
      <sheetData sheetId="1" refreshError="1"/>
      <sheetData sheetId="2" refreshError="1">
        <row r="1">
          <cell r="A1" t="str">
            <v>tggwan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수목집계"/>
      <sheetName val="녹지잔디면적"/>
      <sheetName val="산출내역서"/>
      <sheetName val="원가계산서"/>
      <sheetName val="4GONGGU"/>
      <sheetName val="단가"/>
      <sheetName val="시설물일위"/>
      <sheetName val="교대시점"/>
      <sheetName val="총괄내역서"/>
      <sheetName val="요율"/>
      <sheetName val="간접"/>
      <sheetName val="설계예시"/>
      <sheetName val="데이타"/>
      <sheetName val="식재인부"/>
      <sheetName val="물가시세"/>
      <sheetName val="노임단가"/>
      <sheetName val="(A)내역서"/>
      <sheetName val="원가계산"/>
      <sheetName val="tggwan(mac)"/>
      <sheetName val="가도공"/>
    </sheetNames>
    <sheetDataSet>
      <sheetData sheetId="0" refreshError="1">
        <row r="1">
          <cell r="B1">
            <v>0.22600000000000001</v>
          </cell>
        </row>
        <row r="2">
          <cell r="B2">
            <v>0.127</v>
          </cell>
        </row>
        <row r="4">
          <cell r="B4">
            <v>5.6000000000000001E-2</v>
          </cell>
        </row>
        <row r="5">
          <cell r="B5">
            <v>3.5999999999999997E-2</v>
          </cell>
        </row>
        <row r="6">
          <cell r="B6">
            <v>2.7E-2</v>
          </cell>
        </row>
        <row r="7">
          <cell r="B7">
            <v>0.02</v>
          </cell>
        </row>
        <row r="8">
          <cell r="B8">
            <v>1.4E-2</v>
          </cell>
        </row>
        <row r="9">
          <cell r="B9">
            <v>6.0000000000000001E-3</v>
          </cell>
        </row>
        <row r="10">
          <cell r="B10">
            <v>1.0999999999999999E-2</v>
          </cell>
        </row>
        <row r="11">
          <cell r="B11">
            <v>1.7000000000000001E-2</v>
          </cell>
        </row>
        <row r="12">
          <cell r="B12">
            <v>2.5000000000000001E-2</v>
          </cell>
        </row>
        <row r="13">
          <cell r="B13">
            <v>0.04</v>
          </cell>
        </row>
        <row r="14">
          <cell r="B14">
            <v>0.06</v>
          </cell>
        </row>
        <row r="15">
          <cell r="B15">
            <v>0.1</v>
          </cell>
        </row>
        <row r="16">
          <cell r="B16">
            <v>1.24</v>
          </cell>
        </row>
        <row r="17">
          <cell r="B17">
            <v>0.69</v>
          </cell>
        </row>
        <row r="19">
          <cell r="B19">
            <v>0.3</v>
          </cell>
        </row>
        <row r="20">
          <cell r="B20">
            <v>0.19</v>
          </cell>
        </row>
        <row r="21">
          <cell r="B21">
            <v>0.14000000000000001</v>
          </cell>
        </row>
        <row r="22">
          <cell r="B22">
            <v>0.11</v>
          </cell>
        </row>
        <row r="23">
          <cell r="B23">
            <v>7.0000000000000007E-2</v>
          </cell>
        </row>
        <row r="24">
          <cell r="B24">
            <v>0.06</v>
          </cell>
        </row>
        <row r="25">
          <cell r="B25">
            <v>0.11</v>
          </cell>
        </row>
        <row r="26">
          <cell r="B26">
            <v>0.16</v>
          </cell>
        </row>
        <row r="27">
          <cell r="B27">
            <v>0.25</v>
          </cell>
        </row>
        <row r="28">
          <cell r="B28">
            <v>0.4</v>
          </cell>
        </row>
        <row r="29">
          <cell r="B29">
            <v>0.66</v>
          </cell>
        </row>
        <row r="30">
          <cell r="B30">
            <v>1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관경고용테이프수집"/>
      <sheetName val="관경고용산근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5"/>
      <sheetName val="Sheet4"/>
      <sheetName val="Sheet3 (2)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중부"/>
      <sheetName val="북부"/>
      <sheetName val="남부"/>
      <sheetName val="4)유동표"/>
      <sheetName val="차선도색현황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원형맨홀수량"/>
      <sheetName val="집수정(600-700)"/>
      <sheetName val="계수시트"/>
      <sheetName val="원가계산서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간지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자재총괄"/>
      <sheetName val="시멘트레미콘구입량"/>
      <sheetName val="골재구입량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지장물보호(수집)"/>
      <sheetName val="지장물산근"/>
      <sheetName val="지장물보호공단위수량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1.토공집계"/>
      <sheetName val="2.관대집계표"/>
      <sheetName val="접합"/>
      <sheetName val="3.구조물공"/>
      <sheetName val="7.폐기물집계"/>
      <sheetName val="토실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왕십리방향"/>
      <sheetName val="음봉방향"/>
      <sheetName val="기기리스트"/>
      <sheetName val="5.배수관로"/>
      <sheetName val="주요자재"/>
      <sheetName val="폐기물처리"/>
      <sheetName val="슬래브"/>
      <sheetName val="연결관산출조서"/>
      <sheetName val="노무비"/>
      <sheetName val="INTRO."/>
      <sheetName val="종배수관"/>
      <sheetName val="ABUT수량-A1"/>
      <sheetName val="노임단가"/>
      <sheetName val="토사(PE)"/>
      <sheetName val="공토공단위당"/>
      <sheetName val="터파기및재료"/>
      <sheetName val="#REF"/>
      <sheetName val="1.설계조건"/>
      <sheetName val="단위수량(출력X)"/>
      <sheetName val="수량집계"/>
      <sheetName val="토공정보"/>
      <sheetName val="TYPE-1"/>
      <sheetName val="고양관재"/>
      <sheetName val="우각부보강"/>
      <sheetName val="일위대가"/>
      <sheetName val="일위대가(계측기설치)"/>
      <sheetName val="DATA"/>
      <sheetName val="설비"/>
      <sheetName val="제품"/>
      <sheetName val="지수"/>
      <sheetName val="총괄내역서"/>
      <sheetName val="가도공"/>
      <sheetName val="우수공"/>
      <sheetName val="입찰안"/>
      <sheetName val="대치판정"/>
      <sheetName val="일위대가목차"/>
      <sheetName val="수목표준대가"/>
      <sheetName val="교대"/>
      <sheetName val="기본단가표"/>
      <sheetName val="BID"/>
      <sheetName val="진주방향"/>
      <sheetName val="마산방향"/>
      <sheetName val="마산방향철근집계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예산명세서"/>
      <sheetName val="설계명세서"/>
      <sheetName val="자료입력"/>
      <sheetName val="용량(1-2)"/>
      <sheetName val="bm(CIcable)"/>
      <sheetName val="5.소재"/>
      <sheetName val="노무단가"/>
      <sheetName val="데이타"/>
      <sheetName val="입찰"/>
      <sheetName val="현경"/>
      <sheetName val="연결관암거"/>
      <sheetName val="SG"/>
      <sheetName val="장비집계"/>
      <sheetName val="Sheet1"/>
      <sheetName val="안전시설(수집)"/>
      <sheetName val="안전시설"/>
      <sheetName val="차액보증"/>
      <sheetName val="세부내역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식재"/>
      <sheetName val="시설물"/>
      <sheetName val="식재출력용"/>
      <sheetName val="유지관리"/>
      <sheetName val="단가"/>
      <sheetName val="변수값"/>
      <sheetName val="중기상차"/>
      <sheetName val="AS복구"/>
      <sheetName val="중기터파기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토공유용계획"/>
      <sheetName val="유입관로집계"/>
      <sheetName val="유입관로토적"/>
      <sheetName val="처리장집계"/>
      <sheetName val="처리장토적"/>
      <sheetName val="진입도로토적"/>
      <sheetName val="신당동집계표"/>
      <sheetName val="신당동산출근거"/>
      <sheetName val="공사설명서"/>
      <sheetName val="천방교접속"/>
      <sheetName val="대포2교접속"/>
      <sheetName val="bearing"/>
      <sheetName val="연동내역"/>
      <sheetName val="조명시설"/>
      <sheetName val="SPEC"/>
      <sheetName val="수압시험수집"/>
      <sheetName val="수압시험산근"/>
      <sheetName val="원형1호맨홀토공수량"/>
      <sheetName val="산출내역서집계표"/>
      <sheetName val="3지구단위"/>
      <sheetName val="guard(mac)"/>
      <sheetName val="G.R300경비"/>
      <sheetName val="TYPE-A"/>
      <sheetName val="EQT-ESTN"/>
      <sheetName val="S0"/>
      <sheetName val="산출근거"/>
      <sheetName val="기둥(원형)"/>
      <sheetName val="단위수량산출"/>
      <sheetName val="A LINE"/>
      <sheetName val="시설일위"/>
      <sheetName val="6PILE  (돌출)"/>
      <sheetName val="CAL"/>
      <sheetName val="수량산출"/>
      <sheetName val="자재단가"/>
      <sheetName val="인건비"/>
      <sheetName val="INPUT"/>
      <sheetName val="Sheet17"/>
      <sheetName val="인건비 "/>
      <sheetName val="7단가"/>
      <sheetName val="광양 3기 유입수"/>
      <sheetName val="터널조도"/>
      <sheetName val="기계경비"/>
      <sheetName val="APT"/>
      <sheetName val="코드표"/>
      <sheetName val="일위대가(가설)"/>
      <sheetName val="96노임기준"/>
      <sheetName val="Sheet2"/>
      <sheetName val="공통가설"/>
      <sheetName val="단가조사"/>
      <sheetName val="토목"/>
      <sheetName val="4차원가계산서"/>
      <sheetName val="DAN"/>
      <sheetName val="지구단위계획"/>
      <sheetName val="code"/>
      <sheetName val="tggwan(mac)"/>
      <sheetName val="PIPE"/>
      <sheetName val="전기"/>
      <sheetName val="보차도경계석"/>
      <sheetName val="단면가정"/>
      <sheetName val="시점부교대"/>
      <sheetName val="RangeObject"/>
      <sheetName val="날개벽"/>
      <sheetName val="대로근거"/>
      <sheetName val="실행철강하도"/>
      <sheetName val="원가입력"/>
      <sheetName val="말뚝지지력산정"/>
      <sheetName val="목차"/>
      <sheetName val="SLAB&quot;1&quot;"/>
      <sheetName val="상수도토공집계표"/>
      <sheetName val="공사개요"/>
      <sheetName val="중로근거"/>
      <sheetName val="8.PILE  (돌출)"/>
      <sheetName val="gvl"/>
      <sheetName val="당초계약"/>
      <sheetName val="등록자료"/>
      <sheetName val="설계서을"/>
      <sheetName val="내역"/>
      <sheetName val="집계표"/>
      <sheetName val="CABLE SIZE-3"/>
      <sheetName val="HVAC"/>
      <sheetName val="맨홀수량"/>
      <sheetName val="(A)내역서"/>
      <sheetName val="우수"/>
      <sheetName val="Total"/>
      <sheetName val="COVER"/>
      <sheetName val="구의33고"/>
      <sheetName val="기본자료"/>
      <sheetName val="기계경비(시간당)"/>
      <sheetName val="교대시점"/>
      <sheetName val="경계석"/>
      <sheetName val="(전기)설계예산서"/>
      <sheetName val="SE-611"/>
      <sheetName val="노임"/>
      <sheetName val="을"/>
      <sheetName val="1.우편집중내역서"/>
      <sheetName val="COPING"/>
      <sheetName val="합계금액"/>
      <sheetName val="static.cal"/>
      <sheetName val="투찰가"/>
      <sheetName val="목포방향"/>
      <sheetName val="수안보-MBR1"/>
      <sheetName val="노무비단가"/>
      <sheetName val="STEEL BOX 단면설계(SEC.8)"/>
      <sheetName val="설계조건"/>
      <sheetName val="C3"/>
      <sheetName val="A-4"/>
      <sheetName val="cable-data"/>
      <sheetName val="평균터파기고(1-2,ASP)"/>
      <sheetName val="4.장비손료"/>
      <sheetName val="가시설(TYPE-A)"/>
      <sheetName val="1-1평균터파기고(1)"/>
      <sheetName val="일위목록"/>
      <sheetName val="요율"/>
      <sheetName val="일위대가표"/>
      <sheetName val="내역(정지)"/>
      <sheetName val="계정"/>
      <sheetName val="기계상세"/>
      <sheetName val="남양주부대"/>
      <sheetName val="INFO"/>
      <sheetName val="수로단위수량"/>
      <sheetName val="현장관리비집계표"/>
      <sheetName val="1-1"/>
      <sheetName val="제출내역 (2)"/>
      <sheetName val="토 적 표"/>
      <sheetName val="danga"/>
      <sheetName val="ilch"/>
      <sheetName val="교각1"/>
      <sheetName val="Price List"/>
      <sheetName val="구분표"/>
      <sheetName val="건축내역"/>
      <sheetName val="JUCKEYK"/>
      <sheetName val="뚝토공"/>
      <sheetName val="3.바닥판설계"/>
      <sheetName val="금액내역서"/>
      <sheetName val="MYUN(MAC)"/>
      <sheetName val="용집"/>
      <sheetName val="3BL공동구 수량"/>
      <sheetName val="교각(P1)수량"/>
      <sheetName val="견적대비표"/>
      <sheetName val="유입량"/>
      <sheetName val="1공구"/>
      <sheetName val="전기공사"/>
      <sheetName val="기둥"/>
      <sheetName val="저판(버림100)"/>
      <sheetName val="5CHBDC"/>
      <sheetName val="내역서(기계)"/>
      <sheetName val="화재 탐지 설비"/>
      <sheetName val="POOM_MOTO"/>
      <sheetName val="내역서-2"/>
      <sheetName val="원가"/>
      <sheetName val="약품설비"/>
      <sheetName val="Baby일위대가"/>
      <sheetName val="상부수량(1)"/>
      <sheetName val="1.재료집계"/>
      <sheetName val="재료집계표(1)"/>
      <sheetName val="2.토공"/>
      <sheetName val="토공수량집계표"/>
      <sheetName val="토적집계표"/>
      <sheetName val="A-LINE"/>
      <sheetName val="B-LINE"/>
      <sheetName val="C-LINE"/>
      <sheetName val="D-LINE"/>
      <sheetName val="E-LINE"/>
      <sheetName val="처리장토공"/>
      <sheetName val="맨홀깨기수량산출"/>
      <sheetName val="PE정화조철거수량산출"/>
      <sheetName val="3.오수관로공"/>
      <sheetName val="관로공재료집계"/>
      <sheetName val="하수관로수량산출"/>
      <sheetName val="하수관연장조서"/>
      <sheetName val="가정하수관수량산출"/>
      <sheetName val="터파기표준토공(비포장)"/>
      <sheetName val="터파기표준토공(콘크리트)"/>
      <sheetName val="터파기표준토공(ASP)"/>
      <sheetName val="터파기표준토공(비포장) (2)"/>
      <sheetName val="터파기표준토공(콘크리트) (2)"/>
      <sheetName val="소행맨홀토공단위수량"/>
      <sheetName val="가정하수관조서"/>
      <sheetName val="가정하수관토공조서"/>
      <sheetName val="가정하수관토공조서 (2)"/>
      <sheetName val="4.구조물공"/>
      <sheetName val="구조물공재료집계표"/>
      <sheetName val="구조물공수량집계표"/>
      <sheetName val="1)옹벽수량산출(H=2.5)"/>
      <sheetName val="옹벽단위수량(2.5)"/>
      <sheetName val="옹벽설치조서"/>
      <sheetName val="맨홀토공수량산출"/>
      <sheetName val="1호맨홀(비포장)"/>
      <sheetName val="1호맨홀(비포장,변경)"/>
      <sheetName val="1호맨홀(콘크리트)"/>
      <sheetName val="1호맨홀(콘크리트,변경)"/>
      <sheetName val="1호맨홀(아스콘덧씌우기)"/>
      <sheetName val="1호맨홀(아스콘덧씌우기,변경)"/>
      <sheetName val="맨홀조서"/>
      <sheetName val="관보호콘크리트수량산출"/>
      <sheetName val="환기구수량산출"/>
      <sheetName val="담장수량산출"/>
      <sheetName val="5.포장공"/>
      <sheetName val="포장공재료집계표"/>
      <sheetName val="ASP포장수량산출"/>
      <sheetName val="콘크리트포장수량산출"/>
      <sheetName val="포장복구면적"/>
      <sheetName val="콘크리트포장"/>
      <sheetName val="6.부대공"/>
      <sheetName val="부대공"/>
      <sheetName val="7.L형옹벽식측구및기타"/>
      <sheetName val="측구집계표"/>
      <sheetName val="측구토공"/>
      <sheetName val="L형옹벽측구"/>
      <sheetName val="L형측구"/>
      <sheetName val="U형플륨관"/>
      <sheetName val="우수수량산출"/>
      <sheetName val="다이크"/>
      <sheetName val="흙막이"/>
      <sheetName val="맨홀방수"/>
      <sheetName val="공사비예산서(토목분)"/>
      <sheetName val="3.하중산정4.지지력"/>
      <sheetName val="구조물철거타공정이월"/>
      <sheetName val="수량산출서"/>
      <sheetName val="깨기"/>
      <sheetName val="수입"/>
      <sheetName val="대림경상68억"/>
      <sheetName val="기계설비-물가변동"/>
      <sheetName val="동해title"/>
      <sheetName val="카렌스센터계량기설치공사"/>
      <sheetName val="옹벽"/>
      <sheetName val="6공구(당초)"/>
      <sheetName val="산근1,2"/>
      <sheetName val="BQ(실행)"/>
      <sheetName val="woo(mac)"/>
      <sheetName val="물가시세"/>
      <sheetName val="시설물일위"/>
      <sheetName val="부대내역"/>
      <sheetName val="공기"/>
      <sheetName val="전체철근집계"/>
      <sheetName val="공비대비"/>
      <sheetName val="품셈TABLE"/>
      <sheetName val="연결임시"/>
      <sheetName val="수량-양식"/>
      <sheetName val="견적서-을지"/>
      <sheetName val="인건-측정"/>
      <sheetName val="11.우각부 보강"/>
      <sheetName val="맨홀수량산출"/>
      <sheetName val="가감수량"/>
      <sheetName val="MSG 수량"/>
      <sheetName val="단가산출2"/>
      <sheetName val="Macro(차단기)"/>
      <sheetName val="rate"/>
      <sheetName val="401"/>
      <sheetName val="지장물C"/>
      <sheetName val="공사비"/>
      <sheetName val="물량집계"/>
      <sheetName val="H-PILE수량집계"/>
      <sheetName val="기둥(하중)"/>
      <sheetName val="지급자재"/>
      <sheetName val="식재가격"/>
      <sheetName val="식재총괄"/>
      <sheetName val="쌍송교"/>
      <sheetName val="D-3109"/>
      <sheetName val="CABdata"/>
      <sheetName val="노견단위수량"/>
      <sheetName val="TARGET"/>
      <sheetName val="공정계획(내부계획25%,내부w.f)"/>
      <sheetName val="조경일람"/>
      <sheetName val="99총공사내역서"/>
      <sheetName val="RPF_일반수량(35m)"/>
      <sheetName val="SLAB"/>
      <sheetName val="단가일람"/>
      <sheetName val="해평견적"/>
      <sheetName val="내역서(전기)"/>
      <sheetName val="지질조사"/>
      <sheetName val="M-MG1"/>
      <sheetName val="pvc vent"/>
      <sheetName val="정부노임단가"/>
    </sheetNames>
    <sheetDataSet>
      <sheetData sheetId="0" refreshError="1">
        <row r="61">
          <cell r="I61" t="str">
            <v>×</v>
          </cell>
        </row>
        <row r="62">
          <cell r="I62" t="str">
            <v>×</v>
          </cell>
        </row>
        <row r="63">
          <cell r="I63" t="str">
            <v>×</v>
          </cell>
        </row>
        <row r="64">
          <cell r="I64" t="str">
            <v>×</v>
          </cell>
        </row>
        <row r="65">
          <cell r="I65" t="str">
            <v>×</v>
          </cell>
        </row>
        <row r="66">
          <cell r="I66" t="str">
            <v>×</v>
          </cell>
        </row>
        <row r="67">
          <cell r="I67" t="str">
            <v>×</v>
          </cell>
        </row>
        <row r="68">
          <cell r="I68" t="str">
            <v>×</v>
          </cell>
        </row>
        <row r="69">
          <cell r="I69" t="str">
            <v>×</v>
          </cell>
        </row>
        <row r="70">
          <cell r="I70" t="str">
            <v>×</v>
          </cell>
        </row>
        <row r="71">
          <cell r="I71" t="str">
            <v>×</v>
          </cell>
        </row>
        <row r="72">
          <cell r="I72" t="str">
            <v>×</v>
          </cell>
        </row>
        <row r="73">
          <cell r="I73" t="str">
            <v>×</v>
          </cell>
        </row>
        <row r="74">
          <cell r="I74" t="str">
            <v>×</v>
          </cell>
        </row>
        <row r="75">
          <cell r="I75" t="str">
            <v>×</v>
          </cell>
        </row>
        <row r="76">
          <cell r="I76" t="str">
            <v>×</v>
          </cell>
        </row>
        <row r="77">
          <cell r="I77" t="str">
            <v>×</v>
          </cell>
        </row>
        <row r="78">
          <cell r="I78" t="str">
            <v>×</v>
          </cell>
        </row>
        <row r="79">
          <cell r="I79" t="str">
            <v>×</v>
          </cell>
        </row>
        <row r="80">
          <cell r="I80" t="str">
            <v>×</v>
          </cell>
        </row>
        <row r="81">
          <cell r="I81" t="str">
            <v>×</v>
          </cell>
        </row>
        <row r="82">
          <cell r="I82" t="str">
            <v>×</v>
          </cell>
        </row>
        <row r="83">
          <cell r="I83" t="str">
            <v>×</v>
          </cell>
        </row>
        <row r="84">
          <cell r="I84" t="str">
            <v>×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집계표"/>
      <sheetName val="총수량집계표"/>
      <sheetName val="총철근량집계표"/>
      <sheetName val="토적집계표"/>
      <sheetName val="토적표"/>
      <sheetName val="토공집계표"/>
      <sheetName val="몰탈"/>
      <sheetName val="포장공수량집계표"/>
      <sheetName val="아스콘포장(T=52.5CM)"/>
      <sheetName val="고압블럭(T=6CM)"/>
      <sheetName val="보차도경계석(150-170-200)"/>
      <sheetName val="보도경계블럭"/>
      <sheetName val="L형측구"/>
      <sheetName val="감속턱"/>
      <sheetName val="차선도색(평행주차)"/>
      <sheetName val="차선도색(중앙선)"/>
      <sheetName val="차선도색(직각주차-5M)"/>
      <sheetName val="우수공수량집계표"/>
      <sheetName val="우수공철근량집계표"/>
      <sheetName val="우수공맨홀평균깊이"/>
      <sheetName val="우수공흄관평균깊이"/>
      <sheetName val="우수흄관(D300)"/>
      <sheetName val="흄관(D450)"/>
      <sheetName val="흄관(D500)"/>
      <sheetName val="흄관(D600)"/>
      <sheetName val="흄관(D700)"/>
      <sheetName val="우수맨홀(D900)"/>
      <sheetName val="우수맨홀(D1200)"/>
      <sheetName val="PIT평균깊이"/>
      <sheetName val="플륨관"/>
      <sheetName val="홈통받이"/>
      <sheetName val="홈통받이연락관"/>
      <sheetName val="빗물받이(910-510-410)"/>
      <sheetName val="빗물받이연락관"/>
      <sheetName val="PIT"/>
      <sheetName val="집수정(400-400)"/>
      <sheetName val="집수정(600-700)"/>
      <sheetName val="집수정연락관"/>
      <sheetName val="맹암거(D150)"/>
      <sheetName val="맹암거(D250)"/>
      <sheetName val="U형(300X300~500)"/>
      <sheetName val="우수관보호공(D300)"/>
      <sheetName val="우수관보호공(D450)"/>
      <sheetName val="오수공수량집계표"/>
      <sheetName val="오수공철근량집계표"/>
      <sheetName val="오수공맨홀평균깊이"/>
      <sheetName val="오수공흄관평균깊이"/>
      <sheetName val="오수맨홀(D900)"/>
      <sheetName val="오수받이(940-510-410)"/>
      <sheetName val="흄관(D300)"/>
      <sheetName val="오수관보호공(D300)"/>
      <sheetName val="오수받이연락관"/>
      <sheetName val="상수도공수량집계표"/>
      <sheetName val="상수도공철근량집계표"/>
      <sheetName val="제수변실(1.40-1.50)"/>
      <sheetName val="주철관(D200)"/>
      <sheetName val="공동구공철근량집계표"/>
      <sheetName val="공동구공수량집계표"/>
      <sheetName val="공동구공"/>
      <sheetName val="가도공"/>
      <sheetName val="INPUTDATA"/>
      <sheetName val="DATE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>
        <row r="4">
          <cell r="P4">
            <v>4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o(mac)"/>
      <sheetName val="집수정(600-700)"/>
      <sheetName val="가도공"/>
      <sheetName val="DATE"/>
      <sheetName val="소도3교"/>
      <sheetName val="ABUT수량-A1"/>
      <sheetName val="예정(3)"/>
      <sheetName val="슬래브"/>
      <sheetName val="맨홀수량산출"/>
      <sheetName val="woo_mac_"/>
      <sheetName val="guard(mac)"/>
      <sheetName val="DATA"/>
      <sheetName val="Total"/>
      <sheetName val="역T형"/>
      <sheetName val="상 부"/>
    </sheetNames>
    <sheetDataSet>
      <sheetData sheetId="0" refreshError="1">
        <row r="1">
          <cell r="A1" t="str">
            <v>woo</v>
          </cell>
          <cell r="C1" t="str">
            <v>wooform</v>
          </cell>
          <cell r="E1" t="str">
            <v>woomort</v>
          </cell>
          <cell r="G1" t="str">
            <v>woo_res</v>
          </cell>
          <cell r="I1" t="str">
            <v>wooform_res</v>
          </cell>
          <cell r="K1" t="str">
            <v>woomort_res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임목폐기물중량집계"/>
      <sheetName val="폐기목산출근거"/>
    </sheetNames>
    <sheetDataSet>
      <sheetData sheetId="0" refreshError="1"/>
      <sheetData sheetId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품셈표"/>
      <sheetName val="일위대가"/>
      <sheetName val="Sheet1"/>
      <sheetName val="품셈"/>
      <sheetName val="내역서"/>
      <sheetName val="Sheet2"/>
      <sheetName val="Sheet3"/>
      <sheetName val="분수구조물"/>
      <sheetName val="RSH50-1EA"/>
      <sheetName val="노임단가"/>
      <sheetName val="일목"/>
      <sheetName val="일위"/>
      <sheetName val="시설단위수량2"/>
      <sheetName val="woo(mac)"/>
      <sheetName val="일위대가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구원가계산"/>
      <sheetName val="내역서"/>
      <sheetName val="안정검토(온1)"/>
      <sheetName val="공내역"/>
      <sheetName val="1차증가원가계산"/>
      <sheetName val="일목"/>
      <sheetName val="일위"/>
      <sheetName val="노임단가"/>
      <sheetName val="단가"/>
      <sheetName val="DT"/>
      <sheetName val="롤러"/>
      <sheetName val="펌프차타설"/>
      <sheetName val="수량산출"/>
      <sheetName val="BH"/>
      <sheetName val="설명"/>
      <sheetName val="표지 (2)"/>
      <sheetName val="데이타"/>
      <sheetName val="식재인부"/>
      <sheetName val="2000노임기준"/>
      <sheetName val="노임이"/>
      <sheetName val="I一般比"/>
      <sheetName val="을"/>
      <sheetName val="토사(PE)"/>
      <sheetName val="목록"/>
      <sheetName val="약품공급2"/>
      <sheetName val="Sheet2"/>
      <sheetName val="Sheet3"/>
      <sheetName val="ABUT수량-A1"/>
      <sheetName val="#REF"/>
      <sheetName val="설변내역"/>
      <sheetName val="수주추정"/>
      <sheetName val="일위대가"/>
      <sheetName val="중기사용료산출근거"/>
      <sheetName val="단가 및 재료비"/>
      <sheetName val="단가산출2"/>
      <sheetName val="단가산출1"/>
      <sheetName val="개별직종노임단가(2003.9)"/>
      <sheetName val="2호맨홀공제수량"/>
      <sheetName val="01"/>
      <sheetName val="구조물철거타공정이월"/>
      <sheetName val="공사별 가중치 산출근거(토목)"/>
      <sheetName val="가중치근거(조경)"/>
      <sheetName val="2BOX본체"/>
      <sheetName val="기계경비(시간당)"/>
      <sheetName val="램머"/>
      <sheetName val="소분류목록"/>
      <sheetName val="설계내역서"/>
      <sheetName val="상 부"/>
      <sheetName val="노임(1차)"/>
      <sheetName val="산출내역서집계표"/>
      <sheetName val="실행철강하도"/>
      <sheetName val="INPUT"/>
      <sheetName val="말고개터널조명전압강하"/>
      <sheetName val="(A)내역서"/>
      <sheetName val="교각계산"/>
      <sheetName val="DATE"/>
      <sheetName val="DATA"/>
      <sheetName val="cal"/>
      <sheetName val="집수정(600-700)"/>
      <sheetName val="갑지"/>
      <sheetName val="일위대가(가설)"/>
      <sheetName val="위치조서"/>
      <sheetName val="내역"/>
      <sheetName val="원가계산"/>
      <sheetName val="건축집계"/>
      <sheetName val="3.하중산정4.지지력"/>
      <sheetName val="밸브설치"/>
      <sheetName val="날1"/>
      <sheetName val="날개벽"/>
      <sheetName val="수목표준대가"/>
      <sheetName val="S0"/>
      <sheetName val="호선별집계"/>
      <sheetName val="2000전체분"/>
      <sheetName val="2000년1차"/>
      <sheetName val="계수시트"/>
      <sheetName val="원가계산서"/>
      <sheetName val="설계명세서"/>
      <sheetName val="공리공제"/>
      <sheetName val="인부신상자료"/>
      <sheetName val="관로토공"/>
      <sheetName val="설계예산서"/>
      <sheetName val="기기리스트"/>
      <sheetName val="원내역"/>
      <sheetName val="노임 (2차)"/>
      <sheetName val="자재단가"/>
      <sheetName val="48수량"/>
      <sheetName val="49일위"/>
      <sheetName val="22일위"/>
      <sheetName val="49수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RAGE"/>
      <sheetName val="Y-WORK"/>
      <sheetName val="YES"/>
      <sheetName val="전선 및 전선관"/>
      <sheetName val="총괄"/>
      <sheetName val="토목"/>
      <sheetName val="조명율표"/>
      <sheetName val="Sheet1"/>
      <sheetName val="설계예산서"/>
      <sheetName val="수량집계"/>
      <sheetName val="가로등내역서"/>
      <sheetName val="DATA"/>
      <sheetName val="수량산출서"/>
      <sheetName val="2000.11월설계내역"/>
      <sheetName val="일위대가"/>
      <sheetName val="#REF"/>
      <sheetName val="단가"/>
      <sheetName val="총괄표"/>
      <sheetName val="말뚝지지력산정"/>
      <sheetName val="터파기및재료"/>
      <sheetName val="집계표"/>
      <sheetName val="실행철강하도"/>
      <sheetName val="내역서2안"/>
      <sheetName val="내역서"/>
      <sheetName val="단가산출"/>
      <sheetName val="소야공정계획표"/>
      <sheetName val="입찰안"/>
      <sheetName val="봉양~조차장간고하개명(신설)"/>
      <sheetName val="단가조사"/>
      <sheetName val="하조서"/>
      <sheetName val="내역"/>
      <sheetName val="보증수수료산출"/>
      <sheetName val="준검 내역서"/>
      <sheetName val="6호기"/>
      <sheetName val="수량산출"/>
      <sheetName val="기계경비"/>
      <sheetName val="bid"/>
      <sheetName val="INPUT"/>
      <sheetName val="JUCK"/>
      <sheetName val="1.수인터널"/>
      <sheetName val="가로등"/>
      <sheetName val="부대내역"/>
      <sheetName val="구조물철거타공정이월"/>
      <sheetName val="공사비예산서(토목분)"/>
      <sheetName val="공구원가계산"/>
      <sheetName val="1차증가원가계산"/>
      <sheetName val="참조-(1)"/>
      <sheetName val="일위목록"/>
      <sheetName val="일위대가표"/>
      <sheetName val="신우"/>
      <sheetName val="단가 및 재료비"/>
      <sheetName val="교각1"/>
      <sheetName val="b_balju_cho"/>
      <sheetName val="2006기계경비산출표"/>
      <sheetName val="약품설비"/>
      <sheetName val="내역서(전기)"/>
      <sheetName val="표지 (2)"/>
      <sheetName val="자재단가"/>
      <sheetName val="Sheet2"/>
      <sheetName val="수목데이타 "/>
      <sheetName val="변압기 및 발전기 용량"/>
      <sheetName val="각형맨홀"/>
      <sheetName val="수목단가"/>
      <sheetName val="시설수량표"/>
      <sheetName val="식재수량표"/>
      <sheetName val="ASP포장"/>
      <sheetName val="단가산출서(기계)"/>
      <sheetName val="XXXXXX"/>
      <sheetName val="표지"/>
      <sheetName val="1.수변전설비공사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산출근거"/>
      <sheetName val="주상도"/>
      <sheetName val="점수계산1-2"/>
      <sheetName val="특별교실"/>
      <sheetName val="기숙사"/>
      <sheetName val="화장실"/>
      <sheetName val="총집계-1"/>
      <sheetName val="총집계-2"/>
      <sheetName val="원가-1"/>
      <sheetName val="원가-2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기안"/>
      <sheetName val="갑지"/>
      <sheetName val="견적서"/>
      <sheetName val="호계"/>
      <sheetName val="제암"/>
      <sheetName val="월마트"/>
      <sheetName val="월드컵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내역(설계)"/>
      <sheetName val="부대공사비"/>
      <sheetName val="현장관리비집계표"/>
      <sheetName val="Macro1"/>
      <sheetName val="일위대가(목록)"/>
      <sheetName val="재료비"/>
      <sheetName val="견적대비"/>
      <sheetName val="일위대가표(유단가)"/>
      <sheetName val="점검총괄"/>
      <sheetName val="자재목록"/>
      <sheetName val="동력부하(도산)"/>
      <sheetName val="수로교총재료집계"/>
      <sheetName val="Total"/>
      <sheetName val="원가계산"/>
      <sheetName val="2000년1차"/>
      <sheetName val="정부노임단가"/>
      <sheetName val="3BL공동구 수량"/>
      <sheetName val="ETC"/>
      <sheetName val="돌망태단위수량"/>
      <sheetName val="말뚝물량"/>
      <sheetName val="에너지동"/>
      <sheetName val="연습"/>
      <sheetName val="예산변경사항"/>
      <sheetName val="설계내역서"/>
      <sheetName val="일반공사"/>
      <sheetName val="대비"/>
      <sheetName val="본선차로수량집계표"/>
      <sheetName val="ITEM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단가비교표"/>
      <sheetName val="Module11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데이타"/>
      <sheetName val="물가자료"/>
      <sheetName val="품의서"/>
      <sheetName val="부하계산서"/>
      <sheetName val="물가시세"/>
      <sheetName val="MOTOR"/>
      <sheetName val="SG"/>
      <sheetName val="전신환매도율"/>
      <sheetName val="EACT10"/>
      <sheetName val="산출내역서집계표"/>
      <sheetName val="원가계산서 (총괄)"/>
      <sheetName val="원가계산서 (건축)"/>
      <sheetName val="(총괄집계)"/>
      <sheetName val="건축공사"/>
      <sheetName val="방음벽기초(H=4m)"/>
      <sheetName val="예산갑지"/>
      <sheetName val="가감수량"/>
      <sheetName val="맨홀수량산출"/>
      <sheetName val="기계경비(시간당)"/>
      <sheetName val="램머"/>
      <sheetName val="대치판정"/>
      <sheetName val="전기일위대가"/>
      <sheetName val="상수도토공집계표"/>
      <sheetName val="단면 (2)"/>
      <sheetName val="부속동"/>
      <sheetName val="을"/>
      <sheetName val="FILE1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남양시작동자105노65기1.3화1.2"/>
      <sheetName val="직노"/>
      <sheetName val="실행내역"/>
      <sheetName val="200"/>
      <sheetName val="코드표"/>
      <sheetName val="Sheet1 (2)"/>
      <sheetName val="입찰결과(DATA)"/>
      <sheetName val="기계경비시간당손료목록"/>
      <sheetName val="요율"/>
      <sheetName val="자재대"/>
      <sheetName val="참고"/>
      <sheetName val="공사개요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수입"/>
      <sheetName val="견적조건"/>
      <sheetName val="견적조건(을지)"/>
      <sheetName val="식생블럭단위수량"/>
      <sheetName val="을지"/>
      <sheetName val="간선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기초단가"/>
      <sheetName val="대구실행"/>
      <sheetName val="Baby일위대가"/>
      <sheetName val="0.집계"/>
      <sheetName val="N賃率-職"/>
      <sheetName val="가로등부표"/>
      <sheetName val="설계조건"/>
      <sheetName val="날개벽(TYPE3)"/>
      <sheetName val="동원(3)"/>
      <sheetName val="예정(3)"/>
      <sheetName val="주형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ÀÏÀ§´ë°¡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³»¿ª¼­"/>
      <sheetName val="´Ü°¡»êÃâ"/>
      <sheetName val="¼Ò¾ß°øÁ¤°èÈ¹Ç¥"/>
      <sheetName val="ÀÔÂû¾È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CABLE SIZE-3"/>
      <sheetName val="EQUIP-H"/>
      <sheetName val="소요자재"/>
      <sheetName val="노무산출서"/>
      <sheetName val="AS포장복구 "/>
      <sheetName val="경비_원본"/>
      <sheetName val="간접1"/>
      <sheetName val="기계내역"/>
      <sheetName val="기자재대비표"/>
      <sheetName val="ABUT수량-A1"/>
      <sheetName val="1.설계조건"/>
      <sheetName val="원가계산서"/>
      <sheetName val="공종별원가계산"/>
      <sheetName val="경산(을)"/>
      <sheetName val="22단가(철거)"/>
      <sheetName val="49단가"/>
      <sheetName val="49단가(철거)"/>
      <sheetName val="22단가"/>
      <sheetName val="15"/>
      <sheetName val="물량표"/>
      <sheetName val="BOX전기내역"/>
      <sheetName val="입출재고현황 (2)"/>
      <sheetName val="20관리비율"/>
      <sheetName val="총괄집계표"/>
      <sheetName val="DATA1"/>
      <sheetName val="단가산출서"/>
      <sheetName val="종합기별"/>
      <sheetName val="노무비명세서"/>
      <sheetName val="소요자재명세서"/>
      <sheetName val="노임"/>
      <sheetName val="제수변수량"/>
      <sheetName val="공기변수량"/>
      <sheetName val="통장출금액"/>
      <sheetName val="단가조사서"/>
      <sheetName val="Macro(차단기)"/>
      <sheetName val="토공"/>
      <sheetName val="관로"/>
      <sheetName val="A-4"/>
      <sheetName val="조건표"/>
      <sheetName val="JJ"/>
      <sheetName val="설계"/>
      <sheetName val="설 계"/>
      <sheetName val="BQ"/>
      <sheetName val="단면(RW1)"/>
      <sheetName val="WORK"/>
      <sheetName val="시설물일위"/>
      <sheetName val="비교표"/>
      <sheetName val="소비자가"/>
      <sheetName val="ilch"/>
      <sheetName val="조도계산서 (도서)"/>
      <sheetName val="LOPCALC"/>
      <sheetName val="재료"/>
      <sheetName val="매립"/>
      <sheetName val="MAIN_TABLE"/>
      <sheetName val="일위대가목차"/>
      <sheetName val="제경비율"/>
      <sheetName val="아산추가1220"/>
      <sheetName val="3-1.CB"/>
      <sheetName val="XL4Poppy"/>
      <sheetName val="98지급계획"/>
      <sheetName val="당초"/>
      <sheetName val="본공사"/>
      <sheetName val="DANGA"/>
      <sheetName val="IMP(MAIN)"/>
      <sheetName val="IMP (REACTOR)"/>
      <sheetName val="차액보증"/>
      <sheetName val="오산갈곳"/>
      <sheetName val="맨홀수량집계"/>
      <sheetName val="1.설계기준"/>
      <sheetName val="터널조도"/>
      <sheetName val="현황CODE"/>
      <sheetName val="손익현황"/>
      <sheetName val="3차설계"/>
      <sheetName val="기둥(원형)"/>
      <sheetName val="옹벽"/>
      <sheetName val="밸브설치"/>
      <sheetName val="3.바닥판설계"/>
      <sheetName val="안정계산"/>
      <sheetName val="단면검토"/>
      <sheetName val="원가"/>
      <sheetName val="VA_code"/>
      <sheetName val="2000전체분"/>
      <sheetName val="일반수량"/>
      <sheetName val="말고개터널조명전압강하"/>
      <sheetName val="우수맨홀공제단위수량"/>
      <sheetName val="스톱로그내역"/>
      <sheetName val="수주현황2월"/>
      <sheetName val="토공유동표"/>
      <sheetName val="교각계산"/>
      <sheetName val="공사원가계산서)"/>
      <sheetName val="내역집계표"/>
      <sheetName val="전기내역"/>
      <sheetName val="대가집계표"/>
      <sheetName val="대가전기"/>
      <sheetName val="자료"/>
      <sheetName val="집계표(관급)"/>
      <sheetName val="전기내역관급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외주대비-구조물"/>
      <sheetName val="외주대비 -석축"/>
      <sheetName val="외주대비-구조물 (2)"/>
      <sheetName val="견적표지 (3)"/>
      <sheetName val="정태현"/>
      <sheetName val="JUCKEYK"/>
      <sheetName val="1단계"/>
      <sheetName val="DATE"/>
      <sheetName val="BASIC (2)"/>
      <sheetName val="9-1차이내역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기초코드"/>
      <sheetName val="AS복구"/>
      <sheetName val="중기터파기"/>
      <sheetName val="변수값"/>
      <sheetName val="중기상차"/>
      <sheetName val="단면가정"/>
      <sheetName val="증감대비"/>
      <sheetName val="공종단가"/>
      <sheetName val="LD일"/>
      <sheetName val="FA설치명세"/>
      <sheetName val="FD"/>
      <sheetName val=" 총괄표"/>
      <sheetName val="적용(기계)"/>
      <sheetName val="옹벽수량집계"/>
      <sheetName val="자재단가표"/>
      <sheetName val="고창터널(고창방향)"/>
      <sheetName val="포장공"/>
      <sheetName val="PO-BOQ"/>
      <sheetName val="인건비"/>
      <sheetName val="일반수량총괄"/>
      <sheetName val="외주"/>
      <sheetName val="의왕내역"/>
      <sheetName val="변경비교-을"/>
      <sheetName val="노무비단가"/>
      <sheetName val="입찰보고"/>
      <sheetName val=" 상부공통집계(총괄)"/>
      <sheetName val="인건비 "/>
      <sheetName val="백호우계수"/>
      <sheetName val="견적의뢰서"/>
      <sheetName val="연결관산출조서"/>
      <sheetName val="1SPAN"/>
      <sheetName val="제품별"/>
      <sheetName val="단가일람"/>
      <sheetName val="조경일람"/>
      <sheetName val="일위대가목록"/>
      <sheetName val="하수급견적대비"/>
      <sheetName val="간접비"/>
      <sheetName val="001"/>
      <sheetName val="가설건물"/>
      <sheetName val="일위집계표"/>
      <sheetName val="5.정산서"/>
      <sheetName val="공사별 가중치 산출근거(토목)"/>
      <sheetName val="가중치근거(조경)"/>
      <sheetName val="2공구산출내역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45,46"/>
      <sheetName val="교대(A1)"/>
      <sheetName val="교대(A1-A2)"/>
      <sheetName val="노무비"/>
      <sheetName val="I一般比"/>
      <sheetName val="경비2내역"/>
      <sheetName val="현장관리비내역서"/>
      <sheetName val="단가대비표"/>
      <sheetName val="일위대가표 (2)"/>
      <sheetName val="포장복구집계"/>
      <sheetName val="REACTION(USD지진시)"/>
      <sheetName val="안정검토"/>
      <sheetName val="REACTION(USE평시)"/>
      <sheetName val="부재력정리"/>
      <sheetName val="BLOCK(1)"/>
      <sheetName val="총계"/>
      <sheetName val="8. 안정검토"/>
      <sheetName val="제-노임"/>
      <sheetName val="제직재"/>
      <sheetName val="96보완계획7.12"/>
      <sheetName val="지진시"/>
      <sheetName val="일위대가(가설)"/>
      <sheetName val="실행내역서"/>
      <sheetName val="BID-도로"/>
      <sheetName val="내력서"/>
      <sheetName val="1차설계변경내역"/>
      <sheetName val="3.공통공사대비"/>
      <sheetName val="6PILE  (돌출)"/>
      <sheetName val="98NS-N"/>
      <sheetName val="토량산출서"/>
      <sheetName val="조명시설"/>
      <sheetName val="90.03실행 "/>
      <sheetName val="자료입력"/>
      <sheetName val="금리계산"/>
      <sheetName val="부대공Ⅱ"/>
      <sheetName val="대구-교대(A1-A2)"/>
      <sheetName val="원형1호맨홀토공수량"/>
      <sheetName val="Sheet17"/>
      <sheetName val="°©Áö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µ¿¿ø(3)"/>
      <sheetName val="¿¹Á¤(3)"/>
      <sheetName val="ÁÖÇü"/>
      <sheetName val="부대시설"/>
      <sheetName val="Apt내역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ßÀû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재정비직인"/>
      <sheetName val="재정비내역"/>
      <sheetName val="지적고시내역"/>
      <sheetName val="철거산출근거"/>
      <sheetName val="단위단가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검사원"/>
      <sheetName val="집계(총괄)"/>
      <sheetName val="구성비"/>
      <sheetName val="실적보고"/>
      <sheetName val="표준안전집계"/>
      <sheetName val="표준안전내역"/>
      <sheetName val="9GNG운반"/>
      <sheetName val="LP-S"/>
      <sheetName val="목동1절주.bh01"/>
      <sheetName val="48일위"/>
    </sheetNames>
    <definedNames>
      <definedName name="Macro13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 refreshError="1"/>
      <sheetData sheetId="579" refreshError="1"/>
      <sheetData sheetId="580" refreshError="1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공사원가계산서"/>
      <sheetName val="총내역서"/>
      <sheetName val="내역서"/>
      <sheetName val="일위대가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esco"/>
      <sheetName val="2000.11월설계내역"/>
      <sheetName val="준검 내역서"/>
      <sheetName val="1.수,변전설비 (1차작업)"/>
      <sheetName val="2.옥외전력(침매함-수정-1차작업)"/>
      <sheetName val="3.옥외전력(사장교-수정-1차작업)"/>
      <sheetName val="4.인입선교체공사"/>
      <sheetName val="DATA"/>
      <sheetName val="조명율표"/>
      <sheetName val="노임"/>
      <sheetName val="기성내역"/>
      <sheetName val="MOTOR"/>
      <sheetName val="실행간접비용"/>
      <sheetName val="laroux"/>
      <sheetName val="일위,한전"/>
      <sheetName val="원가계산서"/>
      <sheetName val="단가조사서"/>
      <sheetName val="1. 가로등 설치공사(2공구)"/>
      <sheetName val="내역서 (2)"/>
      <sheetName val="노임단가"/>
      <sheetName val="수목단가"/>
      <sheetName val="시설수량표"/>
      <sheetName val="식재수량표"/>
      <sheetName val="자재단가"/>
      <sheetName val="을"/>
      <sheetName val="총 원가계산"/>
      <sheetName val="#REF"/>
      <sheetName val="I一般比"/>
      <sheetName val="48수량"/>
      <sheetName val="49일위"/>
      <sheetName val="22일위"/>
      <sheetName val="수량산출"/>
      <sheetName val="데이타"/>
      <sheetName val="Sheet1"/>
      <sheetName val="갈현동"/>
      <sheetName val="단락전류-A"/>
      <sheetName val="인건-측정"/>
      <sheetName val="산출7-본선2"/>
      <sheetName val="산출7-본선3"/>
      <sheetName val="전체"/>
      <sheetName val="CODE"/>
      <sheetName val="실행철강하도"/>
      <sheetName val="2공구산출내역"/>
      <sheetName val="터파기및재료"/>
      <sheetName val="강교(Sub)"/>
      <sheetName val="부대내역"/>
      <sheetName val="2000,9월 일위"/>
      <sheetName val="수량산출서"/>
      <sheetName val="49수량"/>
      <sheetName val="9GNG운반"/>
      <sheetName val="기둥(원형)"/>
      <sheetName val="예정(3)"/>
      <sheetName val="동원(3)"/>
      <sheetName val="중기일위대가"/>
      <sheetName val="°©Áö"/>
      <sheetName val="°ø»ç¿ø°¡°è»ê¼­"/>
      <sheetName val="ÃÑ³»¿ª¼­"/>
      <sheetName val="³»¿ª¼­"/>
      <sheetName val="ÀÏÀ§´ë°¡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Àåºñ´Ü°¡»êÃâ"/>
      <sheetName val="Sheet3"/>
      <sheetName val="안정검토(온1)"/>
      <sheetName val="중간부"/>
      <sheetName val="산출내역서"/>
      <sheetName val="견적대비표"/>
      <sheetName val="집수정(600-700)"/>
      <sheetName val="2.대외공문"/>
      <sheetName val="일위대가(가설)"/>
      <sheetName val="6호기"/>
      <sheetName val="공구원가계산"/>
      <sheetName val="일위목록"/>
      <sheetName val="터널조도"/>
      <sheetName val="동해title"/>
      <sheetName val="현황CODE"/>
      <sheetName val="손익현황"/>
      <sheetName val="평교-내역"/>
      <sheetName val="소야공정계획표"/>
      <sheetName val="건축-물가변동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표지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1,2공구원가계산서"/>
      <sheetName val="1공구산출내역서"/>
      <sheetName val="실행내역"/>
      <sheetName val="정부노임단가"/>
      <sheetName val="공사개요"/>
      <sheetName val="현장관리비"/>
      <sheetName val="말뚝지지력산정"/>
      <sheetName val="JUCKEYK"/>
      <sheetName val="원가계산서 "/>
      <sheetName val="1안"/>
      <sheetName val="관로분포도"/>
      <sheetName val="내역"/>
      <sheetName val="표지 (2)"/>
      <sheetName val="설계내역서"/>
      <sheetName val="공내역"/>
      <sheetName val="견적단가"/>
      <sheetName val="단가비교표"/>
      <sheetName val="샘플표지"/>
      <sheetName val="IT-BAT"/>
      <sheetName val="설명"/>
      <sheetName val="계좌번호"/>
      <sheetName val="공사현황 "/>
      <sheetName val="투입현황"/>
      <sheetName val="중,재,유청구"/>
      <sheetName val="직영"/>
      <sheetName val="투입현황 (LG)"/>
      <sheetName val="중기가동"/>
      <sheetName val="외주기성(이재남)"/>
      <sheetName val="사토운반"/>
      <sheetName val="외주모작투입"/>
      <sheetName val="외주공제현황"/>
      <sheetName val="용역 (2)"/>
      <sheetName val="목공"/>
      <sheetName val="철근"/>
      <sheetName val="이상헌"/>
      <sheetName val="경유사용내역  "/>
      <sheetName val="휘발유사용내역   (2)"/>
      <sheetName val="JUCK"/>
      <sheetName val="가로등"/>
      <sheetName val="토사(PE)"/>
      <sheetName val="배수내역"/>
      <sheetName val="본체"/>
      <sheetName val="날개벽"/>
      <sheetName val="암거단위"/>
      <sheetName val="원가계산"/>
      <sheetName val="Sheet2"/>
      <sheetName val="산업개발안내서"/>
      <sheetName val="타공종이기"/>
      <sheetName val="일위대가표"/>
      <sheetName val="비목군분류일위"/>
      <sheetName val="2000년1차"/>
      <sheetName val="일반토공견적"/>
      <sheetName val="SG"/>
      <sheetName val="자동제어"/>
      <sheetName val="매립"/>
      <sheetName val="MAT_N048"/>
      <sheetName val="주형"/>
      <sheetName val="2000.11¿ù¼³°è³»¿ª"/>
      <sheetName val="ÁØ°Ë ³»¿ª¼­"/>
      <sheetName val="BQ"/>
      <sheetName val="설계조건"/>
      <sheetName val="건축내역서"/>
      <sheetName val="설비내역서"/>
      <sheetName val="전기내역서"/>
      <sheetName val="집계표"/>
      <sheetName val="에너지동"/>
      <sheetName val="Y-WORK"/>
      <sheetName val="보건노"/>
      <sheetName val="철거산출근거"/>
      <sheetName val="단가"/>
      <sheetName val="danga"/>
      <sheetName val="ilch"/>
      <sheetName val="건축내역"/>
      <sheetName val="김남권내역9"/>
      <sheetName val="을지"/>
      <sheetName val="링크해지용"/>
      <sheetName val="STBOX"/>
      <sheetName val="산출2-기기동력"/>
      <sheetName val="단가산출"/>
      <sheetName val="H-PILE수량집계"/>
      <sheetName val="인부신상자료"/>
      <sheetName val="노무비"/>
      <sheetName val="입찰안"/>
      <sheetName val="입고"/>
      <sheetName val="결재갑지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단가표"/>
      <sheetName val="DATE"/>
      <sheetName val="변경도급"/>
      <sheetName val="하부철근수량"/>
      <sheetName val="제출내역 (2)"/>
      <sheetName val="설계"/>
      <sheetName val="일위대가(건축)"/>
      <sheetName val="내역서 제출"/>
      <sheetName val="토공(1)"/>
      <sheetName val="일용직"/>
      <sheetName val="일반공사"/>
      <sheetName val="ITEM"/>
      <sheetName val="정공공사"/>
      <sheetName val="주안3차A-A"/>
      <sheetName val="단면가정"/>
      <sheetName val="원가"/>
      <sheetName val="설계명세서"/>
      <sheetName val="예산명세서"/>
      <sheetName val="자료입력"/>
      <sheetName val="노임(1차)"/>
      <sheetName val="DT"/>
      <sheetName val="롤러"/>
      <sheetName val="BH"/>
      <sheetName val="펌프차타설"/>
      <sheetName val="참조-(1)"/>
      <sheetName val="약품공급2"/>
      <sheetName val="구체"/>
      <sheetName val="좌측날개벽"/>
      <sheetName val="우측날개벽"/>
      <sheetName val="1SPAN"/>
      <sheetName val="일위대가목차"/>
      <sheetName val="기본단가표"/>
      <sheetName val="내역서01"/>
      <sheetName val="덕소내역"/>
      <sheetName val="전기혼잡제경비(45)"/>
      <sheetName val="Customer Databas"/>
      <sheetName val="신표지1"/>
      <sheetName val="POL6차-PIPING"/>
      <sheetName val="기흥하도용"/>
      <sheetName val="요율"/>
      <sheetName val="부안일위"/>
      <sheetName val="S.중기사용료"/>
      <sheetName val="입력란"/>
      <sheetName val="97노임단가"/>
      <sheetName val="일위집계표"/>
      <sheetName val="단가일람"/>
      <sheetName val="조경일람"/>
      <sheetName val="외주"/>
      <sheetName val="노임이"/>
      <sheetName val="기준액"/>
      <sheetName val="간접비계산"/>
      <sheetName val="토공,철콘"/>
      <sheetName val="금광1터널"/>
      <sheetName val="입력"/>
      <sheetName val="2000전체분"/>
      <sheetName val="CM 1"/>
      <sheetName val="주소록"/>
      <sheetName val="Total"/>
      <sheetName val="산근"/>
      <sheetName val="수량산출(수평맹암거)"/>
      <sheetName val="실행(표지,갑,을)"/>
      <sheetName val="산출내역서집계표"/>
      <sheetName val="약품설비"/>
      <sheetName val="MACRO(MCC)"/>
      <sheetName val="통신단가조사"/>
      <sheetName val="Macro(차단기)"/>
      <sheetName val="말고개터널조명전압강하"/>
      <sheetName val="ABUT수량-A1"/>
      <sheetName val="경상비"/>
      <sheetName val="106C0300"/>
      <sheetName val="금액"/>
      <sheetName val="현장관리비 산출내역"/>
      <sheetName val="건축일위"/>
      <sheetName val="그라우팅일위"/>
      <sheetName val="Proposal"/>
      <sheetName val="BID"/>
      <sheetName val="일위대가(1)"/>
      <sheetName val="Module1"/>
      <sheetName val="대림경상68억"/>
      <sheetName val="Macro2"/>
      <sheetName val="Macro1"/>
      <sheetName val="COPING"/>
      <sheetName val="차액보증"/>
      <sheetName val="재료비"/>
      <sheetName val="식재인부"/>
      <sheetName val="DAN"/>
      <sheetName val="백호우계수"/>
      <sheetName val="초기화면"/>
      <sheetName val="관급자재"/>
      <sheetName val="교량전기"/>
      <sheetName val="전기"/>
      <sheetName val="단"/>
      <sheetName val="2000_11월설계내역"/>
      <sheetName val="준검_내역서"/>
      <sheetName val="1_수,변전설비_(1차작업)"/>
      <sheetName val="2_옥외전력(침매함-수정-1차작업)"/>
      <sheetName val="3_옥외전력(사장교-수정-1차작업)"/>
      <sheetName val="4_인입선교체공사"/>
      <sheetName val="1__가로등_설치공사(2공구)"/>
      <sheetName val="내역서_(2)"/>
      <sheetName val="2000,9월_일위"/>
      <sheetName val="접지수량"/>
      <sheetName val="인사자료총집계"/>
      <sheetName val="실행예산"/>
      <sheetName val="CC16-내역서"/>
      <sheetName val="금액내역서"/>
      <sheetName val="과세표준율-2"/>
      <sheetName val="면적분양가"/>
      <sheetName val="분양면적(1123)"/>
      <sheetName val="출력소스"/>
      <sheetName val="대치판정"/>
      <sheetName val="설계내역"/>
      <sheetName val="사급자재"/>
      <sheetName val="(A)내역서"/>
      <sheetName val="방지책개소별명세"/>
      <sheetName val="AS복구"/>
      <sheetName val="중기터파기"/>
      <sheetName val="변수값"/>
      <sheetName val="중기상차"/>
      <sheetName val="D&amp;P특기사항"/>
      <sheetName val="간선계산"/>
      <sheetName val="재료집계"/>
      <sheetName val="시중노임(공사)"/>
      <sheetName val="AHU집계"/>
      <sheetName val="공조기휀"/>
      <sheetName val="공조기"/>
      <sheetName val="품셈총괄표"/>
      <sheetName val="(14)전기품셈정산"/>
      <sheetName val="(12)전기경비"/>
      <sheetName val="Front"/>
      <sheetName val="wall"/>
      <sheetName val="신우"/>
      <sheetName val="견적율"/>
      <sheetName val="A"/>
      <sheetName val="가감수량"/>
      <sheetName val="맨홀수량산출"/>
      <sheetName val="정보매체A동"/>
      <sheetName val="982월원안"/>
      <sheetName val="1.수인터널"/>
      <sheetName val="woo(mac)"/>
      <sheetName val="nys"/>
      <sheetName val="직노"/>
      <sheetName val="Sheet13"/>
      <sheetName val="Sheet14"/>
      <sheetName val="전기자료"/>
      <sheetName val="토공집계표"/>
      <sheetName val="b_balju_cho"/>
      <sheetName val="2003상반기노임기준"/>
      <sheetName val="평가내역"/>
      <sheetName val="001"/>
      <sheetName val="갑지1"/>
      <sheetName val="3.바닥판설계"/>
      <sheetName val="WORK"/>
      <sheetName val="98수문일위"/>
      <sheetName val="단가표 "/>
      <sheetName val="2_대외공문"/>
      <sheetName val="총_원가계산"/>
      <sheetName val="PL"/>
      <sheetName val="TEMP1"/>
      <sheetName val="TEMP2"/>
      <sheetName val="밸브설치"/>
      <sheetName val="데리네이타현황"/>
      <sheetName val="1.설계기준"/>
      <sheetName val="전선 및 전선관"/>
      <sheetName val="신내택지내역서"/>
      <sheetName val="담장산출"/>
      <sheetName val="단가 및 재료비"/>
      <sheetName val="웅진교-S2"/>
      <sheetName val="200"/>
      <sheetName val="일위대가(목록)"/>
      <sheetName val="주현(해보)"/>
      <sheetName val="주현(영광)"/>
      <sheetName val="맨홀물량"/>
      <sheetName val="설계서(7)"/>
      <sheetName val="관급"/>
      <sheetName val="조도계산서1"/>
      <sheetName val="기초자료"/>
      <sheetName val="인건비"/>
      <sheetName val="접속도로"/>
      <sheetName val="접속도로1"/>
      <sheetName val="단가산출서"/>
      <sheetName val="기초자료입력"/>
      <sheetName val="공사비"/>
      <sheetName val="공사비집계"/>
      <sheetName val="준공정산"/>
      <sheetName val="골재집계"/>
      <sheetName val="실행"/>
      <sheetName val="자탐"/>
      <sheetName val="Sheet1 (2)"/>
      <sheetName val="투찰"/>
      <sheetName val="U-TYPE(1)"/>
      <sheetName val="NOMUBI"/>
      <sheetName val="sw1"/>
      <sheetName val="설계서(본관)"/>
      <sheetName val="단가조사"/>
      <sheetName val="공사비증감"/>
      <sheetName val="도수로집계"/>
      <sheetName val="2006기계경비산출표"/>
      <sheetName val="경비"/>
      <sheetName val="tong du toan"/>
      <sheetName val="3BL공동구 수량"/>
      <sheetName val="가설건물"/>
      <sheetName val="지급자재"/>
      <sheetName val="날개벽수량표"/>
      <sheetName val="세부내역"/>
      <sheetName val="N賃率-職"/>
      <sheetName val="갑지(추정)"/>
      <sheetName val="LOPCALC"/>
      <sheetName val="TEL"/>
      <sheetName val="1차증가원가계산"/>
      <sheetName val="1.설계조건"/>
      <sheetName val="Sheet5"/>
      <sheetName val="내역1"/>
      <sheetName val="설계기준"/>
      <sheetName val="기계경비산출"/>
      <sheetName val="인건비 "/>
      <sheetName val="설계서"/>
      <sheetName val="Chart1"/>
      <sheetName val="단위내역목록"/>
      <sheetName val="단위내역서"/>
      <sheetName val="총괄표"/>
      <sheetName val="원가(1)"/>
      <sheetName val="원가(2)"/>
      <sheetName val="공량산출서"/>
      <sheetName val="간지"/>
      <sheetName val="1.설계설명서"/>
      <sheetName val="3.예정공정표"/>
      <sheetName val="4.설계예산서"/>
      <sheetName val="공사원가"/>
      <sheetName val="재경"/>
      <sheetName val="5.일위대가"/>
      <sheetName val="6.철거발생품예정조서"/>
      <sheetName val="7.지급자재조서"/>
      <sheetName val="8.가격조사서"/>
      <sheetName val="한강운반비"/>
      <sheetName val="CABLE SIZE-3"/>
      <sheetName val="단가조사-2"/>
      <sheetName val="단위가격"/>
      <sheetName val="장비집계"/>
      <sheetName val="일반수량총괄"/>
      <sheetName val="G.R300경비"/>
      <sheetName val="산출(전주P7)"/>
      <sheetName val="위치조서"/>
      <sheetName val="J형측구단위수량"/>
      <sheetName val="VXXXXXX"/>
      <sheetName val="실내기 사양 (부경대)"/>
      <sheetName val="MACRO(전선관)"/>
      <sheetName val="2-나.물가조사서"/>
      <sheetName val="2"/>
      <sheetName val="화재 탐지 설비"/>
      <sheetName val="예비품"/>
      <sheetName val="빌딩 안내"/>
      <sheetName val="설비공사"/>
      <sheetName val="조경"/>
      <sheetName val="토공집계"/>
      <sheetName val="M_F"/>
      <sheetName val="산#3-1"/>
      <sheetName val="산#3-2"/>
      <sheetName val="산#3-2-2"/>
      <sheetName val="RFP002"/>
      <sheetName val="Graph (LGEN)"/>
      <sheetName val="out_prog"/>
      <sheetName val="선적schedule (2)"/>
      <sheetName val="TIE-INS"/>
      <sheetName val="INPUT"/>
      <sheetName val="횡 연장"/>
      <sheetName val="3.하중산정4.지지력"/>
      <sheetName val="소요자재"/>
      <sheetName val="노무산출서"/>
      <sheetName val="코드"/>
      <sheetName val="잡비"/>
      <sheetName val="공문"/>
      <sheetName val="연부97-1"/>
      <sheetName val="3.골재원검토의견서 갑지"/>
      <sheetName val="가공비"/>
      <sheetName val="각형맨홀"/>
      <sheetName val="내역서1"/>
      <sheetName val="견적의뢰서"/>
      <sheetName val="단가산출서(기계)"/>
      <sheetName val="계수시트"/>
      <sheetName val="특별교실"/>
      <sheetName val="Sheet9"/>
      <sheetName val="교각1"/>
      <sheetName val="의왕내역"/>
      <sheetName val="7단가"/>
      <sheetName val="BEND LOSS"/>
      <sheetName val="기계경비일람"/>
      <sheetName val="BEND_LOSS"/>
      <sheetName val="설직재-1"/>
      <sheetName val="단가(1)"/>
      <sheetName val="EJ"/>
      <sheetName val="변압기 및 발전기 용량"/>
      <sheetName val="기자재대비표"/>
      <sheetName val="연습"/>
      <sheetName val="BOQ-Summary_Form A1"/>
      <sheetName val="BOQ-Summary_Form A2"/>
      <sheetName val="BOQ-Summary_Form A3"/>
      <sheetName val="Attachment_A"/>
      <sheetName val="elect QC"/>
      <sheetName val="Quezon"/>
      <sheetName val="bulcan"/>
      <sheetName val="Bulacan"/>
      <sheetName val="자단"/>
      <sheetName val="유치원내역"/>
      <sheetName val="공통가설"/>
      <sheetName val="건              축"/>
      <sheetName val="별표 "/>
      <sheetName val="중기사용료"/>
      <sheetName val="단가대비표"/>
      <sheetName val="실행내역 "/>
      <sheetName val="guard(mac)"/>
      <sheetName val="MYUN(MAC)"/>
      <sheetName val="tggwan(mac)"/>
      <sheetName val="suk(mac)"/>
      <sheetName val="1월"/>
      <sheetName val="TDI ISBL"/>
      <sheetName val="간접비"/>
      <sheetName val="문학간접"/>
      <sheetName val="간접"/>
      <sheetName val="예산변경사항"/>
      <sheetName val="원가서"/>
      <sheetName val="입찰"/>
      <sheetName val="현경"/>
      <sheetName val="금리계산"/>
      <sheetName val="97년 추정"/>
      <sheetName val="자재일위(경)"/>
      <sheetName val="TYPE-A"/>
      <sheetName val="이월"/>
      <sheetName val="예산총괄"/>
      <sheetName val="골조시행"/>
      <sheetName val="전문품의"/>
      <sheetName val="P-산#1-1(WOWA1)"/>
      <sheetName val="원형1호맨홀토공수량"/>
      <sheetName val="총괄"/>
      <sheetName val="날개벽(TYPE1)"/>
      <sheetName val="학생내역"/>
      <sheetName val="21301동"/>
      <sheetName val="건축공정"/>
      <sheetName val="방진공정"/>
      <sheetName val="조경공정"/>
      <sheetName val="수량산출(음암)"/>
      <sheetName val="돌담교 상부수량"/>
      <sheetName val="Ekog10"/>
      <sheetName val="Baby일위대가"/>
      <sheetName val="토목변경"/>
      <sheetName val="Requirement(Work Crew)"/>
      <sheetName val="E.P.T수량산출서"/>
      <sheetName val="국산화"/>
      <sheetName val="변경집계표"/>
      <sheetName val="PRESSURE GAUGE"/>
      <sheetName val="청주(철골발주의뢰서)"/>
      <sheetName val="__MAIN"/>
      <sheetName val="배수공"/>
      <sheetName val="증감대비"/>
      <sheetName val="FORM-0"/>
      <sheetName val="SHL"/>
      <sheetName val="내역표지"/>
      <sheetName val="48일위"/>
      <sheetName val="CTEMCOST"/>
      <sheetName val="기술자료 (연수)"/>
      <sheetName val="설비"/>
      <sheetName val="정화조방수미장"/>
      <sheetName val="969910( R)"/>
      <sheetName val="당초"/>
      <sheetName val="AS포장복구 "/>
      <sheetName val="B부대공"/>
      <sheetName val="내역갑지"/>
      <sheetName val="중기사용료산출근거"/>
      <sheetName val="단가산출2"/>
      <sheetName val="구조물철거타공정이월"/>
      <sheetName val="가공송전산출서"/>
      <sheetName val="기기리스트"/>
      <sheetName val="직재"/>
      <sheetName val="재집"/>
      <sheetName val="유림골조"/>
      <sheetName val="C3"/>
      <sheetName val="자료"/>
      <sheetName val="간선"/>
      <sheetName val="전압"/>
      <sheetName val="조도"/>
      <sheetName val="동력"/>
      <sheetName val="현장지지물물량"/>
      <sheetName val="몰탈재료산출"/>
      <sheetName val="영업.일1"/>
      <sheetName val="3차설계"/>
      <sheetName val="품셈집계표"/>
      <sheetName val="자재조사표(참고용)"/>
      <sheetName val="일반부표집계표"/>
      <sheetName val="PW3"/>
      <sheetName val="PW4"/>
      <sheetName val="SC1"/>
      <sheetName val="PM"/>
      <sheetName val="TR"/>
      <sheetName val="부하계산서"/>
      <sheetName val="1"/>
      <sheetName val="동력부하(도산)"/>
      <sheetName val="플랜트 설치"/>
      <sheetName val="ⴭⴭⴭ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단가결정"/>
      <sheetName val="단가조사"/>
      <sheetName val="단가조사서작성"/>
      <sheetName val="수목일위"/>
      <sheetName val="수목집계"/>
      <sheetName val="내역장군"/>
      <sheetName val="수량장군"/>
      <sheetName val="내역대령"/>
      <sheetName val="수량대령"/>
      <sheetName val="내역공원"/>
      <sheetName val="수량공원"/>
      <sheetName val="내역아"/>
      <sheetName val="수량아"/>
      <sheetName val="울타리"/>
      <sheetName val="시설물일위"/>
      <sheetName val="운반비"/>
      <sheetName val="단가1"/>
      <sheetName val="공사비조정"/>
      <sheetName val="공사비"/>
      <sheetName val="수목운반"/>
      <sheetName val="가설공사"/>
      <sheetName val="데리네이타현황"/>
      <sheetName val="해군5APT"/>
      <sheetName val="4차원가계산서"/>
      <sheetName val="제수문"/>
      <sheetName val="1호토공"/>
      <sheetName val="좌홍배수장"/>
      <sheetName val="좌홍배수장토공"/>
      <sheetName val="수량산출"/>
      <sheetName val="공구원가계산"/>
      <sheetName val="노임이"/>
      <sheetName val="계수시트"/>
      <sheetName val="노임단가"/>
      <sheetName val="가설공사비"/>
      <sheetName val="도로구조공사비"/>
      <sheetName val="도로토공공사비"/>
      <sheetName val="여수토공사비"/>
      <sheetName val="산출내역서"/>
      <sheetName val="사통"/>
      <sheetName val="노임"/>
      <sheetName val="빗물받이(910-510-410)"/>
      <sheetName val="1차증가원가계산"/>
    </sheetNames>
    <sheetDataSet>
      <sheetData sheetId="0" refreshError="1"/>
      <sheetData sheetId="1" refreshError="1">
        <row r="393">
          <cell r="B393">
            <v>120</v>
          </cell>
        </row>
        <row r="394">
          <cell r="B394">
            <v>94</v>
          </cell>
        </row>
        <row r="395">
          <cell r="B395">
            <v>70</v>
          </cell>
        </row>
        <row r="396">
          <cell r="B396">
            <v>49</v>
          </cell>
        </row>
        <row r="398">
          <cell r="B398">
            <v>32</v>
          </cell>
        </row>
        <row r="405">
          <cell r="B405">
            <v>513</v>
          </cell>
        </row>
        <row r="406">
          <cell r="B406">
            <v>345</v>
          </cell>
        </row>
        <row r="407">
          <cell r="B407">
            <v>256</v>
          </cell>
        </row>
        <row r="408">
          <cell r="B408">
            <v>183</v>
          </cell>
        </row>
        <row r="410">
          <cell r="B410">
            <v>125</v>
          </cell>
        </row>
        <row r="411">
          <cell r="B411">
            <v>101</v>
          </cell>
        </row>
        <row r="412">
          <cell r="B412">
            <v>80</v>
          </cell>
        </row>
        <row r="417">
          <cell r="B417">
            <v>2149</v>
          </cell>
        </row>
        <row r="419">
          <cell r="B419">
            <v>727</v>
          </cell>
        </row>
        <row r="420">
          <cell r="B420">
            <v>513</v>
          </cell>
        </row>
        <row r="421">
          <cell r="B421">
            <v>345</v>
          </cell>
        </row>
        <row r="423">
          <cell r="B423">
            <v>217</v>
          </cell>
        </row>
        <row r="429">
          <cell r="B429">
            <v>30</v>
          </cell>
        </row>
        <row r="431">
          <cell r="B431">
            <v>15</v>
          </cell>
        </row>
        <row r="433">
          <cell r="B433">
            <v>15</v>
          </cell>
        </row>
        <row r="434">
          <cell r="B434">
            <v>12</v>
          </cell>
        </row>
        <row r="436">
          <cell r="B436">
            <v>5</v>
          </cell>
        </row>
        <row r="437">
          <cell r="B437">
            <v>5</v>
          </cell>
        </row>
        <row r="438">
          <cell r="B438">
            <v>5</v>
          </cell>
        </row>
        <row r="441">
          <cell r="B441">
            <v>100</v>
          </cell>
        </row>
        <row r="445">
          <cell r="B445">
            <v>2</v>
          </cell>
        </row>
        <row r="446">
          <cell r="B446">
            <v>2</v>
          </cell>
        </row>
        <row r="447">
          <cell r="B447">
            <v>1</v>
          </cell>
        </row>
        <row r="448">
          <cell r="B448">
            <v>1</v>
          </cell>
        </row>
        <row r="450">
          <cell r="B450">
            <v>1</v>
          </cell>
        </row>
        <row r="457">
          <cell r="B457">
            <v>16</v>
          </cell>
        </row>
        <row r="458">
          <cell r="B458">
            <v>16</v>
          </cell>
        </row>
        <row r="459">
          <cell r="B459">
            <v>5</v>
          </cell>
        </row>
        <row r="460">
          <cell r="B460">
            <v>5</v>
          </cell>
        </row>
        <row r="462">
          <cell r="B462">
            <v>5</v>
          </cell>
        </row>
        <row r="463">
          <cell r="B463">
            <v>5</v>
          </cell>
        </row>
        <row r="464">
          <cell r="B464">
            <v>5</v>
          </cell>
        </row>
        <row r="469">
          <cell r="B469">
            <v>56</v>
          </cell>
        </row>
        <row r="471">
          <cell r="B471">
            <v>33</v>
          </cell>
        </row>
        <row r="472">
          <cell r="B472">
            <v>16</v>
          </cell>
        </row>
        <row r="473">
          <cell r="B473">
            <v>16</v>
          </cell>
        </row>
        <row r="475">
          <cell r="B475">
            <v>5</v>
          </cell>
        </row>
        <row r="481">
          <cell r="B481">
            <v>3</v>
          </cell>
        </row>
        <row r="483">
          <cell r="B483">
            <v>2</v>
          </cell>
        </row>
        <row r="485">
          <cell r="B485">
            <v>2</v>
          </cell>
        </row>
        <row r="486">
          <cell r="B486">
            <v>1</v>
          </cell>
        </row>
        <row r="488">
          <cell r="B488">
            <v>0.5</v>
          </cell>
        </row>
        <row r="489">
          <cell r="B489">
            <v>0.5</v>
          </cell>
        </row>
        <row r="490">
          <cell r="B490">
            <v>0.5</v>
          </cell>
        </row>
        <row r="493">
          <cell r="B493">
            <v>2</v>
          </cell>
        </row>
      </sheetData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설물일위"/>
      <sheetName val="가설공사"/>
      <sheetName val="단가결정"/>
      <sheetName val="내역아"/>
      <sheetName val="울타리"/>
      <sheetName val="#REF"/>
      <sheetName val="자재단가조사표-수목"/>
      <sheetName val="4차원가계산서"/>
      <sheetName val="공구원가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총괄내역서"/>
      <sheetName val="내역서"/>
      <sheetName val="관급비"/>
      <sheetName val="기타내역"/>
      <sheetName val="일위대가"/>
      <sheetName val="가격비교"/>
      <sheetName val="단가"/>
      <sheetName val="시설물일위"/>
      <sheetName val="가설공사"/>
      <sheetName val="단가결정"/>
      <sheetName val="내역아"/>
      <sheetName val="울타리"/>
      <sheetName val="요율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조사"/>
      <sheetName val="원가서"/>
      <sheetName val="계수시트"/>
      <sheetName val="원가계산서"/>
      <sheetName val="99노임기준"/>
      <sheetName val="일위대가"/>
      <sheetName val="청천내"/>
      <sheetName val="총괄내역서"/>
      <sheetName val="단가"/>
      <sheetName val="시설물일위"/>
      <sheetName val="노무비단가"/>
      <sheetName val="설계예시"/>
      <sheetName val="요율"/>
      <sheetName val="연결관산출조서"/>
      <sheetName val="자재테이블"/>
      <sheetName val="1공구"/>
      <sheetName val="수목데이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반월시설물집계"/>
      <sheetName val="학습수목"/>
      <sheetName val="학습원내역"/>
      <sheetName val="반월관수"/>
      <sheetName val="반월수목집계"/>
      <sheetName val="총괄내역"/>
      <sheetName val="진입관수"/>
      <sheetName val="진입수목"/>
      <sheetName val="진입로내역"/>
      <sheetName val="시설물"/>
      <sheetName val="단가"/>
      <sheetName val="제방수목"/>
      <sheetName val="제방내역"/>
      <sheetName val="학습원관수"/>
      <sheetName val="유지관리"/>
      <sheetName val="식재출력용"/>
      <sheetName val="식재"/>
      <sheetName val="동화시설물집계"/>
      <sheetName val="동화천내역"/>
      <sheetName val="동화천수량집계"/>
      <sheetName val="단가조사"/>
      <sheetName val="수량산출서"/>
      <sheetName val="장비산출근거"/>
      <sheetName val="laroux"/>
      <sheetName val="내역서"/>
      <sheetName val="계수시트"/>
      <sheetName val="원가계산서"/>
      <sheetName val="원가계산"/>
      <sheetName val="반월조경"/>
      <sheetName val="자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94">
          <cell r="F294">
            <v>0</v>
          </cell>
          <cell r="H294">
            <v>943</v>
          </cell>
        </row>
        <row r="305">
          <cell r="F305">
            <v>179.2</v>
          </cell>
          <cell r="H305">
            <v>24787.200000000001</v>
          </cell>
          <cell r="J305">
            <v>192.89999999999998</v>
          </cell>
        </row>
        <row r="357">
          <cell r="F357">
            <v>22925745</v>
          </cell>
          <cell r="H357">
            <v>4028327</v>
          </cell>
          <cell r="J357">
            <v>241852</v>
          </cell>
        </row>
        <row r="370">
          <cell r="F370">
            <v>585259</v>
          </cell>
          <cell r="H370">
            <v>114763</v>
          </cell>
          <cell r="J370">
            <v>9244</v>
          </cell>
        </row>
        <row r="383">
          <cell r="F383">
            <v>562550</v>
          </cell>
          <cell r="H383">
            <v>105358</v>
          </cell>
        </row>
      </sheetData>
      <sheetData sheetId="10" refreshError="1">
        <row r="3">
          <cell r="A3">
            <v>6517</v>
          </cell>
        </row>
        <row r="4">
          <cell r="A4">
            <v>1782</v>
          </cell>
        </row>
        <row r="5">
          <cell r="A5">
            <v>2037</v>
          </cell>
        </row>
        <row r="12">
          <cell r="A12">
            <v>14000</v>
          </cell>
        </row>
        <row r="14">
          <cell r="A14">
            <v>6000</v>
          </cell>
        </row>
        <row r="22">
          <cell r="A22">
            <v>9400</v>
          </cell>
        </row>
        <row r="23">
          <cell r="A23">
            <v>4890</v>
          </cell>
        </row>
        <row r="24">
          <cell r="A24">
            <v>12830</v>
          </cell>
        </row>
        <row r="25">
          <cell r="A25">
            <v>200</v>
          </cell>
        </row>
        <row r="26">
          <cell r="A26">
            <v>19.5</v>
          </cell>
        </row>
        <row r="27">
          <cell r="A27">
            <v>2100</v>
          </cell>
        </row>
      </sheetData>
      <sheetData sheetId="11" refreshError="1"/>
      <sheetData sheetId="12" refreshError="1"/>
      <sheetData sheetId="13" refreshError="1"/>
      <sheetData sheetId="14" refreshError="1">
        <row r="82">
          <cell r="F82">
            <v>47386</v>
          </cell>
          <cell r="H82">
            <v>18817.599999999999</v>
          </cell>
        </row>
        <row r="100">
          <cell r="F100">
            <v>1000</v>
          </cell>
          <cell r="H100">
            <v>1147</v>
          </cell>
        </row>
        <row r="105">
          <cell r="F105">
            <v>1000</v>
          </cell>
          <cell r="H105">
            <v>448</v>
          </cell>
        </row>
      </sheetData>
      <sheetData sheetId="15" refreshError="1">
        <row r="249">
          <cell r="H249">
            <v>174</v>
          </cell>
        </row>
      </sheetData>
      <sheetData sheetId="16" refreshError="1">
        <row r="49">
          <cell r="F49">
            <v>10700</v>
          </cell>
          <cell r="H49">
            <v>8666</v>
          </cell>
        </row>
        <row r="83">
          <cell r="F83">
            <v>0</v>
          </cell>
          <cell r="H83">
            <v>8666</v>
          </cell>
        </row>
        <row r="146">
          <cell r="F146">
            <v>1100</v>
          </cell>
          <cell r="H146">
            <v>452</v>
          </cell>
        </row>
        <row r="151">
          <cell r="F151">
            <v>880</v>
          </cell>
          <cell r="H151">
            <v>158</v>
          </cell>
        </row>
        <row r="156">
          <cell r="F156">
            <v>2200</v>
          </cell>
          <cell r="H156">
            <v>322</v>
          </cell>
        </row>
        <row r="180">
          <cell r="F180">
            <v>1980</v>
          </cell>
          <cell r="H180">
            <v>158</v>
          </cell>
        </row>
        <row r="185">
          <cell r="F185">
            <v>1650</v>
          </cell>
          <cell r="H185">
            <v>158</v>
          </cell>
        </row>
        <row r="190">
          <cell r="F190">
            <v>4400</v>
          </cell>
          <cell r="H190">
            <v>158</v>
          </cell>
        </row>
        <row r="209">
          <cell r="F209">
            <v>242</v>
          </cell>
          <cell r="H209">
            <v>282</v>
          </cell>
        </row>
      </sheetData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원가계산"/>
      <sheetName val="산출집계"/>
      <sheetName val="산출근거"/>
      <sheetName val="단가비교"/>
      <sheetName val="일위대가"/>
      <sheetName val="부하계산서"/>
      <sheetName val="설계내역"/>
      <sheetName val="간접비총계"/>
      <sheetName val="식재"/>
      <sheetName val="시설물"/>
      <sheetName val="식재출력용"/>
      <sheetName val="단가"/>
      <sheetName val="유지관리"/>
      <sheetName val="차선도색현황"/>
      <sheetName val="IMPEADENCE MAP 취수장"/>
      <sheetName val="직영노무비명세"/>
      <sheetName val="공사개요"/>
      <sheetName val="강교(Sub)"/>
      <sheetName val="일반토공견적"/>
      <sheetName val="설계예시"/>
      <sheetName val="내역서"/>
      <sheetName val="데이타"/>
      <sheetName val="식재인부"/>
      <sheetName val="내역서(삼호)"/>
      <sheetName val="터파기및재료"/>
      <sheetName val="단가조사"/>
      <sheetName val="요율"/>
      <sheetName val="토목(대안)"/>
      <sheetName val="3.하중산정4.지지력"/>
      <sheetName val="단가산출 목록"/>
      <sheetName val="일위대가 목록"/>
      <sheetName val="_x0000_"/>
      <sheetName val="식재수량표"/>
      <sheetName val="노임단가"/>
      <sheetName val="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노임단가"/>
      <sheetName val="일위대가"/>
      <sheetName val="계수시트"/>
      <sheetName val="원가계산서"/>
      <sheetName val="2000전체분"/>
      <sheetName val="2000년1차"/>
      <sheetName val="수목데이타"/>
      <sheetName val="식재"/>
      <sheetName val="시설물"/>
      <sheetName val="식재출력용"/>
      <sheetName val="유지관리"/>
      <sheetName val="중기사용료산출근거"/>
      <sheetName val="단가산출2"/>
      <sheetName val="단가 및 재료비"/>
      <sheetName val="노무비단가"/>
      <sheetName val="강교(Sub)"/>
      <sheetName val="2002하반기노임기준"/>
      <sheetName val="전기"/>
      <sheetName val="99노임기준"/>
      <sheetName val="수목단가"/>
      <sheetName val="시설수량표"/>
      <sheetName val="식재수량표"/>
      <sheetName val="일위목록"/>
      <sheetName val="자재단가"/>
    </sheetNames>
    <sheetDataSet>
      <sheetData sheetId="0" refreshError="1">
        <row r="35">
          <cell r="B35">
            <v>16270</v>
          </cell>
        </row>
        <row r="36">
          <cell r="B36">
            <v>1067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DATA"/>
      <sheetName val="데이타"/>
      <sheetName val="각형맨홀"/>
      <sheetName val="산출내역서"/>
      <sheetName val="정공공사"/>
      <sheetName val="96노임기준"/>
      <sheetName val="식재인부"/>
      <sheetName val="식재"/>
      <sheetName val="시설물"/>
      <sheetName val="식재출력용"/>
      <sheetName val="유지관리"/>
      <sheetName val="화재 탐지 설비"/>
      <sheetName val="전기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>
            <v>13000</v>
          </cell>
        </row>
        <row r="11">
          <cell r="A11">
            <v>490</v>
          </cell>
        </row>
        <row r="18">
          <cell r="A18">
            <v>560</v>
          </cell>
        </row>
        <row r="21">
          <cell r="A21">
            <v>49575</v>
          </cell>
        </row>
        <row r="24">
          <cell r="A24">
            <v>59646</v>
          </cell>
        </row>
        <row r="53">
          <cell r="A53">
            <v>980</v>
          </cell>
        </row>
        <row r="68">
          <cell r="A68">
            <v>11791</v>
          </cell>
        </row>
        <row r="73">
          <cell r="A73">
            <v>800</v>
          </cell>
        </row>
        <row r="96">
          <cell r="A96">
            <v>419000</v>
          </cell>
        </row>
        <row r="97">
          <cell r="A97">
            <v>283000</v>
          </cell>
        </row>
        <row r="98">
          <cell r="A98">
            <v>179000</v>
          </cell>
        </row>
        <row r="135">
          <cell r="A135">
            <v>7200</v>
          </cell>
        </row>
        <row r="136">
          <cell r="A136">
            <v>11800</v>
          </cell>
        </row>
        <row r="137">
          <cell r="A137">
            <v>5900</v>
          </cell>
        </row>
        <row r="141">
          <cell r="A141">
            <v>1900</v>
          </cell>
        </row>
        <row r="148">
          <cell r="A148">
            <v>4300</v>
          </cell>
        </row>
        <row r="156">
          <cell r="A156">
            <v>6100</v>
          </cell>
        </row>
        <row r="160">
          <cell r="A160">
            <v>220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VXXX"/>
      <sheetName val="총괄내역서(설계가)"/>
      <sheetName val="총괄내역서(84.508)"/>
      <sheetName val="출판내역서(설계가)"/>
      <sheetName val="출판내역서(84.508)"/>
      <sheetName val="통일동산분(설계가)"/>
      <sheetName val="통일동산분(84.508)"/>
      <sheetName val="신규단가"/>
      <sheetName val="일위대가"/>
      <sheetName val="제경비"/>
      <sheetName val="중기사용료총괄"/>
      <sheetName val="중기사용료"/>
      <sheetName val="적용기준"/>
      <sheetName val="시중노임"/>
      <sheetName val="자재단가"/>
      <sheetName val="부대,자재비"/>
      <sheetName val="단가"/>
      <sheetName val="Y-WORK"/>
      <sheetName val="2003상반기노임기준"/>
      <sheetName val="원가계산"/>
      <sheetName val="노임,재료비"/>
      <sheetName val="견적단가"/>
      <sheetName val="데이타"/>
      <sheetName val="식재인부"/>
      <sheetName val="2000노임기준"/>
      <sheetName val="밸브설치"/>
      <sheetName val="단가 및 재료비"/>
      <sheetName val="중기사용료산출근거"/>
      <sheetName val="골조시행"/>
      <sheetName val="기본단가표"/>
      <sheetName val="노임단가"/>
      <sheetName val="인건비"/>
      <sheetName val="danga"/>
      <sheetName val="ilch"/>
      <sheetName val="전기"/>
      <sheetName val="설계명세서"/>
      <sheetName val="I一般比"/>
      <sheetName val="철거산출근거"/>
      <sheetName val="2003하반기노임기준"/>
      <sheetName val="현황보존(2001년02월)84.508"/>
      <sheetName val="총괄내역서(84_508)"/>
      <sheetName val="출판내역서(84_508)"/>
      <sheetName val="통일동산분(84_508)"/>
      <sheetName val="원가계산서 "/>
      <sheetName val="노임"/>
      <sheetName val="일위목록"/>
      <sheetName val="수량산출서 갑지"/>
      <sheetName val="200"/>
      <sheetName val="부안일위"/>
      <sheetName val="WORK"/>
      <sheetName val="침하판Data입력Sheet"/>
      <sheetName val="대공종"/>
      <sheetName val="하도금액산정-2회"/>
      <sheetName val="기본및실시설계비-2회"/>
      <sheetName val="기본및실시설계비-1회정산"/>
      <sheetName val="기본및실시설계비"/>
      <sheetName val="하도금액산정-2회-결재용"/>
      <sheetName val="공사요율산출표"/>
      <sheetName val="guard(mac)"/>
      <sheetName val="해평견적"/>
      <sheetName val="신규보류입력"/>
      <sheetName val="이름정의"/>
      <sheetName val="일위대가목차"/>
      <sheetName val="우수받이"/>
      <sheetName val="수량"/>
      <sheetName val="수량3"/>
      <sheetName val="조명시설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실행대비"/>
      <sheetName val="말뚝지지력산정"/>
      <sheetName val="돌담교 상부수량"/>
      <sheetName val="SLAB&quot;1&quot;"/>
      <sheetName val="H-PILE수량집계"/>
      <sheetName val="수량-가로등"/>
      <sheetName val="단가"/>
      <sheetName val="기초단가"/>
      <sheetName val="중기손료"/>
      <sheetName val="산출근거"/>
      <sheetName val="데이타"/>
      <sheetName val="식재인부"/>
      <sheetName val="토적표"/>
      <sheetName val="#REF"/>
      <sheetName val="일위대가9803"/>
      <sheetName val="1단계"/>
      <sheetName val="우수받이"/>
      <sheetName val="역T형교대(말뚝기초)"/>
      <sheetName val="단위수량"/>
      <sheetName val="가시설수량"/>
      <sheetName val="기안"/>
      <sheetName val="건축"/>
      <sheetName val="원가계산"/>
      <sheetName val="토목주소"/>
      <sheetName val="해평견적"/>
      <sheetName val="테이블"/>
      <sheetName val="건축명"/>
      <sheetName val="기계명"/>
      <sheetName val="전기명"/>
      <sheetName val="토목명"/>
      <sheetName val="내역서1999.8최종"/>
      <sheetName val="견적단가"/>
      <sheetName val="3BL공동구 수량"/>
      <sheetName val="2호맨홀공제수량"/>
      <sheetName val="단중표"/>
      <sheetName val="단가대비표"/>
      <sheetName val="수량산출"/>
      <sheetName val="노임단가"/>
      <sheetName val="SAP_INPUT"/>
      <sheetName val="산근"/>
      <sheetName val="갑지(추정)"/>
      <sheetName val="개산공사비"/>
      <sheetName val="철거산출근거"/>
      <sheetName val="노무비단가"/>
      <sheetName val="2.토목공사"/>
      <sheetName val="제원및배치"/>
      <sheetName val="돌담교_상부수량"/>
      <sheetName val="CON기초"/>
      <sheetName val="개별직종노임단가(2003.9)"/>
      <sheetName val="수목단가"/>
      <sheetName val="시설수량표"/>
      <sheetName val="식재수량표"/>
      <sheetName val="내역표지"/>
      <sheetName val="수량"/>
      <sheetName val="전기"/>
      <sheetName val="FAB별"/>
      <sheetName val="부대내역"/>
      <sheetName val="평가데이터"/>
      <sheetName val="입찰안"/>
      <sheetName val="총괄"/>
      <sheetName val="ABUT수량-A1"/>
      <sheetName val="노임이"/>
      <sheetName val="실행철강하도"/>
      <sheetName val="공사개요"/>
      <sheetName val="설계예시"/>
      <sheetName val="설계명세서"/>
      <sheetName val="입력자료"/>
      <sheetName val="내역서 제출"/>
      <sheetName val="집수정(600-700)"/>
      <sheetName val="자재단가"/>
      <sheetName val="BID"/>
      <sheetName val="2.가정단면"/>
      <sheetName val="사급자재"/>
      <sheetName val="정부노임단가"/>
      <sheetName val="POL6차-PIPING"/>
      <sheetName val="b_balju_cho"/>
      <sheetName val="CON'C"/>
      <sheetName val="일위목록"/>
      <sheetName val="6PILE  (돌출)"/>
      <sheetName val="소비자가"/>
      <sheetName val="건축내역"/>
      <sheetName val="8.석축단위(H=1.5M)"/>
      <sheetName val="단면치수"/>
      <sheetName val="데리네이타현황"/>
      <sheetName val="안전장치"/>
      <sheetName val="수로BOX"/>
      <sheetName val="원가계산서"/>
      <sheetName val="INPUT"/>
      <sheetName val="용수량(생활용수)"/>
      <sheetName val="FILE1"/>
      <sheetName val="BOX-1510"/>
      <sheetName val="Sheet3"/>
      <sheetName val="노임"/>
      <sheetName val="갑지"/>
      <sheetName val="방음벽기초"/>
      <sheetName val="실행내역(10.13)"/>
      <sheetName val="도급"/>
      <sheetName val="내역서"/>
      <sheetName val="대전가오_견출_집계표"/>
      <sheetName val="공사"/>
      <sheetName val="일반수량"/>
      <sheetName val="이름정의"/>
      <sheetName val="작업입력"/>
      <sheetName val="Macro1"/>
      <sheetName val="2003상반기노임기준"/>
      <sheetName val="설계기준"/>
      <sheetName val="내역1"/>
      <sheetName val="날개벽수량표"/>
      <sheetName val="교각계산"/>
      <sheetName val="중동공구"/>
      <sheetName val="건물철거"/>
      <sheetName val="기타배수구조물깨기-단위수량"/>
      <sheetName val="8.PILE  (돌출)"/>
      <sheetName val="내역을"/>
      <sheetName val="COPING"/>
      <sheetName val="표지"/>
      <sheetName val="I一般比"/>
      <sheetName val="신규보류입력"/>
      <sheetName val="입력"/>
      <sheetName val="초기화면"/>
      <sheetName val="7.PILE  (돌출)"/>
      <sheetName val="Sheet1"/>
      <sheetName val="Sheet2"/>
      <sheetName val="단가산출2"/>
      <sheetName val="중기사용료산출근거"/>
      <sheetName val="단가산출1"/>
      <sheetName val="관급자재대"/>
      <sheetName val="대림경상68억"/>
      <sheetName val="2000전체분"/>
      <sheetName val="2000년1차"/>
      <sheetName val="견적서"/>
      <sheetName val="원가&amp;하도급원가"/>
      <sheetName val="각형맨홀"/>
      <sheetName val="노임,재료비"/>
      <sheetName val="기계경비(시간당)"/>
      <sheetName val="램머"/>
      <sheetName val="6호기"/>
      <sheetName val="슬래브 -연속(3경간)"/>
      <sheetName val="터파기및재료"/>
      <sheetName val="기본단가표"/>
      <sheetName val="철거현황"/>
      <sheetName val="A2"/>
      <sheetName val="기존건물 깨기원단위"/>
      <sheetName val="구체"/>
      <sheetName val="좌측날개벽"/>
      <sheetName val="우측날개벽"/>
      <sheetName val="setup"/>
      <sheetName val="Total"/>
      <sheetName val="덕전리"/>
      <sheetName val="집계"/>
      <sheetName val="pier-1"/>
      <sheetName val="DATE"/>
      <sheetName val="Sheet5"/>
      <sheetName val="내역"/>
      <sheetName val="연결관암거"/>
      <sheetName val="2공구산출내역"/>
      <sheetName val="식재가격"/>
      <sheetName val="식재총괄"/>
      <sheetName val="교각1"/>
      <sheetName val="단가산출서1"/>
      <sheetName val="바닥판"/>
      <sheetName val="입력DATA"/>
      <sheetName val="총괄내역서"/>
      <sheetName val="신천3호용수로"/>
      <sheetName val="3련 BOX"/>
      <sheetName val="총괄표"/>
      <sheetName val="CC16-내역서"/>
      <sheetName val="4.2유효폭의 계산"/>
      <sheetName val="이토변실"/>
      <sheetName val="단위단가"/>
      <sheetName val="교대(A1)"/>
      <sheetName val="건축공사실행"/>
      <sheetName val="예산명세서"/>
      <sheetName val="자료입력"/>
      <sheetName val="도로"/>
      <sheetName val="공구"/>
      <sheetName val="관로토공"/>
      <sheetName val="공사비 증감 내역서"/>
      <sheetName val="대비"/>
      <sheetName val="집계표"/>
      <sheetName val="보도교산출근거"/>
      <sheetName val="토공개요"/>
      <sheetName val="토공(1)"/>
      <sheetName val="단가 및 재료비"/>
      <sheetName val="99노임기준"/>
      <sheetName val="대창(함평)"/>
      <sheetName val="대창(장성)"/>
      <sheetName val="대창(함평)-창열"/>
      <sheetName val="BOX(1.5X1.5)"/>
      <sheetName val="Macro2"/>
      <sheetName val="년도별노임표"/>
      <sheetName val="중기목록표"/>
      <sheetName val="단가조사서"/>
      <sheetName val="건축일위"/>
      <sheetName val="그라우팅일위"/>
      <sheetName val="문산방향-교대(A2)"/>
      <sheetName val="건축내역서"/>
      <sheetName val="설비내역서"/>
      <sheetName val="전기내역서"/>
      <sheetName val="맨홀수량"/>
      <sheetName val="적용기준"/>
      <sheetName val="T13(P68~72,78)"/>
      <sheetName val="설명서 "/>
      <sheetName val="토목"/>
      <sheetName val="구조물철거타공정이월"/>
      <sheetName val="초"/>
      <sheetName val="가도공"/>
      <sheetName val="토공개요C"/>
      <sheetName val="정공공사"/>
      <sheetName val="관경별내역서"/>
      <sheetName val="2-1. 경관조명 내역총괄표"/>
      <sheetName val="공종별자재"/>
      <sheetName val="우수공"/>
      <sheetName val="환경기계공정표 (3)"/>
      <sheetName val="준공조서"/>
      <sheetName val="공사준공계"/>
      <sheetName val="준공검사보고서"/>
      <sheetName val="투찰"/>
      <sheetName val="L_RPTB02_01"/>
      <sheetName val="계단"/>
      <sheetName val=" 상부공통집계(총괄)"/>
      <sheetName val="청주(철골발주의뢰서)"/>
      <sheetName val="일위대가표"/>
      <sheetName val="조작대(1연)"/>
      <sheetName val="설계변경총괄표(계산식)"/>
      <sheetName val="산출내역서집계표"/>
      <sheetName val="날개벽(TYPE2)"/>
      <sheetName val="방수"/>
      <sheetName val="포장자재집계표"/>
      <sheetName val="EQUIP LIST"/>
      <sheetName val="기본일위"/>
      <sheetName val="중기단가LIST"/>
      <sheetName val="산출기준"/>
      <sheetName val="개별직종노임"/>
      <sheetName val="엔지니어링노임"/>
      <sheetName val="N賃率-職"/>
      <sheetName val="2"/>
      <sheetName val="1.설계조건"/>
      <sheetName val="터파기단면도(보도)"/>
      <sheetName val="격점수량"/>
      <sheetName val="II손익관리"/>
      <sheetName val="시장성초안camera"/>
      <sheetName val="장비종합부표"/>
      <sheetName val="집계표_식재"/>
      <sheetName val="부표"/>
      <sheetName val="가감수량"/>
      <sheetName val="맨홀수량산출"/>
      <sheetName val="증감내역서"/>
      <sheetName val="Sheet1 (2)"/>
      <sheetName val="골조시행"/>
      <sheetName val="역T형"/>
      <sheetName val="재료비"/>
      <sheetName val="차액보증"/>
      <sheetName val="부속동"/>
      <sheetName val="AS포장복구 "/>
      <sheetName val="기본데이타입력"/>
      <sheetName val="실행"/>
      <sheetName val="시설일위"/>
      <sheetName val="식재일위"/>
      <sheetName val="tggwan(mac)"/>
      <sheetName val="HVAC"/>
      <sheetName val="대공종"/>
      <sheetName val="DATA"/>
      <sheetName val="1구간FRP수량산출"/>
      <sheetName val="경비_원본"/>
      <sheetName val="공사원가계산서"/>
      <sheetName val="도급예산내역서총괄표"/>
      <sheetName val="Macro(차단기)"/>
      <sheetName val="프랜트면허"/>
      <sheetName val="JUCKEYK"/>
      <sheetName val="물가시세"/>
      <sheetName val="물가단가"/>
      <sheetName val="제표일위대가"/>
      <sheetName val="208-238"/>
      <sheetName val="노무비"/>
      <sheetName val="대로근거"/>
      <sheetName val="중로근거"/>
      <sheetName val="터널굴착단산"/>
      <sheetName val="터널구조물산근"/>
      <sheetName val="COVER"/>
      <sheetName val="철근량 산정"/>
      <sheetName val="구분표"/>
      <sheetName val="원형맨홀수량"/>
      <sheetName val="개거산출내역"/>
      <sheetName val="설계설명서"/>
      <sheetName val="실행(ALT1)"/>
      <sheetName val="양식3"/>
      <sheetName val="노.표-조"/>
      <sheetName val="단관데이터"/>
      <sheetName val="이형관데이터"/>
      <sheetName val="입력란"/>
      <sheetName val="97노임단가"/>
      <sheetName val="중기비"/>
      <sheetName val="가설공사비"/>
      <sheetName val="도로구조공사비"/>
      <sheetName val="도로토공공사비"/>
      <sheetName val="여수토공사비"/>
      <sheetName val="토공분배표"/>
      <sheetName val="고창방향"/>
      <sheetName val="장비집계"/>
      <sheetName val="운임료"/>
      <sheetName val="건축계약내역"/>
      <sheetName val="수량산출서"/>
      <sheetName val="연동내역"/>
      <sheetName val="건설성적"/>
      <sheetName val="D"/>
      <sheetName val="unitpric"/>
      <sheetName val="noyim"/>
      <sheetName val="99노임단가"/>
      <sheetName val="설계내역서"/>
      <sheetName val="준비공"/>
      <sheetName val="목교수량산출"/>
      <sheetName val="배수공수집"/>
      <sheetName val="내역서적용수량"/>
      <sheetName val="빗물받이(910-510-410)"/>
      <sheetName val="일위"/>
      <sheetName val="Front"/>
      <sheetName val="wall"/>
      <sheetName val="총 원가계산"/>
      <sheetName val="DATE2001"/>
      <sheetName val="밸브설치"/>
      <sheetName val="사  업  비  수  지  예  산  서"/>
      <sheetName val="원가"/>
      <sheetName val="종배수단위_CON기초"/>
      <sheetName val="sw1"/>
      <sheetName val="목포방향"/>
      <sheetName val="노무자도장2"/>
      <sheetName val="각사별공사비분개 "/>
      <sheetName val="종형증설공"/>
      <sheetName val="노임단가 (2)"/>
      <sheetName val="산출3-동력"/>
      <sheetName val="산출4-전등"/>
      <sheetName val="참여현황 (직원)"/>
      <sheetName val="배수관산출"/>
      <sheetName val="일위대가목차"/>
      <sheetName val="위생"/>
      <sheetName val="type-F"/>
      <sheetName val="시노501"/>
      <sheetName val="간지"/>
      <sheetName val="견적1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인부신상자료"/>
      <sheetName val="대3류 "/>
      <sheetName val="포장집계"/>
      <sheetName val="포장연장"/>
      <sheetName val="교대철근집계"/>
      <sheetName val="기초자료입력"/>
      <sheetName val="준공정산"/>
      <sheetName val="2000노임기준"/>
      <sheetName val="내역- CCTV"/>
      <sheetName val="설계개요"/>
      <sheetName val="을지"/>
      <sheetName val="단가비교표"/>
      <sheetName val="기계경비"/>
      <sheetName val="우수"/>
      <sheetName val="진주방향"/>
      <sheetName val="일위대가(가설)"/>
      <sheetName val="학습율"/>
      <sheetName val="GT 1050x650"/>
      <sheetName val="3-구교-오리지날"/>
      <sheetName val="설비공사(4)"/>
      <sheetName val="캔개발배경"/>
      <sheetName val="캔판매목표"/>
      <sheetName val="시장"/>
      <sheetName val="손익"/>
      <sheetName val="일정표"/>
      <sheetName val="개요"/>
      <sheetName val="마케팅"/>
      <sheetName val="목차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CONCRETE"/>
      <sheetName val="토목공사일반"/>
      <sheetName val="공사비산출내역"/>
      <sheetName val="정의"/>
      <sheetName val="제경비"/>
      <sheetName val="입력(K0)"/>
      <sheetName val="장비"/>
      <sheetName val="토공"/>
      <sheetName val="견적갑지"/>
      <sheetName val="물량내역"/>
      <sheetName val="대구은행"/>
      <sheetName val="기초수량자료"/>
      <sheetName val="우각부보강"/>
      <sheetName val="0226"/>
      <sheetName val="터널조도"/>
      <sheetName val="001"/>
      <sheetName val="ITEM"/>
      <sheetName val="ilch"/>
      <sheetName val="Sheet4"/>
      <sheetName val="2F 회의실견적(5_14 일대)"/>
      <sheetName val="을"/>
      <sheetName val="토공(우물통,기타) "/>
      <sheetName val="Y-WORK"/>
      <sheetName val="공통가설"/>
      <sheetName val="1-1"/>
      <sheetName val="총_구조물공"/>
      <sheetName val="DHEQSUPT"/>
      <sheetName val="(X)품셈집계"/>
      <sheetName val="원형1호맨홀토공수량"/>
      <sheetName val="잡비계산"/>
      <sheetName val="인제내역"/>
      <sheetName val="분전반계산서(석관)"/>
      <sheetName val="토사(PE)"/>
      <sheetName val="INPUTDATA"/>
      <sheetName val="총정리"/>
      <sheetName val="아파트"/>
      <sheetName val="부대시설"/>
      <sheetName val="지급자재"/>
      <sheetName val="금액"/>
      <sheetName val="공량산출서"/>
      <sheetName val="1.토공"/>
      <sheetName val="날개벽"/>
      <sheetName val="돌담교_상부수량1"/>
      <sheetName val="3BL공동구_수량"/>
      <sheetName val="내역서1999_8최종"/>
      <sheetName val="8_석축단위(H=1_5M)"/>
      <sheetName val="2_가정단면"/>
      <sheetName val="6PILE__(돌출)"/>
      <sheetName val="2_토목공사"/>
      <sheetName val="_상부공통집계(총괄)"/>
      <sheetName val="세목전체"/>
      <sheetName val="경율산정.XLS"/>
      <sheetName val="변화치수"/>
      <sheetName val="코드표"/>
      <sheetName val="산정표"/>
      <sheetName val="자재단가_사급"/>
      <sheetName val="중기적산목록"/>
      <sheetName val="산출2-전력"/>
      <sheetName val="산출9-TRAY"/>
      <sheetName val="지수"/>
      <sheetName val="건축공사"/>
      <sheetName val="1~9 하중계산"/>
      <sheetName val="PL단가산정"/>
      <sheetName val="그림"/>
      <sheetName val="그림2"/>
      <sheetName val="단가(자재)"/>
      <sheetName val="단가(노임)"/>
      <sheetName val="기초목록"/>
      <sheetName val="단위중량"/>
      <sheetName val="거래처등록"/>
      <sheetName val="참고자료"/>
      <sheetName val="검사원"/>
      <sheetName val="지점별강우량"/>
      <sheetName val="노임자재단가"/>
      <sheetName val="식재"/>
      <sheetName val="시설물"/>
      <sheetName val="식재출력용"/>
      <sheetName val="유지관리"/>
      <sheetName val="woo(mac)"/>
      <sheetName val="설치조서"/>
      <sheetName val="배수공집계표"/>
      <sheetName val="예정공정표"/>
      <sheetName val="건설사업관리 공제요율"/>
      <sheetName val="건설공사 감리원 배치기준"/>
      <sheetName val="책임감리 공제요율"/>
      <sheetName val="플랜트 설치"/>
      <sheetName val="노무비계"/>
      <sheetName val="재료집계표"/>
      <sheetName val="내역서(도급)"/>
      <sheetName val="계수시트"/>
      <sheetName val="건축집계"/>
      <sheetName val="도급예산내역서봉투"/>
      <sheetName val="설계산출표지"/>
      <sheetName val="을부담운반비"/>
      <sheetName val="설계산출기초"/>
      <sheetName val="운반비산출"/>
      <sheetName val="단가목록"/>
      <sheetName val="자재목록"/>
      <sheetName val="노임목록"/>
      <sheetName val="소방"/>
      <sheetName val="01노임적용기준"/>
      <sheetName val="본문"/>
      <sheetName val="참조"/>
      <sheetName val="2.대외공문"/>
      <sheetName val="산출3-유도등"/>
      <sheetName val="산출2-동력"/>
      <sheetName val="산출2-피뢰침"/>
      <sheetName val="준검 내역서"/>
      <sheetName val="주공 갑지"/>
      <sheetName val="전등수량산출"/>
      <sheetName val="단위량당중기"/>
      <sheetName val="노임DB"/>
      <sheetName val="간접"/>
      <sheetName val="BSD (2)"/>
      <sheetName val="간이(갑)"/>
      <sheetName val="단가산출서 (2)"/>
      <sheetName val="단가산출서"/>
      <sheetName val="기초수량산출서"/>
      <sheetName val="검측감리공제요율"/>
      <sheetName val="시공감리공제요율"/>
      <sheetName val="책임감리공제요율"/>
      <sheetName val="가로등"/>
      <sheetName val="4.2.1 마루높이 검토"/>
      <sheetName val="설계"/>
      <sheetName val="제잡비"/>
      <sheetName val="단가조사"/>
      <sheetName val="BS2"/>
      <sheetName val="1.견적보고서"/>
      <sheetName val="현장경비"/>
      <sheetName val="노임단가표"/>
      <sheetName val="예총"/>
      <sheetName val="Bldg Brkdown"/>
      <sheetName val="준공조서갑지"/>
      <sheetName val="식생블럭단위수량"/>
      <sheetName val="과거자료"/>
      <sheetName val="수지예산"/>
      <sheetName val="기초자료"/>
      <sheetName val="98수문일위"/>
      <sheetName val="단가표"/>
      <sheetName val="Sheet17"/>
      <sheetName val="5사남"/>
      <sheetName val="소요자재명세서"/>
      <sheetName val="설계서(동안동)"/>
      <sheetName val="직재"/>
      <sheetName val="재집"/>
      <sheetName val="3.하중산정4.지지력"/>
      <sheetName val="대창토공"/>
      <sheetName val="매인"/>
      <sheetName val="수목표준대가"/>
      <sheetName val="15)VE제안서(유형1)"/>
      <sheetName val="12)아이디어 목록 및 개략평가"/>
      <sheetName val="11)VE 예비검토서"/>
      <sheetName val="15-3)VE제안서(가치향상 등)"/>
      <sheetName val="15-2)VE제안서(유형3)"/>
      <sheetName val="단위집계표"/>
      <sheetName val="BOQ"/>
      <sheetName val="TOTAL_BOQ"/>
      <sheetName val="설계내역"/>
      <sheetName val="1호맨홀토공"/>
      <sheetName val="산출서-1"/>
      <sheetName val="산출서-수식"/>
      <sheetName val="공사비예산서(토목분)"/>
      <sheetName val="4)유동표"/>
      <sheetName val="순공사비"/>
      <sheetName val="신고분기설정참고"/>
      <sheetName val="거래처자료등록"/>
      <sheetName val="설계예산서"/>
      <sheetName val="상부수량"/>
      <sheetName val="내역서_제출"/>
      <sheetName val="8_PILE__(돌출)"/>
      <sheetName val="EQUIP_LIST"/>
      <sheetName val="BOX(1_5X1_5)"/>
      <sheetName val="7_PILE__(돌출)"/>
      <sheetName val="공사비_증감_내역서"/>
      <sheetName val="실행내역(10_13)"/>
      <sheetName val="산출집계표"/>
      <sheetName val="노임단가(직종번호 순)"/>
      <sheetName val="수량산출(음암)"/>
      <sheetName val="약품공급2"/>
      <sheetName val="횡배수관수량집계"/>
      <sheetName val="횡배수관기초"/>
      <sheetName val="공사일위대가"/>
      <sheetName val="포장수량"/>
      <sheetName val="시설국장자료"/>
      <sheetName val="참조자료"/>
      <sheetName val="출력"/>
      <sheetName val="근로자명단"/>
      <sheetName val="설계내역2"/>
      <sheetName val="7월천안현장 집계표"/>
      <sheetName val="장비.자재"/>
      <sheetName val="장비명세서"/>
      <sheetName val=" 노무집계"/>
      <sheetName val="일용노무비"/>
      <sheetName val="매원개착터널총괄"/>
      <sheetName val="교대"/>
      <sheetName val=""/>
      <sheetName val="기계경비산출기준"/>
      <sheetName val="기계경비목록"/>
      <sheetName val="건설기계가격1"/>
      <sheetName val="회사기초자료"/>
      <sheetName val="가시설(TYPE-A)"/>
      <sheetName val="토목검측서"/>
      <sheetName val="자단"/>
      <sheetName val="48일위"/>
      <sheetName val="48수량"/>
      <sheetName val="22수량"/>
      <sheetName val="49일위"/>
      <sheetName val="22일위"/>
      <sheetName val="49수량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설계예산서"/>
      <sheetName val="기초목록"/>
      <sheetName val="일위대가(시설물)"/>
      <sheetName val="단가(자재)"/>
      <sheetName val="단가(노임)"/>
      <sheetName val="산근"/>
      <sheetName val="목록"/>
      <sheetName val="기준"/>
      <sheetName val="중기"/>
      <sheetName val="시간"/>
      <sheetName val="노임단가"/>
      <sheetName val="단가"/>
      <sheetName val="우수받이"/>
      <sheetName val="데이타"/>
      <sheetName val="식재인부"/>
      <sheetName val="조명율표"/>
      <sheetName val="소방"/>
      <sheetName val="일위대가"/>
      <sheetName val="대가목록"/>
      <sheetName val="2.토목공사"/>
      <sheetName val="수목단가"/>
      <sheetName val="시설수량표"/>
      <sheetName val="식재수량표"/>
      <sheetName val="일위목록"/>
      <sheetName val="자재단가"/>
      <sheetName val="실행대비"/>
      <sheetName val="설계비0509"/>
      <sheetName val="I一般比"/>
      <sheetName val="원가계산"/>
      <sheetName val="조명시설"/>
      <sheetName val="1단계"/>
      <sheetName val="산출내역서"/>
      <sheetName val="노무비단가"/>
      <sheetName val="단가대비표"/>
      <sheetName val="2003하반기노임기준"/>
      <sheetName val="DATA"/>
      <sheetName val="전선 및 전선관"/>
      <sheetName val="#REF"/>
      <sheetName val="Sheet5"/>
      <sheetName val="2-1. 경관조명 내역총괄표"/>
      <sheetName val="단가산출2"/>
      <sheetName val="중기사용료산출근거"/>
      <sheetName val="단가산출1"/>
      <sheetName val="공사개요"/>
      <sheetName val="철거산출근거"/>
      <sheetName val=" 원가계산서"/>
      <sheetName val="단가산출"/>
      <sheetName val="역T형교대(말뚝기초)"/>
      <sheetName val="토적표"/>
      <sheetName val="견적단가"/>
      <sheetName val="조명일위"/>
      <sheetName val="건축내역"/>
      <sheetName val="설계명세서"/>
      <sheetName val="계수시트"/>
      <sheetName val="원가계산서"/>
      <sheetName val="수량-가로등"/>
      <sheetName val="석축산출서"/>
      <sheetName val="단가 및 재료비"/>
      <sheetName val="2공구산출내역"/>
      <sheetName val="백호우계수"/>
      <sheetName val="시설물일위"/>
      <sheetName val="내역서적용수량"/>
      <sheetName val="H-PILE수량집계"/>
      <sheetName val="구체"/>
      <sheetName val="좌측날개벽"/>
      <sheetName val="우측날개벽"/>
      <sheetName val="노임자재단가"/>
      <sheetName val="단위수량"/>
      <sheetName val="가시설수량"/>
    </sheetNames>
    <sheetDataSet>
      <sheetData sheetId="0"/>
      <sheetData sheetId="1"/>
      <sheetData sheetId="2" refreshError="1">
        <row r="4">
          <cell r="D4" t="str">
            <v>느티나무H4.5xR20</v>
          </cell>
          <cell r="E4">
            <v>1</v>
          </cell>
          <cell r="F4" t="str">
            <v>주</v>
          </cell>
          <cell r="G4">
            <v>1070767</v>
          </cell>
          <cell r="H4">
            <v>1070767</v>
          </cell>
          <cell r="I4">
            <v>124767</v>
          </cell>
          <cell r="J4">
            <v>124767</v>
          </cell>
          <cell r="K4">
            <v>946000</v>
          </cell>
          <cell r="L4">
            <v>946000</v>
          </cell>
          <cell r="M4">
            <v>0</v>
          </cell>
          <cell r="N4">
            <v>0</v>
          </cell>
        </row>
        <row r="5">
          <cell r="D5" t="str">
            <v>루브라참나무H4.0xR15</v>
          </cell>
          <cell r="E5">
            <v>1</v>
          </cell>
          <cell r="F5" t="str">
            <v>주</v>
          </cell>
          <cell r="G5">
            <v>406484</v>
          </cell>
          <cell r="H5">
            <v>406484</v>
          </cell>
          <cell r="I5">
            <v>86384</v>
          </cell>
          <cell r="J5">
            <v>86384</v>
          </cell>
          <cell r="K5">
            <v>320100</v>
          </cell>
          <cell r="L5">
            <v>320100</v>
          </cell>
          <cell r="M5">
            <v>0</v>
          </cell>
          <cell r="N5">
            <v>0</v>
          </cell>
        </row>
        <row r="6">
          <cell r="D6" t="str">
            <v>쥐똥나무H1.0xW0.3</v>
          </cell>
          <cell r="E6">
            <v>1</v>
          </cell>
          <cell r="F6" t="str">
            <v>주</v>
          </cell>
          <cell r="G6">
            <v>6179</v>
          </cell>
          <cell r="H6">
            <v>6179</v>
          </cell>
          <cell r="I6">
            <v>4969</v>
          </cell>
          <cell r="J6">
            <v>4969</v>
          </cell>
          <cell r="K6">
            <v>1210</v>
          </cell>
          <cell r="L6">
            <v>1210</v>
          </cell>
          <cell r="M6">
            <v>0</v>
          </cell>
          <cell r="N6">
            <v>0</v>
          </cell>
        </row>
        <row r="7">
          <cell r="D7" t="str">
            <v>자연석쌓기50x60x70</v>
          </cell>
          <cell r="E7">
            <v>1</v>
          </cell>
          <cell r="F7" t="str">
            <v>ton</v>
          </cell>
          <cell r="G7">
            <v>197306</v>
          </cell>
          <cell r="H7">
            <v>197306</v>
          </cell>
          <cell r="I7">
            <v>89648</v>
          </cell>
          <cell r="J7">
            <v>89648</v>
          </cell>
          <cell r="K7">
            <v>96267</v>
          </cell>
          <cell r="L7">
            <v>96267</v>
          </cell>
          <cell r="M7">
            <v>11391</v>
          </cell>
          <cell r="N7">
            <v>11391</v>
          </cell>
        </row>
        <row r="8">
          <cell r="D8" t="str">
            <v>롤잔디한지형</v>
          </cell>
          <cell r="E8">
            <v>1</v>
          </cell>
          <cell r="F8" t="str">
            <v>m2</v>
          </cell>
          <cell r="G8">
            <v>29496</v>
          </cell>
          <cell r="H8">
            <v>29496</v>
          </cell>
          <cell r="I8">
            <v>6946</v>
          </cell>
          <cell r="J8">
            <v>6946</v>
          </cell>
          <cell r="K8">
            <v>22550</v>
          </cell>
          <cell r="L8">
            <v>22550</v>
          </cell>
          <cell r="M8">
            <v>0</v>
          </cell>
          <cell r="N8">
            <v>0</v>
          </cell>
        </row>
        <row r="9">
          <cell r="D9" t="str">
            <v>부직포부설(두께0.5mm이상)</v>
          </cell>
          <cell r="E9">
            <v>1</v>
          </cell>
          <cell r="F9" t="str">
            <v>m2</v>
          </cell>
          <cell r="G9">
            <v>1383</v>
          </cell>
          <cell r="H9">
            <v>1383</v>
          </cell>
          <cell r="I9">
            <v>228</v>
          </cell>
          <cell r="J9">
            <v>228</v>
          </cell>
          <cell r="K9">
            <v>1155</v>
          </cell>
          <cell r="L9">
            <v>1155</v>
          </cell>
          <cell r="M9">
            <v>0</v>
          </cell>
          <cell r="N9">
            <v>0</v>
          </cell>
        </row>
        <row r="10">
          <cell r="D10" t="str">
            <v>사질양토인공지반</v>
          </cell>
          <cell r="E10">
            <v>1</v>
          </cell>
          <cell r="F10" t="str">
            <v>m3</v>
          </cell>
          <cell r="G10">
            <v>18328</v>
          </cell>
          <cell r="H10">
            <v>18328</v>
          </cell>
          <cell r="I10">
            <v>5068</v>
          </cell>
          <cell r="J10">
            <v>5068</v>
          </cell>
          <cell r="K10">
            <v>13260</v>
          </cell>
          <cell r="L10">
            <v>13260</v>
          </cell>
          <cell r="M10">
            <v>0</v>
          </cell>
          <cell r="N10">
            <v>0</v>
          </cell>
        </row>
        <row r="11">
          <cell r="D11" t="str">
            <v>인공토포설인공지반</v>
          </cell>
          <cell r="E11">
            <v>1</v>
          </cell>
          <cell r="F11" t="str">
            <v>m3</v>
          </cell>
          <cell r="G11">
            <v>110998</v>
          </cell>
          <cell r="H11">
            <v>110998</v>
          </cell>
          <cell r="I11">
            <v>5068</v>
          </cell>
          <cell r="J11">
            <v>5068</v>
          </cell>
          <cell r="K11">
            <v>105930</v>
          </cell>
          <cell r="L11">
            <v>105930</v>
          </cell>
          <cell r="M11">
            <v>0</v>
          </cell>
          <cell r="N11">
            <v>0</v>
          </cell>
        </row>
        <row r="12">
          <cell r="D12" t="str">
            <v>투수펫1000x300x30</v>
          </cell>
          <cell r="E12">
            <v>1</v>
          </cell>
          <cell r="F12" t="str">
            <v>m2</v>
          </cell>
          <cell r="G12">
            <v>10392</v>
          </cell>
          <cell r="H12">
            <v>10392</v>
          </cell>
          <cell r="I12">
            <v>228</v>
          </cell>
          <cell r="J12">
            <v>228</v>
          </cell>
          <cell r="K12">
            <v>10164</v>
          </cell>
          <cell r="L12">
            <v>10164</v>
          </cell>
          <cell r="M12">
            <v>0</v>
          </cell>
          <cell r="N12">
            <v>0</v>
          </cell>
        </row>
        <row r="13">
          <cell r="D13" t="str">
            <v>토사절취인력,보통토사</v>
          </cell>
          <cell r="E13">
            <v>1</v>
          </cell>
          <cell r="F13" t="str">
            <v>m3</v>
          </cell>
          <cell r="G13">
            <v>8109</v>
          </cell>
          <cell r="H13">
            <v>8109</v>
          </cell>
          <cell r="I13">
            <v>8109</v>
          </cell>
          <cell r="J13">
            <v>8109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D14" t="str">
            <v>잔토처리인력</v>
          </cell>
          <cell r="E14">
            <v>1</v>
          </cell>
          <cell r="F14" t="str">
            <v>m3</v>
          </cell>
          <cell r="G14">
            <v>10136</v>
          </cell>
          <cell r="H14">
            <v>10136</v>
          </cell>
          <cell r="I14">
            <v>10136</v>
          </cell>
          <cell r="J14">
            <v>10136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D15" t="str">
            <v>몰탈1:3</v>
          </cell>
          <cell r="E15">
            <v>1</v>
          </cell>
          <cell r="F15" t="str">
            <v>m3</v>
          </cell>
          <cell r="G15">
            <v>124703</v>
          </cell>
          <cell r="H15">
            <v>124703</v>
          </cell>
          <cell r="I15">
            <v>50683</v>
          </cell>
          <cell r="J15">
            <v>50683</v>
          </cell>
          <cell r="K15">
            <v>74020</v>
          </cell>
          <cell r="L15">
            <v>74020</v>
          </cell>
          <cell r="M15">
            <v>0</v>
          </cell>
          <cell r="N15">
            <v>0</v>
          </cell>
        </row>
        <row r="16">
          <cell r="D16" t="str">
            <v xml:space="preserve">자갈부설 </v>
          </cell>
          <cell r="E16">
            <v>1</v>
          </cell>
          <cell r="F16" t="str">
            <v>m3</v>
          </cell>
          <cell r="G16">
            <v>30136</v>
          </cell>
          <cell r="H16">
            <v>30136</v>
          </cell>
          <cell r="I16">
            <v>10136</v>
          </cell>
          <cell r="J16">
            <v>10136</v>
          </cell>
          <cell r="K16">
            <v>20000</v>
          </cell>
          <cell r="L16">
            <v>20000</v>
          </cell>
          <cell r="M16">
            <v>0</v>
          </cell>
          <cell r="N16">
            <v>0</v>
          </cell>
        </row>
        <row r="17">
          <cell r="D17" t="str">
            <v>콘크리트타설무근</v>
          </cell>
          <cell r="E17">
            <v>1</v>
          </cell>
          <cell r="F17" t="str">
            <v>m3</v>
          </cell>
          <cell r="G17">
            <v>27191</v>
          </cell>
          <cell r="H17">
            <v>27191</v>
          </cell>
          <cell r="I17">
            <v>27191</v>
          </cell>
          <cell r="J17">
            <v>27191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D18" t="str">
            <v>콘크리트타설철근</v>
          </cell>
          <cell r="E18">
            <v>1</v>
          </cell>
          <cell r="F18" t="str">
            <v>m3</v>
          </cell>
          <cell r="G18">
            <v>30006</v>
          </cell>
          <cell r="H18">
            <v>30006</v>
          </cell>
          <cell r="I18">
            <v>30006</v>
          </cell>
          <cell r="J18">
            <v>30006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D19" t="str">
            <v>철근가공조립간단</v>
          </cell>
          <cell r="E19">
            <v>1</v>
          </cell>
          <cell r="F19" t="str">
            <v>m3</v>
          </cell>
          <cell r="G19">
            <v>415397</v>
          </cell>
          <cell r="H19">
            <v>415397</v>
          </cell>
          <cell r="I19">
            <v>415397</v>
          </cell>
          <cell r="J19">
            <v>415397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D20" t="str">
            <v>터파기0~1m 인력,토사</v>
          </cell>
          <cell r="E20">
            <v>1</v>
          </cell>
          <cell r="F20" t="str">
            <v>m3</v>
          </cell>
          <cell r="G20">
            <v>10136</v>
          </cell>
          <cell r="H20">
            <v>10136</v>
          </cell>
          <cell r="I20">
            <v>10136</v>
          </cell>
          <cell r="J20">
            <v>10136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D21" t="str">
            <v>되메우기 및 다짐인력</v>
          </cell>
          <cell r="E21">
            <v>1</v>
          </cell>
          <cell r="F21" t="str">
            <v>m3</v>
          </cell>
          <cell r="G21">
            <v>10643</v>
          </cell>
          <cell r="H21">
            <v>10643</v>
          </cell>
          <cell r="I21">
            <v>10643</v>
          </cell>
          <cell r="J21">
            <v>10643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D22" t="str">
            <v>모래포설인력</v>
          </cell>
          <cell r="E22">
            <v>1</v>
          </cell>
          <cell r="F22" t="str">
            <v>m2</v>
          </cell>
          <cell r="G22">
            <v>1205</v>
          </cell>
          <cell r="H22">
            <v>1205</v>
          </cell>
          <cell r="I22">
            <v>405</v>
          </cell>
          <cell r="J22">
            <v>405</v>
          </cell>
          <cell r="K22">
            <v>800</v>
          </cell>
          <cell r="L22">
            <v>800</v>
          </cell>
          <cell r="M22">
            <v>0</v>
          </cell>
          <cell r="N22">
            <v>0</v>
          </cell>
        </row>
        <row r="23">
          <cell r="D23" t="str">
            <v>잡석다짐인력</v>
          </cell>
          <cell r="E23">
            <v>1</v>
          </cell>
          <cell r="F23" t="str">
            <v>m3</v>
          </cell>
          <cell r="G23">
            <v>30409</v>
          </cell>
          <cell r="H23">
            <v>30409</v>
          </cell>
          <cell r="I23">
            <v>30409</v>
          </cell>
          <cell r="J23">
            <v>30409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D24" t="str">
            <v>합판거푸집1회사용</v>
          </cell>
          <cell r="E24">
            <v>1</v>
          </cell>
          <cell r="F24" t="str">
            <v>m2</v>
          </cell>
          <cell r="G24">
            <v>57062</v>
          </cell>
          <cell r="H24">
            <v>57062</v>
          </cell>
          <cell r="I24">
            <v>37297</v>
          </cell>
          <cell r="J24">
            <v>37297</v>
          </cell>
          <cell r="K24">
            <v>19765</v>
          </cell>
          <cell r="L24">
            <v>19765</v>
          </cell>
          <cell r="M24">
            <v>0</v>
          </cell>
          <cell r="N24">
            <v>0</v>
          </cell>
        </row>
        <row r="25">
          <cell r="D25" t="str">
            <v>합판거푸집6회</v>
          </cell>
          <cell r="E25">
            <v>1</v>
          </cell>
          <cell r="F25" t="str">
            <v>m2</v>
          </cell>
          <cell r="G25">
            <v>18793</v>
          </cell>
          <cell r="H25">
            <v>18793</v>
          </cell>
          <cell r="I25">
            <v>11935</v>
          </cell>
          <cell r="J25">
            <v>11935</v>
          </cell>
          <cell r="K25">
            <v>6858</v>
          </cell>
          <cell r="L25">
            <v>6858</v>
          </cell>
          <cell r="M25">
            <v>0</v>
          </cell>
          <cell r="N25">
            <v>0</v>
          </cell>
        </row>
        <row r="26">
          <cell r="D26" t="str">
            <v>합판거푸집4회</v>
          </cell>
          <cell r="E26">
            <v>1</v>
          </cell>
          <cell r="F26" t="str">
            <v>m2</v>
          </cell>
          <cell r="G26">
            <v>22843</v>
          </cell>
          <cell r="H26">
            <v>22843</v>
          </cell>
          <cell r="I26">
            <v>14918</v>
          </cell>
          <cell r="J26">
            <v>14918</v>
          </cell>
          <cell r="K26">
            <v>7925</v>
          </cell>
          <cell r="L26">
            <v>7925</v>
          </cell>
          <cell r="M26">
            <v>0</v>
          </cell>
          <cell r="N26">
            <v>0</v>
          </cell>
        </row>
        <row r="27">
          <cell r="D27" t="str">
            <v>합판거푸집2회</v>
          </cell>
          <cell r="E27">
            <v>1</v>
          </cell>
          <cell r="F27" t="str">
            <v>m2</v>
          </cell>
          <cell r="G27">
            <v>33118</v>
          </cell>
          <cell r="H27">
            <v>33118</v>
          </cell>
          <cell r="I27">
            <v>21259</v>
          </cell>
          <cell r="J27">
            <v>21259</v>
          </cell>
          <cell r="K27">
            <v>11859</v>
          </cell>
          <cell r="L27">
            <v>11859</v>
          </cell>
          <cell r="M27">
            <v>0</v>
          </cell>
          <cell r="N27">
            <v>0</v>
          </cell>
        </row>
        <row r="28">
          <cell r="D28" t="str">
            <v>부직포부설(1.5T/M)</v>
          </cell>
          <cell r="E28">
            <v>1</v>
          </cell>
          <cell r="F28" t="str">
            <v>m2</v>
          </cell>
          <cell r="G28">
            <v>1383</v>
          </cell>
          <cell r="H28">
            <v>1383</v>
          </cell>
          <cell r="I28">
            <v>228</v>
          </cell>
          <cell r="J28">
            <v>228</v>
          </cell>
          <cell r="K28">
            <v>1155</v>
          </cell>
          <cell r="L28">
            <v>1155</v>
          </cell>
          <cell r="M28">
            <v>0</v>
          </cell>
          <cell r="N28">
            <v>0</v>
          </cell>
        </row>
        <row r="29">
          <cell r="D29" t="str">
            <v>슬래이트판석포장T15~25</v>
          </cell>
          <cell r="E29">
            <v>1</v>
          </cell>
          <cell r="F29" t="str">
            <v>m2</v>
          </cell>
          <cell r="G29">
            <v>138123</v>
          </cell>
          <cell r="H29">
            <v>138123</v>
          </cell>
          <cell r="I29">
            <v>67594</v>
          </cell>
          <cell r="J29">
            <v>67594</v>
          </cell>
          <cell r="K29">
            <v>70529</v>
          </cell>
          <cell r="L29">
            <v>70529</v>
          </cell>
          <cell r="M29">
            <v>0</v>
          </cell>
          <cell r="N29">
            <v>0</v>
          </cell>
        </row>
        <row r="30">
          <cell r="D30" t="str">
            <v>침목놓기1250x240x150</v>
          </cell>
          <cell r="E30">
            <v>1</v>
          </cell>
          <cell r="F30" t="str">
            <v>m2</v>
          </cell>
          <cell r="G30">
            <v>40933</v>
          </cell>
          <cell r="H30">
            <v>40933</v>
          </cell>
          <cell r="I30">
            <v>11954</v>
          </cell>
          <cell r="J30">
            <v>11954</v>
          </cell>
          <cell r="K30">
            <v>28979</v>
          </cell>
          <cell r="L30">
            <v>28979</v>
          </cell>
          <cell r="M30">
            <v>0</v>
          </cell>
          <cell r="N30">
            <v>0</v>
          </cell>
        </row>
        <row r="31">
          <cell r="D31" t="str">
            <v>재료분리석100x100x1000</v>
          </cell>
          <cell r="E31">
            <v>1</v>
          </cell>
          <cell r="F31" t="str">
            <v>m</v>
          </cell>
          <cell r="G31">
            <v>25768</v>
          </cell>
          <cell r="H31">
            <v>25768</v>
          </cell>
          <cell r="I31">
            <v>13757</v>
          </cell>
          <cell r="J31">
            <v>13757</v>
          </cell>
          <cell r="K31">
            <v>12011</v>
          </cell>
          <cell r="L31">
            <v>12011</v>
          </cell>
          <cell r="M31">
            <v>0</v>
          </cell>
          <cell r="N31">
            <v>0</v>
          </cell>
        </row>
        <row r="32">
          <cell r="D32" t="str">
            <v>화강석경계석150x150x1000</v>
          </cell>
          <cell r="E32">
            <v>1</v>
          </cell>
          <cell r="F32" t="str">
            <v>m</v>
          </cell>
          <cell r="G32">
            <v>31699</v>
          </cell>
          <cell r="H32">
            <v>31699</v>
          </cell>
          <cell r="I32">
            <v>13966</v>
          </cell>
          <cell r="J32">
            <v>13966</v>
          </cell>
          <cell r="K32">
            <v>17733</v>
          </cell>
          <cell r="L32">
            <v>17733</v>
          </cell>
          <cell r="M32">
            <v>0</v>
          </cell>
          <cell r="N32">
            <v>0</v>
          </cell>
        </row>
        <row r="33">
          <cell r="D33" t="str">
            <v>화강석경계석150x250x1000</v>
          </cell>
          <cell r="E33">
            <v>1</v>
          </cell>
          <cell r="F33" t="str">
            <v>m</v>
          </cell>
          <cell r="G33">
            <v>51506</v>
          </cell>
          <cell r="H33">
            <v>51506</v>
          </cell>
          <cell r="I33">
            <v>13222</v>
          </cell>
          <cell r="J33">
            <v>13222</v>
          </cell>
          <cell r="K33">
            <v>38284</v>
          </cell>
          <cell r="L33">
            <v>38284</v>
          </cell>
          <cell r="M33">
            <v>0</v>
          </cell>
          <cell r="N33">
            <v>0</v>
          </cell>
        </row>
        <row r="34">
          <cell r="D34" t="str">
            <v>화강석경계석200x250x1000</v>
          </cell>
          <cell r="E34">
            <v>1</v>
          </cell>
          <cell r="F34" t="str">
            <v>m</v>
          </cell>
          <cell r="G34">
            <v>62553</v>
          </cell>
          <cell r="H34">
            <v>62553</v>
          </cell>
          <cell r="I34">
            <v>28839</v>
          </cell>
          <cell r="J34">
            <v>28839</v>
          </cell>
          <cell r="K34">
            <v>33714</v>
          </cell>
          <cell r="L34">
            <v>33714</v>
          </cell>
          <cell r="M34">
            <v>0</v>
          </cell>
          <cell r="N34">
            <v>0</v>
          </cell>
        </row>
        <row r="35">
          <cell r="D35" t="str">
            <v>트랜치AW300</v>
          </cell>
          <cell r="E35">
            <v>1</v>
          </cell>
          <cell r="F35" t="str">
            <v>m</v>
          </cell>
          <cell r="G35">
            <v>218585</v>
          </cell>
          <cell r="H35">
            <v>218585</v>
          </cell>
          <cell r="I35">
            <v>57363</v>
          </cell>
          <cell r="J35">
            <v>57363</v>
          </cell>
          <cell r="K35">
            <v>161222</v>
          </cell>
          <cell r="L35">
            <v>161222</v>
          </cell>
          <cell r="M35">
            <v>0</v>
          </cell>
          <cell r="N35">
            <v>0</v>
          </cell>
        </row>
        <row r="36">
          <cell r="D36" t="str">
            <v>트렌치BW300</v>
          </cell>
          <cell r="E36">
            <v>1</v>
          </cell>
          <cell r="F36" t="str">
            <v>m</v>
          </cell>
          <cell r="G36">
            <v>161936</v>
          </cell>
          <cell r="H36">
            <v>161936</v>
          </cell>
          <cell r="I36">
            <v>16943</v>
          </cell>
          <cell r="J36">
            <v>16943</v>
          </cell>
          <cell r="K36">
            <v>144993</v>
          </cell>
          <cell r="L36">
            <v>144993</v>
          </cell>
          <cell r="M36">
            <v>0</v>
          </cell>
          <cell r="N36">
            <v>0</v>
          </cell>
        </row>
        <row r="37">
          <cell r="D37" t="str">
            <v>점토벽돌포장230x114x60</v>
          </cell>
          <cell r="E37">
            <v>1</v>
          </cell>
          <cell r="F37" t="str">
            <v>m2</v>
          </cell>
          <cell r="G37">
            <v>50063</v>
          </cell>
          <cell r="H37">
            <v>50063</v>
          </cell>
          <cell r="I37">
            <v>15105</v>
          </cell>
          <cell r="J37">
            <v>15105</v>
          </cell>
          <cell r="K37">
            <v>34958</v>
          </cell>
          <cell r="L37">
            <v>34958</v>
          </cell>
          <cell r="M37">
            <v>0</v>
          </cell>
          <cell r="N37">
            <v>0</v>
          </cell>
        </row>
        <row r="38">
          <cell r="D38" t="str">
            <v>점토벽돌포장철거230x114x60</v>
          </cell>
          <cell r="E38">
            <v>1</v>
          </cell>
          <cell r="F38" t="str">
            <v>m2</v>
          </cell>
          <cell r="G38">
            <v>10212</v>
          </cell>
          <cell r="H38">
            <v>10212</v>
          </cell>
          <cell r="I38">
            <v>10212</v>
          </cell>
          <cell r="J38">
            <v>10212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D39" t="str">
            <v>집수정1200x1200</v>
          </cell>
          <cell r="E39">
            <v>1</v>
          </cell>
          <cell r="F39" t="str">
            <v>EA</v>
          </cell>
          <cell r="G39">
            <v>486702</v>
          </cell>
          <cell r="H39">
            <v>486702</v>
          </cell>
          <cell r="I39">
            <v>251719</v>
          </cell>
          <cell r="J39">
            <v>251719</v>
          </cell>
          <cell r="K39">
            <v>234983</v>
          </cell>
          <cell r="L39">
            <v>234983</v>
          </cell>
          <cell r="M39">
            <v>0</v>
          </cell>
          <cell r="N39">
            <v>0</v>
          </cell>
        </row>
        <row r="40">
          <cell r="D40" t="e">
            <v>#VALUE!</v>
          </cell>
        </row>
        <row r="41">
          <cell r="D41" t="str">
            <v>콘크리트깨기무근구조물</v>
          </cell>
          <cell r="E41">
            <v>1</v>
          </cell>
          <cell r="F41" t="str">
            <v>m3</v>
          </cell>
          <cell r="G41">
            <v>58890</v>
          </cell>
          <cell r="H41">
            <v>58890</v>
          </cell>
          <cell r="I41">
            <v>48530</v>
          </cell>
          <cell r="J41">
            <v>48530</v>
          </cell>
          <cell r="K41">
            <v>5172</v>
          </cell>
          <cell r="L41">
            <v>5172</v>
          </cell>
          <cell r="M41">
            <v>5188</v>
          </cell>
          <cell r="N41">
            <v>5188</v>
          </cell>
        </row>
        <row r="42">
          <cell r="D42" t="str">
            <v>콘크리트깨기철근구조물</v>
          </cell>
          <cell r="E42">
            <v>1</v>
          </cell>
          <cell r="F42" t="str">
            <v>m3</v>
          </cell>
          <cell r="G42">
            <v>59779</v>
          </cell>
          <cell r="H42">
            <v>59779</v>
          </cell>
          <cell r="I42">
            <v>38136</v>
          </cell>
          <cell r="J42">
            <v>38136</v>
          </cell>
          <cell r="K42">
            <v>10028</v>
          </cell>
          <cell r="L42">
            <v>10028</v>
          </cell>
          <cell r="M42">
            <v>11615</v>
          </cell>
          <cell r="N42">
            <v>11615</v>
          </cell>
        </row>
        <row r="43">
          <cell r="D43" t="str">
            <v>포장절단아스팔트</v>
          </cell>
          <cell r="E43">
            <v>1</v>
          </cell>
          <cell r="F43" t="str">
            <v>m</v>
          </cell>
          <cell r="G43">
            <v>1673</v>
          </cell>
          <cell r="H43">
            <v>1673</v>
          </cell>
          <cell r="I43">
            <v>837</v>
          </cell>
          <cell r="J43">
            <v>837</v>
          </cell>
          <cell r="K43">
            <v>785</v>
          </cell>
          <cell r="L43">
            <v>785</v>
          </cell>
          <cell r="M43">
            <v>51</v>
          </cell>
          <cell r="N43">
            <v>51</v>
          </cell>
        </row>
        <row r="44">
          <cell r="D44" t="str">
            <v xml:space="preserve">아스콘깨기 </v>
          </cell>
          <cell r="E44">
            <v>1</v>
          </cell>
          <cell r="F44" t="str">
            <v>m3</v>
          </cell>
          <cell r="G44">
            <v>16179</v>
          </cell>
          <cell r="H44">
            <v>16179</v>
          </cell>
          <cell r="I44">
            <v>7250</v>
          </cell>
          <cell r="J44">
            <v>7250</v>
          </cell>
          <cell r="K44">
            <v>3294</v>
          </cell>
          <cell r="L44">
            <v>3294</v>
          </cell>
          <cell r="M44">
            <v>5635</v>
          </cell>
          <cell r="N44">
            <v>5635</v>
          </cell>
        </row>
      </sheetData>
      <sheetData sheetId="3"/>
      <sheetData sheetId="4" refreshError="1">
        <row r="4">
          <cell r="D4" t="str">
            <v>느티나무H4.5xR20</v>
          </cell>
          <cell r="E4">
            <v>1</v>
          </cell>
          <cell r="F4" t="str">
            <v>주</v>
          </cell>
          <cell r="G4">
            <v>860000</v>
          </cell>
          <cell r="J4">
            <v>860000</v>
          </cell>
          <cell r="K4">
            <v>261</v>
          </cell>
          <cell r="L4">
            <v>860000</v>
          </cell>
          <cell r="M4">
            <v>227</v>
          </cell>
        </row>
        <row r="5">
          <cell r="D5" t="str">
            <v>루브라참나무H4.0xR15</v>
          </cell>
          <cell r="E5">
            <v>1</v>
          </cell>
          <cell r="F5" t="str">
            <v>주</v>
          </cell>
          <cell r="G5">
            <v>291000</v>
          </cell>
          <cell r="J5">
            <v>291000</v>
          </cell>
          <cell r="K5">
            <v>261</v>
          </cell>
          <cell r="L5">
            <v>291000</v>
          </cell>
          <cell r="M5">
            <v>227</v>
          </cell>
        </row>
        <row r="6">
          <cell r="D6" t="str">
            <v>쥐똥나무H1.0xW0.3</v>
          </cell>
          <cell r="E6">
            <v>1</v>
          </cell>
          <cell r="F6" t="str">
            <v>주</v>
          </cell>
          <cell r="G6">
            <v>1100</v>
          </cell>
          <cell r="J6">
            <v>1100</v>
          </cell>
          <cell r="K6">
            <v>263</v>
          </cell>
          <cell r="L6">
            <v>1400</v>
          </cell>
          <cell r="M6">
            <v>229</v>
          </cell>
        </row>
        <row r="7">
          <cell r="D7" t="str">
            <v>자연석50x60x70</v>
          </cell>
          <cell r="E7">
            <v>1</v>
          </cell>
          <cell r="F7" t="str">
            <v>ton</v>
          </cell>
          <cell r="G7">
            <v>90000</v>
          </cell>
          <cell r="J7">
            <v>95000</v>
          </cell>
          <cell r="K7">
            <v>275</v>
          </cell>
          <cell r="L7">
            <v>90000</v>
          </cell>
          <cell r="M7">
            <v>232</v>
          </cell>
        </row>
        <row r="8">
          <cell r="D8" t="str">
            <v>롤잔디한지형</v>
          </cell>
          <cell r="E8">
            <v>1</v>
          </cell>
          <cell r="F8" t="str">
            <v>m2</v>
          </cell>
          <cell r="G8">
            <v>20500</v>
          </cell>
          <cell r="J8">
            <v>20500</v>
          </cell>
          <cell r="K8">
            <v>265</v>
          </cell>
          <cell r="L8">
            <v>20500</v>
          </cell>
          <cell r="M8">
            <v>233</v>
          </cell>
        </row>
        <row r="9">
          <cell r="D9" t="str">
            <v>투수쉬트부직포</v>
          </cell>
          <cell r="E9">
            <v>1</v>
          </cell>
          <cell r="F9" t="str">
            <v>m2</v>
          </cell>
          <cell r="G9">
            <v>1050</v>
          </cell>
          <cell r="L9">
            <v>1050</v>
          </cell>
          <cell r="M9">
            <v>241</v>
          </cell>
        </row>
        <row r="10">
          <cell r="D10" t="str">
            <v xml:space="preserve">사질양토 </v>
          </cell>
          <cell r="E10">
            <v>1</v>
          </cell>
          <cell r="F10" t="str">
            <v>m3</v>
          </cell>
          <cell r="G10">
            <v>13000</v>
          </cell>
          <cell r="N10">
            <v>13000</v>
          </cell>
        </row>
        <row r="11">
          <cell r="D11" t="str">
            <v>파라소탑소일</v>
          </cell>
          <cell r="E11">
            <v>1</v>
          </cell>
          <cell r="F11" t="str">
            <v>L</v>
          </cell>
          <cell r="G11">
            <v>99</v>
          </cell>
          <cell r="J11">
            <v>99</v>
          </cell>
          <cell r="K11">
            <v>276</v>
          </cell>
          <cell r="L11">
            <v>99</v>
          </cell>
          <cell r="M11">
            <v>241</v>
          </cell>
        </row>
        <row r="12">
          <cell r="D12" t="str">
            <v>파라소육성용</v>
          </cell>
          <cell r="E12">
            <v>1</v>
          </cell>
          <cell r="F12" t="str">
            <v>L</v>
          </cell>
          <cell r="G12">
            <v>99</v>
          </cell>
          <cell r="J12">
            <v>99</v>
          </cell>
          <cell r="K12">
            <v>276</v>
          </cell>
          <cell r="L12">
            <v>99</v>
          </cell>
          <cell r="M12">
            <v>241</v>
          </cell>
        </row>
        <row r="13">
          <cell r="D13" t="str">
            <v>투수펫1000x300x30</v>
          </cell>
          <cell r="E13">
            <v>1</v>
          </cell>
          <cell r="F13" t="str">
            <v>m2</v>
          </cell>
          <cell r="G13">
            <v>9240</v>
          </cell>
          <cell r="J13">
            <v>9240</v>
          </cell>
          <cell r="K13">
            <v>276</v>
          </cell>
          <cell r="L13">
            <v>9240</v>
          </cell>
          <cell r="M13">
            <v>241</v>
          </cell>
        </row>
        <row r="14">
          <cell r="D14" t="str">
            <v>시멘트40kg/포</v>
          </cell>
          <cell r="E14">
            <v>1</v>
          </cell>
          <cell r="F14" t="str">
            <v>kg</v>
          </cell>
          <cell r="G14">
            <v>102</v>
          </cell>
          <cell r="J14">
            <v>102</v>
          </cell>
          <cell r="K14">
            <v>112</v>
          </cell>
          <cell r="L14">
            <v>1000</v>
          </cell>
          <cell r="M14">
            <v>96</v>
          </cell>
        </row>
        <row r="15">
          <cell r="D15" t="str">
            <v>모래강사</v>
          </cell>
          <cell r="E15">
            <v>1</v>
          </cell>
          <cell r="F15" t="str">
            <v>kg</v>
          </cell>
          <cell r="G15">
            <v>20000</v>
          </cell>
          <cell r="J15">
            <v>20000</v>
          </cell>
          <cell r="K15">
            <v>110</v>
          </cell>
          <cell r="L15">
            <v>20000</v>
          </cell>
          <cell r="M15">
            <v>95</v>
          </cell>
        </row>
        <row r="16">
          <cell r="D16" t="str">
            <v>내수합판1급12mm</v>
          </cell>
          <cell r="E16">
            <v>1</v>
          </cell>
          <cell r="F16" t="str">
            <v>m2</v>
          </cell>
          <cell r="G16">
            <v>5554</v>
          </cell>
          <cell r="H16">
            <v>5736</v>
          </cell>
          <cell r="J16">
            <v>6038</v>
          </cell>
          <cell r="K16">
            <v>495</v>
          </cell>
          <cell r="L16">
            <v>5554</v>
          </cell>
          <cell r="M16">
            <v>415</v>
          </cell>
        </row>
        <row r="17">
          <cell r="D17" t="str">
            <v>각재미송</v>
          </cell>
          <cell r="E17">
            <v>1</v>
          </cell>
          <cell r="F17" t="str">
            <v>m3</v>
          </cell>
          <cell r="G17">
            <v>359281</v>
          </cell>
          <cell r="H17">
            <v>359281</v>
          </cell>
          <cell r="J17">
            <v>359281</v>
          </cell>
          <cell r="K17">
            <v>138</v>
          </cell>
        </row>
        <row r="18">
          <cell r="D18" t="str">
            <v>철선#8</v>
          </cell>
          <cell r="E18">
            <v>1</v>
          </cell>
          <cell r="F18" t="str">
            <v>kg</v>
          </cell>
          <cell r="G18">
            <v>462</v>
          </cell>
          <cell r="J18">
            <v>462</v>
          </cell>
          <cell r="K18">
            <v>65</v>
          </cell>
          <cell r="L18">
            <v>510</v>
          </cell>
          <cell r="M18">
            <v>70</v>
          </cell>
        </row>
        <row r="19">
          <cell r="D19" t="str">
            <v>철못N-75</v>
          </cell>
          <cell r="E19">
            <v>1</v>
          </cell>
          <cell r="F19" t="str">
            <v>kg</v>
          </cell>
          <cell r="G19">
            <v>350</v>
          </cell>
          <cell r="J19">
            <v>350</v>
          </cell>
          <cell r="K19">
            <v>68</v>
          </cell>
          <cell r="L19">
            <v>387</v>
          </cell>
          <cell r="M19">
            <v>70</v>
          </cell>
        </row>
        <row r="20">
          <cell r="D20" t="str">
            <v xml:space="preserve">박리제 </v>
          </cell>
          <cell r="E20">
            <v>1</v>
          </cell>
          <cell r="F20" t="str">
            <v>L</v>
          </cell>
          <cell r="G20">
            <v>1000</v>
          </cell>
          <cell r="J20">
            <v>1000</v>
          </cell>
          <cell r="K20">
            <v>147</v>
          </cell>
          <cell r="L20">
            <v>1500</v>
          </cell>
          <cell r="M20">
            <v>111</v>
          </cell>
        </row>
        <row r="21">
          <cell r="D21" t="str">
            <v>슬레이트판석T15~25</v>
          </cell>
          <cell r="E21">
            <v>1</v>
          </cell>
          <cell r="F21" t="str">
            <v>m2</v>
          </cell>
          <cell r="G21">
            <v>50000</v>
          </cell>
          <cell r="J21">
            <v>50000</v>
          </cell>
          <cell r="K21">
            <v>275</v>
          </cell>
          <cell r="L21">
            <v>50000</v>
          </cell>
          <cell r="M21">
            <v>231</v>
          </cell>
        </row>
        <row r="22">
          <cell r="D22" t="str">
            <v>레미콘25-210-8</v>
          </cell>
          <cell r="E22">
            <v>1</v>
          </cell>
          <cell r="F22" t="str">
            <v>m3</v>
          </cell>
          <cell r="G22">
            <v>51430</v>
          </cell>
          <cell r="J22">
            <v>51970</v>
          </cell>
          <cell r="K22">
            <v>115</v>
          </cell>
          <cell r="L22">
            <v>51430</v>
          </cell>
          <cell r="M22">
            <v>98</v>
          </cell>
        </row>
        <row r="23">
          <cell r="D23" t="str">
            <v>목침목1250x240x150</v>
          </cell>
          <cell r="E23">
            <v>1</v>
          </cell>
          <cell r="F23" t="str">
            <v>EA</v>
          </cell>
          <cell r="G23">
            <v>26345</v>
          </cell>
          <cell r="J23">
            <v>26345</v>
          </cell>
          <cell r="K23">
            <v>275</v>
          </cell>
        </row>
        <row r="24">
          <cell r="D24" t="str">
            <v>재료분리석100x100x1000</v>
          </cell>
          <cell r="E24">
            <v>1</v>
          </cell>
          <cell r="F24" t="str">
            <v>m</v>
          </cell>
          <cell r="G24">
            <v>6220</v>
          </cell>
          <cell r="J24">
            <v>6220</v>
          </cell>
          <cell r="K24">
            <v>163</v>
          </cell>
        </row>
        <row r="25">
          <cell r="D25" t="str">
            <v>잡석D40mm이하</v>
          </cell>
          <cell r="E25">
            <v>1</v>
          </cell>
          <cell r="F25" t="str">
            <v>m3</v>
          </cell>
          <cell r="G25">
            <v>17000</v>
          </cell>
          <cell r="J25">
            <v>17000</v>
          </cell>
          <cell r="K25">
            <v>110</v>
          </cell>
          <cell r="L25">
            <v>17000</v>
          </cell>
          <cell r="M25">
            <v>95</v>
          </cell>
        </row>
        <row r="26">
          <cell r="D26" t="str">
            <v>문양그레이팅400x1000xT6</v>
          </cell>
          <cell r="E26">
            <v>1</v>
          </cell>
          <cell r="F26" t="str">
            <v>EA</v>
          </cell>
          <cell r="G26">
            <v>130000</v>
          </cell>
          <cell r="N26">
            <v>130000</v>
          </cell>
        </row>
        <row r="27">
          <cell r="D27" t="str">
            <v>ㄱ 형강50x50xT5</v>
          </cell>
          <cell r="E27">
            <v>1</v>
          </cell>
          <cell r="F27" t="str">
            <v>kg</v>
          </cell>
          <cell r="G27">
            <v>430</v>
          </cell>
          <cell r="J27">
            <v>430</v>
          </cell>
          <cell r="K27">
            <v>44</v>
          </cell>
          <cell r="L27">
            <v>432</v>
          </cell>
          <cell r="M27">
            <v>45</v>
          </cell>
        </row>
        <row r="28">
          <cell r="D28" t="str">
            <v>자연자갈D=40이하</v>
          </cell>
          <cell r="E28">
            <v>1</v>
          </cell>
          <cell r="F28" t="str">
            <v>m3</v>
          </cell>
          <cell r="G28">
            <v>20000</v>
          </cell>
          <cell r="J28">
            <v>20000</v>
          </cell>
          <cell r="K28">
            <v>110</v>
          </cell>
          <cell r="L28">
            <v>20000</v>
          </cell>
          <cell r="M28">
            <v>95</v>
          </cell>
        </row>
        <row r="29">
          <cell r="D29" t="str">
            <v>삼발이지주목(대형)BG-D-2,Φ60,L2400</v>
          </cell>
          <cell r="E29">
            <v>1</v>
          </cell>
          <cell r="F29" t="str">
            <v>조</v>
          </cell>
          <cell r="G29">
            <v>19200</v>
          </cell>
          <cell r="J29">
            <v>19200</v>
          </cell>
          <cell r="K29">
            <v>270</v>
          </cell>
        </row>
        <row r="30">
          <cell r="D30" t="str">
            <v xml:space="preserve">부엽토  </v>
          </cell>
          <cell r="E30">
            <v>1</v>
          </cell>
          <cell r="F30" t="str">
            <v>kg</v>
          </cell>
          <cell r="G30">
            <v>200</v>
          </cell>
          <cell r="J30">
            <v>200</v>
          </cell>
          <cell r="K30">
            <v>277</v>
          </cell>
          <cell r="L30">
            <v>200</v>
          </cell>
          <cell r="M30">
            <v>238</v>
          </cell>
        </row>
        <row r="31">
          <cell r="D31" t="str">
            <v>점토벽돌230x114x60</v>
          </cell>
          <cell r="E31">
            <v>1</v>
          </cell>
          <cell r="F31" t="str">
            <v>장</v>
          </cell>
          <cell r="G31">
            <v>790</v>
          </cell>
          <cell r="L31">
            <v>790</v>
          </cell>
          <cell r="M31">
            <v>283</v>
          </cell>
        </row>
        <row r="32">
          <cell r="D32" t="str">
            <v>화강석경계석150x150x1000</v>
          </cell>
          <cell r="E32">
            <v>1</v>
          </cell>
          <cell r="F32" t="str">
            <v>m</v>
          </cell>
          <cell r="G32">
            <v>11710</v>
          </cell>
          <cell r="J32">
            <v>11710</v>
          </cell>
          <cell r="K32">
            <v>163</v>
          </cell>
          <cell r="L32">
            <v>11800</v>
          </cell>
          <cell r="M32">
            <v>180</v>
          </cell>
        </row>
        <row r="33">
          <cell r="D33" t="str">
            <v>화강석경계석150x250x1000</v>
          </cell>
          <cell r="E33">
            <v>1</v>
          </cell>
          <cell r="F33" t="str">
            <v>m</v>
          </cell>
          <cell r="G33">
            <v>34000</v>
          </cell>
          <cell r="N33">
            <v>34000</v>
          </cell>
        </row>
        <row r="34">
          <cell r="D34" t="str">
            <v>화강석경계석200x250x1000</v>
          </cell>
          <cell r="E34">
            <v>1</v>
          </cell>
          <cell r="F34" t="str">
            <v>m</v>
          </cell>
          <cell r="G34">
            <v>22810</v>
          </cell>
          <cell r="J34">
            <v>22810</v>
          </cell>
          <cell r="K34">
            <v>163</v>
          </cell>
          <cell r="L34">
            <v>34700</v>
          </cell>
          <cell r="M34">
            <v>181</v>
          </cell>
        </row>
        <row r="35">
          <cell r="D35" t="str">
            <v>이형철근D13</v>
          </cell>
          <cell r="E35">
            <v>1</v>
          </cell>
          <cell r="F35" t="str">
            <v>kg</v>
          </cell>
          <cell r="G35">
            <v>409</v>
          </cell>
          <cell r="J35">
            <v>409</v>
          </cell>
          <cell r="K35">
            <v>43</v>
          </cell>
          <cell r="L35">
            <v>422</v>
          </cell>
          <cell r="M35">
            <v>42</v>
          </cell>
        </row>
        <row r="36">
          <cell r="D36" t="str">
            <v>이형철근D10</v>
          </cell>
          <cell r="E36">
            <v>1</v>
          </cell>
          <cell r="F36" t="str">
            <v>kg</v>
          </cell>
          <cell r="G36">
            <v>411</v>
          </cell>
          <cell r="J36">
            <v>411</v>
          </cell>
          <cell r="K36">
            <v>43</v>
          </cell>
          <cell r="L36">
            <v>422</v>
          </cell>
          <cell r="M36">
            <v>42</v>
          </cell>
        </row>
        <row r="37">
          <cell r="D37" t="str">
            <v>스틸그레이팅1000x1000x50</v>
          </cell>
          <cell r="E37">
            <v>1</v>
          </cell>
          <cell r="F37" t="str">
            <v>EA</v>
          </cell>
          <cell r="G37">
            <v>67000</v>
          </cell>
          <cell r="J37">
            <v>77000</v>
          </cell>
          <cell r="K37">
            <v>188</v>
          </cell>
          <cell r="L37">
            <v>67000</v>
          </cell>
          <cell r="M37">
            <v>194</v>
          </cell>
        </row>
        <row r="38">
          <cell r="D38" t="e">
            <v>#VALUE!</v>
          </cell>
          <cell r="G38">
            <v>0</v>
          </cell>
        </row>
        <row r="39">
          <cell r="D39" t="e">
            <v>#VALUE!</v>
          </cell>
          <cell r="G39">
            <v>0</v>
          </cell>
        </row>
        <row r="40">
          <cell r="D40" t="e">
            <v>#VALUE!</v>
          </cell>
          <cell r="G40">
            <v>0</v>
          </cell>
        </row>
        <row r="41">
          <cell r="D41" t="e">
            <v>#VALUE!</v>
          </cell>
          <cell r="G41">
            <v>0</v>
          </cell>
        </row>
        <row r="54">
          <cell r="D54" t="e">
            <v>#VALUE!</v>
          </cell>
          <cell r="G54">
            <v>0</v>
          </cell>
        </row>
      </sheetData>
      <sheetData sheetId="5" refreshError="1">
        <row r="3">
          <cell r="B3" t="str">
            <v>석공</v>
          </cell>
          <cell r="C3" t="str">
            <v>인</v>
          </cell>
          <cell r="D3">
            <v>94158</v>
          </cell>
          <cell r="E3">
            <v>94158</v>
          </cell>
          <cell r="F3">
            <v>82964</v>
          </cell>
        </row>
        <row r="4">
          <cell r="B4" t="str">
            <v>조경공</v>
          </cell>
          <cell r="C4" t="str">
            <v>인</v>
          </cell>
          <cell r="D4">
            <v>68999</v>
          </cell>
          <cell r="E4">
            <v>68999</v>
          </cell>
          <cell r="F4">
            <v>61272</v>
          </cell>
          <cell r="G4">
            <v>1070767</v>
          </cell>
          <cell r="H4">
            <v>1070767</v>
          </cell>
          <cell r="I4">
            <v>124767</v>
          </cell>
        </row>
        <row r="5">
          <cell r="B5" t="str">
            <v>보통인부</v>
          </cell>
          <cell r="C5" t="str">
            <v>인</v>
          </cell>
          <cell r="D5">
            <v>50683</v>
          </cell>
          <cell r="E5">
            <v>50683</v>
          </cell>
          <cell r="F5">
            <v>45031</v>
          </cell>
          <cell r="G5">
            <v>406484</v>
          </cell>
          <cell r="H5">
            <v>406484</v>
          </cell>
          <cell r="I5">
            <v>86384</v>
          </cell>
        </row>
        <row r="6">
          <cell r="B6" t="str">
            <v>콘크리트공</v>
          </cell>
          <cell r="C6" t="str">
            <v>인</v>
          </cell>
          <cell r="D6">
            <v>90048</v>
          </cell>
          <cell r="E6">
            <v>90048</v>
          </cell>
          <cell r="F6">
            <v>77157</v>
          </cell>
          <cell r="G6">
            <v>6179</v>
          </cell>
          <cell r="H6">
            <v>6179</v>
          </cell>
          <cell r="I6">
            <v>4969</v>
          </cell>
        </row>
        <row r="7">
          <cell r="B7" t="str">
            <v>특별인부</v>
          </cell>
          <cell r="C7" t="str">
            <v>인</v>
          </cell>
          <cell r="D7">
            <v>65734</v>
          </cell>
          <cell r="E7">
            <v>65734</v>
          </cell>
          <cell r="F7">
            <v>62902</v>
          </cell>
          <cell r="G7">
            <v>197306</v>
          </cell>
          <cell r="H7">
            <v>197306</v>
          </cell>
          <cell r="I7">
            <v>89648</v>
          </cell>
        </row>
        <row r="8">
          <cell r="B8" t="str">
            <v>형틀목공</v>
          </cell>
          <cell r="C8" t="str">
            <v>인</v>
          </cell>
          <cell r="D8">
            <v>91573</v>
          </cell>
          <cell r="E8">
            <v>91573</v>
          </cell>
          <cell r="F8">
            <v>79997</v>
          </cell>
          <cell r="G8">
            <v>29496</v>
          </cell>
          <cell r="H8">
            <v>29496</v>
          </cell>
          <cell r="I8">
            <v>6946</v>
          </cell>
        </row>
        <row r="9">
          <cell r="B9" t="str">
            <v>조적공</v>
          </cell>
          <cell r="C9" t="str">
            <v>인</v>
          </cell>
          <cell r="D9">
            <v>83651</v>
          </cell>
          <cell r="E9">
            <v>83651</v>
          </cell>
          <cell r="F9">
            <v>74460</v>
          </cell>
          <cell r="G9">
            <v>1383</v>
          </cell>
          <cell r="H9">
            <v>1383</v>
          </cell>
          <cell r="I9">
            <v>228</v>
          </cell>
        </row>
        <row r="10">
          <cell r="B10" t="str">
            <v>철근공</v>
          </cell>
          <cell r="C10" t="str">
            <v>인</v>
          </cell>
          <cell r="D10">
            <v>93853</v>
          </cell>
          <cell r="E10">
            <v>93853</v>
          </cell>
          <cell r="F10">
            <v>84113</v>
          </cell>
          <cell r="G10">
            <v>18328</v>
          </cell>
          <cell r="H10">
            <v>18328</v>
          </cell>
          <cell r="I10">
            <v>5068</v>
          </cell>
        </row>
        <row r="11">
          <cell r="D11" t="str">
            <v>인공토포설인공지반</v>
          </cell>
          <cell r="E11">
            <v>1</v>
          </cell>
          <cell r="F11" t="str">
            <v>m3</v>
          </cell>
          <cell r="G11">
            <v>110998</v>
          </cell>
          <cell r="H11">
            <v>110998</v>
          </cell>
          <cell r="I11">
            <v>5068</v>
          </cell>
        </row>
        <row r="12">
          <cell r="D12" t="str">
            <v>투수펫1000x300x30</v>
          </cell>
          <cell r="E12">
            <v>1</v>
          </cell>
          <cell r="F12" t="str">
            <v>m2</v>
          </cell>
          <cell r="G12">
            <v>10392</v>
          </cell>
          <cell r="H12">
            <v>10392</v>
          </cell>
          <cell r="I12">
            <v>228</v>
          </cell>
        </row>
        <row r="13">
          <cell r="D13" t="str">
            <v>토사절취인력,보통토사</v>
          </cell>
          <cell r="E13">
            <v>1</v>
          </cell>
          <cell r="F13" t="str">
            <v>m3</v>
          </cell>
          <cell r="G13">
            <v>8109</v>
          </cell>
          <cell r="H13">
            <v>8109</v>
          </cell>
          <cell r="I13">
            <v>8109</v>
          </cell>
        </row>
        <row r="14">
          <cell r="D14" t="str">
            <v>잔토처리인력</v>
          </cell>
          <cell r="E14">
            <v>1</v>
          </cell>
          <cell r="F14" t="str">
            <v>m3</v>
          </cell>
          <cell r="G14">
            <v>10136</v>
          </cell>
          <cell r="H14">
            <v>10136</v>
          </cell>
          <cell r="I14">
            <v>10136</v>
          </cell>
        </row>
        <row r="15">
          <cell r="D15" t="str">
            <v>몰탈1:3</v>
          </cell>
          <cell r="E15">
            <v>1</v>
          </cell>
          <cell r="F15" t="str">
            <v>m3</v>
          </cell>
          <cell r="G15">
            <v>124703</v>
          </cell>
          <cell r="H15">
            <v>124703</v>
          </cell>
          <cell r="I15">
            <v>50683</v>
          </cell>
        </row>
        <row r="16">
          <cell r="D16" t="str">
            <v xml:space="preserve">자갈부설 </v>
          </cell>
          <cell r="E16">
            <v>1</v>
          </cell>
          <cell r="F16" t="str">
            <v>m3</v>
          </cell>
          <cell r="G16">
            <v>30136</v>
          </cell>
          <cell r="H16">
            <v>30136</v>
          </cell>
          <cell r="I16">
            <v>10136</v>
          </cell>
        </row>
        <row r="17">
          <cell r="D17" t="str">
            <v>콘크리트타설무근</v>
          </cell>
          <cell r="E17">
            <v>1</v>
          </cell>
          <cell r="F17" t="str">
            <v>m3</v>
          </cell>
          <cell r="G17">
            <v>27191</v>
          </cell>
          <cell r="H17">
            <v>27191</v>
          </cell>
          <cell r="I17">
            <v>27191</v>
          </cell>
        </row>
        <row r="18">
          <cell r="D18" t="str">
            <v>콘크리트타설철근</v>
          </cell>
          <cell r="E18">
            <v>1</v>
          </cell>
          <cell r="F18" t="str">
            <v>m3</v>
          </cell>
          <cell r="G18">
            <v>30006</v>
          </cell>
          <cell r="H18">
            <v>30006</v>
          </cell>
          <cell r="I18">
            <v>30006</v>
          </cell>
        </row>
        <row r="19">
          <cell r="D19" t="str">
            <v>철근가공조립간단</v>
          </cell>
          <cell r="E19">
            <v>1</v>
          </cell>
          <cell r="F19" t="str">
            <v>m3</v>
          </cell>
          <cell r="G19">
            <v>415397</v>
          </cell>
          <cell r="H19">
            <v>415397</v>
          </cell>
          <cell r="I19">
            <v>415397</v>
          </cell>
        </row>
        <row r="20">
          <cell r="D20" t="str">
            <v>터파기0~1m 인력,토사</v>
          </cell>
          <cell r="E20">
            <v>1</v>
          </cell>
          <cell r="F20" t="str">
            <v>m3</v>
          </cell>
          <cell r="G20">
            <v>10136</v>
          </cell>
          <cell r="H20">
            <v>10136</v>
          </cell>
          <cell r="I20">
            <v>10136</v>
          </cell>
        </row>
        <row r="21">
          <cell r="D21" t="str">
            <v>되메우기 및 다짐인력</v>
          </cell>
          <cell r="E21">
            <v>1</v>
          </cell>
          <cell r="F21" t="str">
            <v>m3</v>
          </cell>
          <cell r="G21">
            <v>10643</v>
          </cell>
          <cell r="H21">
            <v>10643</v>
          </cell>
          <cell r="I21">
            <v>10643</v>
          </cell>
        </row>
        <row r="22">
          <cell r="D22" t="str">
            <v>모래포설인력</v>
          </cell>
          <cell r="E22">
            <v>1</v>
          </cell>
          <cell r="F22" t="str">
            <v>m2</v>
          </cell>
          <cell r="G22">
            <v>1205</v>
          </cell>
          <cell r="H22">
            <v>1205</v>
          </cell>
          <cell r="I22">
            <v>405</v>
          </cell>
        </row>
        <row r="23">
          <cell r="D23" t="str">
            <v>잡석다짐인력</v>
          </cell>
          <cell r="E23">
            <v>1</v>
          </cell>
          <cell r="F23" t="str">
            <v>m3</v>
          </cell>
          <cell r="G23">
            <v>30409</v>
          </cell>
          <cell r="H23">
            <v>30409</v>
          </cell>
          <cell r="I23">
            <v>30409</v>
          </cell>
        </row>
        <row r="24">
          <cell r="D24" t="str">
            <v>합판거푸집1회사용</v>
          </cell>
          <cell r="E24">
            <v>1</v>
          </cell>
          <cell r="F24" t="str">
            <v>m2</v>
          </cell>
          <cell r="G24">
            <v>57062</v>
          </cell>
          <cell r="H24">
            <v>57062</v>
          </cell>
          <cell r="I24">
            <v>37297</v>
          </cell>
        </row>
        <row r="25">
          <cell r="D25" t="str">
            <v>합판거푸집6회</v>
          </cell>
          <cell r="E25">
            <v>1</v>
          </cell>
          <cell r="F25" t="str">
            <v>m2</v>
          </cell>
          <cell r="G25">
            <v>18793</v>
          </cell>
          <cell r="H25">
            <v>18793</v>
          </cell>
          <cell r="I25">
            <v>11935</v>
          </cell>
        </row>
        <row r="26">
          <cell r="D26" t="str">
            <v>합판거푸집4회</v>
          </cell>
          <cell r="E26">
            <v>1</v>
          </cell>
          <cell r="F26" t="str">
            <v>m2</v>
          </cell>
          <cell r="G26">
            <v>22843</v>
          </cell>
          <cell r="H26">
            <v>22843</v>
          </cell>
          <cell r="I26">
            <v>14918</v>
          </cell>
        </row>
        <row r="27">
          <cell r="D27" t="str">
            <v>합판거푸집2회</v>
          </cell>
          <cell r="E27">
            <v>1</v>
          </cell>
          <cell r="F27" t="str">
            <v>m2</v>
          </cell>
          <cell r="G27">
            <v>33118</v>
          </cell>
          <cell r="H27">
            <v>33118</v>
          </cell>
          <cell r="I27">
            <v>21259</v>
          </cell>
        </row>
        <row r="28">
          <cell r="D28" t="str">
            <v>부직포부설(1.5T/M)</v>
          </cell>
          <cell r="E28">
            <v>1</v>
          </cell>
          <cell r="F28" t="str">
            <v>m2</v>
          </cell>
          <cell r="G28">
            <v>1383</v>
          </cell>
          <cell r="H28">
            <v>1383</v>
          </cell>
          <cell r="I28">
            <v>228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VXXXXX"/>
      <sheetName val="총괄표"/>
      <sheetName val="PMS"/>
      <sheetName val="조경식재"/>
      <sheetName val="조경시설공"/>
      <sheetName val="자재수량산출"/>
      <sheetName val="수량산출서"/>
      <sheetName val="일위대가"/>
      <sheetName val=""/>
      <sheetName val="보할"/>
      <sheetName val="기성총괄"/>
      <sheetName val="기성(단지내)"/>
      <sheetName val="기성(도시기반)"/>
      <sheetName val="기성내역"/>
      <sheetName val="12공구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단가"/>
      <sheetName val="단가산출"/>
      <sheetName val="CON'C"/>
      <sheetName val="내역(~2"/>
      <sheetName val="골조시행"/>
      <sheetName val="증감대비"/>
      <sheetName val="토공사"/>
      <sheetName val="보증수수료산출"/>
      <sheetName val="실행대비"/>
      <sheetName val="공사비총괄표"/>
      <sheetName val="소비자가"/>
      <sheetName val="Sheet1"/>
      <sheetName val="일위_파일"/>
      <sheetName val="RING WALL"/>
      <sheetName val="데이타"/>
      <sheetName val="99년하반기"/>
      <sheetName val="재료"/>
      <sheetName val="우수받이"/>
      <sheetName val="기본단가표"/>
      <sheetName val="품셈TABLE"/>
      <sheetName val="지질조사"/>
      <sheetName val="실행"/>
      <sheetName val="기성"/>
      <sheetName val="북제주원가"/>
      <sheetName val="단가표"/>
      <sheetName val="집계표"/>
      <sheetName val="BID"/>
      <sheetName val="설변공종별"/>
      <sheetName val="설변조정내역"/>
      <sheetName val="건기토원가"/>
      <sheetName val="건축원가"/>
      <sheetName val="토목원가"/>
      <sheetName val="기계원가"/>
      <sheetName val="기계내역"/>
      <sheetName val="표지"/>
      <sheetName val="계약내역(2)"/>
      <sheetName val="건축2"/>
      <sheetName val="내역"/>
      <sheetName val="1,2공구원가계산서"/>
      <sheetName val="2공구산출내역"/>
      <sheetName val="1공구산출내역서"/>
      <sheetName val="표준건축비"/>
      <sheetName val="Sheet5"/>
      <sheetName val="기결의"/>
      <sheetName val="단"/>
      <sheetName val="실행(ALT1)"/>
      <sheetName val="경비"/>
      <sheetName val="2002하반기노임기준"/>
      <sheetName val="산출내역서집계표"/>
      <sheetName val="구체"/>
      <sheetName val="좌측날개벽"/>
      <sheetName val="우측날개벽"/>
      <sheetName val="노임단가"/>
      <sheetName val="예산명세서"/>
      <sheetName val="설계명세서"/>
      <sheetName val="자료입력"/>
      <sheetName val="단가(자재)"/>
      <sheetName val="단가(노임)"/>
      <sheetName val="기초목록"/>
      <sheetName val="납부서"/>
      <sheetName val="식재가격"/>
      <sheetName val="식재총괄"/>
      <sheetName val="일위목록"/>
      <sheetName val="01AC"/>
      <sheetName val="원가"/>
      <sheetName val="목록"/>
      <sheetName val="노임"/>
      <sheetName val="단가비교표"/>
      <sheetName val="예산서"/>
      <sheetName val="식재인부"/>
      <sheetName val="건축일위"/>
      <sheetName val="그라우팅일위"/>
      <sheetName val="#REF"/>
      <sheetName val="입력자료"/>
      <sheetName val="조명시설"/>
      <sheetName val="#3_일위대가목록"/>
      <sheetName val="상반기손익차2총괄"/>
      <sheetName val="노무비단가"/>
      <sheetName val="일위대가(건축)"/>
      <sheetName val="식재수량표"/>
      <sheetName val="자재단가"/>
      <sheetName val="토목주소"/>
      <sheetName val="䴝괄내역"/>
      <sheetName val="청주(철골발주의뢰서)"/>
      <sheetName val="정부노임단가"/>
      <sheetName val="Y-WORK"/>
      <sheetName val="세부내역"/>
      <sheetName val="토사(PE)"/>
      <sheetName val="Sheet1 (2)"/>
      <sheetName val="수단"/>
      <sheetName val="공사개요"/>
      <sheetName val="Sheet6"/>
      <sheetName val="전기"/>
      <sheetName val="대창(함평)"/>
      <sheetName val="대창(장성)"/>
      <sheetName val="대창(함평)-창열"/>
      <sheetName val="단가비교표_공통1"/>
      <sheetName val="상계견적"/>
      <sheetName val="기자재수량"/>
      <sheetName val="총공사내역서"/>
      <sheetName val="일위대가목차"/>
      <sheetName val="4차원가계산서"/>
      <sheetName val="원가계산"/>
      <sheetName val="COVER"/>
      <sheetName val="철거산출근거"/>
      <sheetName val="DATE"/>
      <sheetName val="원가계산서 "/>
      <sheetName val="수량집계"/>
      <sheetName val="이토변실(A3-LINE)"/>
      <sheetName val="설명서 "/>
      <sheetName val="토목"/>
      <sheetName val="기초일위"/>
      <sheetName val="수목단가"/>
      <sheetName val="시설수량표"/>
      <sheetName val="시설일위"/>
      <sheetName val="식재일위"/>
      <sheetName val="수목표준대가"/>
      <sheetName val="JUCKEYK"/>
      <sheetName val="DATA"/>
      <sheetName val="갑지"/>
      <sheetName val="터파기및재료"/>
      <sheetName val="중기"/>
      <sheetName val="mcc일위대가"/>
      <sheetName val="MOTOR"/>
      <sheetName val="공량산출서"/>
      <sheetName val="산출근거#2-3"/>
      <sheetName val="부대내역"/>
      <sheetName val="자료"/>
      <sheetName val="45,46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마감LIST-1"/>
      <sheetName val="Sheet2"/>
      <sheetName val="공사"/>
      <sheetName val="의왕내역"/>
      <sheetName val="정산내역서"/>
      <sheetName val="조명일위"/>
      <sheetName val="내역서1999.8최종"/>
      <sheetName val="명세서"/>
      <sheetName val="공조기"/>
      <sheetName val="발주내역"/>
      <sheetName val="COST"/>
      <sheetName val="실행예산"/>
      <sheetName val="맨홀수량"/>
      <sheetName val="견적공통"/>
      <sheetName val="해평견적"/>
      <sheetName val="시설물일위"/>
      <sheetName val="실행기고및 투입현황(총괄)"/>
      <sheetName val="2000,9월 일위"/>
      <sheetName val="6호기"/>
      <sheetName val="2000년1차"/>
      <sheetName val="내역서(전기)"/>
      <sheetName val="2000전체분"/>
      <sheetName val="건축내역서"/>
      <sheetName val="설비내역서"/>
      <sheetName val="전기내역서"/>
      <sheetName val="단가조사"/>
      <sheetName val="H-PILE수량집계"/>
      <sheetName val="을지"/>
      <sheetName val="연결임시"/>
      <sheetName val="입찰안"/>
      <sheetName val="#2_일위대가목록"/>
      <sheetName val="수량산출"/>
      <sheetName val="영창26"/>
      <sheetName val="DAN"/>
      <sheetName val="백호우계수"/>
      <sheetName val="철근량"/>
      <sheetName val="WORK"/>
      <sheetName val="바닥판"/>
      <sheetName val="입력DATA"/>
      <sheetName val="기안"/>
      <sheetName val="내역서 제출"/>
      <sheetName val="소일위대가코드표"/>
      <sheetName val="일반부표"/>
      <sheetName val="오동"/>
      <sheetName val="대조"/>
      <sheetName val="나한"/>
      <sheetName val="소화배관"/>
      <sheetName val="공조배관"/>
      <sheetName val="총 원가계산"/>
      <sheetName val="2.토목공사"/>
      <sheetName val="신공항A-9(원가수정)"/>
      <sheetName val="역T형교대(말뚝기초)"/>
      <sheetName val="거푸집물량"/>
      <sheetName val="건축공사"/>
      <sheetName val="단가대비표 (2)"/>
      <sheetName val="합의경상"/>
      <sheetName val="APT"/>
      <sheetName val="주소록"/>
      <sheetName val="조명율표"/>
      <sheetName val="인제내역"/>
      <sheetName val="간접비계산"/>
      <sheetName val="70%"/>
      <sheetName val="정공공사"/>
      <sheetName val="대비2"/>
      <sheetName val="단위단가"/>
      <sheetName val="노임,재료비"/>
      <sheetName val="ES조서출력하기"/>
      <sheetName val="Sheet4"/>
      <sheetName val="남대문빌딩"/>
      <sheetName val="횡배수관집현황(2공구)"/>
      <sheetName val="건축"/>
      <sheetName val="입찰보고"/>
      <sheetName val="시운전연료비"/>
      <sheetName val="수량산출(음암)"/>
      <sheetName val="소방"/>
      <sheetName val="교통대책내역"/>
      <sheetName val="재료비"/>
      <sheetName val="결재갑지"/>
      <sheetName val="주beam"/>
      <sheetName val="아파트"/>
      <sheetName val="22단가"/>
      <sheetName val="22산출"/>
      <sheetName val="판매시설"/>
      <sheetName val="별표 "/>
      <sheetName val="수간보호"/>
      <sheetName val="단가일람"/>
      <sheetName val="단가일람 (2)"/>
      <sheetName val="물가시세"/>
      <sheetName val="D"/>
      <sheetName val="00000"/>
      <sheetName val="일위대가(가설)"/>
      <sheetName val="제경비"/>
      <sheetName val="연동내역"/>
      <sheetName val="차수"/>
      <sheetName val="설계내역"/>
      <sheetName val="실행,원가 최종예상"/>
      <sheetName val="교각1"/>
      <sheetName val="파일의이용"/>
      <sheetName val="유리"/>
      <sheetName val="해외(원화)"/>
      <sheetName val="공정표"/>
      <sheetName val="구리토평1전기"/>
      <sheetName val="Total"/>
      <sheetName val="남양주댠가표"/>
      <sheetName val="금액"/>
      <sheetName val="확약서"/>
      <sheetName val="분전반계산서(석관)"/>
      <sheetName val="유림총괄"/>
      <sheetName val="일위대가 "/>
      <sheetName val="1단계"/>
      <sheetName val="방수"/>
      <sheetName val="A2"/>
      <sheetName val="101동 "/>
      <sheetName val="구조"/>
      <sheetName val="총괄내역서(설계)"/>
      <sheetName val="unit 4"/>
      <sheetName val="49단가"/>
      <sheetName val="원가집계"/>
      <sheetName val="101동"/>
      <sheetName val="거래처등록"/>
      <sheetName val="말뚝지지력산정"/>
      <sheetName val="덕전리"/>
      <sheetName val="시중노임"/>
      <sheetName val="요율"/>
      <sheetName val="단가대비표"/>
      <sheetName val="2단지내역서"/>
      <sheetName val="기초자료"/>
      <sheetName val="시설물기초"/>
      <sheetName val="산근"/>
      <sheetName val="옥외부분합"/>
      <sheetName val="b_babun (2)"/>
      <sheetName val="견적단가"/>
      <sheetName val="토목변경"/>
      <sheetName val="Customer Databas"/>
      <sheetName val="1차 내역서"/>
      <sheetName val="단가조사서"/>
      <sheetName val="주공 갑지"/>
      <sheetName val="석축산출서"/>
      <sheetName val="도급"/>
      <sheetName val="HVAC"/>
      <sheetName val="인건비"/>
      <sheetName val="제경비율"/>
      <sheetName val="재료값"/>
      <sheetName val="견적서"/>
      <sheetName val="산출내역서"/>
      <sheetName val="기흥하도용"/>
      <sheetName val="데리네이타현황"/>
      <sheetName val="중기 부표"/>
      <sheetName val="단중표"/>
      <sheetName val="경상직원"/>
      <sheetName val="48산출"/>
      <sheetName val="산출2-기기동력"/>
      <sheetName val="9-1차이내역"/>
      <sheetName val="EACT10"/>
      <sheetName val="설계기준"/>
      <sheetName val="내역1"/>
      <sheetName val="변압기 및 발전기 용량"/>
      <sheetName val="변수값"/>
      <sheetName val="중기상차"/>
      <sheetName val="AS복구"/>
      <sheetName val="중기터파기"/>
      <sheetName val="대공종"/>
      <sheetName val="프랜트면허"/>
      <sheetName val="노무비"/>
      <sheetName val="간접"/>
      <sheetName val="설계예산서"/>
      <sheetName val="예산내역서"/>
      <sheetName val="총계"/>
      <sheetName val="AV시스템"/>
      <sheetName val="평가데이터"/>
      <sheetName val="단가(1)"/>
      <sheetName val="복지관 풍화암-평면"/>
      <sheetName val="원가서"/>
      <sheetName val="일반수량총괄집계"/>
      <sheetName val="일위대가표_(2)"/>
      <sheetName val="공종별_집계표"/>
      <sheetName val="도급내역서_표지"/>
      <sheetName val="RING_WALL"/>
      <sheetName val="개소별수량산출"/>
      <sheetName val="을"/>
      <sheetName val="FORM-0"/>
      <sheetName val="기본일위"/>
      <sheetName val="대치판정"/>
      <sheetName val="밸브설치"/>
      <sheetName val="용수량(생활용수)"/>
      <sheetName val="조건"/>
      <sheetName val="안전시설"/>
      <sheetName val="설계명세"/>
      <sheetName val="c_balju"/>
      <sheetName val="수주현황2월"/>
      <sheetName val="Sheet1_(2)"/>
      <sheetName val="설명서_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내역서1999_8최종"/>
      <sheetName val="실행기고및_투입현황(총괄)"/>
      <sheetName val="2000,9월_일위"/>
      <sheetName val="unit_4"/>
      <sheetName val="단가일람_(2)"/>
      <sheetName val="총_원가계산"/>
      <sheetName val="원가계산서_"/>
      <sheetName val="2_토목공사"/>
      <sheetName val="일위대가_"/>
      <sheetName val="별표_"/>
      <sheetName val="현장관리비"/>
      <sheetName val="송전재료비"/>
      <sheetName val="2.대외공문"/>
      <sheetName val="집계"/>
      <sheetName val="AS포장복구 "/>
      <sheetName val="s.v"/>
      <sheetName val="매입세율"/>
      <sheetName val="대비"/>
      <sheetName val="약품공급2"/>
      <sheetName val="원가계산서(남측)"/>
      <sheetName val="직공비"/>
      <sheetName val="건축설비"/>
      <sheetName val="토공(우물통,기타) "/>
      <sheetName val="기계경비(시간당)"/>
      <sheetName val="램머"/>
      <sheetName val="건축공사 집계표"/>
      <sheetName val="골조"/>
      <sheetName val="변경내역서간지"/>
      <sheetName val="단가대비표 (3)"/>
      <sheetName val="견적1"/>
      <sheetName val="NEYOK"/>
      <sheetName val="공사착공계"/>
      <sheetName val="archi(본사)"/>
      <sheetName val="대목"/>
      <sheetName val="적용기준"/>
      <sheetName val="입력"/>
      <sheetName val="공통단가"/>
      <sheetName val="운반비"/>
      <sheetName val="2000양배"/>
      <sheetName val="기본입력"/>
      <sheetName val="인수공규격"/>
      <sheetName val="1.설계조건"/>
      <sheetName val="잡비계산"/>
      <sheetName val="FB25JN"/>
      <sheetName val="내역(원안-대안)"/>
      <sheetName val="사급자재"/>
      <sheetName val="수량산출서-2"/>
      <sheetName val="직노"/>
      <sheetName val="공사비산출내역"/>
      <sheetName val="견적대비표"/>
      <sheetName val="가정조건"/>
      <sheetName val="BSD (2)"/>
      <sheetName val="전체내역"/>
      <sheetName val="시중노임단가"/>
      <sheetName val="4.전기"/>
      <sheetName val="자재"/>
      <sheetName val="차액보증"/>
      <sheetName val="코드표"/>
      <sheetName val="단양 00 아파트-세부내역"/>
      <sheetName val="갑  지"/>
      <sheetName val="PIPE(UG)내역"/>
      <sheetName val="단가기준"/>
      <sheetName val="배수내역"/>
      <sheetName val="I一般比"/>
      <sheetName val="일위"/>
      <sheetName val="2000노임기준"/>
      <sheetName val="코드"/>
      <sheetName val="AL공사(원)"/>
      <sheetName val="단가집"/>
      <sheetName val="설계가"/>
      <sheetName val="조건입력"/>
      <sheetName val="조건입력(2)"/>
      <sheetName val="장비선정"/>
      <sheetName val="표지 (2)"/>
      <sheetName val="주배관TYPE현황"/>
      <sheetName val="본실행경비"/>
      <sheetName val="노임이"/>
      <sheetName val="상하차비용(기계상차)"/>
      <sheetName val="N賃率-職"/>
      <sheetName val="총 괄 표"/>
      <sheetName val="36단가"/>
      <sheetName val="냉천부속동"/>
      <sheetName val="토목수량(공정)"/>
      <sheetName val="토목내역서"/>
      <sheetName val="견"/>
      <sheetName val="값"/>
      <sheetName val="설계서(동안동)"/>
      <sheetName val="단위중량"/>
      <sheetName val="삭제금지단가"/>
      <sheetName val="8.수량산출 (2)"/>
      <sheetName val="보할공정"/>
      <sheetName val="21301동"/>
      <sheetName val="공사수행방안"/>
      <sheetName val="9GNG운반"/>
      <sheetName val="예정(3)"/>
      <sheetName val="LD"/>
      <sheetName val="내역서적용수량"/>
      <sheetName val="시험장S자로가로등공사"/>
      <sheetName val="식재일위대가"/>
      <sheetName val="갑지(추정)"/>
      <sheetName val="Baby일위대가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운반공사"/>
      <sheetName val="참고자료"/>
      <sheetName val="은행코드"/>
      <sheetName val="노임단가 (2)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2003상반기노임기준"/>
      <sheetName val="별표집계"/>
      <sheetName val="총괄"/>
      <sheetName val="수리보고서비"/>
      <sheetName val="계수시트"/>
      <sheetName val="1."/>
      <sheetName val="BDATA"/>
      <sheetName val="설계"/>
      <sheetName val="광주운남을"/>
      <sheetName val="철골,판넬"/>
      <sheetName val="수목일위"/>
      <sheetName val="99총공사내역서"/>
      <sheetName val="PAINT"/>
      <sheetName val="48단가"/>
      <sheetName val="예총"/>
      <sheetName val="견적(100%)"/>
      <sheetName val="Xunit (단위환산)"/>
      <sheetName val="00노임기준"/>
      <sheetName val="개산공사비"/>
      <sheetName val="일위대가목록"/>
      <sheetName val="진흥지역조서(구역밖)"/>
      <sheetName val="가제당공사비"/>
      <sheetName val="기초처리공사비"/>
      <sheetName val="복통공사비"/>
      <sheetName val="본제당공사비"/>
      <sheetName val="시험비"/>
      <sheetName val="자재대"/>
      <sheetName val="중기운반비"/>
      <sheetName val="진입도로공사비"/>
      <sheetName val="취수탑공사비"/>
      <sheetName val="토취장복구"/>
      <sheetName val="견적조건"/>
      <sheetName val="옥내소화전계산서"/>
      <sheetName val="산출기초"/>
      <sheetName val="STAND98"/>
      <sheetName val="시점교대"/>
      <sheetName val="단위골재량"/>
      <sheetName val="사회복지관"/>
      <sheetName val="철거단가"/>
      <sheetName val="날개벽수량표"/>
      <sheetName val="2총괄내역서"/>
      <sheetName val="관급자재대"/>
      <sheetName val="(A)내역서"/>
      <sheetName val="식재"/>
      <sheetName val="시설물"/>
      <sheetName val="식재출력용"/>
      <sheetName val="유지관리"/>
      <sheetName val="기초도면제작"/>
      <sheetName val="주출입구조사"/>
      <sheetName val="파일구성"/>
      <sheetName val="설계예시"/>
      <sheetName val="CATV"/>
      <sheetName val="할증 "/>
      <sheetName val="원"/>
      <sheetName val="공사비"/>
      <sheetName val="기존단가 (2)"/>
      <sheetName val="경산"/>
      <sheetName val="간접1"/>
      <sheetName val="영업3"/>
      <sheetName val="영업2"/>
      <sheetName val="소야공정계획표"/>
      <sheetName val="99노임기준"/>
      <sheetName val="조경"/>
      <sheetName val="인사자료총집계"/>
      <sheetName val="1-1"/>
      <sheetName val="제목"/>
      <sheetName val="빗물받이(910-510-410)"/>
      <sheetName val="b_balju_cho"/>
      <sheetName val="노무산출서"/>
      <sheetName val="소요자재"/>
      <sheetName val="MC내역(이설)"/>
      <sheetName val="산출2-동력"/>
      <sheetName val="산출3-전등"/>
      <sheetName val="산출4-조명제어"/>
      <sheetName val="산출5-전열"/>
      <sheetName val="산출7-유도등"/>
      <sheetName val="품목"/>
      <sheetName val="재노경"/>
      <sheetName val="실행철강하도"/>
      <sheetName val="h-013211-2"/>
      <sheetName val="7.산출집계"/>
      <sheetName val="4.일위산출"/>
      <sheetName val="9.자재단가"/>
      <sheetName val="분전함신설"/>
      <sheetName val="접지1종"/>
      <sheetName val="단가 "/>
      <sheetName val="충주"/>
      <sheetName val="공비대비"/>
      <sheetName val="건축원가계산서"/>
      <sheetName val="현관"/>
      <sheetName val="1회"/>
      <sheetName val="유림콘도"/>
      <sheetName val="수목데이타 "/>
      <sheetName val="PROG"/>
      <sheetName val="단가조정"/>
      <sheetName val="자  재"/>
      <sheetName val="건축외주"/>
      <sheetName val="조정율"/>
      <sheetName val="영신토건물가변동"/>
      <sheetName val="산수배수"/>
      <sheetName val="2"/>
      <sheetName val="견적갑지"/>
      <sheetName val="기초단가"/>
      <sheetName val="노임단가표"/>
      <sheetName val="물량표"/>
      <sheetName val="간접경상비"/>
      <sheetName val="금액내역서"/>
      <sheetName val="tggwan(mac)"/>
      <sheetName val="유기공정"/>
      <sheetName val="내역서1"/>
      <sheetName val="장비경비"/>
      <sheetName val="가설공사비"/>
      <sheetName val="정보"/>
      <sheetName val="매입세会"/>
      <sheetName val="SLAB&quot;1&quot;"/>
      <sheetName val="카메라"/>
      <sheetName val="직접인건비"/>
      <sheetName val="수량"/>
      <sheetName val="공기압축기실"/>
      <sheetName val="단위수량"/>
      <sheetName val="기성고조서"/>
      <sheetName val="도급내역"/>
      <sheetName val="설비"/>
      <sheetName val="설계서(본관)"/>
      <sheetName val="노임(1차)"/>
      <sheetName val="집계표 "/>
      <sheetName val="예측단가간지"/>
      <sheetName val="직접경비호표"/>
      <sheetName val="웅진교-S2"/>
      <sheetName val="LP-S"/>
      <sheetName val="내역_ver1.0"/>
      <sheetName val="비품"/>
      <sheetName val="표  지"/>
      <sheetName val="골조공사"/>
      <sheetName val="총정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지질조사"/>
      <sheetName val="DATE"/>
      <sheetName val="단가(자재)"/>
      <sheetName val="단가(노임)"/>
      <sheetName val="기초목록"/>
      <sheetName val="총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기조종사 단위단가"/>
      <sheetName val="일위대가표"/>
      <sheetName val="설계총괄표"/>
    </sheetNames>
    <sheetDataSet>
      <sheetData sheetId="0" refreshError="1">
        <row r="6">
          <cell r="B6">
            <v>268</v>
          </cell>
        </row>
      </sheetData>
      <sheetData sheetId="1" refreshError="1"/>
      <sheetData sheetId="2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축제공총괄표"/>
      <sheetName val="축제공집계표"/>
      <sheetName val="호안집계표"/>
      <sheetName val="배수통관총괄표"/>
      <sheetName val="배수문집"/>
      <sheetName val="부체집"/>
      <sheetName val="일위대가표"/>
      <sheetName val="단위수량"/>
      <sheetName val="#REF"/>
      <sheetName val="중기조종사 단위단가"/>
      <sheetName val="Sheet1"/>
      <sheetName val="단가대비표"/>
      <sheetName val="99노임기준"/>
      <sheetName val="일위대가"/>
      <sheetName val="효명0010"/>
      <sheetName val="우수받이"/>
      <sheetName val="DATE"/>
      <sheetName val="철근총괄집계표"/>
      <sheetName val="구조물토공집계"/>
      <sheetName val="조명시설"/>
      <sheetName val="pier-1"/>
      <sheetName val="Sheet1 (2)"/>
      <sheetName val="노무비"/>
      <sheetName val="암거날개벽"/>
      <sheetName val="기본단가표"/>
      <sheetName val="내역서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단가 및 재료비"/>
      <sheetName val="중기사용료산출근거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표지"/>
      <sheetName val="대제목 (수량)"/>
      <sheetName val="깨기집계"/>
      <sheetName val="깨기수량(계남)"/>
      <sheetName val="총괄집계"/>
      <sheetName val="골재집계"/>
      <sheetName val="호안집계(계남제)"/>
      <sheetName val="호안 산출근거(계남제) "/>
      <sheetName val="단위수량(계남제)"/>
      <sheetName val="돌붙임수량"/>
      <sheetName val="연장및면적"/>
      <sheetName val="단위수량"/>
      <sheetName val="돌붙임보호"/>
      <sheetName val="안정검토(온1)"/>
      <sheetName val="단가(자재)"/>
      <sheetName val="단가(노임)"/>
      <sheetName val="기초목록"/>
      <sheetName val="중기조종사 단위단가"/>
      <sheetName val="노무"/>
    </sheetNames>
    <definedNames>
      <definedName name="수식입력매크로"/>
      <definedName name="일위코드입력매크로"/>
      <definedName name="일위화면복귀매크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[수목일위.XLS][수목일위.XLS]el\설계서\수목일위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구조물공수량명세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PACKING LIST"/>
      <sheetName val="DATE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원가계산서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수량집계A"/>
      <sheetName val="철근집계A"/>
      <sheetName val="금액"/>
      <sheetName val="원가서"/>
      <sheetName val="진주방향"/>
      <sheetName val="총괄내역서"/>
      <sheetName val="물가시세"/>
      <sheetName val="일위대가표"/>
      <sheetName val="수량산출서"/>
      <sheetName val="일위대가 "/>
      <sheetName val="한강운반비"/>
      <sheetName val="건축2"/>
      <sheetName val="원가"/>
      <sheetName val="AS포장복구 "/>
      <sheetName val="수목데이타"/>
      <sheetName val="1,2공구원가계산서"/>
      <sheetName val="2공구산출내역"/>
      <sheetName val="1공구산출내역서"/>
      <sheetName val="준검 내역서"/>
      <sheetName val="투찰"/>
      <sheetName val="1차증가원가계산"/>
      <sheetName val="노무"/>
      <sheetName val="가설공사비"/>
      <sheetName val="도로구조공사비"/>
      <sheetName val="도로토공공사비"/>
      <sheetName val="여수토공사비"/>
      <sheetName val="문학간접"/>
      <sheetName val="간접"/>
      <sheetName val="단가대비표"/>
      <sheetName val="Total"/>
      <sheetName val="공사비산출내역"/>
      <sheetName val="기계경비산출기준"/>
      <sheetName val="수량산출"/>
      <sheetName val="연습"/>
      <sheetName val="실행(ALT1)"/>
      <sheetName val="변수값"/>
      <sheetName val="중기상차"/>
      <sheetName val="AS복구"/>
      <sheetName val="중기터파기"/>
      <sheetName val="b_balju_cho"/>
      <sheetName val="내역서"/>
      <sheetName val="견적"/>
      <sheetName val="기준액"/>
      <sheetName val="기초단가"/>
      <sheetName val="별표집계"/>
      <sheetName val="BOJUNGGM"/>
      <sheetName val="실행(표지,갑,을)"/>
      <sheetName val="가시설"/>
      <sheetName val="전차선로 물량표"/>
      <sheetName val="#REF"/>
      <sheetName val="자재"/>
      <sheetName val="공통(20-91)"/>
      <sheetName val="데리네이타현황"/>
      <sheetName val="단위단가"/>
      <sheetName val="장비집계"/>
      <sheetName val="공구원가계산"/>
      <sheetName val="토공"/>
      <sheetName val="조건"/>
      <sheetName val="공사요율산출표"/>
      <sheetName val="제출내역 (2)"/>
      <sheetName val="계정"/>
      <sheetName val="관급자재"/>
      <sheetName val="폐기물"/>
      <sheetName val="관접합및부설"/>
      <sheetName val="단가"/>
      <sheetName val="nys"/>
      <sheetName val="변경내역"/>
      <sheetName val="토공총괄표"/>
      <sheetName val="공사설명서"/>
      <sheetName val="기본단가표"/>
      <sheetName val="계산서(곡선부)"/>
      <sheetName val="포장재료집계표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수목표준대가"/>
      <sheetName val="일위목록"/>
      <sheetName val="공사개요"/>
      <sheetName val="FB25JN"/>
      <sheetName val="2000.11월설계내역"/>
      <sheetName val="2003상반기노임기준"/>
      <sheetName val="자료"/>
      <sheetName val="자재단가조사표-수목"/>
      <sheetName val="기초자료"/>
      <sheetName val="6호기"/>
      <sheetName val="카렌스센터계량기설치공사"/>
      <sheetName val="결재판"/>
      <sheetName val="16-1"/>
      <sheetName val="설계서(본관)"/>
      <sheetName val="시설물일위"/>
      <sheetName val="가설공사"/>
      <sheetName val="단가결정"/>
      <sheetName val="내역아"/>
      <sheetName val="울타리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계획금액"/>
      <sheetName val="을지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장비손료"/>
      <sheetName val="삭제금지단가"/>
      <sheetName val="부대내역"/>
      <sheetName val="중기조종사 단위단가"/>
      <sheetName val="-치수표(곡선부)"/>
      <sheetName val="용역비내역-진짜"/>
      <sheetName val="세부내역"/>
      <sheetName val="원가계산"/>
      <sheetName val="원가계산 (2)"/>
      <sheetName val="버스운행안내"/>
      <sheetName val="근태계획서"/>
      <sheetName val="예방접종계획"/>
      <sheetName val="값"/>
      <sheetName val="설계예산서"/>
      <sheetName val="설명"/>
      <sheetName val="전익자재"/>
      <sheetName val="소비자가"/>
      <sheetName val="70%"/>
      <sheetName val="기초코드"/>
      <sheetName val="2호맨홀공제수량"/>
      <sheetName val="단가산출서"/>
      <sheetName val="전체"/>
      <sheetName val="식재"/>
      <sheetName val="시설물"/>
      <sheetName val="식재출력용"/>
      <sheetName val="유지관리"/>
      <sheetName val="제잡비계산"/>
      <sheetName val="입찰견적보고서"/>
      <sheetName val="일위산출"/>
      <sheetName val="건축"/>
      <sheetName val="이름표지정"/>
      <sheetName val="경영"/>
      <sheetName val="98년"/>
      <sheetName val="실적"/>
      <sheetName val="참조 (2)"/>
      <sheetName val="실행대비"/>
      <sheetName val="금액내역서"/>
      <sheetName val="신청서"/>
      <sheetName val="수목단가"/>
      <sheetName val="시설수량표"/>
      <sheetName val="식재수량표"/>
      <sheetName val="자재단가"/>
      <sheetName val="도급기성"/>
      <sheetName val="코드"/>
      <sheetName val="콘크스"/>
      <sheetName val="산출기초"/>
      <sheetName val="건축-물가변동"/>
      <sheetName val="A-4"/>
      <sheetName val="노임이"/>
      <sheetName val="Recovered_Sheet1"/>
      <sheetName val="수량계표"/>
      <sheetName val="자판실행"/>
      <sheetName val="WORK"/>
      <sheetName val="기초입력 DATA"/>
      <sheetName val="Sheet1 (2)"/>
      <sheetName val="배수장토목공사비"/>
      <sheetName val="증감내역서"/>
      <sheetName val="갈현동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대비표"/>
      <sheetName val="LP-S"/>
      <sheetName val="기준비용"/>
      <sheetName val="월간관리비"/>
      <sheetName val="산출근거"/>
      <sheetName val="재료단가"/>
      <sheetName val="임금단가"/>
      <sheetName val="장비목록표"/>
      <sheetName val="장비운전경비"/>
      <sheetName val="직재"/>
      <sheetName val="재집"/>
      <sheetName val="표지 (2)"/>
      <sheetName val="인건비"/>
      <sheetName val="iec"/>
      <sheetName val="ks"/>
      <sheetName val="DATA"/>
      <sheetName val="선로정수"/>
      <sheetName val="9811"/>
      <sheetName val="기타 정보통신공사"/>
      <sheetName val="골조-APT 갑지"/>
      <sheetName val="구조물5월기성내역"/>
      <sheetName val="전등설비"/>
      <sheetName val="경비"/>
      <sheetName val="중기사용료산출근거"/>
      <sheetName val="단가산출2"/>
      <sheetName val="단가 및 재료비"/>
      <sheetName val="적용공정"/>
      <sheetName val="설계예산"/>
      <sheetName val="정부노임단가"/>
      <sheetName val="토목검측서"/>
      <sheetName val="CON'C"/>
      <sheetName val="가설건물"/>
      <sheetName val="설계"/>
      <sheetName val="제경비적용기준"/>
      <sheetName val="공사자료입력"/>
      <sheetName val="지급자재"/>
      <sheetName val="부대tu"/>
      <sheetName val="팔당터널(1공구)"/>
      <sheetName val="예산내역서"/>
      <sheetName val="총계"/>
      <sheetName val="시멘트"/>
      <sheetName val="터파기및재료"/>
      <sheetName val="목차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기계경비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총괄"/>
      <sheetName val="토사(PE)"/>
      <sheetName val="전기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년도별노임표"/>
      <sheetName val="중기목록표"/>
      <sheetName val="설명서 "/>
      <sheetName val="토목"/>
      <sheetName val="표_재료"/>
      <sheetName val="CC16-내역서"/>
      <sheetName val="1공구원가계산"/>
      <sheetName val="1공구원가계산서"/>
      <sheetName val="골조시행"/>
      <sheetName val="BID"/>
      <sheetName val="입력"/>
      <sheetName val="안내"/>
      <sheetName val="인건비 "/>
      <sheetName val="우수받이"/>
      <sheetName val="참조(2)"/>
      <sheetName val="참조"/>
      <sheetName val="노임,재료비"/>
      <sheetName val="빙장비사양"/>
      <sheetName val="장비사양"/>
      <sheetName val="제경비율"/>
      <sheetName val="FOB발"/>
      <sheetName val="재료값"/>
      <sheetName val="3.바닥판  "/>
      <sheetName val="포장수량단위"/>
      <sheetName val="106C0300"/>
      <sheetName val="소요자재"/>
      <sheetName val="노무산출서"/>
      <sheetName val="결재갑지"/>
      <sheetName val="해외(원화)"/>
      <sheetName val="자재단가2007.10"/>
      <sheetName val="자재단가2008.4"/>
      <sheetName val="경비_원본"/>
      <sheetName val="을-ATYPE"/>
      <sheetName val="설계총괄표"/>
      <sheetName val="판매시설"/>
      <sheetName val="입찰"/>
      <sheetName val="현경"/>
      <sheetName val="CTEMCOST"/>
      <sheetName val="L_RPTB02_01"/>
      <sheetName val="가감수량"/>
      <sheetName val="맨홀수량산출"/>
      <sheetName val="조명시설"/>
      <sheetName val="1안"/>
      <sheetName val="Sheet5"/>
      <sheetName val="공통가설"/>
      <sheetName val="평당공사비산정"/>
      <sheetName val="물가대비표"/>
      <sheetName val="아파트 내역"/>
      <sheetName val="플랜트 설치"/>
      <sheetName val="6-1. 관개량조서"/>
      <sheetName val="기초1"/>
      <sheetName val="토목내역서"/>
      <sheetName val="건축내역서"/>
      <sheetName val="11-2.아파트내역"/>
      <sheetName val="적용기준"/>
      <sheetName val="도급"/>
      <sheetName val="2000년1차"/>
      <sheetName val="2000전체분"/>
      <sheetName val="말고개터널조명전압강하"/>
      <sheetName val="말뚝지지력산정"/>
      <sheetName val="30집계표"/>
      <sheetName val="토목(대안)"/>
      <sheetName val="기계경비(시간당)"/>
      <sheetName val="램머"/>
      <sheetName val="설계명세서"/>
      <sheetName val="토목주소"/>
      <sheetName val="프랜트면허"/>
      <sheetName val="날개벽"/>
      <sheetName val="암거단위"/>
      <sheetName val="횡 연장"/>
      <sheetName val="내역서1999.8최종"/>
      <sheetName val="INDEX  LIST"/>
      <sheetName val="일위"/>
      <sheetName val="노임단가표"/>
      <sheetName val="총괄표"/>
      <sheetName val="토공수량"/>
      <sheetName val="화성태안9공구내역(실행)"/>
      <sheetName val="배수장공사비명세서"/>
      <sheetName val="00노임기준"/>
      <sheetName val="인제내역"/>
      <sheetName val="고유코드_설계"/>
      <sheetName val="설계내역서"/>
      <sheetName val="01"/>
      <sheetName val="장비경비"/>
      <sheetName val="타공종이기"/>
      <sheetName val="표  지"/>
      <sheetName val="산출(부하간선)"/>
      <sheetName val="평가데이터"/>
      <sheetName val="연결임시"/>
      <sheetName val="전기공사"/>
      <sheetName val="공정표"/>
      <sheetName val="LOOKUP"/>
      <sheetName val="화장실"/>
      <sheetName val="산출내역서집계표"/>
      <sheetName val="아파트"/>
      <sheetName val="내역(APT)"/>
      <sheetName val="설계내역"/>
      <sheetName val="세금자료"/>
      <sheetName val="적점"/>
      <sheetName val="구체"/>
      <sheetName val="좌측날개벽"/>
      <sheetName val="우측날개벽"/>
      <sheetName val="맨홀수량집계"/>
      <sheetName val="산출근거(복구)"/>
      <sheetName val="단가표"/>
      <sheetName val="시중노임단가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심사물량"/>
      <sheetName val="심사계산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산근10"/>
      <sheetName val="산근11"/>
      <sheetName val="산근12"/>
      <sheetName val="산근13"/>
      <sheetName val="중기집계"/>
      <sheetName val="참고사항"/>
      <sheetName val="근로자자료입력"/>
      <sheetName val="매채조회"/>
      <sheetName val="실행,원가 최종예상"/>
      <sheetName val="건설기계"/>
      <sheetName val="사급자재"/>
      <sheetName val="공사별 가중치 산출근거(토목)"/>
      <sheetName val="가중치근거(조경)"/>
      <sheetName val="공사별 가중치 산출근거(건축)"/>
      <sheetName val="★도급내역(2공구)"/>
      <sheetName val="밸브설치"/>
      <sheetName val="에너지동"/>
      <sheetName val="지질조사"/>
      <sheetName val="Sheet15"/>
      <sheetName val="화설내"/>
      <sheetName val="철콘"/>
      <sheetName val="케이블트레이"/>
      <sheetName val="내역갑지"/>
      <sheetName val="투자비"/>
      <sheetName val="조성원가DATA"/>
      <sheetName val="사업비"/>
      <sheetName val="원가data"/>
      <sheetName val="JOIN(2span)"/>
      <sheetName val="바닥판"/>
      <sheetName val="주빔의 설계"/>
      <sheetName val="철근량산정및사용성검토"/>
      <sheetName val="입력DATA"/>
      <sheetName val="99노임기준"/>
      <sheetName val="램프"/>
      <sheetName val="단위수량"/>
      <sheetName val="자재 집계표"/>
      <sheetName val="21301동"/>
      <sheetName val="원가계산하도"/>
      <sheetName val="입찰안"/>
      <sheetName val="주공 갑지"/>
      <sheetName val="견적율"/>
      <sheetName val="정화조방수미장"/>
      <sheetName val="1-최종안"/>
      <sheetName val="사업분석-분양가결정"/>
      <sheetName val="1-4-2.관(약)"/>
      <sheetName val="Tool"/>
      <sheetName val="그림"/>
      <sheetName val="상부공철근집계(ABC)"/>
      <sheetName val="협력업체"/>
      <sheetName val="본사공가현황"/>
      <sheetName val="pier(각형)"/>
      <sheetName val="공사비증감"/>
      <sheetName val="BSD (2)"/>
      <sheetName val="2공구하도급내역서"/>
      <sheetName val="조내역"/>
      <sheetName val="내역(전체_금차)"/>
      <sheetName val="제경비_전체"/>
      <sheetName val="제경비_금차준공분"/>
      <sheetName val="COST"/>
      <sheetName val="재료"/>
      <sheetName val="약품설비"/>
      <sheetName val="월별수입"/>
      <sheetName val="AL공사(원)"/>
      <sheetName val="기구조직"/>
      <sheetName val="H-PILE수량집계"/>
      <sheetName val="G.R300경비"/>
      <sheetName val="원가계산서구조조정"/>
      <sheetName val="98수문일위"/>
      <sheetName val="단가목록"/>
      <sheetName val="자재목록"/>
      <sheetName val="노임목록"/>
      <sheetName val="총집계표"/>
      <sheetName val="도로정위치부표"/>
      <sheetName val="DB구축"/>
      <sheetName val="도로조사부표"/>
      <sheetName val="재정비내역"/>
      <sheetName val="입력변수"/>
      <sheetName val="지적고시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6">
          <cell r="E46">
            <v>16300</v>
          </cell>
        </row>
        <row r="99">
          <cell r="E99">
            <v>35900</v>
          </cell>
        </row>
        <row r="104">
          <cell r="E104">
            <v>114000</v>
          </cell>
        </row>
        <row r="658">
          <cell r="E658">
            <v>51060</v>
          </cell>
        </row>
        <row r="659">
          <cell r="E659">
            <v>29933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"/>
      <sheetName val="VXXXX"/>
      <sheetName val="총괄표"/>
      <sheetName val="내역서"/>
      <sheetName val="공간별식재내역"/>
      <sheetName val="단가대비표"/>
      <sheetName val="지급자재"/>
      <sheetName val="수목할증"/>
      <sheetName val="노임단가"/>
      <sheetName val="일위대가목록"/>
      <sheetName val="일위대가"/>
      <sheetName val="수목수량총괄"/>
      <sheetName val="당간지주"/>
      <sheetName val="비료단가"/>
      <sheetName val="공총괄표"/>
      <sheetName val="공내역서"/>
      <sheetName val="견적대비표"/>
      <sheetName val="Sheet11"/>
      <sheetName val="Sheet12"/>
      <sheetName val="Sheet13"/>
      <sheetName val="Sheet14"/>
      <sheetName val="Sheet15"/>
      <sheetName val="Sheet16"/>
      <sheetName val="데이타"/>
      <sheetName val="DATE"/>
      <sheetName val="간지"/>
      <sheetName val="99노임기준"/>
      <sheetName val="안동-영주"/>
      <sheetName val="단위단가"/>
      <sheetName val="일위대가표"/>
      <sheetName val="설계명세서"/>
      <sheetName val="노무비"/>
      <sheetName val="수목표준대가"/>
      <sheetName val="자료입력"/>
      <sheetName val="공구원가계산"/>
      <sheetName val="금액"/>
      <sheetName val="00노임기준"/>
      <sheetName val="공사개요"/>
      <sheetName val="집계표"/>
      <sheetName val="주요자재집계표"/>
      <sheetName val="주요재료집계표"/>
      <sheetName val="토공집계"/>
      <sheetName val="수목"/>
      <sheetName val="시설물"/>
      <sheetName val="포장"/>
      <sheetName val="시설물집계"/>
      <sheetName val="포장집계 "/>
      <sheetName val="공사비예산서(토목분)"/>
      <sheetName val="말뚝지지력산정"/>
      <sheetName val="Sheet1"/>
      <sheetName val="#REF"/>
      <sheetName val="FB25JN"/>
      <sheetName val="을"/>
      <sheetName val="회사기본자료"/>
      <sheetName val="상호참고자료"/>
      <sheetName val="공사기본내용입력"/>
      <sheetName val="발주처자료입력"/>
      <sheetName val="하자보증자료"/>
      <sheetName val="기술자자료입력"/>
      <sheetName val="건축"/>
      <sheetName val="램프"/>
      <sheetName val="기본단가표"/>
      <sheetName val="변수값"/>
      <sheetName val="중기상차"/>
      <sheetName val="AS복구"/>
      <sheetName val="중기터파기"/>
      <sheetName val="전기혼잡제경비(45)"/>
      <sheetName val="부대경비산출서"/>
      <sheetName val="노임"/>
      <sheetName val="인건-측정"/>
      <sheetName val="진주방향"/>
      <sheetName val="일위(토목)"/>
      <sheetName val="6-1. 관개량조서"/>
      <sheetName val="한강운반비"/>
      <sheetName val="터파기및재료"/>
      <sheetName val="용수량(생활용수)"/>
      <sheetName val="품셈"/>
      <sheetName val="전기"/>
      <sheetName val="실행대비"/>
      <sheetName val="미결08"/>
      <sheetName val="총괄내역서"/>
      <sheetName val="분석"/>
      <sheetName val="노무"/>
      <sheetName val="MOTOR"/>
      <sheetName val="Sheet5"/>
      <sheetName val="기계경비"/>
      <sheetName val="식재인부"/>
      <sheetName val="대비"/>
      <sheetName val="포장집계_"/>
      <sheetName val="관접합및부설"/>
      <sheetName val="단가"/>
      <sheetName val="Total"/>
      <sheetName val="단면가정"/>
      <sheetName val="협력업체"/>
      <sheetName val="기계내역"/>
      <sheetName val="Sheet2"/>
      <sheetName val="철거산출근거"/>
      <sheetName val="조명시설"/>
      <sheetName val="기계경비산출기준"/>
      <sheetName val="견적내역서"/>
      <sheetName val="소비자가"/>
      <sheetName val="단가(자재)"/>
      <sheetName val="단가(노임)"/>
      <sheetName val="기초목록"/>
      <sheetName val="물가대비표"/>
      <sheetName val="plan&amp;section of foundation"/>
      <sheetName val="design criteria"/>
      <sheetName val="예산내역서"/>
      <sheetName val="설계예산서"/>
      <sheetName val="총계"/>
      <sheetName val="Y-WORK"/>
      <sheetName val="일위산출"/>
      <sheetName val="2003상반기노임기준"/>
      <sheetName val="장비집계"/>
      <sheetName val="차액보증"/>
      <sheetName val="매입세율"/>
      <sheetName val="장비종합부표"/>
      <sheetName val="집계표_식재"/>
      <sheetName val="부표"/>
      <sheetName val="6호기"/>
      <sheetName val="H-pile(298x299)"/>
      <sheetName val="H-pile(250x250)"/>
      <sheetName val="고유코드_설계"/>
      <sheetName val="지질조사"/>
      <sheetName val="BOJUNGGM"/>
      <sheetName val="Customer Databas"/>
      <sheetName val="EKOG10건축"/>
      <sheetName val="DATA"/>
      <sheetName val="전체"/>
      <sheetName val="45,46"/>
      <sheetName val="교각계산"/>
      <sheetName val="제경비율"/>
      <sheetName val="중기조종사 단위단가"/>
      <sheetName val="갑지(추정)"/>
      <sheetName val="설계내역"/>
      <sheetName val="BSD (2)"/>
      <sheetName val="목록"/>
      <sheetName val="Macro3"/>
      <sheetName val="설계명세1-1"/>
      <sheetName val="수목단가"/>
      <sheetName val="시설수량표"/>
      <sheetName val="식재수량표"/>
      <sheetName val="자재단가"/>
      <sheetName val="예산명세서"/>
      <sheetName val="Macro"/>
      <sheetName val="Taux"/>
      <sheetName val="인건비"/>
      <sheetName val="전차선로 물량표"/>
      <sheetName val="자재"/>
      <sheetName val="공사요율산출표"/>
      <sheetName val="견적단가"/>
      <sheetName val="기초공"/>
      <sheetName val="기둥(원형)"/>
      <sheetName val="개별직종노임단가(2003.9)"/>
      <sheetName val="우수받이"/>
      <sheetName val="계산서(곡선부)"/>
      <sheetName val="-치수표(곡선부)"/>
      <sheetName val="2000전체분"/>
      <sheetName val="2000년1차"/>
      <sheetName val="금액내역서"/>
      <sheetName val="교각1"/>
      <sheetName val="unit"/>
      <sheetName val="신우"/>
      <sheetName val="Apt내역"/>
      <sheetName val="BID"/>
      <sheetName val="JUCKEYK"/>
      <sheetName val="부대시설"/>
      <sheetName val="1차 내역서"/>
      <sheetName val="7월11일"/>
      <sheetName val="매립"/>
      <sheetName val="일위"/>
      <sheetName val="단"/>
      <sheetName val="수수료율표"/>
      <sheetName val="공주-교대(A1)"/>
      <sheetName val="crude.SLAB RE-bar"/>
      <sheetName val="실행내역서 "/>
      <sheetName val="3.내역서"/>
      <sheetName val="원가"/>
      <sheetName val="hvac(제어동)"/>
      <sheetName val="기초일위"/>
      <sheetName val="가시설흙막이"/>
      <sheetName val="제직재"/>
      <sheetName val="설직재-1"/>
      <sheetName val="제-노임"/>
      <sheetName val="건축내역"/>
      <sheetName val="재료"/>
      <sheetName val="물량표S"/>
      <sheetName val="연결임시"/>
      <sheetName val="평가데이터"/>
      <sheetName val="원가계산서"/>
      <sheetName val="ABUT수량-A1"/>
      <sheetName val="danga"/>
      <sheetName val="ilch"/>
      <sheetName val="청천내"/>
      <sheetName val="중기사용료산출근거"/>
      <sheetName val="단가 및 재료비"/>
      <sheetName val="콘크리트타설입력"/>
      <sheetName val="레미콘입고현황"/>
      <sheetName val="견적갑지"/>
      <sheetName val="재노경"/>
      <sheetName val="실행(ALT1)"/>
      <sheetName val="01"/>
      <sheetName val="2002상반기노임기준"/>
      <sheetName val="시중노임단가"/>
      <sheetName val="21301동"/>
      <sheetName val="가공비"/>
      <sheetName val="1차네트공정"/>
      <sheetName val="일위대가 "/>
      <sheetName val="98지급계획"/>
      <sheetName val="계정"/>
      <sheetName val="공내역"/>
      <sheetName val="기초입력 DATA"/>
      <sheetName val="방수"/>
      <sheetName val="공량산출서"/>
      <sheetName val="증감내역서"/>
      <sheetName val="입찰견적보고서"/>
      <sheetName val="세부내역"/>
      <sheetName val="DATA1"/>
      <sheetName val="용역비내역-진짜"/>
      <sheetName val="관로토공"/>
      <sheetName val="단면 (2)"/>
      <sheetName val="wall"/>
      <sheetName val="소상 &quot;1&quot;"/>
      <sheetName val="SEV sub-total"/>
      <sheetName val="설비"/>
      <sheetName val="수량산출서"/>
      <sheetName val="자료"/>
      <sheetName val="투찰"/>
      <sheetName val="대치판정"/>
      <sheetName val="b_balju_cho"/>
      <sheetName val="토목"/>
      <sheetName val="약품공급2"/>
      <sheetName val="평당공사비산정"/>
      <sheetName val="수안보-MBR1"/>
      <sheetName val="INPUT"/>
      <sheetName val="tggwan(mac)"/>
      <sheetName val="각종단가"/>
      <sheetName val="화성태안9공구내역(실행)"/>
      <sheetName val="무전표"/>
      <sheetName val="기술자관련자료"/>
      <sheetName val="견적"/>
      <sheetName val="월별수입"/>
      <sheetName val="명세서"/>
      <sheetName val="토공"/>
      <sheetName val="nys"/>
      <sheetName val="대로근거"/>
      <sheetName val="중로근거"/>
      <sheetName val="공사원가계산서 "/>
      <sheetName val="기초단가"/>
      <sheetName val="산출근거#2-4(MONORAIL)"/>
      <sheetName val="가설식당"/>
      <sheetName val="SULKEA"/>
      <sheetName val="일위대가(가설)"/>
      <sheetName val="산출"/>
      <sheetName val="포장복구집계"/>
      <sheetName val="토목검측서"/>
      <sheetName val="XXXXXX"/>
      <sheetName val="설계내역서"/>
      <sheetName val="Macro1"/>
      <sheetName val="매입세"/>
      <sheetName val="공사개요 (2)"/>
      <sheetName val="수량산출"/>
      <sheetName val="______"/>
      <sheetName val="건축공사실행"/>
      <sheetName val="현장관리비 산출내역"/>
      <sheetName val="조건"/>
      <sheetName val="200"/>
      <sheetName val="SLAB&quot;1&quot;"/>
      <sheetName val="총괄-1"/>
      <sheetName val="2공구산출내역"/>
      <sheetName val="20관리비율"/>
      <sheetName val="개요입력"/>
      <sheetName val="수량기준"/>
      <sheetName val="단가기준"/>
      <sheetName val="요율"/>
      <sheetName val="설명"/>
      <sheetName val="값"/>
      <sheetName val="하도급원가계산총괄표(식재)"/>
      <sheetName val="EQ"/>
      <sheetName val="Sheet3"/>
      <sheetName val="용수지선토적"/>
      <sheetName val="도로토적"/>
      <sheetName val="DATA 입력란"/>
      <sheetName val="1. 설계조건 2.단면가정 3. 하중계산"/>
      <sheetName val="CTEMCOST"/>
      <sheetName val="표지"/>
      <sheetName val="공정표"/>
      <sheetName val="1.설계조건"/>
      <sheetName val="기계경비(시간당)"/>
      <sheetName val="램머"/>
      <sheetName val="교통대책내역"/>
      <sheetName val="총괄내역"/>
      <sheetName val="저장품"/>
      <sheetName val="시산표"/>
      <sheetName val="정의"/>
      <sheetName val="Item Code"/>
      <sheetName val="분양원가"/>
      <sheetName val="경비"/>
      <sheetName val="노임9월"/>
      <sheetName val="manpower(전체)"/>
      <sheetName val="입력"/>
      <sheetName val="Type(123)"/>
      <sheetName val="내역_FILE"/>
      <sheetName val="Sheet1 (2)"/>
      <sheetName val="수리결과"/>
      <sheetName val="3련 BOX"/>
      <sheetName val="하수급견적대비"/>
      <sheetName val="전체도급"/>
      <sheetName val="ITEM"/>
      <sheetName val="철콘"/>
      <sheetName val="마포토정"/>
      <sheetName val="동문건설"/>
      <sheetName val="산출내역서집계표"/>
      <sheetName val="분개장"/>
      <sheetName val="공사비산출내역"/>
      <sheetName val="인사자료총집계"/>
      <sheetName val="노무비단가"/>
      <sheetName val="건축내역서"/>
      <sheetName val="설비내역서"/>
      <sheetName val="전기내역서"/>
      <sheetName val="A"/>
      <sheetName val="계산근거"/>
      <sheetName val="C1"/>
      <sheetName val="단중표"/>
      <sheetName val="계약서"/>
      <sheetName val="토공(우물통,기타) "/>
      <sheetName val="날1"/>
      <sheetName val="을지총괄"/>
      <sheetName val="실행철강하도"/>
      <sheetName val="E.P.T수량산출서"/>
      <sheetName val="원형맨홀수량"/>
      <sheetName val="표지 (2)"/>
      <sheetName val="개략"/>
      <sheetName val="우각부보강"/>
      <sheetName val="Macro(전선)"/>
      <sheetName val="1,2공구원가계산서"/>
      <sheetName val="1공구산출내역서"/>
      <sheetName val="공수"/>
      <sheetName val="산근"/>
      <sheetName val="포장재료집계표"/>
      <sheetName val="을지"/>
      <sheetName val="1.우편집중내역서"/>
      <sheetName val="세금자료"/>
      <sheetName val="플랜트 설치"/>
      <sheetName val="Sheet1(X)"/>
      <sheetName val="내역"/>
      <sheetName val="설계기준"/>
      <sheetName val="내역1"/>
      <sheetName val="조명율표"/>
      <sheetName val="정부노임단가"/>
      <sheetName val="제잡비.xls"/>
      <sheetName val="4.중기단가산출"/>
      <sheetName val="1.물가시세표"/>
      <sheetName val="투자비"/>
      <sheetName val="조성원가DATA"/>
      <sheetName val="사업비"/>
      <sheetName val="3도로"/>
      <sheetName val="단가및재료비"/>
      <sheetName val="중기사용료"/>
      <sheetName val="▶산출목록"/>
      <sheetName val="노임단가(2010.상)"/>
      <sheetName val="도급"/>
      <sheetName val="공사비 증감 내역서"/>
      <sheetName val="돌담교 상부수량"/>
      <sheetName val="기슭막이(야면석찰쌓기)"/>
      <sheetName val="단위수량"/>
      <sheetName val="6PILE  (돌출)"/>
      <sheetName val="일위대가(계측기설치)"/>
      <sheetName val="경산"/>
      <sheetName val="Sheet2 (2)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대총괄"/>
      <sheetName val="시설물기초"/>
      <sheetName val="인건비 "/>
      <sheetName val="토사(PE)"/>
      <sheetName val="EACT10"/>
      <sheetName val="제경비요율"/>
      <sheetName val="단가산출서"/>
      <sheetName val="참고사항"/>
      <sheetName val="근로자자료입력"/>
      <sheetName val="내역갑지"/>
      <sheetName val="일위목록"/>
      <sheetName val="법면단"/>
      <sheetName val="배수장토목공사비"/>
      <sheetName val="품셈 "/>
      <sheetName val="PAINT"/>
      <sheetName val="방화도료"/>
      <sheetName val="물가시세"/>
      <sheetName val="guard(mac)"/>
      <sheetName val="6-2. 기계경비산출"/>
      <sheetName val="7.단가비교표"/>
      <sheetName val="노무비 근거"/>
      <sheetName val="5-2.일위대가"/>
      <sheetName val="정공공사"/>
      <sheetName val="매출현황"/>
      <sheetName val="중동상가"/>
      <sheetName val="과천MAIN"/>
      <sheetName val="직노"/>
      <sheetName val="공사통보서"/>
      <sheetName val="경영"/>
      <sheetName val="98년"/>
      <sheetName val="실적"/>
      <sheetName val="입출재고현황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복정동근생"/>
      <sheetName val="집계표"/>
      <sheetName val="내역서"/>
    </sheetNames>
    <sheetDataSet>
      <sheetData sheetId="0"/>
      <sheetData sheetId="1"/>
      <sheetData sheetId="2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설계내역서"/>
      <sheetName val="내역서적용수량"/>
      <sheetName val="일위대가표"/>
      <sheetName val="데이타"/>
      <sheetName val="DATE"/>
      <sheetName val="원"/>
      <sheetName val="실행내역서"/>
      <sheetName val="직접경비"/>
      <sheetName val="직접인건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단가"/>
      <sheetName val="XXXXXX"/>
      <sheetName val="VXXX"/>
      <sheetName val="진짜내역"/>
      <sheetName val="총괄"/>
      <sheetName val="집계"/>
      <sheetName val="내역"/>
      <sheetName val="공량집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전시원"/>
      <sheetName val="전시내"/>
      <sheetName val="Sheet1"/>
      <sheetName val="Sheet2"/>
      <sheetName val="Sheet3"/>
      <sheetName val="표"/>
      <sheetName val="목"/>
      <sheetName val="설"/>
      <sheetName val="일"/>
      <sheetName val="일집표"/>
      <sheetName val="일위표"/>
      <sheetName val="수표"/>
      <sheetName val="원가"/>
      <sheetName val="집계표"/>
      <sheetName val="내역서(내부)"/>
      <sheetName val="내역서"/>
      <sheetName val="일위대가"/>
      <sheetName val="단가산출서"/>
      <sheetName val="중기사용료"/>
      <sheetName val="재료단가"/>
      <sheetName val="노임단가"/>
      <sheetName val="총경기장별내역서(10-11)"/>
      <sheetName val="경기장별내역서(12-107)"/>
      <sheetName val="일위대가목록"/>
      <sheetName val="한강운반비"/>
      <sheetName val="1차 내역서"/>
      <sheetName val="공통(20-91)"/>
      <sheetName val="토목공사일반"/>
      <sheetName val="사당"/>
      <sheetName val="차액보증"/>
      <sheetName val="계양가시설"/>
      <sheetName val="부대공"/>
      <sheetName val="포장공"/>
      <sheetName val="토공"/>
      <sheetName val="입찰안"/>
      <sheetName val="백암비스타내역"/>
      <sheetName val="을"/>
      <sheetName val="현장"/>
      <sheetName val="2공구산출내역"/>
      <sheetName val="내역서2안"/>
      <sheetName val="품셈TABLE"/>
      <sheetName val="JUCK"/>
      <sheetName val="노무"/>
      <sheetName val="물가"/>
      <sheetName val="원가 (2)"/>
      <sheetName val="직재"/>
      <sheetName val="#REF"/>
      <sheetName val="6PILE  (돌출)"/>
      <sheetName val="일위대가(4층원격)"/>
      <sheetName val="철거산출근거"/>
      <sheetName val="견적서"/>
      <sheetName val="J直材4"/>
      <sheetName val="단가조사"/>
      <sheetName val="기초내역서"/>
      <sheetName val="수량산출"/>
      <sheetName val="대가목록표"/>
      <sheetName val="설계서(표지)"/>
      <sheetName val="원가계산서"/>
      <sheetName val="98지급계획"/>
      <sheetName val="공통가설"/>
      <sheetName val="공사현황"/>
      <sheetName val="추가대화"/>
      <sheetName val="금액내역서"/>
      <sheetName val="소방사항"/>
      <sheetName val="교통대책내역"/>
      <sheetName val="중기조종사 단위단가"/>
      <sheetName val="DATE"/>
      <sheetName val="산출근거"/>
      <sheetName val="평가데이터"/>
      <sheetName val="인건-측정"/>
      <sheetName val="부재리스트"/>
      <sheetName val="파일의이용"/>
      <sheetName val="BID"/>
      <sheetName val="내역서(설비+소방)"/>
      <sheetName val="실행내역"/>
      <sheetName val="전체"/>
      <sheetName val="골조시행"/>
      <sheetName val="첨부1"/>
      <sheetName val="감가상각"/>
      <sheetName val="Sheet4"/>
      <sheetName val="설계내역서"/>
      <sheetName val="Sheet5"/>
      <sheetName val="자재단가리스트"/>
      <sheetName val="패널"/>
      <sheetName val="요율"/>
      <sheetName val="현장경비"/>
      <sheetName val="사급자재(1단계)"/>
      <sheetName val="2공구하도급내역서"/>
      <sheetName val="자  재"/>
      <sheetName val="건축외주"/>
      <sheetName val="공사개요"/>
      <sheetName val="LP-S"/>
      <sheetName val="데이타"/>
      <sheetName val="2000.11월설계내역"/>
      <sheetName val="원가계산서 "/>
      <sheetName val="관급자재"/>
      <sheetName val="갑지(추정)"/>
      <sheetName val="초기화면"/>
      <sheetName val="날개벽"/>
      <sheetName val="대상공사(조달청)"/>
      <sheetName val="자료(통합)"/>
      <sheetName val="N賃率-職"/>
      <sheetName val="TANK견적대지"/>
      <sheetName val="도급FORM"/>
      <sheetName val="아파트 내역"/>
      <sheetName val="공사예산하조서(O.K)"/>
      <sheetName val="노무비"/>
      <sheetName val="기계경비(시간당)"/>
      <sheetName val="램머"/>
      <sheetName val="설계명세서 (장비)"/>
      <sheetName val="시설장비부하계산서"/>
      <sheetName val="CT "/>
      <sheetName val="일위"/>
      <sheetName val="기본일위"/>
      <sheetName val="별표"/>
      <sheetName val="KIM"/>
      <sheetName val="인테리어내역"/>
      <sheetName val="내역서총집계표"/>
      <sheetName val="건축원가"/>
      <sheetName val="NEGO"/>
      <sheetName val="BCK3672"/>
      <sheetName val="토목"/>
      <sheetName val="홍보비디오"/>
      <sheetName val="Book4"/>
      <sheetName val=" HIT-&gt;HMC 견적(3900)"/>
      <sheetName val="I一般比"/>
      <sheetName val="설직재-1"/>
      <sheetName val="2F 회의실견적(5_14 일대)"/>
      <sheetName val="工완성공사율"/>
      <sheetName val="2006년일위대가"/>
      <sheetName val="토사(PE)"/>
      <sheetName val="Total"/>
      <sheetName val="ELECTRIC"/>
      <sheetName val="실행"/>
      <sheetName val="104동"/>
      <sheetName val="20관리비율"/>
      <sheetName val="단가기준"/>
      <sheetName val="저"/>
      <sheetName val="설계명세서"/>
      <sheetName val="자료입력"/>
      <sheetName val="간접"/>
      <sheetName val="개요"/>
      <sheetName val="명세서"/>
      <sheetName val="직접경비"/>
      <sheetName val="직접인건비"/>
      <sheetName val="청천내"/>
      <sheetName val="내역서적용수량"/>
      <sheetName val="기둥(원형)"/>
      <sheetName val="기초공"/>
      <sheetName val="1.설계기준"/>
      <sheetName val="99노임기준"/>
      <sheetName val="건축공사 분괴표원본데이터(공통+건축)"/>
      <sheetName val="구천"/>
      <sheetName val="연결관암거"/>
      <sheetName val="70%"/>
      <sheetName val="일위대가표"/>
      <sheetName val="제품별단가"/>
      <sheetName val="제품별절단길이-0628"/>
      <sheetName val="동수"/>
      <sheetName val="계수시트"/>
      <sheetName val="A LINE"/>
      <sheetName val="준검 내역서"/>
      <sheetName val="연습"/>
      <sheetName val="주소"/>
      <sheetName val="원가_(2)"/>
      <sheetName val="1차_내역서"/>
      <sheetName val="6PILE__(돌출)"/>
      <sheetName val="평내중"/>
      <sheetName val="총괄내역"/>
      <sheetName val="외삼초"/>
      <sheetName val="서울대규장각(가시설흙막이)"/>
      <sheetName val="일위목록-기"/>
      <sheetName val="전선 및 전선관"/>
      <sheetName val="증감대비"/>
      <sheetName val="내역서1999.8최종"/>
      <sheetName val="단가 (2)"/>
      <sheetName val="2003 일위대가"/>
      <sheetName val="변수값"/>
      <sheetName val="중기상차"/>
      <sheetName val="AS복구"/>
      <sheetName val="중기터파기"/>
      <sheetName val="직접수량"/>
      <sheetName val="16-1"/>
      <sheetName val="전체도급"/>
      <sheetName val="사업부배부A"/>
      <sheetName val="건축내역(진해석동)"/>
      <sheetName val="누계12"/>
      <sheetName val="6호기"/>
      <sheetName val="총괄내역서"/>
      <sheetName val="도급견적가"/>
      <sheetName val="pier(각형)"/>
      <sheetName val="총괄표"/>
      <sheetName val="자판실행"/>
      <sheetName val="설계명세서(a"/>
      <sheetName val="실행철강하도"/>
      <sheetName val="말뚝물량"/>
      <sheetName val="COST"/>
      <sheetName val="단가 "/>
      <sheetName val="수목표준대가"/>
      <sheetName val="수목데이타 "/>
      <sheetName val="급수 (LPM)"/>
      <sheetName val="국별인원"/>
      <sheetName val="현금"/>
      <sheetName val="CP-E2 (품셈표)"/>
      <sheetName val="A-4"/>
      <sheetName val="공통가설공사"/>
      <sheetName val="MIJIBI"/>
      <sheetName val="갑지"/>
      <sheetName val="프랜트면허"/>
      <sheetName val="재공품기초자료"/>
      <sheetName val="제직재"/>
      <sheetName val="구조대가"/>
      <sheetName val="포설대가1"/>
      <sheetName val="부대대가"/>
      <sheetName val="중강당 내역"/>
      <sheetName val="공통비(전체)"/>
      <sheetName val="공사내역"/>
      <sheetName val="일용직내역"/>
      <sheetName val="합천내역"/>
      <sheetName val="전차선로 물량표"/>
      <sheetName val="工관리비율"/>
      <sheetName val="정부노임단가"/>
      <sheetName val="입력"/>
      <sheetName val="재료비"/>
      <sheetName val="공통(Ȳ_x0000__xd800_䧶_x0000__x0000_"/>
      <sheetName val="FB25JN"/>
      <sheetName val="예산명세서"/>
      <sheetName val="인사자료총집계"/>
      <sheetName val="주식"/>
      <sheetName val="공사기본내용입력"/>
      <sheetName val="실행내역서"/>
      <sheetName val="전기혼잡제경비(45)"/>
      <sheetName val="도급예산내역서봉투"/>
      <sheetName val="공사원가계산서"/>
      <sheetName val="설계산출기초"/>
      <sheetName val="설계산출표지"/>
      <sheetName val="도급예산내역서총괄표"/>
      <sheetName val="을부담운반비"/>
      <sheetName val="운반비산출"/>
      <sheetName val="연부97-1"/>
      <sheetName val="갑지1"/>
      <sheetName val="기존단가 (2)"/>
      <sheetName val="전력"/>
      <sheetName val="수목데이타"/>
      <sheetName val="6.일위목록"/>
      <sheetName val="시설물기초"/>
      <sheetName val="부대내역"/>
      <sheetName val="자재표"/>
      <sheetName val="공구"/>
      <sheetName val="노임이"/>
      <sheetName val="유림골조"/>
      <sheetName val="비교1"/>
      <sheetName val="TRU"/>
      <sheetName val="단"/>
      <sheetName val="토적표"/>
      <sheetName val="원가계산"/>
      <sheetName val="원가계산 (2)"/>
      <sheetName val="내   역"/>
      <sheetName val="PAC"/>
      <sheetName val="기본자료"/>
      <sheetName val="DATA"/>
      <sheetName val="납부서"/>
      <sheetName val="외주비"/>
      <sheetName val="소각장스케줄"/>
      <sheetName val="구리토평1전기"/>
      <sheetName val="덕전리"/>
      <sheetName val="fursys"/>
      <sheetName val="동원인원"/>
      <sheetName val="유기공정"/>
      <sheetName val="1차설계변경내역"/>
      <sheetName val="단가및재료비"/>
      <sheetName val="단중표"/>
      <sheetName val="Tool"/>
      <sheetName val="신규DEP"/>
      <sheetName val="가로등내역서"/>
      <sheetName val="전기변내역"/>
      <sheetName val="공통(Ȳ"/>
      <sheetName val="SW개발대상목록(기능점수)"/>
      <sheetName val="지하"/>
      <sheetName val="1000 DB구축 부표"/>
      <sheetName val="설계서"/>
      <sheetName val="경영"/>
      <sheetName val="98년"/>
      <sheetName val="실적"/>
      <sheetName val="일위_파일"/>
      <sheetName val="토공사(흙막이)"/>
      <sheetName val="제-노임"/>
      <sheetName val="기초자료입력"/>
      <sheetName val="1안"/>
      <sheetName val="중기조종사_단위단가"/>
      <sheetName val="아파트_내역"/>
      <sheetName val="99총공사내역서"/>
      <sheetName val="이름정의"/>
      <sheetName val="식재일위대가"/>
      <sheetName val="기초일위대가"/>
      <sheetName val="단가대비표"/>
      <sheetName val="기초단가"/>
      <sheetName val="CODE(2)"/>
      <sheetName val="소방"/>
      <sheetName val="원가+내역"/>
      <sheetName val="소비자가"/>
      <sheetName val="식재인부"/>
      <sheetName val="INPUT"/>
      <sheetName val="2)관접합"/>
      <sheetName val="중기사용료산출근거"/>
      <sheetName val="단가산출2"/>
      <sheetName val="단가 및 재료비"/>
      <sheetName val="일반공사"/>
      <sheetName val="실행대비"/>
      <sheetName val="3.공통공사대비"/>
      <sheetName val="입찰"/>
      <sheetName val="현경"/>
      <sheetName val="설계변경총괄표(계산식)"/>
      <sheetName val="대비표(토공1안)"/>
      <sheetName val="Sheet6"/>
      <sheetName val="설계"/>
      <sheetName val="시중노임단가"/>
      <sheetName val="총물량"/>
      <sheetName val="용수간선"/>
      <sheetName val="표지"/>
      <sheetName val="설명서 "/>
      <sheetName val="해평견적"/>
      <sheetName val="견적"/>
      <sheetName val="건축내역"/>
      <sheetName val="SUMMARY"/>
      <sheetName val="PAINT"/>
      <sheetName val="03전반노무비"/>
      <sheetName val="도봉2지구"/>
      <sheetName val="증감내역서"/>
      <sheetName val="FOB발"/>
      <sheetName val="터파기및재료"/>
      <sheetName val="현장관리비"/>
      <sheetName val="부대공Ⅱ"/>
      <sheetName val="시화점실행"/>
      <sheetName val="기초입력 DATA"/>
      <sheetName val="부하계산서"/>
      <sheetName val="관접합및부설"/>
      <sheetName val="운반비"/>
      <sheetName val="설계예산서"/>
      <sheetName val="일위(설)"/>
      <sheetName val="출자한도"/>
      <sheetName val="전기"/>
      <sheetName val="Sheet1 (2)"/>
      <sheetName val="5사남"/>
      <sheetName val="RE9604"/>
      <sheetName val="현장관리"/>
      <sheetName val="대비2"/>
      <sheetName val="분양가"/>
      <sheetName val="2.대외공문"/>
      <sheetName val="TEL"/>
      <sheetName val="부대대비"/>
      <sheetName val="냉연집계"/>
      <sheetName val="10월"/>
      <sheetName val="업체별기성내역"/>
      <sheetName val="단가산출"/>
      <sheetName val="목록"/>
      <sheetName val="¿øº¸"/>
      <sheetName val="Á¦¿ø"/>
      <sheetName val="ÀçÁý"/>
      <sheetName val="Àç"/>
      <sheetName val="°£Àç"/>
      <sheetName val="³ëÁý"/>
      <sheetName val="Á÷³ë"/>
      <sheetName val="³ë°ø"/>
      <sheetName val="ÀÓÀ²"/>
      <sheetName val="°£³ëºñ"/>
      <sheetName val="°æ»ê"/>
      <sheetName val="ÁøÂ¥³»¿ª"/>
      <sheetName val="´Ü°¡"/>
      <sheetName val="ÃÑ°ý"/>
      <sheetName val="Áý°è"/>
      <sheetName val="³»¿ª"/>
      <sheetName val="°ø·®Áý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ü½Ã¿ø"/>
      <sheetName val="Àü½Ã³»"/>
      <sheetName val="Ç¥"/>
      <sheetName val="¸ñ"/>
      <sheetName val="¼³"/>
      <sheetName val="ÀÏ"/>
      <sheetName val="ÀÏÁýÇ¥"/>
      <sheetName val="ÀÏÀ§Ç¥"/>
      <sheetName val="¼öÇ¥"/>
      <sheetName val="¿ø°¡"/>
      <sheetName val="Áý°èÇ¥"/>
      <sheetName val="³»¿ª¼­(³»ºÎ)"/>
      <sheetName val="³»¿ª¼­"/>
      <sheetName val="ÀÏÀ§´ë°¡"/>
      <sheetName val="´Ü°¡»êÃâ¼­"/>
      <sheetName val="Áß±â»ç¿ë·á"/>
      <sheetName val="Àç·á´Ü°¡"/>
      <sheetName val="³ëÀÓ´Ü°¡"/>
      <sheetName val="ÃÑ°æ±âÀåº°³»¿ª¼­(10-11)"/>
      <sheetName val="°æ±âÀåº°³»¿ª¼­(12-107)"/>
      <sheetName val="1Â÷ ³»¿ª¼­"/>
      <sheetName val="ÀÏÀ§´ë°¡¸ñ·Ï"/>
      <sheetName val="ÇÑ°­¿î¹Ýºñ"/>
      <sheetName val="°øÅë(20-91)"/>
      <sheetName val="»ç´ç"/>
      <sheetName val="À»"/>
      <sheetName val="ÀÔÂû¾È"/>
      <sheetName val="¹é¾Ïºñ½ºÅ¸³»¿ª"/>
      <sheetName val="98Áö±Þ°èÈ¹"/>
      <sheetName val="¿ø°¡ (2)"/>
      <sheetName val="¹°°¡"/>
      <sheetName val="Á÷Àç"/>
      <sheetName val="6PILE  (µ¹Ãâ)"/>
      <sheetName val="ÀÏÀ§´ë°¡(4Ãþ¿ø°Ý)"/>
      <sheetName val="Â÷¾×º¸Áõ"/>
      <sheetName val="Ã¶°Å»êÃâ±Ù°Å"/>
      <sheetName val="ºÎ´ë°ø"/>
      <sheetName val="Æ÷Àå°ø"/>
      <sheetName val="Åä°ø"/>
      <sheetName val="°ßÀû¼­"/>
      <sheetName val="JòÁî§4"/>
      <sheetName val="±âÃÊ³»¿ª¼­"/>
      <sheetName val="¼ö·®»êÃâ"/>
      <sheetName val="´ë°¡¸ñ·ÏÇ¥"/>
      <sheetName val="ÇöÀå"/>
      <sheetName val="2°ø±¸»êÃâ³»¿ª"/>
      <sheetName val="³»¿ª¼­2¾È"/>
      <sheetName val="Ç°¼ÀTABLE"/>
      <sheetName val="Åä¸ñ°ø»çÀÏ¹Ý"/>
      <sheetName val="Ãß°¡´ëÈ­"/>
      <sheetName val="°øÅë°¡¼³"/>
      <sheetName val="¼³°è¼­(Ç¥Áö)"/>
      <sheetName val="¿ø°¡°è»ê¼­"/>
      <sheetName val="°ø»çÇöÈ²"/>
      <sheetName val="´Ü°¡Á¶»ç"/>
      <sheetName val="±Ý¾×³»¿ª¼­"/>
      <sheetName val="¼Ò¹æ»çÇ×"/>
      <sheetName val="±³Åë´ëÃ¥³»¿ª"/>
      <sheetName val="»êÃâ±Ù°Å"/>
      <sheetName val="ÀÚÀç´Ü°¡¸®½ºÆ®"/>
      <sheetName val="ÆÐ³Î"/>
      <sheetName val="°è¾ç°¡½Ã¼³"/>
      <sheetName val="³ë¹«"/>
      <sheetName val="°ø»ç°³¿ä"/>
      <sheetName val="½ÇÇà³»¿ª"/>
      <sheetName val="NìüëÒ-òÅ"/>
      <sheetName val="Æò°¡µ¥ÀÌÅÍ"/>
      <sheetName val="µµ±ÞFORM"/>
      <sheetName val="¾ÆÆÄÆ® ³»¿ª"/>
      <sheetName val="ÃÊ±âÈ­¸é"/>
      <sheetName val="°ü±ÞÀÚÀç"/>
      <sheetName val="TANK°ßÀû´ëÁö"/>
      <sheetName val="ÀÎ°Ç-ÃøÁ¤"/>
      <sheetName val="´ë»ó°ø»ç(Á¶´ÞÃ»)"/>
      <sheetName val="ÀÚ·á(ÅëÇÕ)"/>
      <sheetName val="ÀÏÀ§"/>
      <sheetName val="°ø»ç¿¹»êÇÏÁ¶¼­(O.K)"/>
      <sheetName val="³ë¹«ºñ"/>
      <sheetName val="±â°è°æºñ(½Ã°£´ç)"/>
      <sheetName val="·¥¸Ó"/>
      <sheetName val="ÆÄÀÏÀÇÀÌ¿ë"/>
      <sheetName val="¼³°è¸í¼¼¼­ (Àåºñ)"/>
      <sheetName val="±âº»ÀÏÀ§"/>
      <sheetName val="³»¿ª¼­(¼³ºñ+¼Ò¹æ)"/>
      <sheetName val="ÀüÃ¼"/>
      <sheetName val="°ñÁ¶½ÃÇà"/>
      <sheetName val="Ã·ºÎ1"/>
      <sheetName val="ºÎÀç¸®½ºÆ®"/>
      <sheetName val="º°Ç¥"/>
      <sheetName val="¼³°è³»¿ª¼­"/>
      <sheetName val="2°ø±¸ÇÏµµ±Þ³»¿ª¼­"/>
      <sheetName val="°ÇÃà¿ø°¡"/>
      <sheetName val="³»¿ª¼­ÃÑÁý°èÇ¥"/>
      <sheetName val="ÀÎÅ×¸®¾î³»¿ª"/>
      <sheetName val="°©Áö(ÃßÁ¤)"/>
      <sheetName val="Åä¸ñ"/>
      <sheetName val="ÇöÀå°æºñ"/>
      <sheetName val="Áß±âÁ¶Á¾»ç ´ÜÀ§´Ü°¡"/>
      <sheetName val="¿äÀ²"/>
      <sheetName val="2000.11¿ù¼³°è³»¿ª"/>
      <sheetName val="ÀÚ  Àç"/>
      <sheetName val="°ÇÃà¿ÜÁÖ"/>
      <sheetName val="½Ã¼³ÀåºñºÎÇÏ°è»ê¼­"/>
      <sheetName val="°¨°¡»ó°¢"/>
      <sheetName val="Åä»ç(PE)"/>
      <sheetName val="³¯°³º®"/>
      <sheetName val="약품공급2"/>
      <sheetName val="스텐문틀설치"/>
      <sheetName val="샌딩 에폭시 도장"/>
      <sheetName val="물가자료"/>
      <sheetName val="세금자료"/>
      <sheetName val="60명당사(총괄)"/>
      <sheetName val="손익분석"/>
      <sheetName val="자재대"/>
      <sheetName val="구간별현황"/>
      <sheetName val="기성청구서"/>
      <sheetName val="001"/>
      <sheetName val="견적내역"/>
      <sheetName val="ABUT수량-A1"/>
      <sheetName val="AIR SHOWER(3인용)"/>
      <sheetName val="Y-WORK"/>
      <sheetName val="공수"/>
      <sheetName val="산근"/>
      <sheetName val="PSCbeam설계"/>
      <sheetName val="업무"/>
      <sheetName val="명세"/>
      <sheetName val="외주"/>
      <sheetName val="호표"/>
      <sheetName val="도로정위치부표"/>
      <sheetName val="도로조사부표"/>
      <sheetName val="대표자"/>
      <sheetName val="1456"/>
      <sheetName val="단가_(2)"/>
      <sheetName val="자__재"/>
      <sheetName val="2000_11월설계내역"/>
      <sheetName val="CT_"/>
      <sheetName val="공사예산하조서(O_K)"/>
      <sheetName val="설계명세서_(장비)"/>
      <sheetName val="_HIT-&gt;HMC_견적(3900)"/>
      <sheetName val="2F_회의실견적(5_14_일대)"/>
      <sheetName val="원가계산서_"/>
      <sheetName val="단가_"/>
      <sheetName val="수목데이타_"/>
      <sheetName val="1_설계기준"/>
      <sheetName val="급수_(LPM)"/>
      <sheetName val="일위대가표(유단가)"/>
      <sheetName val="참조"/>
      <sheetName val="감리원배치기준"/>
      <sheetName val="책임감리공제요율"/>
      <sheetName val="등급별 배치기준"/>
      <sheetName val="건축설계 대가요율"/>
      <sheetName val="경율산정"/>
      <sheetName val="공사명입력"/>
      <sheetName val="근로자자료입력"/>
      <sheetName val="참고자료"/>
      <sheetName val="분전함신설"/>
      <sheetName val="접지1종"/>
      <sheetName val="시멘트"/>
      <sheetName val="우수받이"/>
      <sheetName val="부안일위"/>
      <sheetName val="값"/>
      <sheetName val="노무비단가"/>
      <sheetName val="총차분(토목)"/>
      <sheetName val="간접비계산"/>
      <sheetName val="입력데이타"/>
      <sheetName val="대가단최종"/>
      <sheetName val="산출내역서"/>
      <sheetName val="한일양산"/>
      <sheetName val="단가산출목록표"/>
      <sheetName val="토목공사"/>
      <sheetName val="정산서 "/>
      <sheetName val="지질조사분석"/>
      <sheetName val="코드표"/>
      <sheetName val="1회 기성내역서"/>
      <sheetName val="범례표"/>
      <sheetName val="산식3"/>
      <sheetName val="1"/>
      <sheetName val="2"/>
      <sheetName val="3"/>
      <sheetName val="4"/>
      <sheetName val="5"/>
      <sheetName val="6"/>
      <sheetName val="설계내역"/>
      <sheetName val="data table"/>
      <sheetName val="공량산출서"/>
      <sheetName val="200"/>
      <sheetName val="열린교실"/>
      <sheetName val="b_balju"/>
      <sheetName val="실행보고서갑지"/>
      <sheetName val="공통(Ȳ?_xd800_䧶??"/>
      <sheetName val="BOX전기내역"/>
      <sheetName val="6-1. 관개량조서"/>
      <sheetName val="DATA1"/>
      <sheetName val="물가대비표"/>
      <sheetName val="용역비내역-진짜"/>
      <sheetName val="자재단가"/>
      <sheetName val="조건표"/>
      <sheetName val="Base"/>
      <sheetName val="wall"/>
      <sheetName val="데리네이타현황"/>
      <sheetName val="빙축열"/>
      <sheetName val="집수정단위수량 "/>
      <sheetName val="기본단가표"/>
      <sheetName val="수금예정"/>
      <sheetName val="database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일위목록"/>
      <sheetName val="산출기준자료"/>
      <sheetName val="7단가"/>
      <sheetName val="EQ-R1"/>
      <sheetName val="공조기"/>
      <sheetName val="02하반기노임"/>
      <sheetName val="변수"/>
      <sheetName val="조경"/>
      <sheetName val="유지관리비등"/>
      <sheetName val="Sens&amp;Anal"/>
      <sheetName val="IS&lt;양식27&gt;"/>
      <sheetName val="총투자비산정"/>
      <sheetName val="심사물량"/>
      <sheetName val="setup"/>
      <sheetName val="가격"/>
      <sheetName val="1.1서버도입"/>
      <sheetName val="대치판정"/>
      <sheetName val="Mc1"/>
      <sheetName val="산출내역서집계표"/>
      <sheetName val="A 견적"/>
      <sheetName val="단가산출서 (2)"/>
      <sheetName val="98NS-N"/>
      <sheetName val="공비대비"/>
      <sheetName val="본체"/>
      <sheetName val="기본자료입력"/>
      <sheetName val="기본사항"/>
      <sheetName val="특수선일위대가"/>
      <sheetName val="JUCKEYK"/>
      <sheetName val="1TYPE"/>
      <sheetName val="사통"/>
      <sheetName val="6PILE__(돌출)1"/>
      <sheetName val="1차_내역서1"/>
      <sheetName val="원가_(2)1"/>
      <sheetName val="아파트_내역1"/>
      <sheetName val="단가_(2)1"/>
      <sheetName val="자__재1"/>
      <sheetName val="중기조종사_단위단가1"/>
      <sheetName val="2000_11월설계내역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 refreshError="1"/>
      <sheetData sheetId="595" refreshError="1"/>
      <sheetData sheetId="596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  <sheetName val="Sheet1"/>
      <sheetName val="Sheet2"/>
      <sheetName val="Sheet3"/>
      <sheetName val="경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01"/>
      <sheetName val="기계경비(시간당)"/>
      <sheetName val="램머"/>
      <sheetName val="경산"/>
      <sheetName val="원가계산서"/>
      <sheetName val="설비"/>
      <sheetName val="효성CB 1P기초"/>
      <sheetName val="노임단가"/>
      <sheetName val="노무"/>
      <sheetName val="총괄내역서"/>
      <sheetName val="공구원가계산"/>
      <sheetName val="토사(PE)"/>
      <sheetName val="공종목록표"/>
      <sheetName val="파일의이용"/>
      <sheetName val="기성내역서표지"/>
      <sheetName val="변경내역서간지"/>
      <sheetName val="부대집계"/>
      <sheetName val="일위대가"/>
      <sheetName val="조명시설"/>
      <sheetName val="일위대가표"/>
      <sheetName val="수량집계"/>
      <sheetName val="내역서"/>
      <sheetName val="골조시행"/>
      <sheetName val="원가계산서 "/>
      <sheetName val="공종단가"/>
      <sheetName val="database"/>
      <sheetName val="유용일"/>
      <sheetName val="설계내역서"/>
      <sheetName val="효성CB_1P기초"/>
      <sheetName val="효성CB_1P기초1"/>
      <sheetName val="단가 (2)"/>
      <sheetName val="광양방향"/>
      <sheetName val="자재대"/>
      <sheetName val="공사요율산출표"/>
      <sheetName val="청천내"/>
      <sheetName val="Sheet1"/>
      <sheetName val="범례표"/>
      <sheetName val="초기화면"/>
      <sheetName val="이름정의"/>
      <sheetName val="현장소운반"/>
      <sheetName val="관구보호몰탈"/>
      <sheetName val="토목검측서"/>
      <sheetName val="DATE"/>
      <sheetName val="15 문제점"/>
      <sheetName val="공통비총괄표"/>
      <sheetName val="공사원가계산서"/>
      <sheetName val="도급예산내역서총괄표"/>
      <sheetName val="데이타"/>
      <sheetName val="총괄표"/>
      <sheetName val="평가데이터"/>
      <sheetName val="일위대가목록"/>
      <sheetName val="공구"/>
      <sheetName val="설계명세서"/>
      <sheetName val="자료입력"/>
      <sheetName val="일위단위"/>
      <sheetName val="노임"/>
      <sheetName val="산출금액내역"/>
      <sheetName val="예산명세서"/>
      <sheetName val="용수량(생활용수)"/>
      <sheetName val="정산서"/>
      <sheetName val="보호"/>
      <sheetName val="2003상반기노임기준"/>
      <sheetName val="실행내역서"/>
      <sheetName val="직재"/>
      <sheetName val="중강당 내역"/>
      <sheetName val="Baby일위대가"/>
    </sheetNames>
    <sheetDataSet>
      <sheetData sheetId="0" refreshError="1">
        <row r="6">
          <cell r="A6" t="str">
            <v>2 . 포   장   공</v>
          </cell>
          <cell r="C6">
            <v>1</v>
          </cell>
          <cell r="D6" t="str">
            <v>식</v>
          </cell>
          <cell r="F6">
            <v>3428460</v>
          </cell>
          <cell r="H6">
            <v>14662810</v>
          </cell>
          <cell r="J6">
            <v>784145</v>
          </cell>
          <cell r="K6">
            <v>18875415</v>
          </cell>
        </row>
        <row r="7">
          <cell r="A7" t="str">
            <v>3 . 부   설   공</v>
          </cell>
          <cell r="C7">
            <v>1</v>
          </cell>
          <cell r="D7" t="str">
            <v>식</v>
          </cell>
          <cell r="F7">
            <v>1517065</v>
          </cell>
          <cell r="H7">
            <v>44681923</v>
          </cell>
          <cell r="J7">
            <v>1191944</v>
          </cell>
          <cell r="K7">
            <v>47390932</v>
          </cell>
        </row>
        <row r="8">
          <cell r="A8" t="str">
            <v>4 . 부   대   공</v>
          </cell>
          <cell r="C8">
            <v>1</v>
          </cell>
          <cell r="D8" t="str">
            <v>식</v>
          </cell>
          <cell r="F8">
            <v>10188123</v>
          </cell>
          <cell r="H8">
            <v>7352814</v>
          </cell>
          <cell r="J8">
            <v>14889575</v>
          </cell>
          <cell r="K8">
            <v>32430512</v>
          </cell>
        </row>
        <row r="9">
          <cell r="A9" t="str">
            <v>계</v>
          </cell>
          <cell r="F9">
            <v>17966172</v>
          </cell>
          <cell r="H9">
            <v>343311748</v>
          </cell>
          <cell r="J9">
            <v>23834383</v>
          </cell>
          <cell r="K9">
            <v>385112303</v>
          </cell>
        </row>
        <row r="10">
          <cell r="A10" t="str">
            <v>5 . 간접 노무비</v>
          </cell>
          <cell r="C10">
            <v>1</v>
          </cell>
          <cell r="D10" t="str">
            <v>식</v>
          </cell>
          <cell r="K10">
            <v>48060000</v>
          </cell>
        </row>
        <row r="11">
          <cell r="A11" t="str">
            <v>6 . 산재 보험료</v>
          </cell>
          <cell r="C11">
            <v>1</v>
          </cell>
          <cell r="D11" t="str">
            <v>식</v>
          </cell>
          <cell r="K11">
            <v>0</v>
          </cell>
        </row>
        <row r="12">
          <cell r="A12" t="str">
            <v>7 . 안전 관리비</v>
          </cell>
          <cell r="C12">
            <v>1</v>
          </cell>
          <cell r="D12" t="str">
            <v>식</v>
          </cell>
          <cell r="K12">
            <v>0</v>
          </cell>
        </row>
        <row r="13">
          <cell r="A13" t="str">
            <v>8 . 기 타 경 비</v>
          </cell>
          <cell r="C13">
            <v>1</v>
          </cell>
          <cell r="D13" t="str">
            <v>식</v>
          </cell>
          <cell r="K13">
            <v>14730000</v>
          </cell>
        </row>
        <row r="14">
          <cell r="A14" t="str">
            <v xml:space="preserve">   순 공 사 비</v>
          </cell>
          <cell r="K14">
            <v>447902303</v>
          </cell>
        </row>
        <row r="15">
          <cell r="A15" t="str">
            <v>9 . 일반 관리비</v>
          </cell>
          <cell r="C15">
            <v>1</v>
          </cell>
          <cell r="D15" t="str">
            <v>식</v>
          </cell>
          <cell r="K15">
            <v>24630000</v>
          </cell>
        </row>
        <row r="16">
          <cell r="A16" t="str">
            <v>10. 이       윤</v>
          </cell>
          <cell r="C16">
            <v>1</v>
          </cell>
          <cell r="D16" t="str">
            <v>식</v>
          </cell>
          <cell r="K16">
            <v>68146709.649999991</v>
          </cell>
        </row>
        <row r="17">
          <cell r="A17" t="str">
            <v>11. 사급 자재비</v>
          </cell>
          <cell r="C17">
            <v>1</v>
          </cell>
          <cell r="D17" t="str">
            <v>식</v>
          </cell>
          <cell r="K17">
            <v>4956951</v>
          </cell>
        </row>
        <row r="18">
          <cell r="A18" t="str">
            <v xml:space="preserve">   공 급 가 액</v>
          </cell>
          <cell r="K18">
            <v>545635963.64999998</v>
          </cell>
        </row>
        <row r="19">
          <cell r="A19" t="str">
            <v>12. 부가 가치세</v>
          </cell>
          <cell r="C19">
            <v>1</v>
          </cell>
          <cell r="D19" t="str">
            <v>식</v>
          </cell>
          <cell r="K19">
            <v>54563597</v>
          </cell>
        </row>
        <row r="20">
          <cell r="A20" t="str">
            <v>13.폐기물처리비</v>
          </cell>
          <cell r="C20">
            <v>1</v>
          </cell>
          <cell r="D20" t="str">
            <v>식</v>
          </cell>
          <cell r="K20">
            <v>5956800</v>
          </cell>
        </row>
        <row r="21">
          <cell r="A21" t="str">
            <v>도   급   비</v>
          </cell>
          <cell r="K21">
            <v>606156360.64999998</v>
          </cell>
        </row>
        <row r="22">
          <cell r="A22" t="str">
            <v>14.관급 자재비</v>
          </cell>
          <cell r="C22">
            <v>1</v>
          </cell>
          <cell r="D22" t="str">
            <v>식</v>
          </cell>
          <cell r="K22">
            <v>46500000</v>
          </cell>
        </row>
        <row r="23">
          <cell r="A23" t="str">
            <v>15.도로 복구비</v>
          </cell>
          <cell r="C23">
            <v>1</v>
          </cell>
          <cell r="D23" t="str">
            <v>식</v>
          </cell>
          <cell r="K23">
            <v>46500000</v>
          </cell>
        </row>
        <row r="24">
          <cell r="A24" t="str">
            <v>16.기타 이설비</v>
          </cell>
          <cell r="C24">
            <v>1</v>
          </cell>
          <cell r="D24" t="str">
            <v>식</v>
          </cell>
          <cell r="K24">
            <v>46500000</v>
          </cell>
        </row>
        <row r="25">
          <cell r="A25" t="str">
            <v>총 공 사 비</v>
          </cell>
          <cell r="K25">
            <v>652656360.64999998</v>
          </cell>
        </row>
        <row r="26">
          <cell r="E26" t="str">
            <v>내          역          서</v>
          </cell>
        </row>
        <row r="27">
          <cell r="A27" t="str">
            <v>1. 토      공</v>
          </cell>
        </row>
        <row r="28">
          <cell r="A28" t="str">
            <v>ASP 포장자르기</v>
          </cell>
          <cell r="B28" t="str">
            <v>기  계</v>
          </cell>
          <cell r="C28">
            <v>380</v>
          </cell>
          <cell r="D28" t="str">
            <v>M</v>
          </cell>
          <cell r="E28">
            <v>386</v>
          </cell>
          <cell r="F28">
            <v>146680</v>
          </cell>
          <cell r="G28">
            <v>707</v>
          </cell>
          <cell r="H28">
            <v>268660</v>
          </cell>
          <cell r="I28">
            <v>116</v>
          </cell>
          <cell r="J28">
            <v>44080</v>
          </cell>
          <cell r="K28">
            <v>459420</v>
          </cell>
        </row>
        <row r="29">
          <cell r="A29" t="str">
            <v>CON 포장자르기</v>
          </cell>
          <cell r="B29" t="str">
            <v>기  계</v>
          </cell>
          <cell r="C29">
            <v>1200</v>
          </cell>
          <cell r="D29" t="str">
            <v>M</v>
          </cell>
          <cell r="E29">
            <v>406</v>
          </cell>
          <cell r="F29">
            <v>487200</v>
          </cell>
          <cell r="G29">
            <v>732</v>
          </cell>
          <cell r="H29">
            <v>878400</v>
          </cell>
          <cell r="I29">
            <v>117</v>
          </cell>
          <cell r="J29">
            <v>140400</v>
          </cell>
          <cell r="K29">
            <v>1506000</v>
          </cell>
        </row>
        <row r="30">
          <cell r="A30" t="str">
            <v>ASP 포장 깨기</v>
          </cell>
          <cell r="B30" t="str">
            <v>인  력</v>
          </cell>
          <cell r="C30">
            <v>30</v>
          </cell>
          <cell r="D30" t="str">
            <v>M^3</v>
          </cell>
          <cell r="F30">
            <v>0</v>
          </cell>
          <cell r="G30">
            <v>75354</v>
          </cell>
          <cell r="H30">
            <v>2260620</v>
          </cell>
          <cell r="I30">
            <v>3768</v>
          </cell>
          <cell r="J30">
            <v>113040</v>
          </cell>
          <cell r="K30">
            <v>2373660</v>
          </cell>
        </row>
        <row r="31">
          <cell r="A31" t="str">
            <v>ASP 포장 깨기</v>
          </cell>
          <cell r="B31" t="str">
            <v>핸드브레카</v>
          </cell>
          <cell r="C31">
            <v>0</v>
          </cell>
          <cell r="D31" t="str">
            <v>M^3</v>
          </cell>
          <cell r="E31">
            <v>450</v>
          </cell>
          <cell r="F31">
            <v>0</v>
          </cell>
          <cell r="G31">
            <v>7100</v>
          </cell>
          <cell r="H31">
            <v>0</v>
          </cell>
          <cell r="I31">
            <v>2500</v>
          </cell>
          <cell r="J31">
            <v>0</v>
          </cell>
          <cell r="K31">
            <v>0</v>
          </cell>
        </row>
        <row r="32">
          <cell r="A32" t="str">
            <v>ASP 포장 깨기</v>
          </cell>
          <cell r="B32" t="str">
            <v>B.H0.2</v>
          </cell>
          <cell r="C32">
            <v>0</v>
          </cell>
          <cell r="D32" t="str">
            <v>M^3</v>
          </cell>
          <cell r="E32">
            <v>450</v>
          </cell>
          <cell r="F32">
            <v>0</v>
          </cell>
          <cell r="G32">
            <v>7100</v>
          </cell>
          <cell r="H32">
            <v>0</v>
          </cell>
          <cell r="I32">
            <v>2500</v>
          </cell>
          <cell r="J32">
            <v>0</v>
          </cell>
          <cell r="K32">
            <v>0</v>
          </cell>
        </row>
        <row r="33">
          <cell r="A33" t="str">
            <v>ASP 포장 깨기</v>
          </cell>
          <cell r="B33" t="str">
            <v>B.H0.4</v>
          </cell>
          <cell r="C33">
            <v>0</v>
          </cell>
          <cell r="D33" t="str">
            <v>M^3</v>
          </cell>
          <cell r="E33">
            <v>450</v>
          </cell>
          <cell r="F33">
            <v>0</v>
          </cell>
          <cell r="G33">
            <v>7100</v>
          </cell>
          <cell r="H33">
            <v>0</v>
          </cell>
          <cell r="I33">
            <v>2500</v>
          </cell>
          <cell r="J33">
            <v>0</v>
          </cell>
          <cell r="K33">
            <v>0</v>
          </cell>
        </row>
        <row r="34">
          <cell r="A34" t="str">
            <v>CON 포장깨기</v>
          </cell>
          <cell r="B34" t="str">
            <v>인  력</v>
          </cell>
          <cell r="C34">
            <v>120</v>
          </cell>
          <cell r="D34" t="str">
            <v>M^3</v>
          </cell>
          <cell r="F34">
            <v>0</v>
          </cell>
          <cell r="G34">
            <v>89235</v>
          </cell>
          <cell r="H34">
            <v>10708200</v>
          </cell>
          <cell r="I34">
            <v>4462</v>
          </cell>
          <cell r="J34">
            <v>535440</v>
          </cell>
          <cell r="K34">
            <v>11243640</v>
          </cell>
        </row>
        <row r="35">
          <cell r="A35" t="str">
            <v>CON 포장깨기</v>
          </cell>
          <cell r="B35" t="str">
            <v>핸드브레카</v>
          </cell>
          <cell r="C35">
            <v>0</v>
          </cell>
          <cell r="D35" t="str">
            <v>M^3</v>
          </cell>
          <cell r="E35">
            <v>530</v>
          </cell>
          <cell r="F35">
            <v>0</v>
          </cell>
          <cell r="G35">
            <v>8400</v>
          </cell>
          <cell r="H35">
            <v>0</v>
          </cell>
          <cell r="I35">
            <v>2900</v>
          </cell>
          <cell r="J35">
            <v>0</v>
          </cell>
          <cell r="K35">
            <v>0</v>
          </cell>
        </row>
        <row r="36">
          <cell r="A36" t="str">
            <v>CON 포장깨기</v>
          </cell>
          <cell r="B36" t="str">
            <v>B.H0.2</v>
          </cell>
          <cell r="C36">
            <v>0</v>
          </cell>
          <cell r="D36" t="str">
            <v>M^3</v>
          </cell>
          <cell r="E36">
            <v>530</v>
          </cell>
          <cell r="F36">
            <v>0</v>
          </cell>
          <cell r="G36">
            <v>8400</v>
          </cell>
          <cell r="H36">
            <v>0</v>
          </cell>
          <cell r="I36">
            <v>2900</v>
          </cell>
          <cell r="J36">
            <v>0</v>
          </cell>
          <cell r="K36">
            <v>0</v>
          </cell>
        </row>
        <row r="37">
          <cell r="A37" t="str">
            <v>CON 포장깨기</v>
          </cell>
          <cell r="B37" t="str">
            <v>B.H0.4</v>
          </cell>
          <cell r="C37">
            <v>0</v>
          </cell>
          <cell r="D37" t="str">
            <v>M^3</v>
          </cell>
          <cell r="E37">
            <v>530</v>
          </cell>
          <cell r="F37">
            <v>0</v>
          </cell>
          <cell r="G37">
            <v>8400</v>
          </cell>
          <cell r="H37">
            <v>0</v>
          </cell>
          <cell r="I37">
            <v>2900</v>
          </cell>
          <cell r="J37">
            <v>0</v>
          </cell>
          <cell r="K37">
            <v>0</v>
          </cell>
        </row>
        <row r="38">
          <cell r="A38" t="str">
            <v>인력 터파기(0 ~ 1)</v>
          </cell>
          <cell r="B38" t="str">
            <v>보통토사</v>
          </cell>
          <cell r="C38">
            <v>810</v>
          </cell>
          <cell r="D38" t="str">
            <v>M^3</v>
          </cell>
          <cell r="E38">
            <v>0</v>
          </cell>
          <cell r="F38">
            <v>0</v>
          </cell>
          <cell r="G38">
            <v>9559.5</v>
          </cell>
          <cell r="H38">
            <v>7743195</v>
          </cell>
          <cell r="I38">
            <v>0</v>
          </cell>
          <cell r="J38">
            <v>0</v>
          </cell>
          <cell r="K38">
            <v>7743195</v>
          </cell>
        </row>
        <row r="39">
          <cell r="A39" t="str">
            <v>인력 터파기(0 ~ 1)</v>
          </cell>
          <cell r="B39" t="str">
            <v>견질토사</v>
          </cell>
          <cell r="C39">
            <v>810</v>
          </cell>
          <cell r="D39" t="str">
            <v>M^3</v>
          </cell>
          <cell r="E39">
            <v>0</v>
          </cell>
          <cell r="F39">
            <v>0</v>
          </cell>
          <cell r="G39">
            <v>12427.5</v>
          </cell>
          <cell r="H39">
            <v>10066275</v>
          </cell>
          <cell r="I39">
            <v>0</v>
          </cell>
          <cell r="J39">
            <v>0</v>
          </cell>
          <cell r="K39">
            <v>10066275</v>
          </cell>
        </row>
        <row r="40">
          <cell r="A40" t="str">
            <v>인력 터파기(0 ~ 1)</v>
          </cell>
          <cell r="B40" t="str">
            <v>자갈섞임</v>
          </cell>
          <cell r="C40">
            <v>810</v>
          </cell>
          <cell r="D40" t="str">
            <v>M^3</v>
          </cell>
          <cell r="E40">
            <v>0</v>
          </cell>
          <cell r="F40">
            <v>0</v>
          </cell>
          <cell r="G40">
            <v>15295.5</v>
          </cell>
          <cell r="H40">
            <v>12389355</v>
          </cell>
          <cell r="I40">
            <v>0</v>
          </cell>
          <cell r="J40">
            <v>0</v>
          </cell>
          <cell r="K40">
            <v>12389355</v>
          </cell>
        </row>
        <row r="41">
          <cell r="A41" t="str">
            <v>인력 터파기(0 ~ 1)</v>
          </cell>
          <cell r="B41" t="str">
            <v>호박돌섞임</v>
          </cell>
          <cell r="C41">
            <v>810</v>
          </cell>
          <cell r="D41" t="str">
            <v>M^3</v>
          </cell>
          <cell r="E41">
            <v>0</v>
          </cell>
          <cell r="F41">
            <v>0</v>
          </cell>
          <cell r="G41">
            <v>27244.5</v>
          </cell>
          <cell r="H41">
            <v>22068045</v>
          </cell>
          <cell r="I41">
            <v>0</v>
          </cell>
          <cell r="J41">
            <v>0</v>
          </cell>
          <cell r="K41">
            <v>22068045</v>
          </cell>
        </row>
        <row r="42">
          <cell r="A42" t="str">
            <v>인력 터파기(0 ~ 1)</v>
          </cell>
          <cell r="B42" t="str">
            <v>연암</v>
          </cell>
          <cell r="C42">
            <v>10</v>
          </cell>
          <cell r="D42" t="str">
            <v>M^3</v>
          </cell>
          <cell r="E42">
            <v>0</v>
          </cell>
          <cell r="F42">
            <v>0</v>
          </cell>
          <cell r="G42">
            <v>201510</v>
          </cell>
          <cell r="H42">
            <v>2015100</v>
          </cell>
          <cell r="I42">
            <v>0</v>
          </cell>
          <cell r="J42">
            <v>0</v>
          </cell>
          <cell r="K42">
            <v>2015100</v>
          </cell>
        </row>
        <row r="43">
          <cell r="A43" t="str">
            <v>인력 터파기(0 ~ 1)</v>
          </cell>
          <cell r="B43" t="str">
            <v>보통암</v>
          </cell>
          <cell r="C43">
            <v>10</v>
          </cell>
          <cell r="D43" t="str">
            <v>M^3</v>
          </cell>
          <cell r="E43">
            <v>0</v>
          </cell>
          <cell r="F43">
            <v>0</v>
          </cell>
          <cell r="G43">
            <v>302266.5</v>
          </cell>
          <cell r="H43">
            <v>3022665</v>
          </cell>
          <cell r="I43">
            <v>0</v>
          </cell>
          <cell r="J43">
            <v>0</v>
          </cell>
          <cell r="K43">
            <v>3022665</v>
          </cell>
        </row>
        <row r="44">
          <cell r="A44" t="str">
            <v>인력 터파기(1 ~ 2)</v>
          </cell>
          <cell r="B44" t="str">
            <v>보통토사</v>
          </cell>
          <cell r="C44">
            <v>810</v>
          </cell>
          <cell r="D44" t="str">
            <v>M^3</v>
          </cell>
          <cell r="E44">
            <v>0</v>
          </cell>
          <cell r="F44">
            <v>0</v>
          </cell>
          <cell r="G44">
            <v>12904.5</v>
          </cell>
          <cell r="H44">
            <v>10452645</v>
          </cell>
          <cell r="I44">
            <v>0</v>
          </cell>
          <cell r="J44">
            <v>0</v>
          </cell>
          <cell r="K44">
            <v>10452645</v>
          </cell>
        </row>
        <row r="45">
          <cell r="A45" t="str">
            <v>인력 터파기(1 ~ 2)</v>
          </cell>
          <cell r="B45" t="str">
            <v>견질토사</v>
          </cell>
          <cell r="C45">
            <v>810</v>
          </cell>
          <cell r="D45" t="str">
            <v>M^3</v>
          </cell>
          <cell r="E45">
            <v>0</v>
          </cell>
          <cell r="F45">
            <v>0</v>
          </cell>
          <cell r="G45">
            <v>16729.5</v>
          </cell>
          <cell r="H45">
            <v>13550895</v>
          </cell>
          <cell r="I45">
            <v>0</v>
          </cell>
          <cell r="J45">
            <v>0</v>
          </cell>
          <cell r="K45">
            <v>13550895</v>
          </cell>
        </row>
        <row r="46">
          <cell r="A46" t="str">
            <v>인력 터파기(1 ~ 2)</v>
          </cell>
          <cell r="B46" t="str">
            <v>자갈섞임</v>
          </cell>
          <cell r="C46">
            <v>810</v>
          </cell>
          <cell r="D46" t="str">
            <v>M^3</v>
          </cell>
          <cell r="E46">
            <v>0</v>
          </cell>
          <cell r="F46">
            <v>0</v>
          </cell>
          <cell r="G46">
            <v>20553</v>
          </cell>
          <cell r="H46">
            <v>16647930</v>
          </cell>
          <cell r="I46">
            <v>0</v>
          </cell>
          <cell r="J46">
            <v>0</v>
          </cell>
          <cell r="K46">
            <v>16647930</v>
          </cell>
        </row>
        <row r="47">
          <cell r="A47" t="str">
            <v>인력 터파기(1 ~ 2)</v>
          </cell>
          <cell r="B47" t="str">
            <v>호박돌섞임</v>
          </cell>
          <cell r="C47">
            <v>810</v>
          </cell>
          <cell r="D47" t="str">
            <v>M^3</v>
          </cell>
          <cell r="E47">
            <v>0</v>
          </cell>
          <cell r="F47">
            <v>0</v>
          </cell>
          <cell r="G47">
            <v>36804</v>
          </cell>
          <cell r="H47">
            <v>29811240</v>
          </cell>
          <cell r="I47">
            <v>0</v>
          </cell>
          <cell r="J47">
            <v>0</v>
          </cell>
          <cell r="K47">
            <v>29811240</v>
          </cell>
        </row>
        <row r="48">
          <cell r="A48" t="str">
            <v>인력 터파기(1 ~ 2)</v>
          </cell>
          <cell r="B48" t="str">
            <v>연암</v>
          </cell>
          <cell r="C48">
            <v>10</v>
          </cell>
          <cell r="D48" t="str">
            <v>M^3</v>
          </cell>
          <cell r="E48">
            <v>0</v>
          </cell>
          <cell r="F48">
            <v>0</v>
          </cell>
          <cell r="G48">
            <v>226699</v>
          </cell>
          <cell r="H48">
            <v>2266990</v>
          </cell>
          <cell r="I48">
            <v>0</v>
          </cell>
          <cell r="J48">
            <v>0</v>
          </cell>
          <cell r="K48">
            <v>2266990</v>
          </cell>
        </row>
        <row r="49">
          <cell r="A49" t="str">
            <v>인력 터파기(1 ~ 2)</v>
          </cell>
          <cell r="B49" t="str">
            <v>보통암</v>
          </cell>
          <cell r="C49">
            <v>10</v>
          </cell>
          <cell r="D49" t="str">
            <v>M^3</v>
          </cell>
          <cell r="E49">
            <v>0</v>
          </cell>
          <cell r="F49">
            <v>0</v>
          </cell>
          <cell r="G49">
            <v>327454</v>
          </cell>
          <cell r="H49">
            <v>3274540</v>
          </cell>
          <cell r="I49">
            <v>0</v>
          </cell>
          <cell r="J49">
            <v>0</v>
          </cell>
          <cell r="K49">
            <v>3274540</v>
          </cell>
        </row>
        <row r="50">
          <cell r="A50" t="str">
            <v>인력 터파기(2 ~ 3)</v>
          </cell>
          <cell r="B50" t="str">
            <v>보통토사</v>
          </cell>
          <cell r="C50">
            <v>810</v>
          </cell>
          <cell r="D50" t="str">
            <v>M^3</v>
          </cell>
          <cell r="E50">
            <v>0</v>
          </cell>
          <cell r="F50">
            <v>0</v>
          </cell>
          <cell r="G50">
            <v>16251</v>
          </cell>
          <cell r="H50">
            <v>13163310</v>
          </cell>
          <cell r="I50">
            <v>0</v>
          </cell>
          <cell r="J50">
            <v>0</v>
          </cell>
          <cell r="K50">
            <v>13163310</v>
          </cell>
        </row>
        <row r="51">
          <cell r="A51" t="str">
            <v>인력 터파기(2 ~ 3)</v>
          </cell>
          <cell r="B51" t="str">
            <v>견질토사</v>
          </cell>
          <cell r="C51">
            <v>810</v>
          </cell>
          <cell r="D51" t="str">
            <v>M^3</v>
          </cell>
          <cell r="E51">
            <v>0</v>
          </cell>
          <cell r="F51">
            <v>0</v>
          </cell>
          <cell r="G51">
            <v>21031</v>
          </cell>
          <cell r="H51">
            <v>17035110</v>
          </cell>
          <cell r="I51">
            <v>0</v>
          </cell>
          <cell r="J51">
            <v>0</v>
          </cell>
          <cell r="K51">
            <v>17035110</v>
          </cell>
        </row>
        <row r="52">
          <cell r="A52" t="str">
            <v>인력 터파기(2 ~ 3)</v>
          </cell>
          <cell r="B52" t="str">
            <v>자갈섞임</v>
          </cell>
          <cell r="C52">
            <v>810</v>
          </cell>
          <cell r="D52" t="str">
            <v>M^3</v>
          </cell>
          <cell r="E52">
            <v>0</v>
          </cell>
          <cell r="F52">
            <v>0</v>
          </cell>
          <cell r="G52">
            <v>25810</v>
          </cell>
          <cell r="H52">
            <v>20906100</v>
          </cell>
          <cell r="I52">
            <v>0</v>
          </cell>
          <cell r="J52">
            <v>0</v>
          </cell>
          <cell r="K52">
            <v>20906100</v>
          </cell>
        </row>
        <row r="53">
          <cell r="A53" t="str">
            <v>인력 터파기(2 ~ 3)</v>
          </cell>
          <cell r="B53" t="str">
            <v>호박돌섞임</v>
          </cell>
          <cell r="C53">
            <v>810</v>
          </cell>
          <cell r="D53" t="str">
            <v>M^3</v>
          </cell>
          <cell r="E53">
            <v>0</v>
          </cell>
          <cell r="F53">
            <v>0</v>
          </cell>
          <cell r="G53">
            <v>46365</v>
          </cell>
          <cell r="H53">
            <v>37555650</v>
          </cell>
          <cell r="I53">
            <v>0</v>
          </cell>
          <cell r="J53">
            <v>0</v>
          </cell>
          <cell r="K53">
            <v>37555650</v>
          </cell>
        </row>
        <row r="54">
          <cell r="A54" t="str">
            <v>인력 터파기(2 ~ 3)</v>
          </cell>
          <cell r="B54" t="str">
            <v>연암</v>
          </cell>
          <cell r="C54">
            <v>10</v>
          </cell>
          <cell r="D54" t="str">
            <v>M^3</v>
          </cell>
          <cell r="E54">
            <v>0</v>
          </cell>
          <cell r="F54">
            <v>0</v>
          </cell>
          <cell r="G54">
            <v>251889</v>
          </cell>
          <cell r="H54">
            <v>2518890</v>
          </cell>
          <cell r="I54">
            <v>0</v>
          </cell>
          <cell r="J54">
            <v>0</v>
          </cell>
          <cell r="K54">
            <v>2518890</v>
          </cell>
        </row>
        <row r="55">
          <cell r="A55" t="str">
            <v>인력 터파기(2 ~ 3)</v>
          </cell>
          <cell r="B55" t="str">
            <v>보통암</v>
          </cell>
          <cell r="C55">
            <v>10</v>
          </cell>
          <cell r="D55" t="str">
            <v>M^3</v>
          </cell>
          <cell r="E55">
            <v>0</v>
          </cell>
          <cell r="F55">
            <v>0</v>
          </cell>
          <cell r="G55">
            <v>352644</v>
          </cell>
          <cell r="H55">
            <v>3526440</v>
          </cell>
          <cell r="I55">
            <v>0</v>
          </cell>
          <cell r="J55">
            <v>0</v>
          </cell>
          <cell r="K55">
            <v>3526440</v>
          </cell>
        </row>
        <row r="56">
          <cell r="A56" t="str">
            <v>기계 터파기(불량)</v>
          </cell>
          <cell r="B56" t="str">
            <v>B.H 0.12T</v>
          </cell>
          <cell r="C56">
            <v>0</v>
          </cell>
          <cell r="D56" t="str">
            <v>M^3</v>
          </cell>
          <cell r="E56">
            <v>142</v>
          </cell>
          <cell r="F56">
            <v>0</v>
          </cell>
          <cell r="G56">
            <v>6647</v>
          </cell>
          <cell r="H56">
            <v>0</v>
          </cell>
          <cell r="I56">
            <v>601</v>
          </cell>
          <cell r="J56">
            <v>0</v>
          </cell>
          <cell r="K56">
            <v>0</v>
          </cell>
        </row>
        <row r="57">
          <cell r="A57" t="str">
            <v>기계 터파기(불량)</v>
          </cell>
          <cell r="B57" t="str">
            <v>B.H 0.2T</v>
          </cell>
          <cell r="C57">
            <v>0</v>
          </cell>
          <cell r="D57" t="str">
            <v>M^3</v>
          </cell>
          <cell r="E57">
            <v>133</v>
          </cell>
          <cell r="F57">
            <v>0</v>
          </cell>
          <cell r="G57">
            <v>5580</v>
          </cell>
          <cell r="H57">
            <v>0</v>
          </cell>
          <cell r="I57">
            <v>447</v>
          </cell>
          <cell r="J57">
            <v>0</v>
          </cell>
          <cell r="K57">
            <v>0</v>
          </cell>
        </row>
        <row r="58">
          <cell r="A58" t="str">
            <v>기계 터파기(불량)</v>
          </cell>
          <cell r="B58" t="str">
            <v>B.H 0.4T</v>
          </cell>
          <cell r="C58">
            <v>0</v>
          </cell>
          <cell r="D58" t="str">
            <v>M^3</v>
          </cell>
          <cell r="E58">
            <v>156</v>
          </cell>
          <cell r="F58">
            <v>0</v>
          </cell>
          <cell r="G58">
            <v>4781</v>
          </cell>
          <cell r="H58">
            <v>0</v>
          </cell>
          <cell r="I58">
            <v>494</v>
          </cell>
          <cell r="J58">
            <v>0</v>
          </cell>
          <cell r="K58">
            <v>0</v>
          </cell>
        </row>
        <row r="59">
          <cell r="A59" t="str">
            <v>기계 터파기(불량)</v>
          </cell>
          <cell r="B59" t="str">
            <v>B.H 0.7T</v>
          </cell>
          <cell r="C59">
            <v>0</v>
          </cell>
          <cell r="D59" t="str">
            <v>M^3</v>
          </cell>
          <cell r="E59">
            <v>115</v>
          </cell>
          <cell r="F59">
            <v>0</v>
          </cell>
          <cell r="G59">
            <v>4483</v>
          </cell>
          <cell r="H59">
            <v>0</v>
          </cell>
          <cell r="I59">
            <v>471</v>
          </cell>
          <cell r="J59">
            <v>0</v>
          </cell>
          <cell r="K59">
            <v>0</v>
          </cell>
        </row>
        <row r="60">
          <cell r="A60" t="str">
            <v xml:space="preserve"> 다짐</v>
          </cell>
          <cell r="B60" t="str">
            <v>인력</v>
          </cell>
          <cell r="C60">
            <v>0</v>
          </cell>
          <cell r="D60" t="str">
            <v>M^3</v>
          </cell>
          <cell r="E60">
            <v>0</v>
          </cell>
          <cell r="F60">
            <v>0</v>
          </cell>
          <cell r="G60">
            <v>6200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 xml:space="preserve"> 다짐</v>
          </cell>
          <cell r="B61" t="str">
            <v>람마</v>
          </cell>
          <cell r="C61">
            <v>0</v>
          </cell>
          <cell r="D61" t="str">
            <v>M^3</v>
          </cell>
          <cell r="E61">
            <v>0</v>
          </cell>
          <cell r="F61">
            <v>0</v>
          </cell>
          <cell r="G61">
            <v>6200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되메우고 다짐</v>
          </cell>
          <cell r="B62" t="str">
            <v>인력+인력</v>
          </cell>
          <cell r="C62">
            <v>0</v>
          </cell>
          <cell r="D62" t="str">
            <v>M^3</v>
          </cell>
          <cell r="E62">
            <v>0</v>
          </cell>
          <cell r="F62">
            <v>0</v>
          </cell>
          <cell r="G62">
            <v>6691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A63" t="str">
            <v>되메우고 다짐</v>
          </cell>
          <cell r="B63" t="str">
            <v>인력+람마</v>
          </cell>
          <cell r="C63">
            <v>0</v>
          </cell>
          <cell r="D63" t="str">
            <v>M^3</v>
          </cell>
          <cell r="E63">
            <v>0</v>
          </cell>
          <cell r="F63">
            <v>0</v>
          </cell>
          <cell r="G63">
            <v>6200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</row>
        <row r="64">
          <cell r="A64" t="str">
            <v>기계 되메우기(불량)</v>
          </cell>
          <cell r="B64" t="str">
            <v>B.H 0.12T</v>
          </cell>
          <cell r="C64">
            <v>0</v>
          </cell>
          <cell r="D64" t="str">
            <v>M^3</v>
          </cell>
          <cell r="E64">
            <v>97</v>
          </cell>
          <cell r="F64">
            <v>0</v>
          </cell>
          <cell r="G64">
            <v>1825</v>
          </cell>
          <cell r="H64">
            <v>0</v>
          </cell>
          <cell r="I64">
            <v>411</v>
          </cell>
          <cell r="J64">
            <v>0</v>
          </cell>
          <cell r="K64">
            <v>0</v>
          </cell>
        </row>
        <row r="65">
          <cell r="A65" t="str">
            <v>기계 되메우기(불량)</v>
          </cell>
          <cell r="B65" t="str">
            <v>B.H 0.2T</v>
          </cell>
          <cell r="C65">
            <v>5</v>
          </cell>
          <cell r="D65" t="str">
            <v>M^3</v>
          </cell>
          <cell r="E65">
            <v>91</v>
          </cell>
          <cell r="F65">
            <v>455</v>
          </cell>
          <cell r="G65">
            <v>1095</v>
          </cell>
          <cell r="H65">
            <v>5475</v>
          </cell>
          <cell r="I65">
            <v>306</v>
          </cell>
          <cell r="J65">
            <v>1530</v>
          </cell>
          <cell r="K65">
            <v>7460</v>
          </cell>
        </row>
        <row r="66">
          <cell r="A66" t="str">
            <v>기계 되메우기(불량)</v>
          </cell>
          <cell r="B66" t="str">
            <v>B.H 0.4T</v>
          </cell>
          <cell r="C66">
            <v>5</v>
          </cell>
          <cell r="D66" t="str">
            <v>M^3</v>
          </cell>
          <cell r="E66">
            <v>107</v>
          </cell>
          <cell r="F66">
            <v>535</v>
          </cell>
          <cell r="G66">
            <v>547</v>
          </cell>
          <cell r="H66">
            <v>2735</v>
          </cell>
          <cell r="I66">
            <v>339</v>
          </cell>
          <cell r="J66">
            <v>1695</v>
          </cell>
          <cell r="K66">
            <v>4965</v>
          </cell>
        </row>
        <row r="67">
          <cell r="A67" t="str">
            <v>기계 되메우기(불량)</v>
          </cell>
          <cell r="B67" t="str">
            <v>B.H 0.7T</v>
          </cell>
          <cell r="C67">
            <v>5</v>
          </cell>
          <cell r="D67" t="str">
            <v>M^3</v>
          </cell>
          <cell r="E67">
            <v>85</v>
          </cell>
          <cell r="F67">
            <v>425</v>
          </cell>
          <cell r="G67">
            <v>371</v>
          </cell>
          <cell r="H67">
            <v>1855</v>
          </cell>
          <cell r="I67">
            <v>350</v>
          </cell>
          <cell r="J67">
            <v>1750</v>
          </cell>
          <cell r="K67">
            <v>4030</v>
          </cell>
        </row>
        <row r="68">
          <cell r="A68" t="str">
            <v>환토공(되메우기포함)</v>
          </cell>
          <cell r="B68" t="str">
            <v>인력</v>
          </cell>
          <cell r="D68" t="str">
            <v>M^3</v>
          </cell>
        </row>
        <row r="69">
          <cell r="A69" t="str">
            <v>환토공(되메우기포함)</v>
          </cell>
          <cell r="B69" t="str">
            <v>B.H 0.12T</v>
          </cell>
          <cell r="D69" t="str">
            <v>M^3</v>
          </cell>
        </row>
        <row r="70">
          <cell r="A70" t="str">
            <v>환토공(되메우기포함)</v>
          </cell>
          <cell r="B70" t="str">
            <v>B.H 0.2T</v>
          </cell>
          <cell r="D70" t="str">
            <v>M^3</v>
          </cell>
        </row>
        <row r="71">
          <cell r="A71" t="str">
            <v>환토공(되메우기포함)</v>
          </cell>
          <cell r="B71" t="str">
            <v>B.H 0.4T</v>
          </cell>
          <cell r="D71" t="str">
            <v>M^3</v>
          </cell>
        </row>
        <row r="72">
          <cell r="A72" t="str">
            <v>환토공(되메우기포함)</v>
          </cell>
          <cell r="B72" t="str">
            <v>B.H 0.7T</v>
          </cell>
          <cell r="D72" t="str">
            <v>M^3</v>
          </cell>
        </row>
        <row r="73">
          <cell r="A73" t="str">
            <v>잔토처리(현장처리)</v>
          </cell>
          <cell r="B73" t="str">
            <v>인력</v>
          </cell>
          <cell r="C73">
            <v>1</v>
          </cell>
          <cell r="D73" t="str">
            <v>M^3</v>
          </cell>
          <cell r="E73">
            <v>0</v>
          </cell>
          <cell r="F73">
            <v>0</v>
          </cell>
          <cell r="G73">
            <v>6373</v>
          </cell>
          <cell r="H73">
            <v>6373</v>
          </cell>
          <cell r="I73">
            <v>0</v>
          </cell>
          <cell r="J73">
            <v>0</v>
          </cell>
          <cell r="K73">
            <v>6373</v>
          </cell>
        </row>
        <row r="74">
          <cell r="A74" t="str">
            <v>잔토처리(현장~김포)</v>
          </cell>
          <cell r="B74" t="str">
            <v>기계상차</v>
          </cell>
          <cell r="C74">
            <v>10</v>
          </cell>
          <cell r="D74" t="str">
            <v>M^3</v>
          </cell>
          <cell r="E74">
            <v>884</v>
          </cell>
          <cell r="F74">
            <v>8840</v>
          </cell>
          <cell r="G74">
            <v>1060</v>
          </cell>
          <cell r="H74">
            <v>10600</v>
          </cell>
          <cell r="I74">
            <v>1557</v>
          </cell>
          <cell r="J74">
            <v>15570</v>
          </cell>
          <cell r="K74">
            <v>35010</v>
          </cell>
        </row>
        <row r="75">
          <cell r="A75" t="str">
            <v>잔토처리(현장~김포)</v>
          </cell>
          <cell r="B75" t="str">
            <v>인력상차</v>
          </cell>
          <cell r="C75">
            <v>18</v>
          </cell>
          <cell r="D75" t="str">
            <v>M^3</v>
          </cell>
          <cell r="E75">
            <v>2500</v>
          </cell>
          <cell r="F75">
            <v>45000</v>
          </cell>
          <cell r="G75">
            <v>3500</v>
          </cell>
          <cell r="H75">
            <v>63000</v>
          </cell>
          <cell r="I75">
            <v>3000</v>
          </cell>
          <cell r="J75">
            <v>54000</v>
          </cell>
          <cell r="K75">
            <v>162000</v>
          </cell>
        </row>
        <row r="76">
          <cell r="A76" t="str">
            <v>잔토처리(집하~김포)</v>
          </cell>
          <cell r="B76" t="str">
            <v>기계상차</v>
          </cell>
          <cell r="C76">
            <v>15</v>
          </cell>
          <cell r="D76" t="str">
            <v>M^3</v>
          </cell>
          <cell r="E76">
            <v>2500</v>
          </cell>
          <cell r="F76">
            <v>37500</v>
          </cell>
          <cell r="G76">
            <v>3000</v>
          </cell>
          <cell r="H76">
            <v>45000</v>
          </cell>
          <cell r="I76">
            <v>2500</v>
          </cell>
          <cell r="J76">
            <v>37500</v>
          </cell>
          <cell r="K76">
            <v>120000</v>
          </cell>
        </row>
        <row r="77">
          <cell r="A77" t="str">
            <v>잔토처리(현장~집하)</v>
          </cell>
          <cell r="B77" t="str">
            <v>인력상차</v>
          </cell>
          <cell r="C77">
            <v>177</v>
          </cell>
          <cell r="D77" t="str">
            <v>M^3</v>
          </cell>
          <cell r="E77">
            <v>260</v>
          </cell>
          <cell r="F77">
            <v>46020</v>
          </cell>
          <cell r="G77">
            <v>5770</v>
          </cell>
          <cell r="H77">
            <v>1021290</v>
          </cell>
          <cell r="I77">
            <v>1450</v>
          </cell>
          <cell r="J77">
            <v>256650</v>
          </cell>
          <cell r="K77">
            <v>1323960</v>
          </cell>
        </row>
        <row r="78">
          <cell r="A78" t="str">
            <v>무근C'ONC파괴(인력)</v>
          </cell>
          <cell r="B78" t="str">
            <v>구조물</v>
          </cell>
          <cell r="C78">
            <v>2</v>
          </cell>
          <cell r="D78" t="str">
            <v>M^3</v>
          </cell>
          <cell r="E78">
            <v>0</v>
          </cell>
          <cell r="F78">
            <v>0</v>
          </cell>
          <cell r="G78">
            <v>65400</v>
          </cell>
          <cell r="H78">
            <v>130800</v>
          </cell>
          <cell r="I78">
            <v>1542</v>
          </cell>
          <cell r="J78">
            <v>3084</v>
          </cell>
          <cell r="K78">
            <v>133884</v>
          </cell>
        </row>
        <row r="79">
          <cell r="A79" t="str">
            <v>철근C'ONC파괴(인력)</v>
          </cell>
          <cell r="B79" t="str">
            <v>구조물</v>
          </cell>
          <cell r="C79">
            <v>2</v>
          </cell>
          <cell r="D79" t="str">
            <v>M^3</v>
          </cell>
          <cell r="E79">
            <v>0</v>
          </cell>
          <cell r="F79">
            <v>0</v>
          </cell>
          <cell r="G79">
            <v>75600</v>
          </cell>
          <cell r="H79">
            <v>151200</v>
          </cell>
          <cell r="I79">
            <v>2540</v>
          </cell>
          <cell r="J79">
            <v>5080</v>
          </cell>
          <cell r="K79">
            <v>156280</v>
          </cell>
        </row>
        <row r="80">
          <cell r="A80" t="str">
            <v>벽돌 부수기</v>
          </cell>
          <cell r="B80" t="str">
            <v>인력</v>
          </cell>
          <cell r="C80">
            <v>3</v>
          </cell>
          <cell r="D80" t="str">
            <v>㎥</v>
          </cell>
          <cell r="E80">
            <v>0</v>
          </cell>
          <cell r="F80">
            <v>0</v>
          </cell>
          <cell r="G80">
            <v>21300</v>
          </cell>
          <cell r="H80">
            <v>63900</v>
          </cell>
          <cell r="I80">
            <v>1553</v>
          </cell>
          <cell r="J80">
            <v>4659</v>
          </cell>
          <cell r="K80">
            <v>68559</v>
          </cell>
        </row>
        <row r="81">
          <cell r="A81" t="str">
            <v>급수관 연결 토공</v>
          </cell>
          <cell r="B81" t="str">
            <v>D=50</v>
          </cell>
          <cell r="C81">
            <v>3</v>
          </cell>
          <cell r="D81" t="str">
            <v>개소</v>
          </cell>
          <cell r="E81">
            <v>0</v>
          </cell>
          <cell r="F81">
            <v>0</v>
          </cell>
          <cell r="G81">
            <v>14194</v>
          </cell>
          <cell r="H81">
            <v>42582</v>
          </cell>
          <cell r="I81">
            <v>0</v>
          </cell>
          <cell r="J81">
            <v>0</v>
          </cell>
          <cell r="K81">
            <v>42582</v>
          </cell>
        </row>
        <row r="82">
          <cell r="A82" t="str">
            <v>급수관 연결 토공</v>
          </cell>
          <cell r="B82" t="str">
            <v>D=80</v>
          </cell>
          <cell r="C82">
            <v>6</v>
          </cell>
          <cell r="D82" t="str">
            <v>개소</v>
          </cell>
          <cell r="E82">
            <v>0</v>
          </cell>
          <cell r="F82">
            <v>0</v>
          </cell>
          <cell r="G82">
            <v>20216</v>
          </cell>
          <cell r="H82">
            <v>121296</v>
          </cell>
          <cell r="I82">
            <v>0</v>
          </cell>
          <cell r="J82">
            <v>0</v>
          </cell>
          <cell r="K82">
            <v>121296</v>
          </cell>
        </row>
        <row r="83">
          <cell r="A83" t="str">
            <v>급수관 연결 토공</v>
          </cell>
          <cell r="B83" t="str">
            <v>D=100</v>
          </cell>
          <cell r="C83">
            <v>4</v>
          </cell>
          <cell r="D83" t="str">
            <v>개소</v>
          </cell>
          <cell r="E83">
            <v>0</v>
          </cell>
          <cell r="F83">
            <v>0</v>
          </cell>
          <cell r="G83">
            <v>20216</v>
          </cell>
          <cell r="H83">
            <v>80864</v>
          </cell>
          <cell r="I83">
            <v>0</v>
          </cell>
          <cell r="J83">
            <v>0</v>
          </cell>
          <cell r="K83">
            <v>80864</v>
          </cell>
        </row>
        <row r="84">
          <cell r="A84" t="str">
            <v>급수관 연결 토공</v>
          </cell>
          <cell r="B84" t="str">
            <v>D=150</v>
          </cell>
          <cell r="C84">
            <v>2</v>
          </cell>
          <cell r="D84" t="str">
            <v>개소</v>
          </cell>
          <cell r="E84">
            <v>0</v>
          </cell>
          <cell r="F84">
            <v>0</v>
          </cell>
          <cell r="G84">
            <v>27467</v>
          </cell>
          <cell r="H84">
            <v>54934</v>
          </cell>
          <cell r="I84">
            <v>0</v>
          </cell>
          <cell r="J84">
            <v>0</v>
          </cell>
          <cell r="K84">
            <v>54934</v>
          </cell>
        </row>
        <row r="85">
          <cell r="A85" t="str">
            <v>급수관 연결 토공</v>
          </cell>
          <cell r="B85" t="str">
            <v>D=200</v>
          </cell>
          <cell r="C85">
            <v>1</v>
          </cell>
          <cell r="D85" t="str">
            <v>개소</v>
          </cell>
          <cell r="E85">
            <v>0</v>
          </cell>
          <cell r="F85">
            <v>0</v>
          </cell>
          <cell r="G85">
            <v>33084</v>
          </cell>
          <cell r="H85">
            <v>33084</v>
          </cell>
          <cell r="I85">
            <v>0</v>
          </cell>
          <cell r="J85">
            <v>0</v>
          </cell>
          <cell r="K85">
            <v>33084</v>
          </cell>
        </row>
        <row r="86">
          <cell r="A86" t="str">
            <v>급수관 연결 토공</v>
          </cell>
          <cell r="B86" t="str">
            <v>D=250</v>
          </cell>
          <cell r="C86">
            <v>1</v>
          </cell>
          <cell r="D86" t="str">
            <v>개소</v>
          </cell>
          <cell r="E86">
            <v>0</v>
          </cell>
          <cell r="F86">
            <v>0</v>
          </cell>
          <cell r="G86">
            <v>37017</v>
          </cell>
          <cell r="H86">
            <v>37017</v>
          </cell>
          <cell r="I86">
            <v>0</v>
          </cell>
          <cell r="J86">
            <v>0</v>
          </cell>
          <cell r="K86">
            <v>37017</v>
          </cell>
        </row>
        <row r="87">
          <cell r="A87" t="str">
            <v>급수관 연결 토공</v>
          </cell>
          <cell r="B87" t="str">
            <v>D=300</v>
          </cell>
          <cell r="C87">
            <v>1</v>
          </cell>
          <cell r="D87" t="str">
            <v>개소</v>
          </cell>
          <cell r="E87">
            <v>0</v>
          </cell>
          <cell r="F87">
            <v>0</v>
          </cell>
          <cell r="G87">
            <v>49162</v>
          </cell>
          <cell r="H87">
            <v>49162</v>
          </cell>
          <cell r="I87">
            <v>0</v>
          </cell>
          <cell r="J87">
            <v>0</v>
          </cell>
          <cell r="K87">
            <v>49162</v>
          </cell>
        </row>
        <row r="88">
          <cell r="A88" t="str">
            <v>계량기보호통토공</v>
          </cell>
          <cell r="B88" t="str">
            <v>D=13</v>
          </cell>
          <cell r="C88">
            <v>210</v>
          </cell>
          <cell r="D88" t="str">
            <v>개소</v>
          </cell>
          <cell r="E88">
            <v>0</v>
          </cell>
          <cell r="F88">
            <v>0</v>
          </cell>
          <cell r="G88">
            <v>9541</v>
          </cell>
          <cell r="H88">
            <v>2003610</v>
          </cell>
          <cell r="I88">
            <v>0</v>
          </cell>
          <cell r="J88">
            <v>0</v>
          </cell>
          <cell r="K88">
            <v>2003610</v>
          </cell>
        </row>
        <row r="89">
          <cell r="A89" t="str">
            <v>계량기보호통토공</v>
          </cell>
          <cell r="B89" t="str">
            <v>D=20~25</v>
          </cell>
          <cell r="C89">
            <v>40</v>
          </cell>
          <cell r="D89" t="str">
            <v>개소</v>
          </cell>
          <cell r="E89">
            <v>0</v>
          </cell>
          <cell r="F89">
            <v>0</v>
          </cell>
          <cell r="G89">
            <v>19336</v>
          </cell>
          <cell r="H89">
            <v>773440</v>
          </cell>
          <cell r="I89">
            <v>0</v>
          </cell>
          <cell r="J89">
            <v>0</v>
          </cell>
          <cell r="K89">
            <v>773440</v>
          </cell>
        </row>
        <row r="90">
          <cell r="A90" t="str">
            <v>계량기보호통토공</v>
          </cell>
          <cell r="B90" t="str">
            <v>D=40~50</v>
          </cell>
          <cell r="C90">
            <v>5</v>
          </cell>
          <cell r="D90" t="str">
            <v>개소</v>
          </cell>
          <cell r="E90">
            <v>0</v>
          </cell>
          <cell r="F90">
            <v>0</v>
          </cell>
          <cell r="G90">
            <v>38345</v>
          </cell>
          <cell r="H90">
            <v>191725</v>
          </cell>
          <cell r="I90">
            <v>0</v>
          </cell>
          <cell r="J90">
            <v>0</v>
          </cell>
          <cell r="K90">
            <v>191725</v>
          </cell>
        </row>
        <row r="91">
          <cell r="A91" t="str">
            <v>대형계량기실 토공</v>
          </cell>
          <cell r="B91" t="str">
            <v>D=80</v>
          </cell>
          <cell r="C91">
            <v>1</v>
          </cell>
          <cell r="D91" t="str">
            <v>개소</v>
          </cell>
          <cell r="E91">
            <v>27763</v>
          </cell>
          <cell r="F91">
            <v>27763</v>
          </cell>
          <cell r="G91">
            <v>384635</v>
          </cell>
          <cell r="H91">
            <v>384635</v>
          </cell>
          <cell r="I91">
            <v>55385</v>
          </cell>
          <cell r="J91">
            <v>55385</v>
          </cell>
          <cell r="K91">
            <v>467783</v>
          </cell>
        </row>
        <row r="92">
          <cell r="A92" t="str">
            <v>대형계량기실 토공</v>
          </cell>
          <cell r="B92" t="str">
            <v>D=100</v>
          </cell>
          <cell r="C92">
            <v>1</v>
          </cell>
          <cell r="D92" t="str">
            <v>개소</v>
          </cell>
          <cell r="E92">
            <v>34314</v>
          </cell>
          <cell r="F92">
            <v>34314</v>
          </cell>
          <cell r="G92">
            <v>417695</v>
          </cell>
          <cell r="H92">
            <v>417695</v>
          </cell>
          <cell r="I92">
            <v>68452</v>
          </cell>
          <cell r="J92">
            <v>68452</v>
          </cell>
          <cell r="K92">
            <v>520461</v>
          </cell>
        </row>
        <row r="93">
          <cell r="A93" t="str">
            <v>대형계량기실 토공</v>
          </cell>
          <cell r="B93" t="str">
            <v>D=150</v>
          </cell>
          <cell r="C93">
            <v>1</v>
          </cell>
          <cell r="D93" t="str">
            <v>개소</v>
          </cell>
          <cell r="E93">
            <v>41496</v>
          </cell>
          <cell r="F93">
            <v>41496</v>
          </cell>
          <cell r="G93">
            <v>525897</v>
          </cell>
          <cell r="H93">
            <v>525897</v>
          </cell>
          <cell r="I93">
            <v>82779</v>
          </cell>
          <cell r="J93">
            <v>82779</v>
          </cell>
          <cell r="K93">
            <v>650172</v>
          </cell>
        </row>
        <row r="94">
          <cell r="A94" t="str">
            <v>대형계량기실 토공</v>
          </cell>
          <cell r="B94" t="str">
            <v>D=200</v>
          </cell>
          <cell r="C94">
            <v>1</v>
          </cell>
          <cell r="D94" t="str">
            <v>개소</v>
          </cell>
          <cell r="E94">
            <v>46816</v>
          </cell>
          <cell r="F94">
            <v>46816</v>
          </cell>
          <cell r="G94">
            <v>580083</v>
          </cell>
          <cell r="H94">
            <v>580083</v>
          </cell>
          <cell r="I94">
            <v>93392</v>
          </cell>
          <cell r="J94">
            <v>93392</v>
          </cell>
          <cell r="K94">
            <v>720291</v>
          </cell>
        </row>
        <row r="95">
          <cell r="A95" t="str">
            <v>대형계량기실 토공</v>
          </cell>
          <cell r="B95" t="str">
            <v>D=250</v>
          </cell>
          <cell r="C95">
            <v>1</v>
          </cell>
          <cell r="D95" t="str">
            <v>개소</v>
          </cell>
          <cell r="E95">
            <v>61612</v>
          </cell>
          <cell r="F95">
            <v>61612</v>
          </cell>
          <cell r="G95">
            <v>723209</v>
          </cell>
          <cell r="H95">
            <v>723209</v>
          </cell>
          <cell r="I95">
            <v>122909</v>
          </cell>
          <cell r="J95">
            <v>122909</v>
          </cell>
          <cell r="K95">
            <v>907730</v>
          </cell>
        </row>
        <row r="96">
          <cell r="A96" t="str">
            <v>원형제수변실 토공</v>
          </cell>
          <cell r="B96" t="str">
            <v>ASP 구간</v>
          </cell>
          <cell r="C96">
            <v>2</v>
          </cell>
          <cell r="D96" t="str">
            <v>개소</v>
          </cell>
          <cell r="E96">
            <v>9168</v>
          </cell>
          <cell r="F96">
            <v>18336</v>
          </cell>
          <cell r="G96">
            <v>177810</v>
          </cell>
          <cell r="H96">
            <v>355620</v>
          </cell>
          <cell r="I96">
            <v>14383</v>
          </cell>
          <cell r="J96">
            <v>28766</v>
          </cell>
          <cell r="K96">
            <v>402722</v>
          </cell>
        </row>
        <row r="97">
          <cell r="A97" t="str">
            <v>원형제수변실 토공</v>
          </cell>
          <cell r="B97" t="str">
            <v>CON 구간</v>
          </cell>
          <cell r="C97">
            <v>4</v>
          </cell>
          <cell r="D97" t="str">
            <v>개소</v>
          </cell>
          <cell r="E97">
            <v>9325</v>
          </cell>
          <cell r="F97">
            <v>37300</v>
          </cell>
          <cell r="G97">
            <v>217933</v>
          </cell>
          <cell r="H97">
            <v>871732</v>
          </cell>
          <cell r="I97">
            <v>16766</v>
          </cell>
          <cell r="J97">
            <v>67064</v>
          </cell>
          <cell r="K97">
            <v>976096</v>
          </cell>
        </row>
        <row r="98">
          <cell r="A98" t="str">
            <v>원형제수변실 토공</v>
          </cell>
          <cell r="B98" t="str">
            <v>B/L 구간</v>
          </cell>
          <cell r="C98">
            <v>1</v>
          </cell>
          <cell r="D98" t="str">
            <v>개소</v>
          </cell>
          <cell r="E98">
            <v>55680</v>
          </cell>
          <cell r="F98">
            <v>55680</v>
          </cell>
          <cell r="G98">
            <v>174043</v>
          </cell>
          <cell r="H98">
            <v>174043</v>
          </cell>
          <cell r="I98">
            <v>14151</v>
          </cell>
          <cell r="J98">
            <v>14151</v>
          </cell>
          <cell r="K98">
            <v>243874</v>
          </cell>
        </row>
        <row r="99">
          <cell r="A99" t="str">
            <v>원형제수변실 토공</v>
          </cell>
          <cell r="B99" t="str">
            <v>토사구간</v>
          </cell>
          <cell r="C99">
            <v>1</v>
          </cell>
          <cell r="D99" t="str">
            <v>개소</v>
          </cell>
          <cell r="E99">
            <v>5818</v>
          </cell>
          <cell r="F99">
            <v>5818</v>
          </cell>
          <cell r="G99">
            <v>144045</v>
          </cell>
          <cell r="H99">
            <v>144045</v>
          </cell>
          <cell r="I99">
            <v>11607</v>
          </cell>
          <cell r="J99">
            <v>11607</v>
          </cell>
          <cell r="K99">
            <v>161470</v>
          </cell>
        </row>
        <row r="100">
          <cell r="A100" t="str">
            <v>구형제수변실 토공</v>
          </cell>
          <cell r="B100" t="str">
            <v>ASP 구간</v>
          </cell>
          <cell r="C100">
            <v>2</v>
          </cell>
          <cell r="D100" t="str">
            <v>개소</v>
          </cell>
          <cell r="E100">
            <v>30920</v>
          </cell>
          <cell r="F100">
            <v>61840</v>
          </cell>
          <cell r="G100">
            <v>404068</v>
          </cell>
          <cell r="H100">
            <v>808136</v>
          </cell>
          <cell r="I100">
            <v>57152</v>
          </cell>
          <cell r="J100">
            <v>114304</v>
          </cell>
          <cell r="K100">
            <v>984280</v>
          </cell>
        </row>
        <row r="101">
          <cell r="A101" t="str">
            <v>200~250mm</v>
          </cell>
          <cell r="B101" t="str">
            <v>CON 구간</v>
          </cell>
          <cell r="C101">
            <v>4</v>
          </cell>
          <cell r="D101" t="str">
            <v>개소</v>
          </cell>
          <cell r="E101">
            <v>34194</v>
          </cell>
          <cell r="F101">
            <v>136776</v>
          </cell>
          <cell r="G101">
            <v>496294</v>
          </cell>
          <cell r="H101">
            <v>1985176</v>
          </cell>
          <cell r="I101">
            <v>68021</v>
          </cell>
          <cell r="J101">
            <v>272084</v>
          </cell>
          <cell r="K101">
            <v>2394036</v>
          </cell>
        </row>
        <row r="102">
          <cell r="A102" t="str">
            <v>"</v>
          </cell>
          <cell r="B102" t="str">
            <v>B/L 구간</v>
          </cell>
          <cell r="C102">
            <v>1</v>
          </cell>
          <cell r="D102" t="str">
            <v>개소</v>
          </cell>
          <cell r="E102">
            <v>124178</v>
          </cell>
          <cell r="F102">
            <v>124178</v>
          </cell>
          <cell r="G102">
            <v>388590</v>
          </cell>
          <cell r="H102">
            <v>388590</v>
          </cell>
          <cell r="I102">
            <v>50997</v>
          </cell>
          <cell r="J102">
            <v>50997</v>
          </cell>
          <cell r="K102">
            <v>563765</v>
          </cell>
        </row>
        <row r="103">
          <cell r="A103" t="str">
            <v>"</v>
          </cell>
          <cell r="B103" t="str">
            <v>토사구간</v>
          </cell>
          <cell r="C103">
            <v>1</v>
          </cell>
          <cell r="D103" t="str">
            <v>개소</v>
          </cell>
          <cell r="E103">
            <v>22975</v>
          </cell>
          <cell r="F103">
            <v>22975</v>
          </cell>
          <cell r="G103">
            <v>326820</v>
          </cell>
          <cell r="H103">
            <v>326820</v>
          </cell>
          <cell r="I103">
            <v>45834</v>
          </cell>
          <cell r="J103">
            <v>45834</v>
          </cell>
          <cell r="K103">
            <v>395629</v>
          </cell>
        </row>
        <row r="104">
          <cell r="A104" t="str">
            <v>구형제수변실 토공</v>
          </cell>
          <cell r="B104" t="str">
            <v>ASP 구간</v>
          </cell>
          <cell r="C104">
            <v>2</v>
          </cell>
          <cell r="D104" t="str">
            <v>개소</v>
          </cell>
          <cell r="E104">
            <v>51300</v>
          </cell>
          <cell r="F104">
            <v>102600</v>
          </cell>
          <cell r="G104">
            <v>624632</v>
          </cell>
          <cell r="H104">
            <v>1249264</v>
          </cell>
          <cell r="I104">
            <v>97759</v>
          </cell>
          <cell r="J104">
            <v>195518</v>
          </cell>
          <cell r="K104">
            <v>1547382</v>
          </cell>
        </row>
        <row r="105">
          <cell r="A105" t="str">
            <v>300mm</v>
          </cell>
          <cell r="B105" t="str">
            <v>CON 구간</v>
          </cell>
          <cell r="C105">
            <v>4</v>
          </cell>
          <cell r="D105" t="str">
            <v>개소</v>
          </cell>
          <cell r="E105">
            <v>55951</v>
          </cell>
          <cell r="F105">
            <v>223804</v>
          </cell>
          <cell r="G105">
            <v>756779</v>
          </cell>
          <cell r="H105">
            <v>3027116</v>
          </cell>
          <cell r="I105">
            <v>113340</v>
          </cell>
          <cell r="J105">
            <v>453360</v>
          </cell>
          <cell r="K105">
            <v>3704280</v>
          </cell>
        </row>
        <row r="106">
          <cell r="A106" t="str">
            <v>"</v>
          </cell>
          <cell r="B106" t="str">
            <v>B/L 구간</v>
          </cell>
          <cell r="C106">
            <v>1</v>
          </cell>
          <cell r="D106" t="str">
            <v>개소</v>
          </cell>
          <cell r="E106">
            <v>184305</v>
          </cell>
          <cell r="F106">
            <v>184305</v>
          </cell>
          <cell r="G106">
            <v>604879</v>
          </cell>
          <cell r="H106">
            <v>604879</v>
          </cell>
          <cell r="I106">
            <v>89419</v>
          </cell>
          <cell r="J106">
            <v>89419</v>
          </cell>
          <cell r="K106">
            <v>878603</v>
          </cell>
        </row>
        <row r="107">
          <cell r="A107" t="str">
            <v>"</v>
          </cell>
          <cell r="B107" t="str">
            <v>토사구간</v>
          </cell>
          <cell r="C107">
            <v>1</v>
          </cell>
          <cell r="D107" t="str">
            <v>개소</v>
          </cell>
          <cell r="E107">
            <v>41163</v>
          </cell>
          <cell r="F107">
            <v>41163</v>
          </cell>
          <cell r="G107">
            <v>517566</v>
          </cell>
          <cell r="H107">
            <v>517566</v>
          </cell>
          <cell r="I107">
            <v>82116</v>
          </cell>
          <cell r="J107">
            <v>82116</v>
          </cell>
          <cell r="K107">
            <v>640845</v>
          </cell>
        </row>
        <row r="108">
          <cell r="A108" t="str">
            <v>조립식맨홀설치토공</v>
          </cell>
          <cell r="B108" t="str">
            <v>ASP 구간</v>
          </cell>
          <cell r="C108">
            <v>2</v>
          </cell>
          <cell r="D108" t="str">
            <v>개소</v>
          </cell>
          <cell r="E108">
            <v>11265</v>
          </cell>
          <cell r="F108">
            <v>22530</v>
          </cell>
          <cell r="G108">
            <v>273378</v>
          </cell>
          <cell r="H108">
            <v>546756</v>
          </cell>
          <cell r="I108">
            <v>18941</v>
          </cell>
          <cell r="J108">
            <v>37882</v>
          </cell>
          <cell r="K108">
            <v>607168</v>
          </cell>
        </row>
        <row r="109">
          <cell r="A109" t="str">
            <v>80~100mm</v>
          </cell>
          <cell r="B109" t="str">
            <v>C=15 구간</v>
          </cell>
          <cell r="C109">
            <v>4</v>
          </cell>
          <cell r="D109" t="str">
            <v>개소</v>
          </cell>
          <cell r="E109">
            <v>11016</v>
          </cell>
          <cell r="F109">
            <v>44064</v>
          </cell>
          <cell r="G109">
            <v>292635</v>
          </cell>
          <cell r="H109">
            <v>1170540</v>
          </cell>
          <cell r="I109">
            <v>19126</v>
          </cell>
          <cell r="J109">
            <v>76504</v>
          </cell>
          <cell r="K109">
            <v>1291108</v>
          </cell>
        </row>
        <row r="110">
          <cell r="A110" t="str">
            <v>"</v>
          </cell>
          <cell r="B110" t="str">
            <v>C=20 구간</v>
          </cell>
          <cell r="C110">
            <v>4</v>
          </cell>
          <cell r="D110" t="str">
            <v>개소</v>
          </cell>
          <cell r="E110">
            <v>10111</v>
          </cell>
          <cell r="F110">
            <v>40444</v>
          </cell>
          <cell r="G110">
            <v>311913</v>
          </cell>
          <cell r="H110">
            <v>1247652</v>
          </cell>
          <cell r="I110">
            <v>18549</v>
          </cell>
          <cell r="J110">
            <v>74196</v>
          </cell>
          <cell r="K110">
            <v>1362292</v>
          </cell>
        </row>
        <row r="111">
          <cell r="A111" t="str">
            <v>"</v>
          </cell>
          <cell r="B111" t="str">
            <v>B/L 구간</v>
          </cell>
          <cell r="C111">
            <v>1</v>
          </cell>
          <cell r="D111" t="str">
            <v>개소</v>
          </cell>
          <cell r="E111">
            <v>17631</v>
          </cell>
          <cell r="F111">
            <v>17631</v>
          </cell>
          <cell r="G111">
            <v>245067</v>
          </cell>
          <cell r="H111">
            <v>245067</v>
          </cell>
          <cell r="I111">
            <v>20792</v>
          </cell>
          <cell r="J111">
            <v>20792</v>
          </cell>
          <cell r="K111">
            <v>283490</v>
          </cell>
        </row>
        <row r="112">
          <cell r="A112" t="str">
            <v>"</v>
          </cell>
          <cell r="B112" t="str">
            <v>토사구간</v>
          </cell>
          <cell r="C112">
            <v>1</v>
          </cell>
          <cell r="D112" t="str">
            <v>개소</v>
          </cell>
          <cell r="E112">
            <v>9908</v>
          </cell>
          <cell r="F112">
            <v>9908</v>
          </cell>
          <cell r="G112">
            <v>225163</v>
          </cell>
          <cell r="H112">
            <v>225163</v>
          </cell>
          <cell r="I112">
            <v>19766</v>
          </cell>
          <cell r="J112">
            <v>19766</v>
          </cell>
          <cell r="K112">
            <v>254837</v>
          </cell>
        </row>
        <row r="113">
          <cell r="A113" t="str">
            <v>조립식맨홀설치토공</v>
          </cell>
          <cell r="B113" t="str">
            <v>ASP 구간</v>
          </cell>
          <cell r="C113">
            <v>2</v>
          </cell>
          <cell r="D113" t="str">
            <v>개소</v>
          </cell>
          <cell r="E113">
            <v>11635</v>
          </cell>
          <cell r="F113">
            <v>23270</v>
          </cell>
          <cell r="G113">
            <v>288782</v>
          </cell>
          <cell r="H113">
            <v>577564</v>
          </cell>
          <cell r="I113">
            <v>19653</v>
          </cell>
          <cell r="J113">
            <v>39306</v>
          </cell>
          <cell r="K113">
            <v>640140</v>
          </cell>
        </row>
        <row r="114">
          <cell r="A114" t="str">
            <v>150mm</v>
          </cell>
          <cell r="B114" t="str">
            <v>C=15 구간</v>
          </cell>
          <cell r="C114">
            <v>4</v>
          </cell>
          <cell r="D114" t="str">
            <v>개소</v>
          </cell>
          <cell r="E114">
            <v>11316</v>
          </cell>
          <cell r="F114">
            <v>45264</v>
          </cell>
          <cell r="G114">
            <v>308881</v>
          </cell>
          <cell r="H114">
            <v>1235524</v>
          </cell>
          <cell r="I114">
            <v>19813</v>
          </cell>
          <cell r="J114">
            <v>79252</v>
          </cell>
          <cell r="K114">
            <v>1360040</v>
          </cell>
        </row>
        <row r="115">
          <cell r="A115" t="str">
            <v>"</v>
          </cell>
          <cell r="B115" t="str">
            <v>C=20 구간</v>
          </cell>
          <cell r="C115">
            <v>4</v>
          </cell>
          <cell r="D115" t="str">
            <v>개소</v>
          </cell>
          <cell r="E115">
            <v>10451</v>
          </cell>
          <cell r="F115">
            <v>41804</v>
          </cell>
          <cell r="G115">
            <v>328806</v>
          </cell>
          <cell r="H115">
            <v>1315224</v>
          </cell>
          <cell r="I115">
            <v>19248</v>
          </cell>
          <cell r="J115">
            <v>76992</v>
          </cell>
          <cell r="K115">
            <v>1434020</v>
          </cell>
        </row>
        <row r="116">
          <cell r="A116" t="str">
            <v>"</v>
          </cell>
          <cell r="B116" t="str">
            <v>B/L 구간</v>
          </cell>
          <cell r="C116">
            <v>1</v>
          </cell>
          <cell r="D116" t="str">
            <v>개소</v>
          </cell>
          <cell r="E116">
            <v>17997</v>
          </cell>
          <cell r="F116">
            <v>17997</v>
          </cell>
          <cell r="G116">
            <v>259765</v>
          </cell>
          <cell r="H116">
            <v>259765</v>
          </cell>
          <cell r="I116">
            <v>21521</v>
          </cell>
          <cell r="J116">
            <v>21521</v>
          </cell>
          <cell r="K116">
            <v>299283</v>
          </cell>
        </row>
        <row r="117">
          <cell r="A117" t="str">
            <v>"</v>
          </cell>
          <cell r="B117" t="str">
            <v>토사구간</v>
          </cell>
          <cell r="C117">
            <v>1</v>
          </cell>
          <cell r="D117" t="str">
            <v>개소</v>
          </cell>
          <cell r="E117">
            <v>10274</v>
          </cell>
          <cell r="F117">
            <v>10274</v>
          </cell>
          <cell r="G117">
            <v>239862</v>
          </cell>
          <cell r="H117">
            <v>239862</v>
          </cell>
          <cell r="I117">
            <v>20495</v>
          </cell>
          <cell r="J117">
            <v>20495</v>
          </cell>
          <cell r="K117">
            <v>270631</v>
          </cell>
        </row>
        <row r="118">
          <cell r="A118" t="str">
            <v>조립식맨홀설치토공</v>
          </cell>
          <cell r="B118" t="str">
            <v>ASP 구간</v>
          </cell>
          <cell r="C118">
            <v>2</v>
          </cell>
          <cell r="D118" t="str">
            <v>개소</v>
          </cell>
          <cell r="E118">
            <v>18437</v>
          </cell>
          <cell r="F118">
            <v>36874</v>
          </cell>
          <cell r="G118">
            <v>253422</v>
          </cell>
          <cell r="H118">
            <v>506844</v>
          </cell>
          <cell r="I118">
            <v>253422</v>
          </cell>
          <cell r="J118">
            <v>506844</v>
          </cell>
          <cell r="K118">
            <v>1050562</v>
          </cell>
        </row>
        <row r="119">
          <cell r="A119" t="str">
            <v>200~250mm</v>
          </cell>
          <cell r="B119" t="str">
            <v>C=15 구간</v>
          </cell>
          <cell r="C119">
            <v>4</v>
          </cell>
          <cell r="D119" t="str">
            <v>개소</v>
          </cell>
          <cell r="E119">
            <v>19626</v>
          </cell>
          <cell r="F119">
            <v>78504</v>
          </cell>
          <cell r="G119">
            <v>270323</v>
          </cell>
          <cell r="H119">
            <v>1081292</v>
          </cell>
          <cell r="I119">
            <v>270323</v>
          </cell>
          <cell r="J119">
            <v>1081292</v>
          </cell>
          <cell r="K119">
            <v>2241088</v>
          </cell>
        </row>
        <row r="120">
          <cell r="A120" t="str">
            <v>"</v>
          </cell>
          <cell r="B120" t="str">
            <v>C=20 구간</v>
          </cell>
          <cell r="C120">
            <v>4</v>
          </cell>
          <cell r="D120" t="str">
            <v>개소</v>
          </cell>
          <cell r="E120">
            <v>19002</v>
          </cell>
          <cell r="F120">
            <v>76008</v>
          </cell>
          <cell r="G120">
            <v>285684</v>
          </cell>
          <cell r="H120">
            <v>1142736</v>
          </cell>
          <cell r="I120">
            <v>285684</v>
          </cell>
          <cell r="J120">
            <v>1142736</v>
          </cell>
          <cell r="K120">
            <v>2361480</v>
          </cell>
        </row>
        <row r="121">
          <cell r="A121" t="str">
            <v>"</v>
          </cell>
          <cell r="B121" t="str">
            <v>B/L 구간</v>
          </cell>
          <cell r="C121">
            <v>1</v>
          </cell>
          <cell r="D121" t="str">
            <v>개소</v>
          </cell>
          <cell r="E121">
            <v>16044</v>
          </cell>
          <cell r="F121">
            <v>16044</v>
          </cell>
          <cell r="G121">
            <v>231583</v>
          </cell>
          <cell r="H121">
            <v>231583</v>
          </cell>
          <cell r="I121">
            <v>231583</v>
          </cell>
          <cell r="J121">
            <v>231583</v>
          </cell>
          <cell r="K121">
            <v>479210</v>
          </cell>
        </row>
        <row r="122">
          <cell r="A122" t="str">
            <v>"</v>
          </cell>
          <cell r="B122" t="str">
            <v>토사구간</v>
          </cell>
          <cell r="C122">
            <v>1</v>
          </cell>
          <cell r="D122" t="str">
            <v>개소</v>
          </cell>
          <cell r="E122">
            <v>7683</v>
          </cell>
          <cell r="F122">
            <v>7683</v>
          </cell>
          <cell r="G122">
            <v>215776</v>
          </cell>
          <cell r="H122">
            <v>215776</v>
          </cell>
          <cell r="I122">
            <v>215776</v>
          </cell>
          <cell r="J122">
            <v>215776</v>
          </cell>
          <cell r="K122">
            <v>439235</v>
          </cell>
        </row>
        <row r="123">
          <cell r="A123" t="str">
            <v>조립식맨홀설치토공</v>
          </cell>
          <cell r="B123" t="str">
            <v>ASP 구간</v>
          </cell>
          <cell r="C123">
            <v>2</v>
          </cell>
          <cell r="D123" t="str">
            <v>개소</v>
          </cell>
          <cell r="E123">
            <v>18762</v>
          </cell>
          <cell r="F123">
            <v>37524</v>
          </cell>
          <cell r="G123">
            <v>268555</v>
          </cell>
          <cell r="H123">
            <v>537110</v>
          </cell>
          <cell r="I123">
            <v>17471</v>
          </cell>
          <cell r="J123">
            <v>34942</v>
          </cell>
          <cell r="K123">
            <v>609576</v>
          </cell>
        </row>
        <row r="124">
          <cell r="A124" t="str">
            <v>300mm</v>
          </cell>
          <cell r="B124" t="str">
            <v>C=15 구간</v>
          </cell>
          <cell r="C124">
            <v>4</v>
          </cell>
          <cell r="D124" t="str">
            <v>개소</v>
          </cell>
          <cell r="E124">
            <v>19992</v>
          </cell>
          <cell r="F124">
            <v>79968</v>
          </cell>
          <cell r="G124">
            <v>283907</v>
          </cell>
          <cell r="H124">
            <v>1135628</v>
          </cell>
          <cell r="I124">
            <v>17588</v>
          </cell>
          <cell r="J124">
            <v>70352</v>
          </cell>
          <cell r="K124">
            <v>1285948</v>
          </cell>
        </row>
        <row r="125">
          <cell r="A125" t="str">
            <v>"</v>
          </cell>
          <cell r="B125" t="str">
            <v>C=20 구간</v>
          </cell>
          <cell r="C125">
            <v>4</v>
          </cell>
          <cell r="D125" t="str">
            <v>개소</v>
          </cell>
          <cell r="E125">
            <v>19344</v>
          </cell>
          <cell r="F125">
            <v>77376</v>
          </cell>
          <cell r="G125">
            <v>299864</v>
          </cell>
          <cell r="H125">
            <v>1199456</v>
          </cell>
          <cell r="I125">
            <v>17031</v>
          </cell>
          <cell r="J125">
            <v>68124</v>
          </cell>
          <cell r="K125">
            <v>1344956</v>
          </cell>
        </row>
        <row r="126">
          <cell r="A126" t="str">
            <v>"</v>
          </cell>
          <cell r="B126" t="str">
            <v>B/L 구간</v>
          </cell>
          <cell r="C126">
            <v>1</v>
          </cell>
          <cell r="D126" t="str">
            <v>개소</v>
          </cell>
          <cell r="E126">
            <v>16284</v>
          </cell>
          <cell r="F126">
            <v>16284</v>
          </cell>
          <cell r="G126">
            <v>244506</v>
          </cell>
          <cell r="H126">
            <v>244506</v>
          </cell>
          <cell r="I126">
            <v>19084</v>
          </cell>
          <cell r="J126">
            <v>19084</v>
          </cell>
          <cell r="K126">
            <v>279874</v>
          </cell>
        </row>
        <row r="127">
          <cell r="A127" t="str">
            <v>"</v>
          </cell>
          <cell r="B127" t="str">
            <v>토사구간</v>
          </cell>
          <cell r="C127">
            <v>1</v>
          </cell>
          <cell r="D127" t="str">
            <v>개소</v>
          </cell>
          <cell r="E127">
            <v>7923</v>
          </cell>
          <cell r="F127">
            <v>7923</v>
          </cell>
          <cell r="G127">
            <v>228698</v>
          </cell>
          <cell r="H127">
            <v>228698</v>
          </cell>
          <cell r="I127">
            <v>18252</v>
          </cell>
          <cell r="J127">
            <v>18252</v>
          </cell>
          <cell r="K127">
            <v>254873</v>
          </cell>
        </row>
        <row r="128">
          <cell r="A128" t="str">
            <v>맨홀굴상및교체토공</v>
          </cell>
          <cell r="B128" t="str">
            <v>ASP</v>
          </cell>
          <cell r="C128">
            <v>2</v>
          </cell>
          <cell r="D128" t="str">
            <v>개소</v>
          </cell>
          <cell r="E128">
            <v>9590</v>
          </cell>
          <cell r="F128">
            <v>19180</v>
          </cell>
          <cell r="G128">
            <v>40870</v>
          </cell>
          <cell r="H128">
            <v>81740</v>
          </cell>
          <cell r="I128">
            <v>1580</v>
          </cell>
          <cell r="J128">
            <v>3160</v>
          </cell>
          <cell r="K128">
            <v>104080</v>
          </cell>
        </row>
        <row r="129">
          <cell r="A129" t="str">
            <v>맨홀굴상및교체토공</v>
          </cell>
          <cell r="B129" t="str">
            <v>C'ONC</v>
          </cell>
          <cell r="C129">
            <v>3</v>
          </cell>
          <cell r="D129" t="str">
            <v>개소</v>
          </cell>
          <cell r="E129">
            <v>10770</v>
          </cell>
          <cell r="F129">
            <v>32310</v>
          </cell>
          <cell r="G129">
            <v>61110</v>
          </cell>
          <cell r="H129">
            <v>183330</v>
          </cell>
          <cell r="I129">
            <v>2670</v>
          </cell>
          <cell r="J129">
            <v>8010</v>
          </cell>
          <cell r="K129">
            <v>223650</v>
          </cell>
        </row>
        <row r="130">
          <cell r="A130" t="str">
            <v>맨홀굴상및교체토공</v>
          </cell>
          <cell r="B130" t="str">
            <v>보도</v>
          </cell>
          <cell r="C130">
            <v>2</v>
          </cell>
          <cell r="D130" t="str">
            <v>개소</v>
          </cell>
          <cell r="E130">
            <v>4010</v>
          </cell>
          <cell r="F130">
            <v>8020</v>
          </cell>
          <cell r="G130">
            <v>29840</v>
          </cell>
          <cell r="H130">
            <v>59680</v>
          </cell>
          <cell r="I130">
            <v>390</v>
          </cell>
          <cell r="J130">
            <v>780</v>
          </cell>
          <cell r="K130">
            <v>68480</v>
          </cell>
        </row>
        <row r="131">
          <cell r="A131" t="str">
            <v>원형변실철거토공(A)</v>
          </cell>
          <cell r="B131" t="str">
            <v>D=80~100</v>
          </cell>
          <cell r="C131">
            <v>1</v>
          </cell>
          <cell r="D131" t="str">
            <v>개소</v>
          </cell>
          <cell r="E131">
            <v>3591</v>
          </cell>
          <cell r="F131">
            <v>3591</v>
          </cell>
          <cell r="G131">
            <v>170777</v>
          </cell>
          <cell r="H131">
            <v>170777</v>
          </cell>
          <cell r="I131">
            <v>2588</v>
          </cell>
          <cell r="J131">
            <v>2588</v>
          </cell>
          <cell r="K131">
            <v>176956</v>
          </cell>
        </row>
        <row r="132">
          <cell r="A132" t="str">
            <v>원형변실철거토공(A)</v>
          </cell>
          <cell r="B132" t="str">
            <v>D=150MM</v>
          </cell>
          <cell r="C132">
            <v>1</v>
          </cell>
          <cell r="D132" t="str">
            <v>개소</v>
          </cell>
          <cell r="E132">
            <v>3757</v>
          </cell>
          <cell r="F132">
            <v>3757</v>
          </cell>
          <cell r="G132">
            <v>189514</v>
          </cell>
          <cell r="H132">
            <v>189514</v>
          </cell>
          <cell r="I132">
            <v>2588</v>
          </cell>
          <cell r="J132">
            <v>2588</v>
          </cell>
          <cell r="K132">
            <v>195859</v>
          </cell>
        </row>
        <row r="133">
          <cell r="A133" t="str">
            <v>원형변실철거토공(A)</v>
          </cell>
          <cell r="B133" t="str">
            <v>D=200~250</v>
          </cell>
          <cell r="C133">
            <v>1</v>
          </cell>
          <cell r="D133" t="str">
            <v>개소</v>
          </cell>
          <cell r="E133">
            <v>3890</v>
          </cell>
          <cell r="F133">
            <v>3890</v>
          </cell>
          <cell r="G133">
            <v>198719</v>
          </cell>
          <cell r="H133">
            <v>198719</v>
          </cell>
          <cell r="I133">
            <v>2588</v>
          </cell>
          <cell r="J133">
            <v>2588</v>
          </cell>
          <cell r="K133">
            <v>205197</v>
          </cell>
        </row>
        <row r="134">
          <cell r="A134" t="str">
            <v>원형변실철거토공(A)</v>
          </cell>
          <cell r="B134" t="str">
            <v>D=300MM</v>
          </cell>
          <cell r="C134">
            <v>1</v>
          </cell>
          <cell r="D134" t="str">
            <v>개소</v>
          </cell>
          <cell r="E134">
            <v>4023</v>
          </cell>
          <cell r="F134">
            <v>4023</v>
          </cell>
          <cell r="G134">
            <v>197476</v>
          </cell>
          <cell r="H134">
            <v>197476</v>
          </cell>
          <cell r="I134">
            <v>2588</v>
          </cell>
          <cell r="J134">
            <v>2588</v>
          </cell>
          <cell r="K134">
            <v>204087</v>
          </cell>
        </row>
        <row r="135">
          <cell r="A135" t="str">
            <v>원형변실철거토공(C)</v>
          </cell>
          <cell r="B135" t="str">
            <v>D=80~100</v>
          </cell>
          <cell r="C135">
            <v>1</v>
          </cell>
          <cell r="D135" t="str">
            <v>개소</v>
          </cell>
          <cell r="E135">
            <v>3350</v>
          </cell>
          <cell r="F135">
            <v>3350</v>
          </cell>
          <cell r="G135">
            <v>208727</v>
          </cell>
          <cell r="H135">
            <v>208727</v>
          </cell>
          <cell r="I135">
            <v>4713</v>
          </cell>
          <cell r="J135">
            <v>4713</v>
          </cell>
          <cell r="K135">
            <v>216790</v>
          </cell>
        </row>
        <row r="136">
          <cell r="A136" t="str">
            <v>원형변실철거토공(C)</v>
          </cell>
          <cell r="B136" t="str">
            <v>D=150MM</v>
          </cell>
          <cell r="C136">
            <v>1</v>
          </cell>
          <cell r="D136" t="str">
            <v>개소</v>
          </cell>
          <cell r="E136">
            <v>3350</v>
          </cell>
          <cell r="F136">
            <v>3350</v>
          </cell>
          <cell r="G136">
            <v>227463</v>
          </cell>
          <cell r="H136">
            <v>227463</v>
          </cell>
          <cell r="I136">
            <v>4713</v>
          </cell>
          <cell r="J136">
            <v>4713</v>
          </cell>
          <cell r="K136">
            <v>235526</v>
          </cell>
        </row>
        <row r="137">
          <cell r="A137" t="str">
            <v>원형변실철거토공(C)</v>
          </cell>
          <cell r="B137" t="str">
            <v>D=200~250</v>
          </cell>
          <cell r="C137">
            <v>1</v>
          </cell>
          <cell r="D137" t="str">
            <v>개소</v>
          </cell>
          <cell r="E137">
            <v>3350</v>
          </cell>
          <cell r="F137">
            <v>3350</v>
          </cell>
          <cell r="G137">
            <v>236668</v>
          </cell>
          <cell r="H137">
            <v>236668</v>
          </cell>
          <cell r="I137">
            <v>4713</v>
          </cell>
          <cell r="J137">
            <v>4713</v>
          </cell>
          <cell r="K137">
            <v>244731</v>
          </cell>
        </row>
        <row r="138">
          <cell r="A138" t="str">
            <v>원형변실철거토공(C)</v>
          </cell>
          <cell r="B138" t="str">
            <v>D=300</v>
          </cell>
          <cell r="C138">
            <v>1</v>
          </cell>
          <cell r="D138" t="str">
            <v>개소</v>
          </cell>
          <cell r="E138">
            <v>3350</v>
          </cell>
          <cell r="F138">
            <v>3350</v>
          </cell>
          <cell r="G138">
            <v>247203</v>
          </cell>
          <cell r="H138">
            <v>247203</v>
          </cell>
          <cell r="I138">
            <v>4713</v>
          </cell>
          <cell r="J138">
            <v>4713</v>
          </cell>
          <cell r="K138">
            <v>255266</v>
          </cell>
        </row>
        <row r="139">
          <cell r="A139" t="str">
            <v>원형변실철거토공(BL)</v>
          </cell>
          <cell r="B139" t="str">
            <v>D=80~100</v>
          </cell>
          <cell r="C139">
            <v>1</v>
          </cell>
          <cell r="D139" t="str">
            <v>개소</v>
          </cell>
          <cell r="E139">
            <v>3507</v>
          </cell>
          <cell r="F139">
            <v>3507</v>
          </cell>
          <cell r="G139">
            <v>151995</v>
          </cell>
          <cell r="H139">
            <v>151995</v>
          </cell>
          <cell r="I139">
            <v>781</v>
          </cell>
          <cell r="J139">
            <v>781</v>
          </cell>
          <cell r="K139">
            <v>156283</v>
          </cell>
        </row>
        <row r="140">
          <cell r="A140" t="str">
            <v>원형변실철거토공(BL)</v>
          </cell>
          <cell r="B140" t="str">
            <v>D=150MM</v>
          </cell>
          <cell r="C140">
            <v>1</v>
          </cell>
          <cell r="D140" t="str">
            <v>개소</v>
          </cell>
          <cell r="E140">
            <v>3507</v>
          </cell>
          <cell r="F140">
            <v>3507</v>
          </cell>
          <cell r="G140">
            <v>170732</v>
          </cell>
          <cell r="H140">
            <v>170732</v>
          </cell>
          <cell r="I140">
            <v>781</v>
          </cell>
          <cell r="J140">
            <v>781</v>
          </cell>
          <cell r="K140">
            <v>175020</v>
          </cell>
        </row>
        <row r="141">
          <cell r="A141" t="str">
            <v>원형변실철거토공(BL)</v>
          </cell>
          <cell r="B141" t="str">
            <v>D=200~250</v>
          </cell>
          <cell r="C141">
            <v>1</v>
          </cell>
          <cell r="D141" t="str">
            <v>개소</v>
          </cell>
          <cell r="E141">
            <v>3507</v>
          </cell>
          <cell r="F141">
            <v>3507</v>
          </cell>
          <cell r="G141">
            <v>179937</v>
          </cell>
          <cell r="H141">
            <v>179937</v>
          </cell>
          <cell r="I141">
            <v>781</v>
          </cell>
          <cell r="J141">
            <v>781</v>
          </cell>
          <cell r="K141">
            <v>184225</v>
          </cell>
        </row>
        <row r="142">
          <cell r="A142" t="str">
            <v>원형변실철거토공(BL)</v>
          </cell>
          <cell r="B142" t="str">
            <v>D=300</v>
          </cell>
          <cell r="C142">
            <v>1</v>
          </cell>
          <cell r="D142" t="str">
            <v>개소</v>
          </cell>
          <cell r="E142">
            <v>3507</v>
          </cell>
          <cell r="F142">
            <v>3507</v>
          </cell>
          <cell r="G142">
            <v>190471</v>
          </cell>
          <cell r="H142">
            <v>190471</v>
          </cell>
          <cell r="I142">
            <v>781</v>
          </cell>
          <cell r="J142">
            <v>781</v>
          </cell>
          <cell r="K142">
            <v>194759</v>
          </cell>
        </row>
        <row r="143">
          <cell r="A143" t="str">
            <v>원형변실철거토공(토)</v>
          </cell>
          <cell r="B143" t="str">
            <v>D=80~100</v>
          </cell>
          <cell r="C143">
            <v>1</v>
          </cell>
          <cell r="D143" t="str">
            <v>개소</v>
          </cell>
          <cell r="E143">
            <v>5880</v>
          </cell>
          <cell r="F143">
            <v>5880</v>
          </cell>
          <cell r="G143">
            <v>137714</v>
          </cell>
          <cell r="H143">
            <v>3560</v>
          </cell>
          <cell r="I143">
            <v>0</v>
          </cell>
          <cell r="J143">
            <v>0</v>
          </cell>
          <cell r="K143">
            <v>9440</v>
          </cell>
        </row>
        <row r="144">
          <cell r="A144" t="str">
            <v>원형변실철거토공(토)</v>
          </cell>
          <cell r="B144" t="str">
            <v>D=150MM</v>
          </cell>
          <cell r="C144">
            <v>1</v>
          </cell>
          <cell r="D144" t="str">
            <v>개소</v>
          </cell>
          <cell r="E144">
            <v>5880</v>
          </cell>
          <cell r="F144">
            <v>5880</v>
          </cell>
          <cell r="G144">
            <v>156451</v>
          </cell>
          <cell r="H144">
            <v>3840</v>
          </cell>
          <cell r="I144">
            <v>0</v>
          </cell>
          <cell r="J144">
            <v>0</v>
          </cell>
          <cell r="K144">
            <v>9720</v>
          </cell>
        </row>
        <row r="145">
          <cell r="A145" t="str">
            <v>원형변실철거토공(토)</v>
          </cell>
          <cell r="B145" t="str">
            <v>D=200~250</v>
          </cell>
          <cell r="C145">
            <v>1</v>
          </cell>
          <cell r="D145" t="str">
            <v>개소</v>
          </cell>
          <cell r="E145">
            <v>5880</v>
          </cell>
          <cell r="F145">
            <v>5880</v>
          </cell>
          <cell r="G145">
            <v>165656</v>
          </cell>
          <cell r="H145">
            <v>4120</v>
          </cell>
          <cell r="I145">
            <v>0</v>
          </cell>
          <cell r="J145">
            <v>0</v>
          </cell>
          <cell r="K145">
            <v>10000</v>
          </cell>
        </row>
        <row r="146">
          <cell r="A146" t="str">
            <v>원형변실철거토공(토)</v>
          </cell>
          <cell r="B146" t="str">
            <v>D=300</v>
          </cell>
          <cell r="C146">
            <v>1</v>
          </cell>
          <cell r="D146" t="str">
            <v>개소</v>
          </cell>
          <cell r="E146">
            <v>5880</v>
          </cell>
          <cell r="F146">
            <v>5880</v>
          </cell>
          <cell r="G146">
            <v>176190</v>
          </cell>
          <cell r="H146">
            <v>4120</v>
          </cell>
          <cell r="I146">
            <v>0</v>
          </cell>
          <cell r="J146">
            <v>0</v>
          </cell>
          <cell r="K146">
            <v>10000</v>
          </cell>
        </row>
        <row r="147">
          <cell r="A147" t="str">
            <v>보도브럭 걷기</v>
          </cell>
          <cell r="B147" t="str">
            <v>일반보도</v>
          </cell>
          <cell r="C147">
            <v>40</v>
          </cell>
          <cell r="D147" t="str">
            <v>M^2</v>
          </cell>
          <cell r="E147">
            <v>0</v>
          </cell>
          <cell r="F147">
            <v>0</v>
          </cell>
          <cell r="G147">
            <v>1115</v>
          </cell>
          <cell r="H147">
            <v>44600</v>
          </cell>
          <cell r="J147">
            <v>0</v>
          </cell>
          <cell r="K147">
            <v>44600</v>
          </cell>
        </row>
        <row r="148">
          <cell r="A148" t="str">
            <v>보도브럭 걷기</v>
          </cell>
          <cell r="B148" t="str">
            <v>소형보도</v>
          </cell>
          <cell r="C148">
            <v>20</v>
          </cell>
          <cell r="D148" t="str">
            <v>M^2</v>
          </cell>
          <cell r="E148">
            <v>0</v>
          </cell>
          <cell r="F148">
            <v>0</v>
          </cell>
          <cell r="G148">
            <v>2135</v>
          </cell>
          <cell r="H148">
            <v>42700</v>
          </cell>
          <cell r="J148">
            <v>0</v>
          </cell>
          <cell r="K148">
            <v>42700</v>
          </cell>
        </row>
        <row r="149">
          <cell r="A149" t="str">
            <v>보도브럭 걷기</v>
          </cell>
          <cell r="B149" t="str">
            <v>대형보도</v>
          </cell>
          <cell r="C149">
            <v>5</v>
          </cell>
          <cell r="D149" t="str">
            <v>M^2</v>
          </cell>
          <cell r="E149">
            <v>0</v>
          </cell>
          <cell r="F149">
            <v>0</v>
          </cell>
          <cell r="G149">
            <v>471</v>
          </cell>
          <cell r="H149">
            <v>2355</v>
          </cell>
          <cell r="J149">
            <v>0</v>
          </cell>
          <cell r="K149">
            <v>2355</v>
          </cell>
        </row>
        <row r="150">
          <cell r="A150" t="str">
            <v>보도브럭 가복구</v>
          </cell>
          <cell r="B150" t="str">
            <v>일반보도</v>
          </cell>
          <cell r="C150">
            <v>40</v>
          </cell>
          <cell r="D150" t="str">
            <v>M^2</v>
          </cell>
          <cell r="E150">
            <v>0</v>
          </cell>
          <cell r="F150">
            <v>0</v>
          </cell>
          <cell r="G150">
            <v>1640</v>
          </cell>
          <cell r="H150">
            <v>65600</v>
          </cell>
          <cell r="I150">
            <v>82</v>
          </cell>
          <cell r="J150">
            <v>3280</v>
          </cell>
          <cell r="K150">
            <v>68880</v>
          </cell>
        </row>
        <row r="151">
          <cell r="A151" t="str">
            <v>소형고압브럭가복구</v>
          </cell>
          <cell r="B151" t="str">
            <v>소형보도</v>
          </cell>
          <cell r="C151">
            <v>20</v>
          </cell>
          <cell r="D151" t="str">
            <v>M^2</v>
          </cell>
          <cell r="E151">
            <v>0</v>
          </cell>
          <cell r="F151">
            <v>0</v>
          </cell>
          <cell r="G151">
            <v>2234</v>
          </cell>
          <cell r="H151">
            <v>44680</v>
          </cell>
          <cell r="I151">
            <v>111</v>
          </cell>
          <cell r="J151">
            <v>2220</v>
          </cell>
          <cell r="K151">
            <v>46900</v>
          </cell>
        </row>
        <row r="152">
          <cell r="A152" t="str">
            <v>대형고압브럭가복구</v>
          </cell>
          <cell r="B152" t="str">
            <v>대형보도</v>
          </cell>
          <cell r="C152">
            <v>5</v>
          </cell>
          <cell r="D152" t="str">
            <v>M^2</v>
          </cell>
          <cell r="E152">
            <v>0</v>
          </cell>
          <cell r="F152">
            <v>0</v>
          </cell>
          <cell r="G152">
            <v>2549</v>
          </cell>
          <cell r="H152">
            <v>12745</v>
          </cell>
          <cell r="I152">
            <v>127</v>
          </cell>
          <cell r="J152">
            <v>635</v>
          </cell>
          <cell r="K152">
            <v>13380</v>
          </cell>
        </row>
        <row r="153">
          <cell r="A153" t="str">
            <v>소      계</v>
          </cell>
          <cell r="B153" t="str">
            <v/>
          </cell>
          <cell r="E153" t="str">
            <v/>
          </cell>
          <cell r="F153">
            <v>2832524</v>
          </cell>
          <cell r="G153" t="str">
            <v/>
          </cell>
          <cell r="H153">
            <v>276614201</v>
          </cell>
          <cell r="I153" t="str">
            <v/>
          </cell>
          <cell r="J153">
            <v>6968719</v>
          </cell>
          <cell r="K153">
            <v>286415444</v>
          </cell>
        </row>
        <row r="154">
          <cell r="A154" t="str">
            <v>2. 포   장   공</v>
          </cell>
        </row>
        <row r="155">
          <cell r="A155" t="str">
            <v>콘크리트포장(10cm)</v>
          </cell>
          <cell r="B155" t="str">
            <v>인력</v>
          </cell>
          <cell r="C155">
            <v>60</v>
          </cell>
          <cell r="D155" t="str">
            <v>M^2</v>
          </cell>
          <cell r="E155">
            <v>2870</v>
          </cell>
          <cell r="F155">
            <v>172200</v>
          </cell>
          <cell r="G155">
            <v>12390</v>
          </cell>
          <cell r="H155">
            <v>743400</v>
          </cell>
          <cell r="I155">
            <v>670</v>
          </cell>
          <cell r="J155">
            <v>40200</v>
          </cell>
          <cell r="K155">
            <v>955800</v>
          </cell>
        </row>
        <row r="156">
          <cell r="A156" t="str">
            <v>콘크리트포장(15cm)</v>
          </cell>
          <cell r="B156" t="str">
            <v>인력</v>
          </cell>
          <cell r="C156">
            <v>700</v>
          </cell>
          <cell r="D156" t="str">
            <v>M^2</v>
          </cell>
          <cell r="E156">
            <v>4140</v>
          </cell>
          <cell r="F156">
            <v>2898000</v>
          </cell>
          <cell r="G156">
            <v>18260</v>
          </cell>
          <cell r="H156">
            <v>12782000</v>
          </cell>
          <cell r="I156">
            <v>970</v>
          </cell>
          <cell r="J156">
            <v>679000</v>
          </cell>
          <cell r="K156">
            <v>16359000</v>
          </cell>
        </row>
        <row r="157">
          <cell r="A157" t="str">
            <v>콘크리트포장(20cm)</v>
          </cell>
          <cell r="B157" t="str">
            <v>인력</v>
          </cell>
          <cell r="C157">
            <v>30</v>
          </cell>
          <cell r="D157" t="str">
            <v>M^2</v>
          </cell>
          <cell r="E157">
            <v>5420</v>
          </cell>
          <cell r="F157">
            <v>162600</v>
          </cell>
          <cell r="G157">
            <v>24130</v>
          </cell>
          <cell r="H157">
            <v>723900</v>
          </cell>
          <cell r="I157">
            <v>1270</v>
          </cell>
          <cell r="J157">
            <v>38100</v>
          </cell>
          <cell r="K157">
            <v>924600</v>
          </cell>
        </row>
        <row r="158">
          <cell r="A158" t="str">
            <v>보조기층공(t=15cm)</v>
          </cell>
          <cell r="B158" t="str">
            <v>인력</v>
          </cell>
          <cell r="C158">
            <v>10</v>
          </cell>
          <cell r="D158" t="str">
            <v>M^2</v>
          </cell>
          <cell r="E158">
            <v>1721</v>
          </cell>
          <cell r="F158">
            <v>17210</v>
          </cell>
          <cell r="G158">
            <v>6473</v>
          </cell>
          <cell r="H158">
            <v>64730</v>
          </cell>
          <cell r="I158">
            <v>413</v>
          </cell>
          <cell r="J158">
            <v>4130</v>
          </cell>
          <cell r="K158">
            <v>86070</v>
          </cell>
        </row>
        <row r="159">
          <cell r="A159" t="str">
            <v>보조기층공(t=20cm)</v>
          </cell>
          <cell r="B159" t="str">
            <v>인력</v>
          </cell>
          <cell r="C159">
            <v>10</v>
          </cell>
          <cell r="D159" t="str">
            <v>M^2</v>
          </cell>
          <cell r="E159">
            <v>2261</v>
          </cell>
          <cell r="F159">
            <v>22610</v>
          </cell>
          <cell r="G159">
            <v>8552</v>
          </cell>
          <cell r="H159">
            <v>85520</v>
          </cell>
          <cell r="I159">
            <v>542</v>
          </cell>
          <cell r="J159">
            <v>5420</v>
          </cell>
          <cell r="K159">
            <v>113550</v>
          </cell>
        </row>
        <row r="160">
          <cell r="A160" t="str">
            <v>보도브럭 복구</v>
          </cell>
          <cell r="B160" t="str">
            <v>30% 손실</v>
          </cell>
          <cell r="C160">
            <v>40</v>
          </cell>
          <cell r="D160" t="str">
            <v>M^2</v>
          </cell>
          <cell r="E160">
            <v>1355</v>
          </cell>
          <cell r="F160">
            <v>54200</v>
          </cell>
          <cell r="G160">
            <v>3484</v>
          </cell>
          <cell r="H160">
            <v>139360</v>
          </cell>
          <cell r="I160">
            <v>180</v>
          </cell>
          <cell r="J160">
            <v>7200</v>
          </cell>
          <cell r="K160">
            <v>200760</v>
          </cell>
        </row>
        <row r="161">
          <cell r="A161" t="str">
            <v>소형고압브럭 복구</v>
          </cell>
          <cell r="B161" t="str">
            <v>30% 손실</v>
          </cell>
          <cell r="C161">
            <v>20</v>
          </cell>
          <cell r="D161" t="str">
            <v>M^2</v>
          </cell>
          <cell r="E161">
            <v>2441</v>
          </cell>
          <cell r="F161">
            <v>48820</v>
          </cell>
          <cell r="G161">
            <v>4639</v>
          </cell>
          <cell r="H161">
            <v>92780</v>
          </cell>
          <cell r="I161">
            <v>370</v>
          </cell>
          <cell r="J161">
            <v>7400</v>
          </cell>
          <cell r="K161">
            <v>149000</v>
          </cell>
        </row>
        <row r="162">
          <cell r="A162" t="str">
            <v>대형고압브럭 복구</v>
          </cell>
          <cell r="B162" t="str">
            <v>30% 손실</v>
          </cell>
          <cell r="C162">
            <v>5</v>
          </cell>
          <cell r="D162" t="str">
            <v>M^2</v>
          </cell>
          <cell r="E162">
            <v>10564</v>
          </cell>
          <cell r="F162">
            <v>52820</v>
          </cell>
          <cell r="G162">
            <v>6224</v>
          </cell>
          <cell r="H162">
            <v>31120</v>
          </cell>
          <cell r="I162">
            <v>539</v>
          </cell>
          <cell r="J162">
            <v>2695</v>
          </cell>
          <cell r="K162">
            <v>86635</v>
          </cell>
        </row>
        <row r="163">
          <cell r="A163" t="str">
            <v>소      계</v>
          </cell>
          <cell r="B163" t="str">
            <v/>
          </cell>
          <cell r="D163" t="str">
            <v/>
          </cell>
          <cell r="E163" t="str">
            <v/>
          </cell>
          <cell r="F163">
            <v>3428460</v>
          </cell>
          <cell r="G163" t="str">
            <v/>
          </cell>
          <cell r="H163">
            <v>14662810</v>
          </cell>
          <cell r="I163" t="str">
            <v/>
          </cell>
          <cell r="J163">
            <v>784145</v>
          </cell>
          <cell r="K163">
            <v>18875415</v>
          </cell>
        </row>
        <row r="164">
          <cell r="A164" t="str">
            <v>3. 부   설   공</v>
          </cell>
          <cell r="K164">
            <v>0</v>
          </cell>
        </row>
        <row r="165">
          <cell r="A165" t="str">
            <v>S.T.S 관 부설공</v>
          </cell>
          <cell r="B165" t="str">
            <v>D =13</v>
          </cell>
          <cell r="C165">
            <v>40</v>
          </cell>
          <cell r="D165" t="str">
            <v>M</v>
          </cell>
          <cell r="E165">
            <v>0</v>
          </cell>
          <cell r="F165">
            <v>0</v>
          </cell>
          <cell r="G165">
            <v>1900</v>
          </cell>
          <cell r="H165">
            <v>76000</v>
          </cell>
          <cell r="I165">
            <v>50</v>
          </cell>
          <cell r="J165">
            <v>2000</v>
          </cell>
          <cell r="K165">
            <v>78000</v>
          </cell>
        </row>
        <row r="166">
          <cell r="A166" t="str">
            <v>S.T.S 관 부설공</v>
          </cell>
          <cell r="B166" t="str">
            <v>D =20</v>
          </cell>
          <cell r="C166">
            <v>1400</v>
          </cell>
          <cell r="D166" t="str">
            <v>M</v>
          </cell>
          <cell r="E166">
            <v>0</v>
          </cell>
          <cell r="F166">
            <v>0</v>
          </cell>
          <cell r="G166">
            <v>2010</v>
          </cell>
          <cell r="H166">
            <v>2814000</v>
          </cell>
          <cell r="I166">
            <v>60</v>
          </cell>
          <cell r="J166">
            <v>84000</v>
          </cell>
          <cell r="K166">
            <v>2898000</v>
          </cell>
        </row>
        <row r="167">
          <cell r="A167" t="str">
            <v>S.T.S 관 부설공</v>
          </cell>
          <cell r="B167" t="str">
            <v>D =25</v>
          </cell>
          <cell r="C167">
            <v>150</v>
          </cell>
          <cell r="D167" t="str">
            <v>M</v>
          </cell>
          <cell r="E167">
            <v>0</v>
          </cell>
          <cell r="F167">
            <v>0</v>
          </cell>
          <cell r="G167">
            <v>2400</v>
          </cell>
          <cell r="H167">
            <v>360000</v>
          </cell>
          <cell r="I167">
            <v>70</v>
          </cell>
          <cell r="J167">
            <v>10500</v>
          </cell>
          <cell r="K167">
            <v>370500</v>
          </cell>
        </row>
        <row r="168">
          <cell r="A168" t="str">
            <v>S.T.S 관 부설공</v>
          </cell>
          <cell r="B168" t="str">
            <v>D =30</v>
          </cell>
          <cell r="C168">
            <v>10</v>
          </cell>
          <cell r="D168" t="str">
            <v>M</v>
          </cell>
          <cell r="E168">
            <v>0</v>
          </cell>
          <cell r="F168">
            <v>0</v>
          </cell>
          <cell r="G168">
            <v>3420</v>
          </cell>
          <cell r="H168">
            <v>34200</v>
          </cell>
          <cell r="I168">
            <v>100</v>
          </cell>
          <cell r="J168">
            <v>1000</v>
          </cell>
          <cell r="K168">
            <v>35200</v>
          </cell>
        </row>
        <row r="169">
          <cell r="A169" t="str">
            <v>S.T.S 관 부설공</v>
          </cell>
          <cell r="B169" t="str">
            <v>D =40</v>
          </cell>
          <cell r="C169">
            <v>150</v>
          </cell>
          <cell r="D169" t="str">
            <v>M</v>
          </cell>
          <cell r="E169">
            <v>0</v>
          </cell>
          <cell r="F169">
            <v>0</v>
          </cell>
          <cell r="G169">
            <v>4400</v>
          </cell>
          <cell r="H169">
            <v>660000</v>
          </cell>
          <cell r="I169">
            <v>130</v>
          </cell>
          <cell r="J169">
            <v>19500</v>
          </cell>
          <cell r="K169">
            <v>679500</v>
          </cell>
        </row>
        <row r="170">
          <cell r="A170" t="str">
            <v>S.T.S 관 부설공</v>
          </cell>
          <cell r="B170" t="str">
            <v>D =50</v>
          </cell>
          <cell r="C170">
            <v>30</v>
          </cell>
          <cell r="D170" t="str">
            <v>M</v>
          </cell>
          <cell r="E170">
            <v>0</v>
          </cell>
          <cell r="F170">
            <v>0</v>
          </cell>
          <cell r="G170">
            <v>5080</v>
          </cell>
          <cell r="H170">
            <v>152400</v>
          </cell>
          <cell r="I170">
            <v>150</v>
          </cell>
          <cell r="J170">
            <v>4500</v>
          </cell>
          <cell r="K170">
            <v>156900</v>
          </cell>
        </row>
        <row r="171">
          <cell r="A171" t="str">
            <v>분수관 분기공</v>
          </cell>
          <cell r="B171" t="str">
            <v>D =20</v>
          </cell>
          <cell r="C171">
            <v>210</v>
          </cell>
          <cell r="D171" t="str">
            <v>개소</v>
          </cell>
          <cell r="E171">
            <v>0</v>
          </cell>
          <cell r="F171">
            <v>0</v>
          </cell>
          <cell r="G171">
            <v>38800</v>
          </cell>
          <cell r="H171">
            <v>8148000</v>
          </cell>
          <cell r="I171">
            <v>720</v>
          </cell>
          <cell r="J171">
            <v>151200</v>
          </cell>
          <cell r="K171">
            <v>8299200</v>
          </cell>
        </row>
        <row r="172">
          <cell r="A172" t="str">
            <v>분수관 분기공</v>
          </cell>
          <cell r="B172" t="str">
            <v>D =25</v>
          </cell>
          <cell r="C172">
            <v>60</v>
          </cell>
          <cell r="D172" t="str">
            <v>개소</v>
          </cell>
          <cell r="E172">
            <v>0</v>
          </cell>
          <cell r="F172">
            <v>0</v>
          </cell>
          <cell r="G172">
            <v>48500</v>
          </cell>
          <cell r="H172">
            <v>2910000</v>
          </cell>
          <cell r="I172">
            <v>910</v>
          </cell>
          <cell r="J172">
            <v>54600</v>
          </cell>
          <cell r="K172">
            <v>2964600</v>
          </cell>
        </row>
        <row r="173">
          <cell r="A173" t="str">
            <v>분수관 분기공</v>
          </cell>
          <cell r="B173" t="str">
            <v>D =40</v>
          </cell>
          <cell r="C173">
            <v>4</v>
          </cell>
          <cell r="D173" t="str">
            <v>개소</v>
          </cell>
          <cell r="E173">
            <v>0</v>
          </cell>
          <cell r="F173">
            <v>0</v>
          </cell>
          <cell r="G173">
            <v>62500</v>
          </cell>
          <cell r="H173">
            <v>250000</v>
          </cell>
          <cell r="I173">
            <v>1190</v>
          </cell>
          <cell r="J173">
            <v>4760</v>
          </cell>
          <cell r="K173">
            <v>254760</v>
          </cell>
        </row>
        <row r="174">
          <cell r="A174" t="str">
            <v>분수관 분기공</v>
          </cell>
          <cell r="B174" t="str">
            <v>D =50</v>
          </cell>
          <cell r="C174">
            <v>4</v>
          </cell>
          <cell r="D174" t="str">
            <v>개소</v>
          </cell>
          <cell r="E174">
            <v>0</v>
          </cell>
          <cell r="F174">
            <v>0</v>
          </cell>
          <cell r="G174">
            <v>72500</v>
          </cell>
          <cell r="H174">
            <v>290000</v>
          </cell>
          <cell r="I174">
            <v>1430</v>
          </cell>
          <cell r="J174">
            <v>5720</v>
          </cell>
          <cell r="K174">
            <v>295720</v>
          </cell>
        </row>
        <row r="175">
          <cell r="A175" t="str">
            <v>정자관 분기공</v>
          </cell>
          <cell r="B175" t="str">
            <v>D =13~25</v>
          </cell>
          <cell r="C175">
            <v>15</v>
          </cell>
          <cell r="D175" t="str">
            <v>개소</v>
          </cell>
          <cell r="E175">
            <v>0</v>
          </cell>
          <cell r="F175">
            <v>0</v>
          </cell>
          <cell r="G175">
            <v>23500</v>
          </cell>
          <cell r="H175">
            <v>352500</v>
          </cell>
          <cell r="I175">
            <v>450</v>
          </cell>
          <cell r="J175">
            <v>6750</v>
          </cell>
          <cell r="K175">
            <v>359250</v>
          </cell>
        </row>
        <row r="176">
          <cell r="A176" t="str">
            <v>정자관 분기공</v>
          </cell>
          <cell r="B176" t="str">
            <v>D =30~50</v>
          </cell>
          <cell r="C176">
            <v>10</v>
          </cell>
          <cell r="D176" t="str">
            <v>개소</v>
          </cell>
          <cell r="E176">
            <v>0</v>
          </cell>
          <cell r="F176">
            <v>0</v>
          </cell>
          <cell r="G176">
            <v>32500</v>
          </cell>
          <cell r="H176">
            <v>325000</v>
          </cell>
          <cell r="I176">
            <v>630</v>
          </cell>
          <cell r="J176">
            <v>6300</v>
          </cell>
          <cell r="K176">
            <v>331300</v>
          </cell>
        </row>
        <row r="177">
          <cell r="A177" t="str">
            <v>페파솔 접합공</v>
          </cell>
          <cell r="B177" t="str">
            <v>D =13</v>
          </cell>
          <cell r="C177">
            <v>210</v>
          </cell>
          <cell r="D177" t="str">
            <v>개소</v>
          </cell>
          <cell r="E177">
            <v>0</v>
          </cell>
          <cell r="F177">
            <v>0</v>
          </cell>
          <cell r="G177">
            <v>2870</v>
          </cell>
          <cell r="H177">
            <v>602700</v>
          </cell>
          <cell r="I177">
            <v>80</v>
          </cell>
          <cell r="J177">
            <v>16800</v>
          </cell>
          <cell r="K177">
            <v>619500</v>
          </cell>
        </row>
        <row r="178">
          <cell r="A178" t="str">
            <v>페파솔 접합공</v>
          </cell>
          <cell r="B178" t="str">
            <v>D =20</v>
          </cell>
          <cell r="C178">
            <v>40</v>
          </cell>
          <cell r="D178" t="str">
            <v>개소</v>
          </cell>
          <cell r="F178">
            <v>0</v>
          </cell>
          <cell r="G178">
            <v>3290</v>
          </cell>
          <cell r="H178">
            <v>131600</v>
          </cell>
          <cell r="I178">
            <v>90</v>
          </cell>
          <cell r="J178">
            <v>3600</v>
          </cell>
          <cell r="K178">
            <v>135200</v>
          </cell>
        </row>
        <row r="179">
          <cell r="A179" t="str">
            <v>페파솔 접합공</v>
          </cell>
          <cell r="B179" t="str">
            <v>D =25</v>
          </cell>
          <cell r="C179">
            <v>20</v>
          </cell>
          <cell r="D179" t="str">
            <v>개소</v>
          </cell>
          <cell r="F179">
            <v>0</v>
          </cell>
          <cell r="G179">
            <v>4510</v>
          </cell>
          <cell r="H179">
            <v>90200</v>
          </cell>
          <cell r="I179">
            <v>130</v>
          </cell>
          <cell r="J179">
            <v>2600</v>
          </cell>
          <cell r="K179">
            <v>92800</v>
          </cell>
        </row>
        <row r="180">
          <cell r="A180" t="str">
            <v>페파솔 접합공</v>
          </cell>
          <cell r="B180" t="str">
            <v>D =30</v>
          </cell>
          <cell r="C180">
            <v>10</v>
          </cell>
          <cell r="D180" t="str">
            <v>개소</v>
          </cell>
          <cell r="F180">
            <v>0</v>
          </cell>
          <cell r="G180">
            <v>1691</v>
          </cell>
          <cell r="H180">
            <v>16910</v>
          </cell>
          <cell r="I180">
            <v>50</v>
          </cell>
          <cell r="J180">
            <v>500</v>
          </cell>
          <cell r="K180">
            <v>17410</v>
          </cell>
        </row>
        <row r="181">
          <cell r="A181" t="str">
            <v>페파솔 접합공</v>
          </cell>
          <cell r="B181" t="str">
            <v>D =40</v>
          </cell>
          <cell r="C181">
            <v>10</v>
          </cell>
          <cell r="D181" t="str">
            <v>개소</v>
          </cell>
          <cell r="F181">
            <v>0</v>
          </cell>
          <cell r="G181">
            <v>5740</v>
          </cell>
          <cell r="H181">
            <v>57400</v>
          </cell>
          <cell r="I181">
            <v>170</v>
          </cell>
          <cell r="J181">
            <v>1700</v>
          </cell>
          <cell r="K181">
            <v>59100</v>
          </cell>
        </row>
        <row r="182">
          <cell r="A182" t="str">
            <v>페파솔 접합공</v>
          </cell>
          <cell r="B182" t="str">
            <v>D =50</v>
          </cell>
          <cell r="C182">
            <v>10</v>
          </cell>
          <cell r="D182" t="str">
            <v>개소</v>
          </cell>
          <cell r="F182">
            <v>0</v>
          </cell>
          <cell r="G182">
            <v>6960</v>
          </cell>
          <cell r="H182">
            <v>69600</v>
          </cell>
          <cell r="I182">
            <v>200</v>
          </cell>
          <cell r="J182">
            <v>2000</v>
          </cell>
          <cell r="K182">
            <v>71600</v>
          </cell>
        </row>
        <row r="183">
          <cell r="A183" t="str">
            <v>드레샤죠인트접합</v>
          </cell>
          <cell r="B183" t="str">
            <v>D =13</v>
          </cell>
          <cell r="C183">
            <v>10</v>
          </cell>
          <cell r="D183" t="str">
            <v>개소</v>
          </cell>
          <cell r="E183">
            <v>0</v>
          </cell>
          <cell r="F183">
            <v>0</v>
          </cell>
          <cell r="G183">
            <v>3510</v>
          </cell>
          <cell r="H183">
            <v>35100</v>
          </cell>
          <cell r="I183">
            <v>0</v>
          </cell>
          <cell r="J183">
            <v>0</v>
          </cell>
          <cell r="K183">
            <v>35100</v>
          </cell>
        </row>
        <row r="184">
          <cell r="A184" t="str">
            <v>드레샤죠인트접합</v>
          </cell>
          <cell r="B184" t="str">
            <v>D =20</v>
          </cell>
          <cell r="C184">
            <v>4</v>
          </cell>
          <cell r="D184" t="str">
            <v>개소</v>
          </cell>
          <cell r="E184">
            <v>0</v>
          </cell>
          <cell r="F184">
            <v>0</v>
          </cell>
          <cell r="G184">
            <v>4280</v>
          </cell>
          <cell r="H184">
            <v>17120</v>
          </cell>
          <cell r="I184">
            <v>0</v>
          </cell>
          <cell r="J184">
            <v>0</v>
          </cell>
          <cell r="K184">
            <v>17120</v>
          </cell>
        </row>
        <row r="185">
          <cell r="A185" t="str">
            <v>드레샤죠인트접합</v>
          </cell>
          <cell r="B185" t="str">
            <v>D =25</v>
          </cell>
          <cell r="C185">
            <v>3</v>
          </cell>
          <cell r="D185" t="str">
            <v>개소</v>
          </cell>
          <cell r="E185">
            <v>0</v>
          </cell>
          <cell r="F185">
            <v>0</v>
          </cell>
          <cell r="G185">
            <v>5700</v>
          </cell>
          <cell r="H185">
            <v>17100</v>
          </cell>
          <cell r="I185">
            <v>0</v>
          </cell>
          <cell r="J185">
            <v>0</v>
          </cell>
          <cell r="K185">
            <v>17100</v>
          </cell>
        </row>
        <row r="186">
          <cell r="A186" t="str">
            <v>드레샤죠인트접합</v>
          </cell>
          <cell r="B186" t="str">
            <v>D =30</v>
          </cell>
          <cell r="C186">
            <v>1</v>
          </cell>
          <cell r="D186" t="str">
            <v>개소</v>
          </cell>
          <cell r="E186">
            <v>0</v>
          </cell>
          <cell r="F186">
            <v>0</v>
          </cell>
          <cell r="G186">
            <v>6600</v>
          </cell>
          <cell r="H186">
            <v>6600</v>
          </cell>
          <cell r="I186">
            <v>0</v>
          </cell>
          <cell r="J186">
            <v>0</v>
          </cell>
          <cell r="K186">
            <v>6600</v>
          </cell>
        </row>
        <row r="187">
          <cell r="A187" t="str">
            <v>드레샤죠인트접합</v>
          </cell>
          <cell r="B187" t="str">
            <v>D =40</v>
          </cell>
          <cell r="C187">
            <v>1</v>
          </cell>
          <cell r="D187" t="str">
            <v>개소</v>
          </cell>
          <cell r="E187">
            <v>0</v>
          </cell>
          <cell r="F187">
            <v>0</v>
          </cell>
          <cell r="G187">
            <v>7400</v>
          </cell>
          <cell r="H187">
            <v>7400</v>
          </cell>
          <cell r="I187">
            <v>0</v>
          </cell>
          <cell r="J187">
            <v>0</v>
          </cell>
          <cell r="K187">
            <v>7400</v>
          </cell>
        </row>
        <row r="188">
          <cell r="A188" t="str">
            <v>드레샤죠인트접합</v>
          </cell>
          <cell r="B188" t="str">
            <v>D =50</v>
          </cell>
          <cell r="C188">
            <v>1</v>
          </cell>
          <cell r="D188" t="str">
            <v>개소</v>
          </cell>
          <cell r="E188">
            <v>0</v>
          </cell>
          <cell r="F188">
            <v>0</v>
          </cell>
          <cell r="G188">
            <v>8800</v>
          </cell>
          <cell r="H188">
            <v>8800</v>
          </cell>
          <cell r="I188">
            <v>0</v>
          </cell>
          <cell r="J188">
            <v>0</v>
          </cell>
          <cell r="K188">
            <v>8800</v>
          </cell>
        </row>
        <row r="189">
          <cell r="A189" t="str">
            <v>와사관 철거공</v>
          </cell>
          <cell r="B189" t="str">
            <v>D =13</v>
          </cell>
          <cell r="C189">
            <v>60</v>
          </cell>
          <cell r="D189" t="str">
            <v>개소</v>
          </cell>
          <cell r="E189">
            <v>0</v>
          </cell>
          <cell r="F189">
            <v>0</v>
          </cell>
          <cell r="G189">
            <v>1430</v>
          </cell>
          <cell r="H189">
            <v>85800</v>
          </cell>
          <cell r="I189">
            <v>40</v>
          </cell>
          <cell r="J189">
            <v>2400</v>
          </cell>
          <cell r="K189">
            <v>88200</v>
          </cell>
        </row>
        <row r="190">
          <cell r="A190" t="str">
            <v>와사관 철거공</v>
          </cell>
          <cell r="B190" t="str">
            <v>D =20</v>
          </cell>
          <cell r="C190">
            <v>20</v>
          </cell>
          <cell r="D190" t="str">
            <v>개소</v>
          </cell>
          <cell r="E190">
            <v>0</v>
          </cell>
          <cell r="F190">
            <v>0</v>
          </cell>
          <cell r="G190">
            <v>1640</v>
          </cell>
          <cell r="H190">
            <v>32800</v>
          </cell>
          <cell r="I190">
            <v>40</v>
          </cell>
          <cell r="J190">
            <v>800</v>
          </cell>
          <cell r="K190">
            <v>33600</v>
          </cell>
        </row>
        <row r="191">
          <cell r="A191" t="str">
            <v>와사관 철거공</v>
          </cell>
          <cell r="B191" t="str">
            <v>D =25</v>
          </cell>
          <cell r="C191">
            <v>10</v>
          </cell>
          <cell r="D191" t="str">
            <v>개소</v>
          </cell>
          <cell r="E191">
            <v>0</v>
          </cell>
          <cell r="F191">
            <v>0</v>
          </cell>
          <cell r="G191">
            <v>2250</v>
          </cell>
          <cell r="H191">
            <v>22500</v>
          </cell>
          <cell r="I191">
            <v>60</v>
          </cell>
          <cell r="J191">
            <v>600</v>
          </cell>
          <cell r="K191">
            <v>23100</v>
          </cell>
        </row>
        <row r="192">
          <cell r="A192" t="str">
            <v>와사관 철거공</v>
          </cell>
          <cell r="B192" t="str">
            <v>D =30</v>
          </cell>
          <cell r="C192">
            <v>3</v>
          </cell>
          <cell r="D192" t="str">
            <v>개소</v>
          </cell>
          <cell r="E192">
            <v>0</v>
          </cell>
          <cell r="F192">
            <v>0</v>
          </cell>
          <cell r="G192">
            <v>2660</v>
          </cell>
          <cell r="H192">
            <v>7980</v>
          </cell>
          <cell r="I192">
            <v>70</v>
          </cell>
          <cell r="J192">
            <v>210</v>
          </cell>
          <cell r="K192">
            <v>8190</v>
          </cell>
        </row>
        <row r="193">
          <cell r="A193" t="str">
            <v>와사관 철거공</v>
          </cell>
          <cell r="B193" t="str">
            <v>D =40</v>
          </cell>
          <cell r="C193">
            <v>10</v>
          </cell>
          <cell r="D193" t="str">
            <v>개소</v>
          </cell>
          <cell r="E193">
            <v>0</v>
          </cell>
          <cell r="F193">
            <v>0</v>
          </cell>
          <cell r="G193">
            <v>2870</v>
          </cell>
          <cell r="H193">
            <v>28700</v>
          </cell>
          <cell r="I193">
            <v>80</v>
          </cell>
          <cell r="J193">
            <v>800</v>
          </cell>
          <cell r="K193">
            <v>29500</v>
          </cell>
        </row>
        <row r="194">
          <cell r="A194" t="str">
            <v>와사관 철거공</v>
          </cell>
          <cell r="B194" t="str">
            <v>D =50</v>
          </cell>
          <cell r="C194">
            <v>5</v>
          </cell>
          <cell r="D194" t="str">
            <v>개소</v>
          </cell>
          <cell r="E194">
            <v>0</v>
          </cell>
          <cell r="F194">
            <v>0</v>
          </cell>
          <cell r="G194">
            <v>3480</v>
          </cell>
          <cell r="H194">
            <v>17400</v>
          </cell>
          <cell r="I194">
            <v>100</v>
          </cell>
          <cell r="J194">
            <v>500</v>
          </cell>
          <cell r="K194">
            <v>17900</v>
          </cell>
        </row>
        <row r="195">
          <cell r="A195" t="str">
            <v>PVC 관 철거공</v>
          </cell>
          <cell r="B195" t="str">
            <v>D =13</v>
          </cell>
          <cell r="C195">
            <v>1</v>
          </cell>
          <cell r="D195" t="str">
            <v>개소</v>
          </cell>
          <cell r="E195">
            <v>0</v>
          </cell>
          <cell r="F195">
            <v>0</v>
          </cell>
          <cell r="G195">
            <v>617</v>
          </cell>
          <cell r="H195">
            <v>617</v>
          </cell>
          <cell r="I195">
            <v>0</v>
          </cell>
          <cell r="J195">
            <v>0</v>
          </cell>
          <cell r="K195">
            <v>617</v>
          </cell>
        </row>
        <row r="196">
          <cell r="A196" t="str">
            <v>PVC 관 철거공</v>
          </cell>
          <cell r="B196" t="str">
            <v>D =20</v>
          </cell>
          <cell r="C196">
            <v>1</v>
          </cell>
          <cell r="D196" t="str">
            <v>개소</v>
          </cell>
          <cell r="E196">
            <v>0</v>
          </cell>
          <cell r="F196">
            <v>0</v>
          </cell>
          <cell r="G196">
            <v>759</v>
          </cell>
          <cell r="H196">
            <v>759</v>
          </cell>
          <cell r="I196">
            <v>0</v>
          </cell>
          <cell r="J196">
            <v>0</v>
          </cell>
          <cell r="K196">
            <v>759</v>
          </cell>
        </row>
        <row r="197">
          <cell r="A197" t="str">
            <v>PVC 관 철거공</v>
          </cell>
          <cell r="B197" t="str">
            <v>D =25</v>
          </cell>
          <cell r="C197">
            <v>1</v>
          </cell>
          <cell r="D197" t="str">
            <v>개소</v>
          </cell>
          <cell r="E197">
            <v>0</v>
          </cell>
          <cell r="F197">
            <v>0</v>
          </cell>
          <cell r="G197">
            <v>759</v>
          </cell>
          <cell r="H197">
            <v>759</v>
          </cell>
          <cell r="I197">
            <v>0</v>
          </cell>
          <cell r="J197">
            <v>0</v>
          </cell>
          <cell r="K197">
            <v>759</v>
          </cell>
        </row>
        <row r="198">
          <cell r="A198" t="str">
            <v>PVC 관 철거공</v>
          </cell>
          <cell r="B198" t="str">
            <v>D =30</v>
          </cell>
          <cell r="C198">
            <v>1</v>
          </cell>
          <cell r="D198" t="str">
            <v>개소</v>
          </cell>
          <cell r="E198">
            <v>0</v>
          </cell>
          <cell r="F198">
            <v>0</v>
          </cell>
          <cell r="G198">
            <v>799</v>
          </cell>
          <cell r="H198">
            <v>799</v>
          </cell>
          <cell r="I198">
            <v>0</v>
          </cell>
          <cell r="J198">
            <v>0</v>
          </cell>
          <cell r="K198">
            <v>799</v>
          </cell>
        </row>
        <row r="199">
          <cell r="A199" t="str">
            <v>PVC 관 철거공</v>
          </cell>
          <cell r="B199" t="str">
            <v>D =40</v>
          </cell>
          <cell r="C199">
            <v>1</v>
          </cell>
          <cell r="D199" t="str">
            <v>개소</v>
          </cell>
          <cell r="E199">
            <v>0</v>
          </cell>
          <cell r="F199">
            <v>0</v>
          </cell>
          <cell r="G199">
            <v>973</v>
          </cell>
          <cell r="H199">
            <v>973</v>
          </cell>
          <cell r="I199">
            <v>0</v>
          </cell>
          <cell r="J199">
            <v>0</v>
          </cell>
          <cell r="K199">
            <v>973</v>
          </cell>
        </row>
        <row r="200">
          <cell r="A200" t="str">
            <v>PVC 관 철거공</v>
          </cell>
          <cell r="B200" t="str">
            <v>D =50</v>
          </cell>
          <cell r="C200">
            <v>1</v>
          </cell>
          <cell r="D200" t="str">
            <v>개소</v>
          </cell>
          <cell r="E200">
            <v>0</v>
          </cell>
          <cell r="F200">
            <v>0</v>
          </cell>
          <cell r="G200">
            <v>1168</v>
          </cell>
          <cell r="H200">
            <v>1168</v>
          </cell>
          <cell r="I200">
            <v>0</v>
          </cell>
          <cell r="J200">
            <v>0</v>
          </cell>
          <cell r="K200">
            <v>1168</v>
          </cell>
        </row>
        <row r="201">
          <cell r="A201" t="str">
            <v>계량기 설치공</v>
          </cell>
          <cell r="B201" t="str">
            <v>D =13</v>
          </cell>
          <cell r="C201">
            <v>240</v>
          </cell>
          <cell r="D201" t="str">
            <v>개소</v>
          </cell>
          <cell r="E201">
            <v>0</v>
          </cell>
          <cell r="F201">
            <v>0</v>
          </cell>
          <cell r="G201">
            <v>15800</v>
          </cell>
          <cell r="H201">
            <v>3792000</v>
          </cell>
          <cell r="I201">
            <v>300</v>
          </cell>
          <cell r="J201">
            <v>72000</v>
          </cell>
          <cell r="K201">
            <v>3864000</v>
          </cell>
        </row>
        <row r="202">
          <cell r="A202" t="str">
            <v>계량기 설치공</v>
          </cell>
          <cell r="B202" t="str">
            <v>D =20~25</v>
          </cell>
          <cell r="C202">
            <v>50</v>
          </cell>
          <cell r="D202" t="str">
            <v>개소</v>
          </cell>
          <cell r="E202">
            <v>0</v>
          </cell>
          <cell r="F202">
            <v>0</v>
          </cell>
          <cell r="G202">
            <v>19500</v>
          </cell>
          <cell r="H202">
            <v>975000</v>
          </cell>
          <cell r="I202">
            <v>380</v>
          </cell>
          <cell r="J202">
            <v>19000</v>
          </cell>
          <cell r="K202">
            <v>994000</v>
          </cell>
        </row>
        <row r="203">
          <cell r="A203" t="str">
            <v>계량기 설치공</v>
          </cell>
          <cell r="B203" t="str">
            <v>D =40~50</v>
          </cell>
          <cell r="C203">
            <v>5</v>
          </cell>
          <cell r="D203" t="str">
            <v>개소</v>
          </cell>
          <cell r="E203">
            <v>0</v>
          </cell>
          <cell r="F203">
            <v>0</v>
          </cell>
          <cell r="G203">
            <v>22500</v>
          </cell>
          <cell r="H203">
            <v>112500</v>
          </cell>
          <cell r="I203">
            <v>440</v>
          </cell>
          <cell r="J203">
            <v>2200</v>
          </cell>
          <cell r="K203">
            <v>114700</v>
          </cell>
        </row>
        <row r="204">
          <cell r="A204" t="str">
            <v>게량기 설치공 (벽체)</v>
          </cell>
          <cell r="B204" t="str">
            <v>D =13</v>
          </cell>
          <cell r="C204">
            <v>30</v>
          </cell>
          <cell r="D204" t="str">
            <v>개소</v>
          </cell>
          <cell r="E204">
            <v>0</v>
          </cell>
          <cell r="F204">
            <v>0</v>
          </cell>
          <cell r="G204">
            <v>7610</v>
          </cell>
          <cell r="H204">
            <v>228300</v>
          </cell>
          <cell r="I204">
            <v>150</v>
          </cell>
          <cell r="J204">
            <v>4500</v>
          </cell>
          <cell r="K204">
            <v>232800</v>
          </cell>
        </row>
        <row r="205">
          <cell r="A205" t="str">
            <v>보호통 설치공</v>
          </cell>
          <cell r="B205" t="str">
            <v>D =13</v>
          </cell>
          <cell r="C205">
            <v>210</v>
          </cell>
          <cell r="D205" t="str">
            <v>개소</v>
          </cell>
          <cell r="E205">
            <v>0</v>
          </cell>
          <cell r="F205">
            <v>0</v>
          </cell>
          <cell r="G205">
            <v>18700</v>
          </cell>
          <cell r="H205">
            <v>3927000</v>
          </cell>
          <cell r="I205">
            <v>0</v>
          </cell>
          <cell r="J205">
            <v>0</v>
          </cell>
          <cell r="K205">
            <v>3927000</v>
          </cell>
        </row>
        <row r="206">
          <cell r="A206" t="str">
            <v>보호통 설치공</v>
          </cell>
          <cell r="B206" t="str">
            <v>D =20~25</v>
          </cell>
          <cell r="C206">
            <v>40</v>
          </cell>
          <cell r="D206" t="str">
            <v>개소</v>
          </cell>
          <cell r="E206">
            <v>0</v>
          </cell>
          <cell r="F206">
            <v>0</v>
          </cell>
          <cell r="G206">
            <v>22500</v>
          </cell>
          <cell r="H206">
            <v>900000</v>
          </cell>
          <cell r="I206">
            <v>0</v>
          </cell>
          <cell r="J206">
            <v>0</v>
          </cell>
          <cell r="K206">
            <v>900000</v>
          </cell>
        </row>
        <row r="207">
          <cell r="A207" t="str">
            <v>보호통 설치공</v>
          </cell>
          <cell r="B207" t="str">
            <v>D =40~50</v>
          </cell>
          <cell r="C207">
            <v>5</v>
          </cell>
          <cell r="D207" t="str">
            <v>개소</v>
          </cell>
          <cell r="E207">
            <v>0</v>
          </cell>
          <cell r="F207">
            <v>0</v>
          </cell>
          <cell r="G207">
            <v>26500</v>
          </cell>
          <cell r="H207">
            <v>132500</v>
          </cell>
          <cell r="I207">
            <v>0</v>
          </cell>
          <cell r="J207">
            <v>0</v>
          </cell>
          <cell r="K207">
            <v>132500</v>
          </cell>
        </row>
        <row r="208">
          <cell r="A208" t="str">
            <v>계량기 철거공</v>
          </cell>
          <cell r="B208" t="str">
            <v>D =13</v>
          </cell>
          <cell r="C208">
            <v>210</v>
          </cell>
          <cell r="D208" t="str">
            <v>개소</v>
          </cell>
          <cell r="E208">
            <v>0</v>
          </cell>
          <cell r="F208">
            <v>0</v>
          </cell>
          <cell r="G208">
            <v>7610</v>
          </cell>
          <cell r="H208">
            <v>1598100</v>
          </cell>
          <cell r="I208">
            <v>150</v>
          </cell>
          <cell r="J208">
            <v>31500</v>
          </cell>
          <cell r="K208">
            <v>1629600</v>
          </cell>
        </row>
        <row r="209">
          <cell r="A209" t="str">
            <v>계량기 철거공</v>
          </cell>
          <cell r="B209" t="str">
            <v>D =20~25</v>
          </cell>
          <cell r="C209">
            <v>40</v>
          </cell>
          <cell r="D209" t="str">
            <v>개소</v>
          </cell>
          <cell r="E209">
            <v>0</v>
          </cell>
          <cell r="F209">
            <v>0</v>
          </cell>
          <cell r="G209">
            <v>9680</v>
          </cell>
          <cell r="H209">
            <v>387200</v>
          </cell>
          <cell r="I209">
            <v>190</v>
          </cell>
          <cell r="J209">
            <v>7600</v>
          </cell>
          <cell r="K209">
            <v>394800</v>
          </cell>
        </row>
        <row r="210">
          <cell r="A210" t="str">
            <v>계량기 철거공</v>
          </cell>
          <cell r="B210" t="str">
            <v>D =40~50</v>
          </cell>
          <cell r="C210">
            <v>5</v>
          </cell>
          <cell r="D210" t="str">
            <v>개소</v>
          </cell>
          <cell r="E210">
            <v>0</v>
          </cell>
          <cell r="F210">
            <v>0</v>
          </cell>
          <cell r="G210">
            <v>11070</v>
          </cell>
          <cell r="H210">
            <v>55350</v>
          </cell>
          <cell r="I210">
            <v>220</v>
          </cell>
          <cell r="J210">
            <v>1100</v>
          </cell>
          <cell r="K210">
            <v>56450</v>
          </cell>
        </row>
        <row r="211">
          <cell r="A211" t="str">
            <v>보호통 철거공</v>
          </cell>
          <cell r="B211" t="str">
            <v>D =13</v>
          </cell>
          <cell r="C211">
            <v>210</v>
          </cell>
          <cell r="D211" t="str">
            <v>개소</v>
          </cell>
          <cell r="E211">
            <v>0</v>
          </cell>
          <cell r="F211">
            <v>0</v>
          </cell>
          <cell r="G211">
            <v>2340</v>
          </cell>
          <cell r="H211">
            <v>491400</v>
          </cell>
          <cell r="I211">
            <v>0</v>
          </cell>
          <cell r="J211">
            <v>0</v>
          </cell>
          <cell r="K211">
            <v>491400</v>
          </cell>
        </row>
        <row r="212">
          <cell r="A212" t="str">
            <v>보호통 철거공</v>
          </cell>
          <cell r="B212" t="str">
            <v>D =20~25</v>
          </cell>
          <cell r="C212">
            <v>40</v>
          </cell>
          <cell r="D212" t="str">
            <v>개소</v>
          </cell>
          <cell r="E212">
            <v>0</v>
          </cell>
          <cell r="F212">
            <v>0</v>
          </cell>
          <cell r="G212">
            <v>3260</v>
          </cell>
          <cell r="H212">
            <v>130400</v>
          </cell>
          <cell r="I212">
            <v>0</v>
          </cell>
          <cell r="J212">
            <v>0</v>
          </cell>
          <cell r="K212">
            <v>130400</v>
          </cell>
        </row>
        <row r="213">
          <cell r="A213" t="str">
            <v>보호통 철거공</v>
          </cell>
          <cell r="B213" t="str">
            <v>D =40~50</v>
          </cell>
          <cell r="C213">
            <v>5</v>
          </cell>
          <cell r="D213" t="str">
            <v>개소</v>
          </cell>
          <cell r="E213">
            <v>0</v>
          </cell>
          <cell r="F213">
            <v>0</v>
          </cell>
          <cell r="G213">
            <v>4310</v>
          </cell>
          <cell r="H213">
            <v>21550</v>
          </cell>
          <cell r="I213">
            <v>0</v>
          </cell>
          <cell r="J213">
            <v>0</v>
          </cell>
          <cell r="K213">
            <v>21550</v>
          </cell>
        </row>
        <row r="214">
          <cell r="A214" t="str">
            <v>관 보 온 공</v>
          </cell>
          <cell r="B214" t="str">
            <v>D =13</v>
          </cell>
          <cell r="C214">
            <v>10</v>
          </cell>
          <cell r="D214" t="str">
            <v>M당</v>
          </cell>
          <cell r="E214">
            <v>110</v>
          </cell>
          <cell r="F214">
            <v>1100</v>
          </cell>
          <cell r="G214">
            <v>607</v>
          </cell>
          <cell r="H214">
            <v>6070</v>
          </cell>
          <cell r="I214">
            <v>0</v>
          </cell>
          <cell r="J214">
            <v>0</v>
          </cell>
          <cell r="K214">
            <v>7170</v>
          </cell>
        </row>
        <row r="215">
          <cell r="A215" t="str">
            <v>관 보 온 공</v>
          </cell>
          <cell r="B215" t="str">
            <v>D =20</v>
          </cell>
          <cell r="C215">
            <v>10</v>
          </cell>
          <cell r="D215" t="str">
            <v>M당</v>
          </cell>
          <cell r="E215">
            <v>118</v>
          </cell>
          <cell r="F215">
            <v>1180</v>
          </cell>
          <cell r="G215">
            <v>728</v>
          </cell>
          <cell r="H215">
            <v>7280</v>
          </cell>
          <cell r="I215">
            <v>0</v>
          </cell>
          <cell r="J215">
            <v>0</v>
          </cell>
          <cell r="K215">
            <v>8460</v>
          </cell>
        </row>
        <row r="216">
          <cell r="A216" t="str">
            <v>관 보 온 공</v>
          </cell>
          <cell r="B216" t="str">
            <v>D =25</v>
          </cell>
          <cell r="C216">
            <v>10</v>
          </cell>
          <cell r="D216" t="str">
            <v>M당</v>
          </cell>
          <cell r="E216">
            <v>134</v>
          </cell>
          <cell r="F216">
            <v>1340</v>
          </cell>
          <cell r="G216">
            <v>850</v>
          </cell>
          <cell r="H216">
            <v>8500</v>
          </cell>
          <cell r="I216">
            <v>0</v>
          </cell>
          <cell r="J216">
            <v>0</v>
          </cell>
          <cell r="K216">
            <v>9840</v>
          </cell>
        </row>
        <row r="217">
          <cell r="A217" t="str">
            <v>관 보 온 공</v>
          </cell>
          <cell r="B217" t="str">
            <v>D =30</v>
          </cell>
          <cell r="C217">
            <v>10</v>
          </cell>
          <cell r="D217" t="str">
            <v>M당</v>
          </cell>
          <cell r="E217">
            <v>163</v>
          </cell>
          <cell r="F217">
            <v>1630</v>
          </cell>
          <cell r="G217">
            <v>971</v>
          </cell>
          <cell r="H217">
            <v>9710</v>
          </cell>
          <cell r="I217">
            <v>0</v>
          </cell>
          <cell r="J217">
            <v>0</v>
          </cell>
          <cell r="K217">
            <v>11340</v>
          </cell>
        </row>
        <row r="218">
          <cell r="A218" t="str">
            <v>관 보 온 공</v>
          </cell>
          <cell r="B218" t="str">
            <v>D =40</v>
          </cell>
          <cell r="C218">
            <v>10</v>
          </cell>
          <cell r="D218" t="str">
            <v>M당</v>
          </cell>
          <cell r="E218">
            <v>183</v>
          </cell>
          <cell r="F218">
            <v>1830</v>
          </cell>
          <cell r="G218">
            <v>971</v>
          </cell>
          <cell r="H218">
            <v>9710</v>
          </cell>
          <cell r="I218">
            <v>0</v>
          </cell>
          <cell r="J218">
            <v>0</v>
          </cell>
          <cell r="K218">
            <v>11540</v>
          </cell>
        </row>
        <row r="219">
          <cell r="A219" t="str">
            <v>관 보 온 공</v>
          </cell>
          <cell r="B219" t="str">
            <v>D =50</v>
          </cell>
          <cell r="C219">
            <v>10</v>
          </cell>
          <cell r="D219" t="str">
            <v>M당</v>
          </cell>
          <cell r="E219">
            <v>221</v>
          </cell>
          <cell r="F219">
            <v>2210</v>
          </cell>
          <cell r="G219">
            <v>971</v>
          </cell>
          <cell r="H219">
            <v>9710</v>
          </cell>
          <cell r="I219">
            <v>0</v>
          </cell>
          <cell r="J219">
            <v>0</v>
          </cell>
          <cell r="K219">
            <v>11920</v>
          </cell>
        </row>
        <row r="220">
          <cell r="A220" t="str">
            <v>감압변 설치공</v>
          </cell>
          <cell r="B220" t="str">
            <v>D= 13</v>
          </cell>
          <cell r="C220">
            <v>2</v>
          </cell>
          <cell r="D220" t="str">
            <v>개소</v>
          </cell>
          <cell r="E220">
            <v>0</v>
          </cell>
          <cell r="F220">
            <v>0</v>
          </cell>
          <cell r="G220">
            <v>8600</v>
          </cell>
          <cell r="H220">
            <v>17200</v>
          </cell>
          <cell r="I220">
            <v>200</v>
          </cell>
          <cell r="J220">
            <v>400</v>
          </cell>
          <cell r="K220">
            <v>17600</v>
          </cell>
        </row>
        <row r="221">
          <cell r="A221" t="str">
            <v>감압변 설치공</v>
          </cell>
          <cell r="B221" t="str">
            <v>D= 20</v>
          </cell>
          <cell r="C221">
            <v>2</v>
          </cell>
          <cell r="D221" t="str">
            <v>개소</v>
          </cell>
          <cell r="F221">
            <v>0</v>
          </cell>
          <cell r="G221">
            <v>9800</v>
          </cell>
          <cell r="H221">
            <v>19600</v>
          </cell>
          <cell r="I221">
            <v>250</v>
          </cell>
          <cell r="J221">
            <v>500</v>
          </cell>
          <cell r="K221">
            <v>20100</v>
          </cell>
        </row>
        <row r="222">
          <cell r="A222" t="str">
            <v>감압변 설치공</v>
          </cell>
          <cell r="B222" t="str">
            <v>D= 25</v>
          </cell>
          <cell r="C222">
            <v>5</v>
          </cell>
          <cell r="D222" t="str">
            <v>개소</v>
          </cell>
          <cell r="F222">
            <v>0</v>
          </cell>
          <cell r="G222">
            <v>13500</v>
          </cell>
          <cell r="H222">
            <v>67500</v>
          </cell>
          <cell r="I222">
            <v>400</v>
          </cell>
          <cell r="J222">
            <v>2000</v>
          </cell>
          <cell r="K222">
            <v>69500</v>
          </cell>
        </row>
        <row r="223">
          <cell r="A223" t="str">
            <v>감압변 설치공</v>
          </cell>
          <cell r="B223" t="str">
            <v>D= 40</v>
          </cell>
          <cell r="C223">
            <v>1</v>
          </cell>
          <cell r="D223" t="str">
            <v>개소</v>
          </cell>
          <cell r="E223">
            <v>10</v>
          </cell>
          <cell r="F223">
            <v>10</v>
          </cell>
          <cell r="G223">
            <v>17200</v>
          </cell>
          <cell r="H223">
            <v>17200</v>
          </cell>
          <cell r="I223">
            <v>500</v>
          </cell>
          <cell r="J223">
            <v>500</v>
          </cell>
          <cell r="K223">
            <v>17710</v>
          </cell>
        </row>
        <row r="224">
          <cell r="A224" t="str">
            <v>감압변 설치공</v>
          </cell>
          <cell r="B224" t="str">
            <v>D= 50</v>
          </cell>
          <cell r="C224">
            <v>1</v>
          </cell>
          <cell r="D224" t="str">
            <v>개소</v>
          </cell>
          <cell r="E224">
            <v>10</v>
          </cell>
          <cell r="F224">
            <v>10</v>
          </cell>
          <cell r="G224">
            <v>20800</v>
          </cell>
          <cell r="H224">
            <v>20800</v>
          </cell>
          <cell r="I224">
            <v>600</v>
          </cell>
          <cell r="J224">
            <v>600</v>
          </cell>
          <cell r="K224">
            <v>21410</v>
          </cell>
        </row>
        <row r="225">
          <cell r="A225" t="str">
            <v>누수방지새들접합공</v>
          </cell>
          <cell r="B225" t="str">
            <v>L=80~100</v>
          </cell>
          <cell r="C225">
            <v>20</v>
          </cell>
          <cell r="D225" t="str">
            <v>개소</v>
          </cell>
          <cell r="F225">
            <v>0</v>
          </cell>
          <cell r="G225">
            <v>39410</v>
          </cell>
          <cell r="H225">
            <v>788200</v>
          </cell>
          <cell r="I225">
            <v>0</v>
          </cell>
          <cell r="J225">
            <v>0</v>
          </cell>
          <cell r="K225">
            <v>788200</v>
          </cell>
        </row>
        <row r="226">
          <cell r="A226" t="str">
            <v>누수방지새들접합공</v>
          </cell>
          <cell r="B226" t="str">
            <v>L = 140</v>
          </cell>
          <cell r="C226">
            <v>10</v>
          </cell>
          <cell r="D226" t="str">
            <v>개소</v>
          </cell>
          <cell r="F226">
            <v>0</v>
          </cell>
          <cell r="G226">
            <v>47770</v>
          </cell>
          <cell r="H226">
            <v>477700</v>
          </cell>
          <cell r="I226">
            <v>0</v>
          </cell>
          <cell r="J226">
            <v>0</v>
          </cell>
          <cell r="K226">
            <v>477700</v>
          </cell>
        </row>
        <row r="227">
          <cell r="A227" t="str">
            <v>타이튼접합및부설공</v>
          </cell>
          <cell r="B227" t="str">
            <v>D=80</v>
          </cell>
          <cell r="C227">
            <v>30</v>
          </cell>
          <cell r="D227" t="str">
            <v>개소</v>
          </cell>
          <cell r="F227">
            <v>0</v>
          </cell>
          <cell r="G227">
            <v>11560</v>
          </cell>
          <cell r="H227">
            <v>346800</v>
          </cell>
          <cell r="I227">
            <v>0</v>
          </cell>
          <cell r="J227">
            <v>0</v>
          </cell>
          <cell r="K227">
            <v>346800</v>
          </cell>
        </row>
        <row r="228">
          <cell r="A228" t="str">
            <v>타이튼접합및부설공</v>
          </cell>
          <cell r="B228" t="str">
            <v>D=100</v>
          </cell>
          <cell r="C228">
            <v>10</v>
          </cell>
          <cell r="D228" t="str">
            <v>개소</v>
          </cell>
          <cell r="F228">
            <v>0</v>
          </cell>
          <cell r="G228">
            <v>14040</v>
          </cell>
          <cell r="H228">
            <v>140400</v>
          </cell>
          <cell r="I228">
            <v>0</v>
          </cell>
          <cell r="J228">
            <v>0</v>
          </cell>
          <cell r="K228">
            <v>140400</v>
          </cell>
        </row>
        <row r="229">
          <cell r="A229" t="str">
            <v>타이튼접합및부설공</v>
          </cell>
          <cell r="B229" t="str">
            <v>D=150</v>
          </cell>
          <cell r="C229">
            <v>3</v>
          </cell>
          <cell r="D229" t="str">
            <v>개소</v>
          </cell>
          <cell r="F229">
            <v>0</v>
          </cell>
          <cell r="G229">
            <v>20240</v>
          </cell>
          <cell r="H229">
            <v>60720</v>
          </cell>
          <cell r="I229">
            <v>0</v>
          </cell>
          <cell r="J229">
            <v>0</v>
          </cell>
          <cell r="K229">
            <v>60720</v>
          </cell>
        </row>
        <row r="230">
          <cell r="A230" t="str">
            <v>타이튼접합및부설공</v>
          </cell>
          <cell r="B230" t="str">
            <v>D=200</v>
          </cell>
          <cell r="C230">
            <v>2</v>
          </cell>
          <cell r="D230" t="str">
            <v>개소</v>
          </cell>
          <cell r="F230">
            <v>0</v>
          </cell>
          <cell r="G230">
            <v>33000</v>
          </cell>
          <cell r="H230">
            <v>66000</v>
          </cell>
          <cell r="I230">
            <v>0</v>
          </cell>
          <cell r="J230">
            <v>0</v>
          </cell>
          <cell r="K230">
            <v>66000</v>
          </cell>
        </row>
        <row r="231">
          <cell r="A231" t="str">
            <v>타이튼접합및부설공</v>
          </cell>
          <cell r="B231" t="str">
            <v>D=250</v>
          </cell>
          <cell r="C231">
            <v>2</v>
          </cell>
          <cell r="D231" t="str">
            <v>개소</v>
          </cell>
          <cell r="F231">
            <v>0</v>
          </cell>
          <cell r="G231">
            <v>33000</v>
          </cell>
          <cell r="H231">
            <v>66000</v>
          </cell>
          <cell r="I231">
            <v>0</v>
          </cell>
          <cell r="J231">
            <v>0</v>
          </cell>
          <cell r="K231">
            <v>66000</v>
          </cell>
        </row>
        <row r="232">
          <cell r="A232" t="str">
            <v>타이튼접합및부설공</v>
          </cell>
          <cell r="B232" t="str">
            <v>D=300</v>
          </cell>
          <cell r="C232">
            <v>2</v>
          </cell>
          <cell r="D232" t="str">
            <v>개소</v>
          </cell>
          <cell r="F232">
            <v>0</v>
          </cell>
          <cell r="G232">
            <v>33000</v>
          </cell>
          <cell r="H232">
            <v>66000</v>
          </cell>
          <cell r="I232">
            <v>0</v>
          </cell>
          <cell r="J232">
            <v>0</v>
          </cell>
          <cell r="K232">
            <v>66000</v>
          </cell>
        </row>
        <row r="233">
          <cell r="A233" t="str">
            <v>타이튼접합및부설공</v>
          </cell>
          <cell r="B233" t="str">
            <v>D=400</v>
          </cell>
          <cell r="C233">
            <v>2</v>
          </cell>
          <cell r="D233" t="str">
            <v>개소</v>
          </cell>
          <cell r="F233">
            <v>0</v>
          </cell>
          <cell r="G233">
            <v>33000</v>
          </cell>
          <cell r="H233">
            <v>66000</v>
          </cell>
          <cell r="I233">
            <v>0</v>
          </cell>
          <cell r="J233">
            <v>0</v>
          </cell>
          <cell r="K233">
            <v>66000</v>
          </cell>
        </row>
        <row r="234">
          <cell r="A234" t="str">
            <v>K.P관 접합및부설공</v>
          </cell>
          <cell r="B234" t="str">
            <v>D=250</v>
          </cell>
          <cell r="C234">
            <v>2</v>
          </cell>
          <cell r="D234" t="str">
            <v>개소</v>
          </cell>
          <cell r="F234">
            <v>0</v>
          </cell>
          <cell r="G234">
            <v>2561</v>
          </cell>
          <cell r="H234">
            <v>5122</v>
          </cell>
          <cell r="I234">
            <v>0</v>
          </cell>
          <cell r="J234">
            <v>0</v>
          </cell>
          <cell r="K234">
            <v>5122</v>
          </cell>
        </row>
        <row r="235">
          <cell r="A235" t="str">
            <v>K.P관 접합및부설공</v>
          </cell>
          <cell r="B235" t="str">
            <v>D=300</v>
          </cell>
          <cell r="C235">
            <v>2</v>
          </cell>
          <cell r="D235" t="str">
            <v>개소</v>
          </cell>
          <cell r="F235">
            <v>0</v>
          </cell>
          <cell r="G235">
            <v>3402</v>
          </cell>
          <cell r="H235">
            <v>6804</v>
          </cell>
          <cell r="I235">
            <v>0</v>
          </cell>
          <cell r="J235">
            <v>0</v>
          </cell>
          <cell r="K235">
            <v>6804</v>
          </cell>
        </row>
        <row r="236">
          <cell r="A236" t="str">
            <v>K.P관 접합및부설공</v>
          </cell>
          <cell r="B236" t="str">
            <v>D=350</v>
          </cell>
          <cell r="C236">
            <v>1</v>
          </cell>
          <cell r="D236" t="str">
            <v>개소</v>
          </cell>
          <cell r="F236">
            <v>0</v>
          </cell>
          <cell r="G236">
            <v>6601</v>
          </cell>
          <cell r="H236">
            <v>6601</v>
          </cell>
          <cell r="I236">
            <v>0</v>
          </cell>
          <cell r="J236">
            <v>0</v>
          </cell>
          <cell r="K236">
            <v>6601</v>
          </cell>
        </row>
        <row r="237">
          <cell r="A237" t="str">
            <v>K.P관 접합및부설공</v>
          </cell>
          <cell r="B237" t="str">
            <v>D=400</v>
          </cell>
          <cell r="C237">
            <v>1</v>
          </cell>
          <cell r="D237" t="str">
            <v>개소</v>
          </cell>
          <cell r="F237">
            <v>0</v>
          </cell>
          <cell r="G237">
            <v>9202</v>
          </cell>
          <cell r="H237">
            <v>9202</v>
          </cell>
          <cell r="I237">
            <v>0</v>
          </cell>
          <cell r="J237">
            <v>0</v>
          </cell>
          <cell r="K237">
            <v>9202</v>
          </cell>
        </row>
        <row r="238">
          <cell r="A238" t="str">
            <v>K.P관 접합및부설공</v>
          </cell>
          <cell r="B238" t="str">
            <v>D=500</v>
          </cell>
          <cell r="C238">
            <v>1</v>
          </cell>
          <cell r="D238" t="str">
            <v>개소</v>
          </cell>
          <cell r="F238">
            <v>0</v>
          </cell>
          <cell r="G238">
            <v>9202</v>
          </cell>
          <cell r="H238">
            <v>9202</v>
          </cell>
          <cell r="I238">
            <v>0</v>
          </cell>
          <cell r="J238">
            <v>0</v>
          </cell>
          <cell r="K238">
            <v>9202</v>
          </cell>
        </row>
        <row r="239">
          <cell r="A239" t="str">
            <v>K.P관 접합및부설공</v>
          </cell>
          <cell r="B239" t="str">
            <v>D=600</v>
          </cell>
          <cell r="C239">
            <v>1</v>
          </cell>
          <cell r="D239" t="str">
            <v>개소</v>
          </cell>
          <cell r="F239">
            <v>0</v>
          </cell>
          <cell r="G239">
            <v>9202</v>
          </cell>
          <cell r="H239">
            <v>9202</v>
          </cell>
          <cell r="I239">
            <v>0</v>
          </cell>
          <cell r="J239">
            <v>0</v>
          </cell>
          <cell r="K239">
            <v>9202</v>
          </cell>
        </row>
        <row r="240">
          <cell r="A240" t="str">
            <v>K.P 접합공(이형관)</v>
          </cell>
          <cell r="B240" t="str">
            <v>D=80</v>
          </cell>
          <cell r="C240">
            <v>4</v>
          </cell>
          <cell r="D240" t="str">
            <v>개소</v>
          </cell>
          <cell r="F240">
            <v>0</v>
          </cell>
          <cell r="G240">
            <v>6540</v>
          </cell>
          <cell r="H240">
            <v>26160</v>
          </cell>
          <cell r="I240">
            <v>0</v>
          </cell>
          <cell r="J240">
            <v>0</v>
          </cell>
          <cell r="K240">
            <v>26160</v>
          </cell>
        </row>
        <row r="241">
          <cell r="A241" t="str">
            <v>K.P 접합공(이형관)</v>
          </cell>
          <cell r="B241" t="str">
            <v>D=100</v>
          </cell>
          <cell r="C241">
            <v>4</v>
          </cell>
          <cell r="D241" t="str">
            <v>개소</v>
          </cell>
          <cell r="F241">
            <v>0</v>
          </cell>
          <cell r="G241">
            <v>8500</v>
          </cell>
          <cell r="H241">
            <v>34000</v>
          </cell>
          <cell r="I241">
            <v>0</v>
          </cell>
          <cell r="J241">
            <v>0</v>
          </cell>
          <cell r="K241">
            <v>34000</v>
          </cell>
        </row>
        <row r="242">
          <cell r="A242" t="str">
            <v>K.P 접합공(이형관)</v>
          </cell>
          <cell r="B242" t="str">
            <v>D=150</v>
          </cell>
          <cell r="C242">
            <v>2</v>
          </cell>
          <cell r="D242" t="str">
            <v>개소</v>
          </cell>
          <cell r="F242">
            <v>0</v>
          </cell>
          <cell r="G242">
            <v>15000</v>
          </cell>
          <cell r="H242">
            <v>30000</v>
          </cell>
          <cell r="I242">
            <v>0</v>
          </cell>
          <cell r="J242">
            <v>0</v>
          </cell>
          <cell r="K242">
            <v>30000</v>
          </cell>
        </row>
        <row r="243">
          <cell r="A243" t="str">
            <v>K.P 접합공(이형관)</v>
          </cell>
          <cell r="B243" t="str">
            <v>D=200</v>
          </cell>
          <cell r="C243">
            <v>2</v>
          </cell>
          <cell r="D243" t="str">
            <v>개소</v>
          </cell>
          <cell r="F243">
            <v>0</v>
          </cell>
          <cell r="G243">
            <v>20700</v>
          </cell>
          <cell r="H243">
            <v>41400</v>
          </cell>
          <cell r="I243">
            <v>0</v>
          </cell>
          <cell r="J243">
            <v>0</v>
          </cell>
          <cell r="K243">
            <v>41400</v>
          </cell>
        </row>
        <row r="244">
          <cell r="A244" t="str">
            <v>K.P 접합공(이형관)</v>
          </cell>
          <cell r="B244" t="str">
            <v>D=250</v>
          </cell>
          <cell r="C244">
            <v>1</v>
          </cell>
          <cell r="D244" t="str">
            <v>개소</v>
          </cell>
          <cell r="F244">
            <v>0</v>
          </cell>
          <cell r="G244">
            <v>22350</v>
          </cell>
          <cell r="H244">
            <v>22350</v>
          </cell>
          <cell r="I244">
            <v>0</v>
          </cell>
          <cell r="J244">
            <v>0</v>
          </cell>
          <cell r="K244">
            <v>22350</v>
          </cell>
        </row>
        <row r="245">
          <cell r="A245" t="str">
            <v>K.P 접합공(이형관)</v>
          </cell>
          <cell r="B245" t="str">
            <v>D=300</v>
          </cell>
          <cell r="C245">
            <v>1</v>
          </cell>
          <cell r="D245" t="str">
            <v>개소</v>
          </cell>
          <cell r="F245">
            <v>0</v>
          </cell>
          <cell r="G245">
            <v>32000</v>
          </cell>
          <cell r="H245">
            <v>32000</v>
          </cell>
          <cell r="I245">
            <v>0</v>
          </cell>
          <cell r="J245">
            <v>0</v>
          </cell>
          <cell r="K245">
            <v>32000</v>
          </cell>
        </row>
        <row r="246">
          <cell r="A246" t="str">
            <v>K.P 접합공(이형관)</v>
          </cell>
          <cell r="B246" t="str">
            <v>D=400</v>
          </cell>
          <cell r="C246">
            <v>1</v>
          </cell>
          <cell r="D246" t="str">
            <v>개소</v>
          </cell>
          <cell r="F246">
            <v>0</v>
          </cell>
          <cell r="G246">
            <v>32000</v>
          </cell>
          <cell r="H246">
            <v>32000</v>
          </cell>
          <cell r="I246">
            <v>0</v>
          </cell>
          <cell r="J246">
            <v>0</v>
          </cell>
          <cell r="K246">
            <v>32000</v>
          </cell>
        </row>
        <row r="247">
          <cell r="A247" t="str">
            <v>플랜지접합및부설공</v>
          </cell>
          <cell r="B247" t="str">
            <v>D=80</v>
          </cell>
          <cell r="C247">
            <v>6</v>
          </cell>
          <cell r="D247" t="str">
            <v>개소</v>
          </cell>
          <cell r="E247">
            <v>180</v>
          </cell>
          <cell r="F247">
            <v>1080</v>
          </cell>
          <cell r="G247">
            <v>9640</v>
          </cell>
          <cell r="H247">
            <v>57840</v>
          </cell>
          <cell r="I247">
            <v>0</v>
          </cell>
          <cell r="J247">
            <v>0</v>
          </cell>
          <cell r="K247">
            <v>58920</v>
          </cell>
        </row>
        <row r="248">
          <cell r="A248" t="str">
            <v>플랜지접합및부설공</v>
          </cell>
          <cell r="B248" t="str">
            <v>D=100</v>
          </cell>
          <cell r="C248">
            <v>4</v>
          </cell>
          <cell r="D248" t="str">
            <v>개소</v>
          </cell>
          <cell r="E248">
            <v>250</v>
          </cell>
          <cell r="F248">
            <v>1000</v>
          </cell>
          <cell r="G248">
            <v>12260</v>
          </cell>
          <cell r="H248">
            <v>49040</v>
          </cell>
          <cell r="I248">
            <v>0</v>
          </cell>
          <cell r="J248">
            <v>0</v>
          </cell>
          <cell r="K248">
            <v>50040</v>
          </cell>
        </row>
        <row r="249">
          <cell r="A249" t="str">
            <v>플랜지접합및부설공</v>
          </cell>
          <cell r="B249" t="str">
            <v>D=150</v>
          </cell>
          <cell r="C249">
            <v>2</v>
          </cell>
          <cell r="D249" t="str">
            <v>개소</v>
          </cell>
          <cell r="E249">
            <v>310</v>
          </cell>
          <cell r="F249">
            <v>620</v>
          </cell>
          <cell r="G249">
            <v>19200</v>
          </cell>
          <cell r="H249">
            <v>38400</v>
          </cell>
          <cell r="I249">
            <v>0</v>
          </cell>
          <cell r="J249">
            <v>0</v>
          </cell>
          <cell r="K249">
            <v>39020</v>
          </cell>
        </row>
        <row r="250">
          <cell r="A250" t="str">
            <v>플랜지접합및부설공</v>
          </cell>
          <cell r="B250" t="str">
            <v>D=200</v>
          </cell>
          <cell r="C250">
            <v>2</v>
          </cell>
          <cell r="D250" t="str">
            <v>개소</v>
          </cell>
          <cell r="E250">
            <v>440</v>
          </cell>
          <cell r="F250">
            <v>880</v>
          </cell>
          <cell r="G250">
            <v>26860</v>
          </cell>
          <cell r="H250">
            <v>53720</v>
          </cell>
          <cell r="I250">
            <v>0</v>
          </cell>
          <cell r="J250">
            <v>0</v>
          </cell>
          <cell r="K250">
            <v>54600</v>
          </cell>
        </row>
        <row r="251">
          <cell r="A251" t="str">
            <v>플랜지접합및부설공</v>
          </cell>
          <cell r="B251" t="str">
            <v>D=250</v>
          </cell>
          <cell r="C251">
            <v>2</v>
          </cell>
          <cell r="D251" t="str">
            <v>개소</v>
          </cell>
          <cell r="E251">
            <v>480</v>
          </cell>
          <cell r="F251">
            <v>960</v>
          </cell>
          <cell r="G251">
            <v>27650</v>
          </cell>
          <cell r="H251">
            <v>55300</v>
          </cell>
          <cell r="I251">
            <v>0</v>
          </cell>
          <cell r="J251">
            <v>0</v>
          </cell>
          <cell r="K251">
            <v>56260</v>
          </cell>
        </row>
        <row r="252">
          <cell r="A252" t="str">
            <v>플랜지접합및부설공</v>
          </cell>
          <cell r="B252" t="str">
            <v>D=300</v>
          </cell>
          <cell r="C252">
            <v>2</v>
          </cell>
          <cell r="D252" t="str">
            <v>개소</v>
          </cell>
          <cell r="E252">
            <v>520</v>
          </cell>
          <cell r="F252">
            <v>1040</v>
          </cell>
          <cell r="G252">
            <v>34260</v>
          </cell>
          <cell r="H252">
            <v>68520</v>
          </cell>
          <cell r="I252">
            <v>0</v>
          </cell>
          <cell r="J252">
            <v>0</v>
          </cell>
          <cell r="K252">
            <v>69560</v>
          </cell>
        </row>
        <row r="253">
          <cell r="A253" t="str">
            <v>플랜지접합및부설공</v>
          </cell>
          <cell r="B253" t="str">
            <v>D=400</v>
          </cell>
          <cell r="C253">
            <v>2</v>
          </cell>
          <cell r="D253" t="str">
            <v>개소</v>
          </cell>
          <cell r="E253">
            <v>520</v>
          </cell>
          <cell r="F253">
            <v>1040</v>
          </cell>
          <cell r="G253">
            <v>34260</v>
          </cell>
          <cell r="H253">
            <v>68520</v>
          </cell>
          <cell r="I253">
            <v>0</v>
          </cell>
          <cell r="J253">
            <v>0</v>
          </cell>
          <cell r="K253">
            <v>69560</v>
          </cell>
        </row>
        <row r="254">
          <cell r="A254" t="str">
            <v>제수변접합공(주철)</v>
          </cell>
          <cell r="B254" t="str">
            <v>D=80</v>
          </cell>
          <cell r="C254">
            <v>1</v>
          </cell>
          <cell r="D254" t="str">
            <v>개소</v>
          </cell>
          <cell r="E254">
            <v>0</v>
          </cell>
          <cell r="F254">
            <v>0</v>
          </cell>
          <cell r="G254">
            <v>50120</v>
          </cell>
          <cell r="H254">
            <v>50120</v>
          </cell>
          <cell r="I254">
            <v>0</v>
          </cell>
          <cell r="J254">
            <v>0</v>
          </cell>
          <cell r="K254">
            <v>50120</v>
          </cell>
        </row>
        <row r="255">
          <cell r="A255" t="str">
            <v>제수변접합공(주철)</v>
          </cell>
          <cell r="B255" t="str">
            <v>D=100</v>
          </cell>
          <cell r="C255">
            <v>1</v>
          </cell>
          <cell r="D255" t="str">
            <v>개소</v>
          </cell>
          <cell r="E255">
            <v>0</v>
          </cell>
          <cell r="F255">
            <v>0</v>
          </cell>
          <cell r="G255">
            <v>53000</v>
          </cell>
          <cell r="H255">
            <v>53000</v>
          </cell>
          <cell r="I255">
            <v>0</v>
          </cell>
          <cell r="J255">
            <v>0</v>
          </cell>
          <cell r="K255">
            <v>53000</v>
          </cell>
        </row>
        <row r="256">
          <cell r="A256" t="str">
            <v>제수변접합공(주철)</v>
          </cell>
          <cell r="B256" t="str">
            <v>D=150</v>
          </cell>
          <cell r="C256">
            <v>1</v>
          </cell>
          <cell r="D256" t="str">
            <v>개소</v>
          </cell>
          <cell r="E256">
            <v>0</v>
          </cell>
          <cell r="F256">
            <v>0</v>
          </cell>
          <cell r="G256">
            <v>62350</v>
          </cell>
          <cell r="H256">
            <v>62350</v>
          </cell>
          <cell r="I256">
            <v>0</v>
          </cell>
          <cell r="J256">
            <v>0</v>
          </cell>
          <cell r="K256">
            <v>62350</v>
          </cell>
        </row>
        <row r="257">
          <cell r="A257" t="str">
            <v>제수변접합공(주철)</v>
          </cell>
          <cell r="B257" t="str">
            <v>D=200</v>
          </cell>
          <cell r="C257">
            <v>1</v>
          </cell>
          <cell r="D257" t="str">
            <v>개소</v>
          </cell>
          <cell r="E257">
            <v>0</v>
          </cell>
          <cell r="F257">
            <v>0</v>
          </cell>
          <cell r="G257">
            <v>75400</v>
          </cell>
          <cell r="H257">
            <v>75400</v>
          </cell>
          <cell r="I257">
            <v>0</v>
          </cell>
          <cell r="J257">
            <v>0</v>
          </cell>
          <cell r="K257">
            <v>75400</v>
          </cell>
        </row>
        <row r="258">
          <cell r="A258" t="str">
            <v>제수변접합공(주철)</v>
          </cell>
          <cell r="B258" t="str">
            <v>D=300</v>
          </cell>
          <cell r="C258">
            <v>1</v>
          </cell>
          <cell r="D258" t="str">
            <v>개소</v>
          </cell>
          <cell r="E258">
            <v>0</v>
          </cell>
          <cell r="F258">
            <v>0</v>
          </cell>
          <cell r="G258">
            <v>84620</v>
          </cell>
          <cell r="H258">
            <v>84620</v>
          </cell>
          <cell r="I258">
            <v>0</v>
          </cell>
          <cell r="J258">
            <v>0</v>
          </cell>
          <cell r="K258">
            <v>84620</v>
          </cell>
        </row>
        <row r="259">
          <cell r="A259" t="str">
            <v>제수변접합공(주철)</v>
          </cell>
          <cell r="B259" t="str">
            <v>D=400</v>
          </cell>
          <cell r="C259">
            <v>1</v>
          </cell>
          <cell r="D259" t="str">
            <v>개소</v>
          </cell>
          <cell r="E259">
            <v>0</v>
          </cell>
          <cell r="F259">
            <v>0</v>
          </cell>
          <cell r="G259">
            <v>92320</v>
          </cell>
          <cell r="H259">
            <v>92320</v>
          </cell>
          <cell r="I259">
            <v>0</v>
          </cell>
          <cell r="J259">
            <v>0</v>
          </cell>
          <cell r="K259">
            <v>92320</v>
          </cell>
        </row>
        <row r="260">
          <cell r="A260" t="str">
            <v>제수변접합공(몰딩)</v>
          </cell>
          <cell r="B260" t="str">
            <v>D=80</v>
          </cell>
          <cell r="C260">
            <v>3</v>
          </cell>
          <cell r="D260" t="str">
            <v>개소</v>
          </cell>
          <cell r="E260">
            <v>0</v>
          </cell>
          <cell r="F260">
            <v>0</v>
          </cell>
          <cell r="G260">
            <v>11460</v>
          </cell>
          <cell r="H260">
            <v>34380</v>
          </cell>
          <cell r="I260">
            <v>0</v>
          </cell>
          <cell r="J260">
            <v>0</v>
          </cell>
          <cell r="K260">
            <v>34380</v>
          </cell>
        </row>
        <row r="261">
          <cell r="A261" t="str">
            <v>제수변접합공(몰딩)</v>
          </cell>
          <cell r="B261" t="str">
            <v>D=100</v>
          </cell>
          <cell r="C261">
            <v>2</v>
          </cell>
          <cell r="D261" t="str">
            <v>개소</v>
          </cell>
          <cell r="E261">
            <v>0</v>
          </cell>
          <cell r="F261">
            <v>0</v>
          </cell>
          <cell r="G261">
            <v>16180</v>
          </cell>
          <cell r="H261">
            <v>32360</v>
          </cell>
          <cell r="I261">
            <v>0</v>
          </cell>
          <cell r="J261">
            <v>0</v>
          </cell>
          <cell r="K261">
            <v>32360</v>
          </cell>
        </row>
        <row r="262">
          <cell r="A262" t="str">
            <v>제수변접합공(몰딩)</v>
          </cell>
          <cell r="B262" t="str">
            <v>D=150</v>
          </cell>
          <cell r="C262">
            <v>1</v>
          </cell>
          <cell r="D262" t="str">
            <v>개소</v>
          </cell>
          <cell r="E262">
            <v>0</v>
          </cell>
          <cell r="F262">
            <v>0</v>
          </cell>
          <cell r="G262">
            <v>20190</v>
          </cell>
          <cell r="H262">
            <v>20190</v>
          </cell>
          <cell r="I262">
            <v>0</v>
          </cell>
          <cell r="J262">
            <v>0</v>
          </cell>
          <cell r="K262">
            <v>20190</v>
          </cell>
        </row>
        <row r="263">
          <cell r="A263" t="str">
            <v>제수변접합공(몰딩)</v>
          </cell>
          <cell r="B263" t="str">
            <v>D=200</v>
          </cell>
          <cell r="C263">
            <v>1</v>
          </cell>
          <cell r="D263" t="str">
            <v>개소</v>
          </cell>
          <cell r="E263">
            <v>0</v>
          </cell>
          <cell r="F263">
            <v>0</v>
          </cell>
          <cell r="G263">
            <v>24190</v>
          </cell>
          <cell r="H263">
            <v>24190</v>
          </cell>
          <cell r="I263">
            <v>0</v>
          </cell>
          <cell r="J263">
            <v>0</v>
          </cell>
          <cell r="K263">
            <v>24190</v>
          </cell>
        </row>
        <row r="264">
          <cell r="A264" t="str">
            <v>제수변접합공(몰딩)</v>
          </cell>
          <cell r="B264" t="str">
            <v>D=250</v>
          </cell>
          <cell r="C264">
            <v>1</v>
          </cell>
          <cell r="D264" t="str">
            <v>개소</v>
          </cell>
          <cell r="E264">
            <v>0</v>
          </cell>
          <cell r="F264">
            <v>0</v>
          </cell>
          <cell r="G264">
            <v>25580</v>
          </cell>
          <cell r="H264">
            <v>25580</v>
          </cell>
          <cell r="I264">
            <v>0</v>
          </cell>
          <cell r="J264">
            <v>0</v>
          </cell>
          <cell r="K264">
            <v>25580</v>
          </cell>
        </row>
        <row r="265">
          <cell r="A265" t="str">
            <v>제수변접합공(몰딩)</v>
          </cell>
          <cell r="B265" t="str">
            <v>D=300</v>
          </cell>
          <cell r="C265">
            <v>1</v>
          </cell>
          <cell r="D265" t="str">
            <v>개소</v>
          </cell>
          <cell r="E265">
            <v>0</v>
          </cell>
          <cell r="F265">
            <v>0</v>
          </cell>
          <cell r="G265">
            <v>27600</v>
          </cell>
          <cell r="H265">
            <v>27600</v>
          </cell>
          <cell r="I265">
            <v>0</v>
          </cell>
          <cell r="J265">
            <v>0</v>
          </cell>
          <cell r="K265">
            <v>27600</v>
          </cell>
        </row>
        <row r="266">
          <cell r="A266" t="str">
            <v>제수변접합공(몰딩)</v>
          </cell>
          <cell r="B266" t="str">
            <v>D=400</v>
          </cell>
          <cell r="C266">
            <v>1</v>
          </cell>
          <cell r="D266" t="str">
            <v>개소</v>
          </cell>
          <cell r="E266">
            <v>0</v>
          </cell>
          <cell r="F266">
            <v>0</v>
          </cell>
          <cell r="G266">
            <v>32500</v>
          </cell>
          <cell r="H266">
            <v>32500</v>
          </cell>
          <cell r="I266">
            <v>0</v>
          </cell>
          <cell r="J266">
            <v>0</v>
          </cell>
          <cell r="K266">
            <v>32500</v>
          </cell>
        </row>
        <row r="267">
          <cell r="A267" t="str">
            <v>제수변접합공(기계)</v>
          </cell>
          <cell r="B267" t="str">
            <v>D=200</v>
          </cell>
          <cell r="C267">
            <v>1</v>
          </cell>
          <cell r="D267" t="str">
            <v>개소</v>
          </cell>
          <cell r="E267">
            <v>762</v>
          </cell>
          <cell r="F267">
            <v>762</v>
          </cell>
          <cell r="G267">
            <v>9174</v>
          </cell>
          <cell r="H267">
            <v>9174</v>
          </cell>
          <cell r="I267">
            <v>5427</v>
          </cell>
          <cell r="J267">
            <v>5427</v>
          </cell>
          <cell r="K267">
            <v>15363</v>
          </cell>
        </row>
        <row r="268">
          <cell r="A268" t="str">
            <v>제수변접합공(기계)</v>
          </cell>
          <cell r="B268" t="str">
            <v>D=250</v>
          </cell>
          <cell r="C268">
            <v>1</v>
          </cell>
          <cell r="D268" t="str">
            <v>개소</v>
          </cell>
          <cell r="E268">
            <v>798</v>
          </cell>
          <cell r="F268">
            <v>798</v>
          </cell>
          <cell r="G268">
            <v>10900</v>
          </cell>
          <cell r="H268">
            <v>10900</v>
          </cell>
          <cell r="I268">
            <v>5686</v>
          </cell>
          <cell r="J268">
            <v>5686</v>
          </cell>
          <cell r="K268">
            <v>17384</v>
          </cell>
        </row>
        <row r="269">
          <cell r="A269" t="str">
            <v>이탈방지압륜접합공</v>
          </cell>
          <cell r="B269" t="str">
            <v>D=80</v>
          </cell>
          <cell r="C269">
            <v>12</v>
          </cell>
          <cell r="D269" t="str">
            <v>개소</v>
          </cell>
          <cell r="E269">
            <v>0</v>
          </cell>
          <cell r="F269">
            <v>0</v>
          </cell>
          <cell r="G269">
            <v>14260</v>
          </cell>
          <cell r="H269">
            <v>171120</v>
          </cell>
          <cell r="I269">
            <v>0</v>
          </cell>
          <cell r="J269">
            <v>0</v>
          </cell>
          <cell r="K269">
            <v>171120</v>
          </cell>
        </row>
        <row r="270">
          <cell r="A270" t="str">
            <v>이탈방지압륜접합공</v>
          </cell>
          <cell r="B270" t="str">
            <v>D=100</v>
          </cell>
          <cell r="C270">
            <v>10</v>
          </cell>
          <cell r="D270" t="str">
            <v>개소</v>
          </cell>
          <cell r="E270">
            <v>0</v>
          </cell>
          <cell r="F270">
            <v>0</v>
          </cell>
          <cell r="G270">
            <v>18560</v>
          </cell>
          <cell r="H270">
            <v>185600</v>
          </cell>
          <cell r="I270">
            <v>0</v>
          </cell>
          <cell r="J270">
            <v>0</v>
          </cell>
          <cell r="K270">
            <v>185600</v>
          </cell>
        </row>
        <row r="271">
          <cell r="A271" t="str">
            <v>이탈방지압륜접합공</v>
          </cell>
          <cell r="B271" t="str">
            <v>D=150</v>
          </cell>
          <cell r="C271">
            <v>8</v>
          </cell>
          <cell r="D271" t="str">
            <v>개소</v>
          </cell>
          <cell r="E271">
            <v>0</v>
          </cell>
          <cell r="F271">
            <v>0</v>
          </cell>
          <cell r="G271">
            <v>27600</v>
          </cell>
          <cell r="H271">
            <v>220800</v>
          </cell>
          <cell r="I271">
            <v>0</v>
          </cell>
          <cell r="J271">
            <v>0</v>
          </cell>
          <cell r="K271">
            <v>220800</v>
          </cell>
        </row>
        <row r="272">
          <cell r="A272" t="str">
            <v>이탈방지압륜접합공</v>
          </cell>
          <cell r="B272" t="str">
            <v>D=200</v>
          </cell>
          <cell r="C272">
            <v>4</v>
          </cell>
          <cell r="D272" t="str">
            <v>개소</v>
          </cell>
          <cell r="E272">
            <v>0</v>
          </cell>
          <cell r="F272">
            <v>0</v>
          </cell>
          <cell r="G272">
            <v>41140</v>
          </cell>
          <cell r="H272">
            <v>164560</v>
          </cell>
          <cell r="I272">
            <v>0</v>
          </cell>
          <cell r="J272">
            <v>0</v>
          </cell>
          <cell r="K272">
            <v>164560</v>
          </cell>
        </row>
        <row r="273">
          <cell r="A273" t="str">
            <v>이탈방지압륜접합공</v>
          </cell>
          <cell r="B273" t="str">
            <v>D=250</v>
          </cell>
          <cell r="C273">
            <v>4</v>
          </cell>
          <cell r="D273" t="str">
            <v>개소</v>
          </cell>
          <cell r="E273">
            <v>0</v>
          </cell>
          <cell r="F273">
            <v>0</v>
          </cell>
          <cell r="G273">
            <v>48780</v>
          </cell>
          <cell r="H273">
            <v>195120</v>
          </cell>
          <cell r="I273">
            <v>0</v>
          </cell>
          <cell r="J273">
            <v>0</v>
          </cell>
          <cell r="K273">
            <v>195120</v>
          </cell>
        </row>
        <row r="274">
          <cell r="A274" t="str">
            <v>이탈방지압륜접합공</v>
          </cell>
          <cell r="B274" t="str">
            <v>D=300</v>
          </cell>
          <cell r="C274">
            <v>3</v>
          </cell>
          <cell r="D274" t="str">
            <v>개소</v>
          </cell>
          <cell r="E274">
            <v>0</v>
          </cell>
          <cell r="F274">
            <v>0</v>
          </cell>
          <cell r="G274">
            <v>58320</v>
          </cell>
          <cell r="H274">
            <v>174960</v>
          </cell>
          <cell r="I274">
            <v>0</v>
          </cell>
          <cell r="J274">
            <v>0</v>
          </cell>
          <cell r="K274">
            <v>174960</v>
          </cell>
        </row>
        <row r="275">
          <cell r="A275" t="str">
            <v>이탈방지압륜접합공</v>
          </cell>
          <cell r="B275" t="str">
            <v>D=400</v>
          </cell>
          <cell r="C275">
            <v>3</v>
          </cell>
          <cell r="D275" t="str">
            <v>개소</v>
          </cell>
          <cell r="E275">
            <v>0</v>
          </cell>
          <cell r="F275">
            <v>0</v>
          </cell>
          <cell r="G275">
            <v>62340</v>
          </cell>
          <cell r="H275">
            <v>187020</v>
          </cell>
          <cell r="I275">
            <v>0</v>
          </cell>
          <cell r="J275">
            <v>0</v>
          </cell>
          <cell r="K275">
            <v>187020</v>
          </cell>
        </row>
        <row r="276">
          <cell r="A276" t="str">
            <v>주철관절단공(지하)</v>
          </cell>
          <cell r="B276" t="str">
            <v>D=80</v>
          </cell>
          <cell r="C276">
            <v>4</v>
          </cell>
          <cell r="D276" t="str">
            <v>개소</v>
          </cell>
          <cell r="E276">
            <v>480</v>
          </cell>
          <cell r="F276">
            <v>1920</v>
          </cell>
          <cell r="G276">
            <v>9740</v>
          </cell>
          <cell r="H276">
            <v>38960</v>
          </cell>
          <cell r="I276">
            <v>120</v>
          </cell>
          <cell r="J276">
            <v>480</v>
          </cell>
          <cell r="K276">
            <v>41360</v>
          </cell>
        </row>
        <row r="277">
          <cell r="A277" t="str">
            <v>주철관절단공(지하)</v>
          </cell>
          <cell r="B277" t="str">
            <v>D=100</v>
          </cell>
          <cell r="C277">
            <v>4</v>
          </cell>
          <cell r="D277" t="str">
            <v>개소</v>
          </cell>
          <cell r="E277">
            <v>530</v>
          </cell>
          <cell r="F277">
            <v>2120</v>
          </cell>
          <cell r="G277">
            <v>10650</v>
          </cell>
          <cell r="H277">
            <v>42600</v>
          </cell>
          <cell r="I277">
            <v>140</v>
          </cell>
          <cell r="J277">
            <v>560</v>
          </cell>
          <cell r="K277">
            <v>45280</v>
          </cell>
        </row>
        <row r="278">
          <cell r="A278" t="str">
            <v>주철관절단공(지하)</v>
          </cell>
          <cell r="B278" t="str">
            <v>D=150</v>
          </cell>
          <cell r="C278">
            <v>2</v>
          </cell>
          <cell r="D278" t="str">
            <v>개소</v>
          </cell>
          <cell r="E278">
            <v>600</v>
          </cell>
          <cell r="F278">
            <v>1200</v>
          </cell>
          <cell r="G278">
            <v>12110</v>
          </cell>
          <cell r="H278">
            <v>24220</v>
          </cell>
          <cell r="I278">
            <v>160</v>
          </cell>
          <cell r="J278">
            <v>320</v>
          </cell>
          <cell r="K278">
            <v>25740</v>
          </cell>
        </row>
        <row r="279">
          <cell r="A279" t="str">
            <v>주철관절단공(지하)</v>
          </cell>
          <cell r="B279" t="str">
            <v>D=200</v>
          </cell>
          <cell r="C279">
            <v>2</v>
          </cell>
          <cell r="D279" t="str">
            <v>개소</v>
          </cell>
          <cell r="E279">
            <v>660</v>
          </cell>
          <cell r="F279">
            <v>1320</v>
          </cell>
          <cell r="G279">
            <v>13290</v>
          </cell>
          <cell r="H279">
            <v>26580</v>
          </cell>
          <cell r="I279">
            <v>180</v>
          </cell>
          <cell r="J279">
            <v>360</v>
          </cell>
          <cell r="K279">
            <v>28260</v>
          </cell>
        </row>
        <row r="280">
          <cell r="A280" t="str">
            <v>주철관절단공(지하)</v>
          </cell>
          <cell r="B280" t="str">
            <v>D=250</v>
          </cell>
          <cell r="C280">
            <v>2</v>
          </cell>
          <cell r="D280" t="str">
            <v>개소</v>
          </cell>
          <cell r="E280">
            <v>800</v>
          </cell>
          <cell r="F280">
            <v>1600</v>
          </cell>
          <cell r="G280">
            <v>16110</v>
          </cell>
          <cell r="H280">
            <v>32220</v>
          </cell>
          <cell r="I280">
            <v>190</v>
          </cell>
          <cell r="J280">
            <v>380</v>
          </cell>
          <cell r="K280">
            <v>34200</v>
          </cell>
        </row>
        <row r="281">
          <cell r="A281" t="str">
            <v>주철관절단공(지하)</v>
          </cell>
          <cell r="B281" t="str">
            <v>D=300</v>
          </cell>
          <cell r="C281">
            <v>2</v>
          </cell>
          <cell r="D281" t="str">
            <v>개소</v>
          </cell>
          <cell r="E281">
            <v>900</v>
          </cell>
          <cell r="F281">
            <v>1800</v>
          </cell>
          <cell r="G281">
            <v>18700</v>
          </cell>
          <cell r="H281">
            <v>37400</v>
          </cell>
          <cell r="I281">
            <v>200</v>
          </cell>
          <cell r="J281">
            <v>400</v>
          </cell>
          <cell r="K281">
            <v>39600</v>
          </cell>
        </row>
        <row r="282">
          <cell r="A282" t="str">
            <v>주철관절단공(지하)</v>
          </cell>
          <cell r="B282" t="str">
            <v>D=400</v>
          </cell>
          <cell r="C282">
            <v>2</v>
          </cell>
          <cell r="D282" t="str">
            <v>개소</v>
          </cell>
          <cell r="E282">
            <v>344</v>
          </cell>
          <cell r="F282">
            <v>688</v>
          </cell>
          <cell r="G282">
            <v>19200</v>
          </cell>
          <cell r="H282">
            <v>38400</v>
          </cell>
          <cell r="I282">
            <v>74</v>
          </cell>
          <cell r="J282">
            <v>148</v>
          </cell>
          <cell r="K282">
            <v>39236</v>
          </cell>
        </row>
        <row r="283">
          <cell r="A283" t="str">
            <v>주철관절단공(지상)</v>
          </cell>
          <cell r="B283" t="str">
            <v>D=80</v>
          </cell>
          <cell r="C283">
            <v>4</v>
          </cell>
          <cell r="D283" t="str">
            <v>개소</v>
          </cell>
          <cell r="E283">
            <v>480</v>
          </cell>
          <cell r="F283">
            <v>1920</v>
          </cell>
          <cell r="G283">
            <v>4870</v>
          </cell>
          <cell r="H283">
            <v>19480</v>
          </cell>
          <cell r="I283">
            <v>120</v>
          </cell>
          <cell r="J283">
            <v>480</v>
          </cell>
          <cell r="K283">
            <v>21880</v>
          </cell>
        </row>
        <row r="284">
          <cell r="A284" t="str">
            <v>주철관절단공(지상)</v>
          </cell>
          <cell r="B284" t="str">
            <v>D=100</v>
          </cell>
          <cell r="C284">
            <v>4</v>
          </cell>
          <cell r="D284" t="str">
            <v>개소</v>
          </cell>
          <cell r="E284">
            <v>530</v>
          </cell>
          <cell r="F284">
            <v>2120</v>
          </cell>
          <cell r="G284">
            <v>5320</v>
          </cell>
          <cell r="H284">
            <v>21280</v>
          </cell>
          <cell r="I284">
            <v>140</v>
          </cell>
          <cell r="J284">
            <v>560</v>
          </cell>
          <cell r="K284">
            <v>23960</v>
          </cell>
        </row>
        <row r="285">
          <cell r="A285" t="str">
            <v>주철관절단공(지상)</v>
          </cell>
          <cell r="B285" t="str">
            <v>D=150</v>
          </cell>
          <cell r="C285">
            <v>2</v>
          </cell>
          <cell r="D285" t="str">
            <v>개소</v>
          </cell>
          <cell r="E285">
            <v>600</v>
          </cell>
          <cell r="F285">
            <v>1200</v>
          </cell>
          <cell r="G285">
            <v>6050</v>
          </cell>
          <cell r="H285">
            <v>12100</v>
          </cell>
          <cell r="I285">
            <v>160</v>
          </cell>
          <cell r="J285">
            <v>320</v>
          </cell>
          <cell r="K285">
            <v>13620</v>
          </cell>
        </row>
        <row r="286">
          <cell r="A286" t="str">
            <v>주철관절단공(지상)</v>
          </cell>
          <cell r="B286" t="str">
            <v>D=200</v>
          </cell>
          <cell r="C286">
            <v>2</v>
          </cell>
          <cell r="D286" t="str">
            <v>개소</v>
          </cell>
          <cell r="E286">
            <v>660</v>
          </cell>
          <cell r="F286">
            <v>1320</v>
          </cell>
          <cell r="G286">
            <v>6640</v>
          </cell>
          <cell r="H286">
            <v>13280</v>
          </cell>
          <cell r="I286">
            <v>180</v>
          </cell>
          <cell r="J286">
            <v>360</v>
          </cell>
          <cell r="K286">
            <v>14960</v>
          </cell>
        </row>
        <row r="287">
          <cell r="A287" t="str">
            <v>주철관절단공(지상)</v>
          </cell>
          <cell r="B287" t="str">
            <v>D=250</v>
          </cell>
          <cell r="C287">
            <v>2</v>
          </cell>
          <cell r="D287" t="str">
            <v>개소</v>
          </cell>
          <cell r="E287">
            <v>800</v>
          </cell>
          <cell r="F287">
            <v>1600</v>
          </cell>
          <cell r="G287">
            <v>6740</v>
          </cell>
          <cell r="H287">
            <v>13480</v>
          </cell>
          <cell r="I287">
            <v>190</v>
          </cell>
          <cell r="J287">
            <v>380</v>
          </cell>
          <cell r="K287">
            <v>15460</v>
          </cell>
        </row>
        <row r="288">
          <cell r="A288" t="str">
            <v>주철관절단공(지상)</v>
          </cell>
          <cell r="B288" t="str">
            <v>D=300</v>
          </cell>
          <cell r="C288">
            <v>2</v>
          </cell>
          <cell r="D288" t="str">
            <v>개소</v>
          </cell>
          <cell r="E288">
            <v>920</v>
          </cell>
          <cell r="F288">
            <v>1840</v>
          </cell>
          <cell r="G288">
            <v>6950</v>
          </cell>
          <cell r="H288">
            <v>13900</v>
          </cell>
          <cell r="I288">
            <v>210</v>
          </cell>
          <cell r="J288">
            <v>420</v>
          </cell>
          <cell r="K288">
            <v>16160</v>
          </cell>
        </row>
        <row r="289">
          <cell r="A289" t="str">
            <v>주철관절단공(지상)</v>
          </cell>
          <cell r="B289" t="str">
            <v>D=400</v>
          </cell>
          <cell r="C289">
            <v>2</v>
          </cell>
          <cell r="D289" t="str">
            <v>개소</v>
          </cell>
          <cell r="E289">
            <v>344</v>
          </cell>
          <cell r="F289">
            <v>688</v>
          </cell>
          <cell r="G289">
            <v>7130</v>
          </cell>
          <cell r="H289">
            <v>14260</v>
          </cell>
          <cell r="I289">
            <v>74</v>
          </cell>
          <cell r="J289">
            <v>148</v>
          </cell>
          <cell r="K289">
            <v>15096</v>
          </cell>
        </row>
        <row r="290">
          <cell r="A290" t="str">
            <v>악 구  철 거 공</v>
          </cell>
          <cell r="B290" t="str">
            <v>D=80</v>
          </cell>
          <cell r="C290">
            <v>4</v>
          </cell>
          <cell r="D290" t="str">
            <v>개소</v>
          </cell>
          <cell r="E290">
            <v>0</v>
          </cell>
          <cell r="F290">
            <v>0</v>
          </cell>
          <cell r="G290">
            <v>4640</v>
          </cell>
          <cell r="H290">
            <v>18560</v>
          </cell>
          <cell r="I290">
            <v>110</v>
          </cell>
          <cell r="J290">
            <v>440</v>
          </cell>
          <cell r="K290">
            <v>19000</v>
          </cell>
        </row>
        <row r="291">
          <cell r="A291" t="str">
            <v>악 구  철 거 공</v>
          </cell>
          <cell r="B291" t="str">
            <v>D=100</v>
          </cell>
          <cell r="C291">
            <v>4</v>
          </cell>
          <cell r="D291" t="str">
            <v>개소</v>
          </cell>
          <cell r="E291">
            <v>0</v>
          </cell>
          <cell r="F291">
            <v>0</v>
          </cell>
          <cell r="G291">
            <v>5570</v>
          </cell>
          <cell r="H291">
            <v>22280</v>
          </cell>
          <cell r="I291">
            <v>170</v>
          </cell>
          <cell r="J291">
            <v>680</v>
          </cell>
          <cell r="K291">
            <v>22960</v>
          </cell>
        </row>
        <row r="292">
          <cell r="A292" t="str">
            <v>악 구  철 거 공</v>
          </cell>
          <cell r="B292" t="str">
            <v>D=150</v>
          </cell>
          <cell r="C292">
            <v>4</v>
          </cell>
          <cell r="D292" t="str">
            <v>개소</v>
          </cell>
          <cell r="E292">
            <v>0</v>
          </cell>
          <cell r="F292">
            <v>0</v>
          </cell>
          <cell r="G292">
            <v>5890</v>
          </cell>
          <cell r="H292">
            <v>23560</v>
          </cell>
          <cell r="I292">
            <v>250</v>
          </cell>
          <cell r="J292">
            <v>1000</v>
          </cell>
          <cell r="K292">
            <v>24560</v>
          </cell>
        </row>
        <row r="293">
          <cell r="A293" t="str">
            <v>악 구  철 거 공</v>
          </cell>
          <cell r="B293" t="str">
            <v>D=200</v>
          </cell>
          <cell r="C293">
            <v>2</v>
          </cell>
          <cell r="D293" t="str">
            <v>개소</v>
          </cell>
          <cell r="E293">
            <v>0</v>
          </cell>
          <cell r="F293">
            <v>0</v>
          </cell>
          <cell r="G293">
            <v>6240</v>
          </cell>
          <cell r="H293">
            <v>12480</v>
          </cell>
          <cell r="I293">
            <v>280</v>
          </cell>
          <cell r="J293">
            <v>560</v>
          </cell>
          <cell r="K293">
            <v>13040</v>
          </cell>
        </row>
        <row r="294">
          <cell r="A294" t="str">
            <v>악 구  철 거 공</v>
          </cell>
          <cell r="B294" t="str">
            <v>D=250</v>
          </cell>
          <cell r="C294">
            <v>2</v>
          </cell>
          <cell r="D294" t="str">
            <v>개소</v>
          </cell>
          <cell r="E294">
            <v>0</v>
          </cell>
          <cell r="F294">
            <v>0</v>
          </cell>
          <cell r="G294">
            <v>4596</v>
          </cell>
          <cell r="H294">
            <v>9192</v>
          </cell>
          <cell r="I294">
            <v>112</v>
          </cell>
          <cell r="J294">
            <v>224</v>
          </cell>
          <cell r="K294">
            <v>9416</v>
          </cell>
        </row>
        <row r="295">
          <cell r="A295" t="str">
            <v>악 구  철 거 공</v>
          </cell>
          <cell r="B295" t="str">
            <v>D=300</v>
          </cell>
          <cell r="C295">
            <v>2</v>
          </cell>
          <cell r="D295" t="str">
            <v>개소</v>
          </cell>
          <cell r="E295">
            <v>0</v>
          </cell>
          <cell r="F295">
            <v>0</v>
          </cell>
          <cell r="G295">
            <v>5655</v>
          </cell>
          <cell r="H295">
            <v>11310</v>
          </cell>
          <cell r="I295">
            <v>207</v>
          </cell>
          <cell r="J295">
            <v>414</v>
          </cell>
          <cell r="K295">
            <v>11724</v>
          </cell>
        </row>
        <row r="296">
          <cell r="A296" t="str">
            <v>악 구  철 거 공</v>
          </cell>
          <cell r="B296" t="str">
            <v>D=400</v>
          </cell>
          <cell r="C296">
            <v>2</v>
          </cell>
          <cell r="D296" t="str">
            <v>개소</v>
          </cell>
          <cell r="E296">
            <v>0</v>
          </cell>
          <cell r="F296">
            <v>0</v>
          </cell>
          <cell r="G296">
            <v>5840</v>
          </cell>
          <cell r="H296">
            <v>11680</v>
          </cell>
          <cell r="I296">
            <v>285</v>
          </cell>
          <cell r="J296">
            <v>570</v>
          </cell>
          <cell r="K296">
            <v>12250</v>
          </cell>
        </row>
        <row r="297">
          <cell r="A297" t="str">
            <v>K. P  철거공</v>
          </cell>
          <cell r="B297" t="str">
            <v>D=80</v>
          </cell>
          <cell r="C297">
            <v>60</v>
          </cell>
          <cell r="D297" t="str">
            <v>개소</v>
          </cell>
          <cell r="E297">
            <v>0</v>
          </cell>
          <cell r="F297">
            <v>0</v>
          </cell>
          <cell r="G297">
            <v>2370</v>
          </cell>
          <cell r="H297">
            <v>142200</v>
          </cell>
          <cell r="I297">
            <v>0</v>
          </cell>
          <cell r="J297">
            <v>0</v>
          </cell>
          <cell r="K297">
            <v>142200</v>
          </cell>
        </row>
        <row r="298">
          <cell r="A298" t="str">
            <v>K. P  철거공</v>
          </cell>
          <cell r="B298" t="str">
            <v>D=100</v>
          </cell>
          <cell r="C298">
            <v>20</v>
          </cell>
          <cell r="D298" t="str">
            <v>개소</v>
          </cell>
          <cell r="E298">
            <v>0</v>
          </cell>
          <cell r="F298">
            <v>0</v>
          </cell>
          <cell r="G298">
            <v>3570</v>
          </cell>
          <cell r="H298">
            <v>71400</v>
          </cell>
          <cell r="I298">
            <v>0</v>
          </cell>
          <cell r="J298">
            <v>0</v>
          </cell>
          <cell r="K298">
            <v>71400</v>
          </cell>
        </row>
        <row r="299">
          <cell r="A299" t="str">
            <v>K. P  철거공</v>
          </cell>
          <cell r="B299" t="str">
            <v>D=150</v>
          </cell>
          <cell r="C299">
            <v>10</v>
          </cell>
          <cell r="D299" t="str">
            <v>개소</v>
          </cell>
          <cell r="E299">
            <v>0</v>
          </cell>
          <cell r="F299">
            <v>0</v>
          </cell>
          <cell r="G299">
            <v>5460</v>
          </cell>
          <cell r="H299">
            <v>54600</v>
          </cell>
          <cell r="I299">
            <v>0</v>
          </cell>
          <cell r="J299">
            <v>0</v>
          </cell>
          <cell r="K299">
            <v>54600</v>
          </cell>
        </row>
        <row r="300">
          <cell r="A300" t="str">
            <v>K. P  철거공</v>
          </cell>
          <cell r="B300" t="str">
            <v>D=200</v>
          </cell>
          <cell r="C300">
            <v>5</v>
          </cell>
          <cell r="D300" t="str">
            <v>개소</v>
          </cell>
          <cell r="E300">
            <v>0</v>
          </cell>
          <cell r="F300">
            <v>0</v>
          </cell>
          <cell r="G300">
            <v>5540</v>
          </cell>
          <cell r="H300">
            <v>27700</v>
          </cell>
          <cell r="I300">
            <v>0</v>
          </cell>
          <cell r="J300">
            <v>0</v>
          </cell>
          <cell r="K300">
            <v>27700</v>
          </cell>
        </row>
        <row r="301">
          <cell r="A301" t="str">
            <v>K. P  철거공</v>
          </cell>
          <cell r="B301" t="str">
            <v>D=250</v>
          </cell>
          <cell r="C301">
            <v>5</v>
          </cell>
          <cell r="D301" t="str">
            <v>개소</v>
          </cell>
          <cell r="E301">
            <v>0</v>
          </cell>
          <cell r="F301">
            <v>0</v>
          </cell>
          <cell r="G301">
            <v>5620</v>
          </cell>
          <cell r="H301">
            <v>28100</v>
          </cell>
          <cell r="I301">
            <v>0</v>
          </cell>
          <cell r="J301">
            <v>0</v>
          </cell>
          <cell r="K301">
            <v>28100</v>
          </cell>
        </row>
        <row r="302">
          <cell r="A302" t="str">
            <v>K. P  철거공</v>
          </cell>
          <cell r="B302" t="str">
            <v>D=300</v>
          </cell>
          <cell r="C302">
            <v>1</v>
          </cell>
          <cell r="D302" t="str">
            <v>개소</v>
          </cell>
          <cell r="E302">
            <v>0</v>
          </cell>
          <cell r="F302">
            <v>0</v>
          </cell>
          <cell r="G302">
            <v>5710</v>
          </cell>
          <cell r="H302">
            <v>5710</v>
          </cell>
          <cell r="I302">
            <v>0</v>
          </cell>
          <cell r="J302">
            <v>0</v>
          </cell>
          <cell r="K302">
            <v>5710</v>
          </cell>
        </row>
        <row r="303">
          <cell r="A303" t="str">
            <v>K. P  철거공</v>
          </cell>
          <cell r="B303" t="str">
            <v>D=350</v>
          </cell>
          <cell r="C303">
            <v>1</v>
          </cell>
          <cell r="D303" t="str">
            <v>개소</v>
          </cell>
          <cell r="E303">
            <v>0</v>
          </cell>
          <cell r="F303">
            <v>0</v>
          </cell>
          <cell r="G303">
            <v>5840</v>
          </cell>
          <cell r="H303">
            <v>5840</v>
          </cell>
          <cell r="I303">
            <v>0</v>
          </cell>
          <cell r="J303">
            <v>0</v>
          </cell>
          <cell r="K303">
            <v>5840</v>
          </cell>
        </row>
        <row r="304">
          <cell r="A304" t="str">
            <v>K. P  철거공</v>
          </cell>
          <cell r="B304" t="str">
            <v>D=400</v>
          </cell>
          <cell r="C304">
            <v>1</v>
          </cell>
          <cell r="D304" t="str">
            <v>개소</v>
          </cell>
          <cell r="E304">
            <v>0</v>
          </cell>
          <cell r="F304">
            <v>0</v>
          </cell>
          <cell r="G304">
            <v>5960</v>
          </cell>
          <cell r="H304">
            <v>5960</v>
          </cell>
          <cell r="I304">
            <v>0</v>
          </cell>
          <cell r="J304">
            <v>0</v>
          </cell>
          <cell r="K304">
            <v>5960</v>
          </cell>
        </row>
        <row r="305">
          <cell r="A305" t="str">
            <v>타이튼주철관철거공</v>
          </cell>
          <cell r="B305" t="str">
            <v>D=80*4</v>
          </cell>
          <cell r="C305">
            <v>1</v>
          </cell>
          <cell r="D305" t="str">
            <v>개소</v>
          </cell>
          <cell r="E305">
            <v>0</v>
          </cell>
          <cell r="F305">
            <v>0</v>
          </cell>
          <cell r="G305">
            <v>5780</v>
          </cell>
          <cell r="H305">
            <v>5780</v>
          </cell>
          <cell r="I305">
            <v>0</v>
          </cell>
          <cell r="J305">
            <v>0</v>
          </cell>
          <cell r="K305">
            <v>5780</v>
          </cell>
        </row>
        <row r="306">
          <cell r="A306" t="str">
            <v>타이튼주철관철거공</v>
          </cell>
          <cell r="B306" t="str">
            <v>D=100*5</v>
          </cell>
          <cell r="C306">
            <v>1</v>
          </cell>
          <cell r="D306" t="str">
            <v>개소</v>
          </cell>
          <cell r="E306">
            <v>0</v>
          </cell>
          <cell r="F306">
            <v>0</v>
          </cell>
          <cell r="G306">
            <v>7000</v>
          </cell>
          <cell r="H306">
            <v>7000</v>
          </cell>
          <cell r="I306">
            <v>0</v>
          </cell>
          <cell r="J306">
            <v>0</v>
          </cell>
          <cell r="K306">
            <v>7000</v>
          </cell>
        </row>
        <row r="307">
          <cell r="A307" t="str">
            <v>타이튼주철관철거공</v>
          </cell>
          <cell r="B307" t="str">
            <v>D=150*5</v>
          </cell>
          <cell r="C307">
            <v>1</v>
          </cell>
          <cell r="D307" t="str">
            <v>개소</v>
          </cell>
          <cell r="E307">
            <v>0</v>
          </cell>
          <cell r="F307">
            <v>0</v>
          </cell>
          <cell r="G307">
            <v>7500</v>
          </cell>
          <cell r="H307">
            <v>7500</v>
          </cell>
          <cell r="I307">
            <v>0</v>
          </cell>
          <cell r="J307">
            <v>0</v>
          </cell>
          <cell r="K307">
            <v>7500</v>
          </cell>
        </row>
        <row r="308">
          <cell r="A308" t="str">
            <v>타이튼주철관철거공</v>
          </cell>
          <cell r="B308" t="str">
            <v>D=200*6</v>
          </cell>
          <cell r="C308">
            <v>1</v>
          </cell>
          <cell r="D308" t="str">
            <v>개소</v>
          </cell>
          <cell r="E308">
            <v>0</v>
          </cell>
          <cell r="F308">
            <v>0</v>
          </cell>
          <cell r="G308">
            <v>5297</v>
          </cell>
          <cell r="H308">
            <v>5297</v>
          </cell>
          <cell r="I308">
            <v>0</v>
          </cell>
          <cell r="J308">
            <v>0</v>
          </cell>
          <cell r="K308">
            <v>5297</v>
          </cell>
        </row>
        <row r="309">
          <cell r="A309" t="str">
            <v>타이튼주철관철거공</v>
          </cell>
          <cell r="B309" t="str">
            <v>D=250*6</v>
          </cell>
          <cell r="C309">
            <v>1</v>
          </cell>
          <cell r="D309" t="str">
            <v>개소</v>
          </cell>
          <cell r="E309">
            <v>0</v>
          </cell>
          <cell r="F309">
            <v>0</v>
          </cell>
          <cell r="G309">
            <v>6563</v>
          </cell>
          <cell r="H309">
            <v>6563</v>
          </cell>
          <cell r="I309">
            <v>0</v>
          </cell>
          <cell r="J309">
            <v>0</v>
          </cell>
          <cell r="K309">
            <v>6563</v>
          </cell>
        </row>
        <row r="310">
          <cell r="A310" t="str">
            <v>타이튼주철관철거공</v>
          </cell>
          <cell r="B310" t="str">
            <v>D=300*6</v>
          </cell>
          <cell r="C310">
            <v>1</v>
          </cell>
          <cell r="D310" t="str">
            <v>개소</v>
          </cell>
          <cell r="E310">
            <v>0</v>
          </cell>
          <cell r="F310">
            <v>0</v>
          </cell>
          <cell r="G310">
            <v>7320</v>
          </cell>
          <cell r="H310">
            <v>7320</v>
          </cell>
          <cell r="I310">
            <v>0</v>
          </cell>
          <cell r="J310">
            <v>0</v>
          </cell>
          <cell r="K310">
            <v>7320</v>
          </cell>
        </row>
        <row r="311">
          <cell r="A311" t="str">
            <v>타이튼주철관철거공</v>
          </cell>
          <cell r="B311" t="str">
            <v>D=350*6</v>
          </cell>
          <cell r="C311">
            <v>1</v>
          </cell>
          <cell r="D311" t="str">
            <v>개소</v>
          </cell>
          <cell r="E311">
            <v>0</v>
          </cell>
          <cell r="F311">
            <v>0</v>
          </cell>
          <cell r="G311">
            <v>7640</v>
          </cell>
          <cell r="H311">
            <v>7640</v>
          </cell>
          <cell r="I311">
            <v>0</v>
          </cell>
          <cell r="J311">
            <v>0</v>
          </cell>
          <cell r="K311">
            <v>7640</v>
          </cell>
        </row>
        <row r="312">
          <cell r="A312" t="str">
            <v>타이튼주철관철거공</v>
          </cell>
          <cell r="B312" t="str">
            <v>D=400*6</v>
          </cell>
          <cell r="C312">
            <v>1</v>
          </cell>
          <cell r="D312" t="str">
            <v>개소</v>
          </cell>
          <cell r="E312">
            <v>0</v>
          </cell>
          <cell r="F312">
            <v>0</v>
          </cell>
          <cell r="G312">
            <v>7760</v>
          </cell>
          <cell r="H312">
            <v>7760</v>
          </cell>
          <cell r="I312">
            <v>0</v>
          </cell>
          <cell r="J312">
            <v>0</v>
          </cell>
          <cell r="K312">
            <v>7760</v>
          </cell>
        </row>
        <row r="313">
          <cell r="A313" t="str">
            <v>제수변철거공(주철제)</v>
          </cell>
          <cell r="B313" t="str">
            <v>D=80</v>
          </cell>
          <cell r="C313">
            <v>2</v>
          </cell>
          <cell r="D313" t="str">
            <v>개소</v>
          </cell>
          <cell r="E313">
            <v>0</v>
          </cell>
          <cell r="F313">
            <v>0</v>
          </cell>
          <cell r="G313">
            <v>25060</v>
          </cell>
          <cell r="H313">
            <v>50120</v>
          </cell>
          <cell r="I313">
            <v>0</v>
          </cell>
          <cell r="J313">
            <v>0</v>
          </cell>
          <cell r="K313">
            <v>50120</v>
          </cell>
        </row>
        <row r="314">
          <cell r="A314" t="str">
            <v>제수변철거공(주철제)</v>
          </cell>
          <cell r="B314" t="str">
            <v>D=100</v>
          </cell>
          <cell r="C314">
            <v>1</v>
          </cell>
          <cell r="D314" t="str">
            <v>개소</v>
          </cell>
          <cell r="E314">
            <v>0</v>
          </cell>
          <cell r="F314">
            <v>0</v>
          </cell>
          <cell r="G314">
            <v>26530</v>
          </cell>
          <cell r="H314">
            <v>26530</v>
          </cell>
          <cell r="I314">
            <v>0</v>
          </cell>
          <cell r="J314">
            <v>0</v>
          </cell>
          <cell r="K314">
            <v>26530</v>
          </cell>
        </row>
        <row r="315">
          <cell r="A315" t="str">
            <v>제수변철거공(주철제)</v>
          </cell>
          <cell r="B315" t="str">
            <v>D=150</v>
          </cell>
          <cell r="C315">
            <v>1</v>
          </cell>
          <cell r="D315" t="str">
            <v>개소</v>
          </cell>
          <cell r="E315">
            <v>0</v>
          </cell>
          <cell r="F315">
            <v>0</v>
          </cell>
          <cell r="G315">
            <v>29170</v>
          </cell>
          <cell r="H315">
            <v>29170</v>
          </cell>
          <cell r="I315">
            <v>0</v>
          </cell>
          <cell r="J315">
            <v>0</v>
          </cell>
          <cell r="K315">
            <v>29170</v>
          </cell>
        </row>
        <row r="316">
          <cell r="A316" t="str">
            <v>제수변철거공(주철제)</v>
          </cell>
          <cell r="B316" t="str">
            <v>D=200</v>
          </cell>
          <cell r="C316">
            <v>1</v>
          </cell>
          <cell r="D316" t="str">
            <v>개소</v>
          </cell>
          <cell r="E316">
            <v>0</v>
          </cell>
          <cell r="F316">
            <v>0</v>
          </cell>
          <cell r="G316">
            <v>32400</v>
          </cell>
          <cell r="H316">
            <v>32400</v>
          </cell>
          <cell r="I316">
            <v>0</v>
          </cell>
          <cell r="J316">
            <v>0</v>
          </cell>
          <cell r="K316">
            <v>32400</v>
          </cell>
        </row>
        <row r="317">
          <cell r="A317" t="str">
            <v>제수변철거공(주철제)</v>
          </cell>
          <cell r="B317" t="str">
            <v>D=250</v>
          </cell>
          <cell r="C317">
            <v>1</v>
          </cell>
          <cell r="D317" t="str">
            <v>개소</v>
          </cell>
          <cell r="E317">
            <v>0</v>
          </cell>
          <cell r="F317">
            <v>0</v>
          </cell>
          <cell r="G317">
            <v>16544</v>
          </cell>
          <cell r="H317">
            <v>16544</v>
          </cell>
          <cell r="I317">
            <v>0</v>
          </cell>
          <cell r="J317">
            <v>0</v>
          </cell>
          <cell r="K317">
            <v>16544</v>
          </cell>
        </row>
        <row r="318">
          <cell r="A318" t="str">
            <v>제수변철거공(주철제)</v>
          </cell>
          <cell r="B318" t="str">
            <v>D=300</v>
          </cell>
          <cell r="C318">
            <v>1</v>
          </cell>
          <cell r="D318" t="str">
            <v>개소</v>
          </cell>
          <cell r="E318">
            <v>0</v>
          </cell>
          <cell r="F318">
            <v>0</v>
          </cell>
          <cell r="G318">
            <v>21059</v>
          </cell>
          <cell r="H318">
            <v>21059</v>
          </cell>
          <cell r="I318">
            <v>0</v>
          </cell>
          <cell r="J318">
            <v>0</v>
          </cell>
          <cell r="K318">
            <v>21059</v>
          </cell>
        </row>
        <row r="319">
          <cell r="A319" t="str">
            <v>제수변철거공(주철제)</v>
          </cell>
          <cell r="B319" t="str">
            <v>D=400</v>
          </cell>
          <cell r="C319">
            <v>1</v>
          </cell>
          <cell r="D319" t="str">
            <v>개소</v>
          </cell>
          <cell r="E319">
            <v>0</v>
          </cell>
          <cell r="F319">
            <v>0</v>
          </cell>
          <cell r="G319">
            <v>26430</v>
          </cell>
          <cell r="H319">
            <v>26430</v>
          </cell>
          <cell r="I319">
            <v>0</v>
          </cell>
          <cell r="J319">
            <v>0</v>
          </cell>
          <cell r="K319">
            <v>26430</v>
          </cell>
        </row>
        <row r="320">
          <cell r="A320" t="str">
            <v>소형제수변실설치공</v>
          </cell>
          <cell r="B320" t="str">
            <v>D=80~100</v>
          </cell>
          <cell r="C320">
            <v>1</v>
          </cell>
          <cell r="D320" t="str">
            <v>개소</v>
          </cell>
          <cell r="E320">
            <v>12300</v>
          </cell>
          <cell r="F320">
            <v>12300</v>
          </cell>
          <cell r="G320">
            <v>27760</v>
          </cell>
          <cell r="H320">
            <v>27760</v>
          </cell>
          <cell r="I320">
            <v>0</v>
          </cell>
          <cell r="J320">
            <v>0</v>
          </cell>
          <cell r="K320">
            <v>40060</v>
          </cell>
        </row>
        <row r="321">
          <cell r="A321" t="str">
            <v>소형제수변실설치공</v>
          </cell>
          <cell r="B321" t="str">
            <v>D=150~300</v>
          </cell>
          <cell r="C321">
            <v>1</v>
          </cell>
          <cell r="D321" t="str">
            <v>개소</v>
          </cell>
          <cell r="E321">
            <v>12300</v>
          </cell>
          <cell r="F321">
            <v>12300</v>
          </cell>
          <cell r="G321">
            <v>28000</v>
          </cell>
          <cell r="H321">
            <v>28000</v>
          </cell>
          <cell r="I321">
            <v>0</v>
          </cell>
          <cell r="J321">
            <v>0</v>
          </cell>
          <cell r="K321">
            <v>40300</v>
          </cell>
        </row>
        <row r="322">
          <cell r="A322" t="str">
            <v>원형제수변실설치공</v>
          </cell>
          <cell r="B322" t="str">
            <v>D=80~100</v>
          </cell>
          <cell r="C322">
            <v>1</v>
          </cell>
          <cell r="D322" t="str">
            <v>개소</v>
          </cell>
          <cell r="E322">
            <v>85090</v>
          </cell>
          <cell r="F322">
            <v>85090</v>
          </cell>
          <cell r="G322">
            <v>192800</v>
          </cell>
          <cell r="H322">
            <v>192800</v>
          </cell>
          <cell r="I322">
            <v>3690</v>
          </cell>
          <cell r="J322">
            <v>3690</v>
          </cell>
          <cell r="K322">
            <v>281580</v>
          </cell>
        </row>
        <row r="323">
          <cell r="A323" t="str">
            <v>원형제수변실설치공</v>
          </cell>
          <cell r="B323" t="str">
            <v>D=150</v>
          </cell>
          <cell r="C323">
            <v>1</v>
          </cell>
          <cell r="D323" t="str">
            <v>개소</v>
          </cell>
          <cell r="E323">
            <v>90340</v>
          </cell>
          <cell r="F323">
            <v>90340</v>
          </cell>
          <cell r="G323">
            <v>197990</v>
          </cell>
          <cell r="H323">
            <v>197990</v>
          </cell>
          <cell r="I323">
            <v>3830</v>
          </cell>
          <cell r="J323">
            <v>3830</v>
          </cell>
          <cell r="K323">
            <v>292160</v>
          </cell>
        </row>
        <row r="324">
          <cell r="A324" t="str">
            <v>원형제수변실설치공</v>
          </cell>
          <cell r="B324" t="str">
            <v>D=200</v>
          </cell>
          <cell r="C324">
            <v>1</v>
          </cell>
          <cell r="D324" t="str">
            <v>개소</v>
          </cell>
          <cell r="E324">
            <v>93520</v>
          </cell>
          <cell r="F324">
            <v>93520</v>
          </cell>
          <cell r="G324">
            <v>201000</v>
          </cell>
          <cell r="H324">
            <v>201000</v>
          </cell>
          <cell r="I324">
            <v>3840</v>
          </cell>
          <cell r="J324">
            <v>3840</v>
          </cell>
          <cell r="K324">
            <v>298360</v>
          </cell>
        </row>
        <row r="325">
          <cell r="A325" t="str">
            <v>원형제수변실설치공</v>
          </cell>
          <cell r="B325" t="str">
            <v>D=250</v>
          </cell>
          <cell r="C325">
            <v>1</v>
          </cell>
          <cell r="D325" t="str">
            <v>개소</v>
          </cell>
          <cell r="E325">
            <v>94200</v>
          </cell>
          <cell r="F325">
            <v>94200</v>
          </cell>
          <cell r="G325">
            <v>201200</v>
          </cell>
          <cell r="H325">
            <v>201200</v>
          </cell>
          <cell r="I325">
            <v>3850</v>
          </cell>
          <cell r="J325">
            <v>3850</v>
          </cell>
          <cell r="K325">
            <v>299250</v>
          </cell>
        </row>
        <row r="326">
          <cell r="A326" t="str">
            <v>원형제수변실설치공</v>
          </cell>
          <cell r="B326" t="str">
            <v>D=300</v>
          </cell>
          <cell r="C326">
            <v>1</v>
          </cell>
          <cell r="D326" t="str">
            <v>개소</v>
          </cell>
          <cell r="E326">
            <v>100040</v>
          </cell>
          <cell r="F326">
            <v>100040</v>
          </cell>
          <cell r="G326">
            <v>206290</v>
          </cell>
          <cell r="H326">
            <v>206290</v>
          </cell>
          <cell r="I326">
            <v>4050</v>
          </cell>
          <cell r="J326">
            <v>4050</v>
          </cell>
          <cell r="K326">
            <v>310380</v>
          </cell>
        </row>
        <row r="327">
          <cell r="A327" t="str">
            <v>조립식 맨홀 설치공</v>
          </cell>
          <cell r="C327">
            <v>2</v>
          </cell>
          <cell r="D327" t="str">
            <v>개소</v>
          </cell>
          <cell r="E327">
            <v>8740</v>
          </cell>
          <cell r="F327">
            <v>17480</v>
          </cell>
          <cell r="G327">
            <v>28600</v>
          </cell>
          <cell r="H327">
            <v>57200</v>
          </cell>
          <cell r="I327">
            <v>7560</v>
          </cell>
          <cell r="J327">
            <v>15120</v>
          </cell>
          <cell r="K327">
            <v>89800</v>
          </cell>
        </row>
        <row r="328">
          <cell r="A328" t="str">
            <v>대형계량기실설치공</v>
          </cell>
          <cell r="B328" t="str">
            <v>D=80</v>
          </cell>
          <cell r="C328">
            <v>1</v>
          </cell>
          <cell r="D328" t="str">
            <v>개소</v>
          </cell>
          <cell r="E328">
            <v>124650</v>
          </cell>
          <cell r="F328">
            <v>124650</v>
          </cell>
          <cell r="G328">
            <v>324560</v>
          </cell>
          <cell r="H328">
            <v>324560</v>
          </cell>
          <cell r="I328">
            <v>16420</v>
          </cell>
          <cell r="J328">
            <v>16420</v>
          </cell>
          <cell r="K328">
            <v>465630</v>
          </cell>
        </row>
        <row r="329">
          <cell r="A329" t="str">
            <v>대형계량기실설치공</v>
          </cell>
          <cell r="B329" t="str">
            <v>D=100</v>
          </cell>
          <cell r="C329">
            <v>1</v>
          </cell>
          <cell r="D329" t="str">
            <v>개소</v>
          </cell>
          <cell r="E329">
            <v>146310</v>
          </cell>
          <cell r="F329">
            <v>146310</v>
          </cell>
          <cell r="G329">
            <v>364680</v>
          </cell>
          <cell r="H329">
            <v>364680</v>
          </cell>
          <cell r="I329">
            <v>17560</v>
          </cell>
          <cell r="J329">
            <v>17560</v>
          </cell>
          <cell r="K329">
            <v>528550</v>
          </cell>
        </row>
        <row r="330">
          <cell r="A330" t="str">
            <v>대형계량기실설치공</v>
          </cell>
          <cell r="B330" t="str">
            <v>D=150</v>
          </cell>
          <cell r="C330">
            <v>1</v>
          </cell>
          <cell r="D330" t="str">
            <v>개소</v>
          </cell>
          <cell r="E330">
            <v>158910</v>
          </cell>
          <cell r="F330">
            <v>158910</v>
          </cell>
          <cell r="G330">
            <v>374650</v>
          </cell>
          <cell r="H330">
            <v>374650</v>
          </cell>
          <cell r="I330">
            <v>19320</v>
          </cell>
          <cell r="J330">
            <v>19320</v>
          </cell>
          <cell r="K330">
            <v>552880</v>
          </cell>
        </row>
        <row r="331">
          <cell r="A331" t="str">
            <v>대형계량기실설치공</v>
          </cell>
          <cell r="B331" t="str">
            <v>D=200</v>
          </cell>
          <cell r="C331">
            <v>1</v>
          </cell>
          <cell r="D331" t="str">
            <v>개소</v>
          </cell>
          <cell r="E331">
            <v>176989</v>
          </cell>
          <cell r="F331">
            <v>176989</v>
          </cell>
          <cell r="G331">
            <v>397540</v>
          </cell>
          <cell r="H331">
            <v>397540</v>
          </cell>
          <cell r="I331">
            <v>20340</v>
          </cell>
          <cell r="J331">
            <v>20340</v>
          </cell>
          <cell r="K331">
            <v>594869</v>
          </cell>
        </row>
        <row r="332">
          <cell r="A332" t="str">
            <v>대형계량기실설치공</v>
          </cell>
          <cell r="B332" t="str">
            <v>D=250</v>
          </cell>
          <cell r="C332">
            <v>1</v>
          </cell>
          <cell r="D332" t="str">
            <v>개소</v>
          </cell>
          <cell r="E332">
            <v>184600</v>
          </cell>
          <cell r="F332">
            <v>184600</v>
          </cell>
          <cell r="G332">
            <v>425640</v>
          </cell>
          <cell r="H332">
            <v>425640</v>
          </cell>
          <cell r="I332">
            <v>21207</v>
          </cell>
          <cell r="J332">
            <v>21207</v>
          </cell>
          <cell r="K332">
            <v>631447</v>
          </cell>
        </row>
        <row r="333">
          <cell r="A333" t="str">
            <v>소 화 전 신 설</v>
          </cell>
          <cell r="B333" t="str">
            <v>지하단구</v>
          </cell>
          <cell r="C333">
            <v>1</v>
          </cell>
          <cell r="D333" t="str">
            <v>조당</v>
          </cell>
          <cell r="E333">
            <v>0</v>
          </cell>
          <cell r="F333">
            <v>0</v>
          </cell>
          <cell r="G333">
            <v>21000</v>
          </cell>
          <cell r="H333">
            <v>21000</v>
          </cell>
          <cell r="I333">
            <v>0</v>
          </cell>
          <cell r="J333">
            <v>0</v>
          </cell>
          <cell r="K333">
            <v>21000</v>
          </cell>
        </row>
        <row r="334">
          <cell r="A334" t="str">
            <v>소 화 전 신 설</v>
          </cell>
          <cell r="B334" t="str">
            <v>지상쌍구</v>
          </cell>
          <cell r="C334">
            <v>1</v>
          </cell>
          <cell r="D334" t="str">
            <v>조당</v>
          </cell>
          <cell r="E334">
            <v>0</v>
          </cell>
          <cell r="F334">
            <v>0</v>
          </cell>
          <cell r="G334">
            <v>25000</v>
          </cell>
          <cell r="H334">
            <v>25000</v>
          </cell>
          <cell r="I334">
            <v>0</v>
          </cell>
          <cell r="J334">
            <v>0</v>
          </cell>
          <cell r="K334">
            <v>25000</v>
          </cell>
        </row>
        <row r="335">
          <cell r="A335" t="str">
            <v>소 화 전 철 거</v>
          </cell>
          <cell r="B335" t="str">
            <v>지하단구</v>
          </cell>
          <cell r="C335">
            <v>2</v>
          </cell>
          <cell r="D335" t="str">
            <v>조당</v>
          </cell>
          <cell r="E335">
            <v>0</v>
          </cell>
          <cell r="F335">
            <v>0</v>
          </cell>
          <cell r="G335">
            <v>10500</v>
          </cell>
          <cell r="H335">
            <v>21000</v>
          </cell>
          <cell r="I335">
            <v>0</v>
          </cell>
          <cell r="J335">
            <v>0</v>
          </cell>
          <cell r="K335">
            <v>21000</v>
          </cell>
        </row>
        <row r="336">
          <cell r="A336" t="str">
            <v>소 화 전 철 거</v>
          </cell>
          <cell r="B336" t="str">
            <v>지상쌍구</v>
          </cell>
          <cell r="C336">
            <v>2</v>
          </cell>
          <cell r="D336" t="str">
            <v>조당</v>
          </cell>
          <cell r="E336">
            <v>0</v>
          </cell>
          <cell r="F336">
            <v>0</v>
          </cell>
          <cell r="G336">
            <v>11600</v>
          </cell>
          <cell r="H336">
            <v>23200</v>
          </cell>
          <cell r="I336">
            <v>0</v>
          </cell>
          <cell r="J336">
            <v>0</v>
          </cell>
          <cell r="K336">
            <v>23200</v>
          </cell>
        </row>
        <row r="337">
          <cell r="A337" t="str">
            <v>일 시 급 수 공</v>
          </cell>
          <cell r="B337" t="str">
            <v>D=80*50</v>
          </cell>
          <cell r="C337">
            <v>10</v>
          </cell>
          <cell r="D337" t="str">
            <v>개소</v>
          </cell>
          <cell r="E337">
            <v>3440</v>
          </cell>
          <cell r="F337">
            <v>34400</v>
          </cell>
          <cell r="G337">
            <v>93180</v>
          </cell>
          <cell r="H337">
            <v>931800</v>
          </cell>
          <cell r="I337">
            <v>900</v>
          </cell>
          <cell r="J337">
            <v>9000</v>
          </cell>
          <cell r="K337">
            <v>975200</v>
          </cell>
        </row>
        <row r="338">
          <cell r="A338" t="str">
            <v>일 시 급 수 공</v>
          </cell>
          <cell r="B338" t="str">
            <v>D=100*50</v>
          </cell>
          <cell r="C338">
            <v>10</v>
          </cell>
          <cell r="D338" t="str">
            <v>개소</v>
          </cell>
          <cell r="E338">
            <v>3960</v>
          </cell>
          <cell r="F338">
            <v>39600</v>
          </cell>
          <cell r="G338">
            <v>107900</v>
          </cell>
          <cell r="H338">
            <v>1079000</v>
          </cell>
          <cell r="I338">
            <v>900</v>
          </cell>
          <cell r="J338">
            <v>9000</v>
          </cell>
          <cell r="K338">
            <v>1127600</v>
          </cell>
        </row>
        <row r="339">
          <cell r="A339" t="str">
            <v>일 시 급 수 공</v>
          </cell>
          <cell r="B339" t="str">
            <v>D=150*50</v>
          </cell>
          <cell r="C339">
            <v>5</v>
          </cell>
          <cell r="D339" t="str">
            <v>개소</v>
          </cell>
          <cell r="E339">
            <v>5540</v>
          </cell>
          <cell r="F339">
            <v>27700</v>
          </cell>
          <cell r="G339">
            <v>124500</v>
          </cell>
          <cell r="H339">
            <v>622500</v>
          </cell>
          <cell r="I339">
            <v>1000</v>
          </cell>
          <cell r="J339">
            <v>5000</v>
          </cell>
          <cell r="K339">
            <v>655200</v>
          </cell>
        </row>
        <row r="340">
          <cell r="A340" t="str">
            <v>일 시 급 수 공</v>
          </cell>
          <cell r="B340" t="str">
            <v>D=200*50</v>
          </cell>
          <cell r="C340">
            <v>2</v>
          </cell>
          <cell r="D340" t="str">
            <v>개소</v>
          </cell>
          <cell r="E340">
            <v>2437</v>
          </cell>
          <cell r="F340">
            <v>14870</v>
          </cell>
          <cell r="G340">
            <v>62006</v>
          </cell>
          <cell r="H340">
            <v>124012</v>
          </cell>
          <cell r="I340">
            <v>688</v>
          </cell>
          <cell r="J340">
            <v>1376</v>
          </cell>
          <cell r="K340">
            <v>140258</v>
          </cell>
        </row>
        <row r="341">
          <cell r="A341" t="str">
            <v>맨홀 굴상공</v>
          </cell>
          <cell r="B341">
            <v>0</v>
          </cell>
          <cell r="C341">
            <v>4</v>
          </cell>
          <cell r="D341" t="str">
            <v>개소</v>
          </cell>
          <cell r="E341">
            <v>10230</v>
          </cell>
          <cell r="F341">
            <v>40920</v>
          </cell>
          <cell r="G341">
            <v>47860</v>
          </cell>
          <cell r="H341">
            <v>191440</v>
          </cell>
          <cell r="I341">
            <v>5540</v>
          </cell>
          <cell r="J341">
            <v>22160</v>
          </cell>
          <cell r="K341">
            <v>254520</v>
          </cell>
        </row>
        <row r="342">
          <cell r="A342" t="str">
            <v>맨홀 교체공</v>
          </cell>
          <cell r="B342">
            <v>0</v>
          </cell>
          <cell r="C342">
            <v>3</v>
          </cell>
          <cell r="D342" t="str">
            <v>개소</v>
          </cell>
          <cell r="E342">
            <v>11110</v>
          </cell>
          <cell r="F342">
            <v>33330</v>
          </cell>
          <cell r="G342">
            <v>120490</v>
          </cell>
          <cell r="H342">
            <v>361470</v>
          </cell>
          <cell r="I342">
            <v>5190</v>
          </cell>
          <cell r="J342">
            <v>15570</v>
          </cell>
          <cell r="K342">
            <v>410370</v>
          </cell>
        </row>
        <row r="343">
          <cell r="A343" t="str">
            <v>원형변실철거공</v>
          </cell>
          <cell r="B343" t="str">
            <v>D=80~100</v>
          </cell>
          <cell r="C343">
            <v>3</v>
          </cell>
          <cell r="D343" t="str">
            <v>개소</v>
          </cell>
          <cell r="E343">
            <v>0</v>
          </cell>
          <cell r="F343">
            <v>0</v>
          </cell>
          <cell r="G343">
            <v>64230</v>
          </cell>
          <cell r="H343">
            <v>192690</v>
          </cell>
          <cell r="I343">
            <v>1540</v>
          </cell>
          <cell r="J343">
            <v>4620</v>
          </cell>
          <cell r="K343">
            <v>197310</v>
          </cell>
        </row>
        <row r="344">
          <cell r="A344" t="str">
            <v>원형변실철거공</v>
          </cell>
          <cell r="B344" t="str">
            <v>D=150MM</v>
          </cell>
          <cell r="C344">
            <v>2</v>
          </cell>
          <cell r="D344" t="str">
            <v>개소</v>
          </cell>
          <cell r="E344">
            <v>0</v>
          </cell>
          <cell r="F344">
            <v>0</v>
          </cell>
          <cell r="G344">
            <v>65320</v>
          </cell>
          <cell r="H344">
            <v>130640</v>
          </cell>
          <cell r="I344">
            <v>1540</v>
          </cell>
          <cell r="J344">
            <v>3080</v>
          </cell>
          <cell r="K344">
            <v>133720</v>
          </cell>
        </row>
        <row r="345">
          <cell r="A345" t="str">
            <v>원형변실철거공</v>
          </cell>
          <cell r="B345" t="str">
            <v>D=200~250</v>
          </cell>
          <cell r="C345">
            <v>1</v>
          </cell>
          <cell r="D345" t="str">
            <v>개소</v>
          </cell>
          <cell r="E345">
            <v>0</v>
          </cell>
          <cell r="F345">
            <v>0</v>
          </cell>
          <cell r="G345">
            <v>66450</v>
          </cell>
          <cell r="H345">
            <v>66450</v>
          </cell>
          <cell r="I345">
            <v>1540</v>
          </cell>
          <cell r="J345">
            <v>1540</v>
          </cell>
          <cell r="K345">
            <v>67990</v>
          </cell>
        </row>
        <row r="346">
          <cell r="A346" t="str">
            <v>부단수 분기공</v>
          </cell>
          <cell r="B346" t="str">
            <v>150*80</v>
          </cell>
          <cell r="C346">
            <v>1</v>
          </cell>
          <cell r="D346" t="str">
            <v>개소</v>
          </cell>
          <cell r="E346">
            <v>0</v>
          </cell>
          <cell r="F346">
            <v>0</v>
          </cell>
          <cell r="G346">
            <v>47831</v>
          </cell>
          <cell r="H346">
            <v>47831</v>
          </cell>
          <cell r="I346">
            <v>14152</v>
          </cell>
          <cell r="J346">
            <v>14152</v>
          </cell>
          <cell r="K346">
            <v>61983</v>
          </cell>
        </row>
        <row r="347">
          <cell r="A347" t="str">
            <v>부단수 분기공</v>
          </cell>
          <cell r="B347" t="str">
            <v>150*100</v>
          </cell>
          <cell r="C347">
            <v>1</v>
          </cell>
          <cell r="D347" t="str">
            <v>개소</v>
          </cell>
          <cell r="E347">
            <v>0</v>
          </cell>
          <cell r="F347">
            <v>0</v>
          </cell>
          <cell r="G347">
            <v>56420</v>
          </cell>
          <cell r="H347">
            <v>56420</v>
          </cell>
          <cell r="I347">
            <v>18460</v>
          </cell>
          <cell r="J347">
            <v>18460</v>
          </cell>
          <cell r="K347">
            <v>74880</v>
          </cell>
        </row>
        <row r="348">
          <cell r="A348" t="str">
            <v>부단수 분기공</v>
          </cell>
          <cell r="B348" t="str">
            <v>200*80</v>
          </cell>
          <cell r="C348">
            <v>1</v>
          </cell>
          <cell r="D348" t="str">
            <v>개소</v>
          </cell>
          <cell r="E348">
            <v>0</v>
          </cell>
          <cell r="F348">
            <v>0</v>
          </cell>
          <cell r="G348">
            <v>48892</v>
          </cell>
          <cell r="H348">
            <v>48892</v>
          </cell>
          <cell r="I348">
            <v>14152</v>
          </cell>
          <cell r="J348">
            <v>14152</v>
          </cell>
          <cell r="K348">
            <v>63044</v>
          </cell>
        </row>
        <row r="349">
          <cell r="A349" t="str">
            <v>부단수 분기공</v>
          </cell>
          <cell r="B349" t="str">
            <v>200*100</v>
          </cell>
          <cell r="C349">
            <v>1</v>
          </cell>
          <cell r="D349" t="str">
            <v>개소</v>
          </cell>
          <cell r="E349">
            <v>0</v>
          </cell>
          <cell r="F349">
            <v>0</v>
          </cell>
          <cell r="G349">
            <v>58630</v>
          </cell>
          <cell r="H349">
            <v>58630</v>
          </cell>
          <cell r="I349">
            <v>18460</v>
          </cell>
          <cell r="J349">
            <v>18460</v>
          </cell>
          <cell r="K349">
            <v>77090</v>
          </cell>
        </row>
        <row r="350">
          <cell r="A350" t="str">
            <v>부단수 분기공</v>
          </cell>
          <cell r="B350" t="str">
            <v>200*150</v>
          </cell>
          <cell r="C350">
            <v>1</v>
          </cell>
          <cell r="D350" t="str">
            <v>개소</v>
          </cell>
          <cell r="E350">
            <v>0</v>
          </cell>
          <cell r="F350">
            <v>0</v>
          </cell>
          <cell r="G350">
            <v>55342</v>
          </cell>
          <cell r="H350">
            <v>55342</v>
          </cell>
          <cell r="I350">
            <v>17306</v>
          </cell>
          <cell r="J350">
            <v>17306</v>
          </cell>
          <cell r="K350">
            <v>72648</v>
          </cell>
        </row>
        <row r="351">
          <cell r="A351" t="str">
            <v>부단수 분기공</v>
          </cell>
          <cell r="B351" t="str">
            <v>250*80</v>
          </cell>
          <cell r="C351">
            <v>1</v>
          </cell>
          <cell r="D351" t="str">
            <v>개소</v>
          </cell>
          <cell r="E351">
            <v>0</v>
          </cell>
          <cell r="F351">
            <v>0</v>
          </cell>
          <cell r="G351">
            <v>51186</v>
          </cell>
          <cell r="H351">
            <v>51186</v>
          </cell>
          <cell r="I351">
            <v>14152</v>
          </cell>
          <cell r="J351">
            <v>14152</v>
          </cell>
          <cell r="K351">
            <v>65338</v>
          </cell>
        </row>
        <row r="352">
          <cell r="A352" t="str">
            <v>부단수 분기공</v>
          </cell>
          <cell r="B352" t="str">
            <v>250*100</v>
          </cell>
          <cell r="C352">
            <v>1</v>
          </cell>
          <cell r="D352" t="str">
            <v>개소</v>
          </cell>
          <cell r="E352">
            <v>0</v>
          </cell>
          <cell r="F352">
            <v>0</v>
          </cell>
          <cell r="G352">
            <v>61240</v>
          </cell>
          <cell r="H352">
            <v>61240</v>
          </cell>
          <cell r="I352">
            <v>18460</v>
          </cell>
          <cell r="J352">
            <v>18460</v>
          </cell>
          <cell r="K352">
            <v>79700</v>
          </cell>
        </row>
        <row r="353">
          <cell r="A353" t="str">
            <v>부단수 분기공</v>
          </cell>
          <cell r="B353" t="str">
            <v>250*150</v>
          </cell>
          <cell r="C353">
            <v>1</v>
          </cell>
          <cell r="D353" t="str">
            <v>개소</v>
          </cell>
          <cell r="E353">
            <v>0</v>
          </cell>
          <cell r="F353">
            <v>0</v>
          </cell>
          <cell r="G353">
            <v>57636</v>
          </cell>
          <cell r="H353">
            <v>57636</v>
          </cell>
          <cell r="I353">
            <v>17306</v>
          </cell>
          <cell r="J353">
            <v>17306</v>
          </cell>
          <cell r="K353">
            <v>74942</v>
          </cell>
        </row>
        <row r="354">
          <cell r="A354" t="str">
            <v>부단수 분기공</v>
          </cell>
          <cell r="B354" t="str">
            <v>250*200</v>
          </cell>
          <cell r="C354">
            <v>1</v>
          </cell>
          <cell r="D354" t="str">
            <v>개소</v>
          </cell>
          <cell r="E354">
            <v>0</v>
          </cell>
          <cell r="F354">
            <v>0</v>
          </cell>
          <cell r="G354">
            <v>66316</v>
          </cell>
          <cell r="H354">
            <v>66316</v>
          </cell>
          <cell r="I354">
            <v>24448</v>
          </cell>
          <cell r="J354">
            <v>24448</v>
          </cell>
          <cell r="K354">
            <v>90764</v>
          </cell>
        </row>
        <row r="355">
          <cell r="A355" t="str">
            <v>부단수 분기공</v>
          </cell>
          <cell r="B355" t="str">
            <v>300*80</v>
          </cell>
          <cell r="C355">
            <v>1</v>
          </cell>
          <cell r="D355" t="str">
            <v>개소</v>
          </cell>
          <cell r="E355">
            <v>0</v>
          </cell>
          <cell r="F355">
            <v>0</v>
          </cell>
          <cell r="G355">
            <v>52098</v>
          </cell>
          <cell r="H355">
            <v>52098</v>
          </cell>
          <cell r="I355">
            <v>14152</v>
          </cell>
          <cell r="J355">
            <v>14152</v>
          </cell>
          <cell r="K355">
            <v>66250</v>
          </cell>
        </row>
        <row r="356">
          <cell r="A356" t="str">
            <v>부단수 분기공</v>
          </cell>
          <cell r="B356" t="str">
            <v>300*100</v>
          </cell>
          <cell r="C356">
            <v>1</v>
          </cell>
          <cell r="D356" t="str">
            <v>개소</v>
          </cell>
          <cell r="E356">
            <v>0</v>
          </cell>
          <cell r="F356">
            <v>0</v>
          </cell>
          <cell r="G356">
            <v>68420</v>
          </cell>
          <cell r="H356">
            <v>68420</v>
          </cell>
          <cell r="I356">
            <v>18460</v>
          </cell>
          <cell r="J356">
            <v>18460</v>
          </cell>
          <cell r="K356">
            <v>86880</v>
          </cell>
        </row>
        <row r="357">
          <cell r="A357" t="str">
            <v>부단수 분기공</v>
          </cell>
          <cell r="B357" t="str">
            <v>300*150</v>
          </cell>
          <cell r="C357">
            <v>1</v>
          </cell>
          <cell r="D357" t="str">
            <v>개소</v>
          </cell>
          <cell r="E357">
            <v>0</v>
          </cell>
          <cell r="F357">
            <v>0</v>
          </cell>
          <cell r="G357">
            <v>57580</v>
          </cell>
          <cell r="H357">
            <v>57580</v>
          </cell>
          <cell r="I357">
            <v>17306</v>
          </cell>
          <cell r="J357">
            <v>17306</v>
          </cell>
          <cell r="K357">
            <v>74886</v>
          </cell>
        </row>
        <row r="358">
          <cell r="A358" t="str">
            <v>부단수 분기공</v>
          </cell>
          <cell r="B358" t="str">
            <v>300*200</v>
          </cell>
          <cell r="C358">
            <v>1</v>
          </cell>
          <cell r="D358" t="str">
            <v>개소</v>
          </cell>
          <cell r="E358">
            <v>0</v>
          </cell>
          <cell r="F358">
            <v>0</v>
          </cell>
          <cell r="G358">
            <v>66168</v>
          </cell>
          <cell r="H358">
            <v>66168</v>
          </cell>
          <cell r="I358">
            <v>24448</v>
          </cell>
          <cell r="J358">
            <v>24448</v>
          </cell>
          <cell r="K358">
            <v>90616</v>
          </cell>
        </row>
        <row r="359">
          <cell r="A359" t="str">
            <v>부단수 분기공</v>
          </cell>
          <cell r="B359" t="str">
            <v>350*80</v>
          </cell>
          <cell r="C359">
            <v>1</v>
          </cell>
          <cell r="D359" t="str">
            <v>개소</v>
          </cell>
          <cell r="E359">
            <v>0</v>
          </cell>
          <cell r="F359">
            <v>0</v>
          </cell>
          <cell r="G359">
            <v>68009</v>
          </cell>
          <cell r="H359">
            <v>68009</v>
          </cell>
          <cell r="I359">
            <v>14152</v>
          </cell>
          <cell r="J359">
            <v>14152</v>
          </cell>
          <cell r="K359">
            <v>82161</v>
          </cell>
        </row>
        <row r="360">
          <cell r="A360" t="str">
            <v>부단수 분기공</v>
          </cell>
          <cell r="B360" t="str">
            <v>350*100</v>
          </cell>
          <cell r="C360">
            <v>1</v>
          </cell>
          <cell r="D360" t="str">
            <v>개소</v>
          </cell>
          <cell r="E360">
            <v>0</v>
          </cell>
          <cell r="F360">
            <v>0</v>
          </cell>
          <cell r="G360">
            <v>72350</v>
          </cell>
          <cell r="H360">
            <v>72350</v>
          </cell>
          <cell r="I360">
            <v>18460</v>
          </cell>
          <cell r="J360">
            <v>18460</v>
          </cell>
          <cell r="K360">
            <v>90810</v>
          </cell>
        </row>
        <row r="361">
          <cell r="A361" t="str">
            <v>부단수 분기공</v>
          </cell>
          <cell r="B361" t="str">
            <v>350*150</v>
          </cell>
          <cell r="C361">
            <v>1</v>
          </cell>
          <cell r="D361" t="str">
            <v>개소</v>
          </cell>
          <cell r="E361">
            <v>0</v>
          </cell>
          <cell r="F361">
            <v>0</v>
          </cell>
          <cell r="G361">
            <v>73490</v>
          </cell>
          <cell r="H361">
            <v>73490</v>
          </cell>
          <cell r="I361">
            <v>17306</v>
          </cell>
          <cell r="J361">
            <v>17306</v>
          </cell>
          <cell r="K361">
            <v>90796</v>
          </cell>
        </row>
        <row r="362">
          <cell r="A362" t="str">
            <v>부단수 분기공</v>
          </cell>
          <cell r="B362" t="str">
            <v>350*200</v>
          </cell>
          <cell r="C362">
            <v>1</v>
          </cell>
          <cell r="D362" t="str">
            <v>개소</v>
          </cell>
          <cell r="E362">
            <v>0</v>
          </cell>
          <cell r="F362">
            <v>0</v>
          </cell>
          <cell r="G362">
            <v>82078</v>
          </cell>
          <cell r="H362">
            <v>82078</v>
          </cell>
          <cell r="I362">
            <v>24448</v>
          </cell>
          <cell r="J362">
            <v>24448</v>
          </cell>
          <cell r="K362">
            <v>106526</v>
          </cell>
        </row>
        <row r="363">
          <cell r="A363" t="str">
            <v>부단수 분기공</v>
          </cell>
          <cell r="B363" t="str">
            <v>350*250</v>
          </cell>
          <cell r="C363">
            <v>1</v>
          </cell>
          <cell r="D363" t="str">
            <v>개소</v>
          </cell>
          <cell r="E363">
            <v>0</v>
          </cell>
          <cell r="F363">
            <v>0</v>
          </cell>
          <cell r="G363">
            <v>90050</v>
          </cell>
          <cell r="H363">
            <v>90050</v>
          </cell>
          <cell r="I363">
            <v>22340</v>
          </cell>
          <cell r="J363">
            <v>22340</v>
          </cell>
          <cell r="K363">
            <v>112390</v>
          </cell>
        </row>
        <row r="364">
          <cell r="A364" t="str">
            <v>부단수 분기공</v>
          </cell>
          <cell r="B364" t="str">
            <v>400*80</v>
          </cell>
          <cell r="C364">
            <v>1</v>
          </cell>
          <cell r="D364" t="str">
            <v>개소</v>
          </cell>
          <cell r="E364">
            <v>0</v>
          </cell>
          <cell r="F364">
            <v>0</v>
          </cell>
          <cell r="G364">
            <v>84052</v>
          </cell>
          <cell r="H364">
            <v>84052</v>
          </cell>
          <cell r="I364">
            <v>14152</v>
          </cell>
          <cell r="J364">
            <v>14152</v>
          </cell>
          <cell r="K364">
            <v>98204</v>
          </cell>
        </row>
        <row r="365">
          <cell r="A365" t="str">
            <v>부단수 분기공</v>
          </cell>
          <cell r="B365" t="str">
            <v>400*100</v>
          </cell>
          <cell r="C365">
            <v>1</v>
          </cell>
          <cell r="D365" t="str">
            <v>개소</v>
          </cell>
          <cell r="E365">
            <v>0</v>
          </cell>
          <cell r="F365">
            <v>0</v>
          </cell>
          <cell r="G365">
            <v>94650</v>
          </cell>
          <cell r="H365">
            <v>94650</v>
          </cell>
          <cell r="I365">
            <v>18460</v>
          </cell>
          <cell r="J365">
            <v>18460</v>
          </cell>
          <cell r="K365">
            <v>113110</v>
          </cell>
        </row>
        <row r="366">
          <cell r="A366" t="str">
            <v>부단수 분기공</v>
          </cell>
          <cell r="B366" t="str">
            <v>400*150</v>
          </cell>
          <cell r="C366">
            <v>1</v>
          </cell>
          <cell r="D366" t="str">
            <v>개소</v>
          </cell>
          <cell r="E366">
            <v>0</v>
          </cell>
          <cell r="F366">
            <v>0</v>
          </cell>
          <cell r="G366">
            <v>89534</v>
          </cell>
          <cell r="H366">
            <v>89534</v>
          </cell>
          <cell r="I366">
            <v>17306</v>
          </cell>
          <cell r="J366">
            <v>17306</v>
          </cell>
          <cell r="K366">
            <v>106840</v>
          </cell>
        </row>
        <row r="367">
          <cell r="A367" t="str">
            <v>부단수 분기공</v>
          </cell>
          <cell r="B367" t="str">
            <v>400*200</v>
          </cell>
          <cell r="C367">
            <v>1</v>
          </cell>
          <cell r="D367" t="str">
            <v>개소</v>
          </cell>
          <cell r="E367">
            <v>0</v>
          </cell>
          <cell r="F367">
            <v>0</v>
          </cell>
          <cell r="G367">
            <v>98122</v>
          </cell>
          <cell r="H367">
            <v>98122</v>
          </cell>
          <cell r="I367">
            <v>24448</v>
          </cell>
          <cell r="J367">
            <v>24448</v>
          </cell>
          <cell r="K367">
            <v>122570</v>
          </cell>
        </row>
        <row r="368">
          <cell r="A368" t="str">
            <v>부단수 분기공</v>
          </cell>
          <cell r="B368" t="str">
            <v>400*250</v>
          </cell>
          <cell r="C368">
            <v>1</v>
          </cell>
          <cell r="D368" t="str">
            <v>개소</v>
          </cell>
          <cell r="E368">
            <v>0</v>
          </cell>
          <cell r="F368">
            <v>0</v>
          </cell>
          <cell r="G368">
            <v>45620</v>
          </cell>
          <cell r="H368">
            <v>45620</v>
          </cell>
          <cell r="I368">
            <v>21340</v>
          </cell>
          <cell r="J368">
            <v>21340</v>
          </cell>
          <cell r="K368">
            <v>66960</v>
          </cell>
        </row>
        <row r="369">
          <cell r="A369" t="str">
            <v>부단수 분기공</v>
          </cell>
          <cell r="B369" t="str">
            <v>400*300</v>
          </cell>
          <cell r="C369">
            <v>1</v>
          </cell>
          <cell r="D369" t="str">
            <v>개소</v>
          </cell>
          <cell r="E369">
            <v>0</v>
          </cell>
          <cell r="F369">
            <v>0</v>
          </cell>
          <cell r="G369">
            <v>46320</v>
          </cell>
          <cell r="H369">
            <v>46320</v>
          </cell>
          <cell r="I369">
            <v>22140</v>
          </cell>
          <cell r="J369">
            <v>22140</v>
          </cell>
          <cell r="K369">
            <v>68460</v>
          </cell>
        </row>
        <row r="370">
          <cell r="A370" t="str">
            <v>소      계</v>
          </cell>
          <cell r="F370">
            <v>1517065</v>
          </cell>
          <cell r="H370">
            <v>44681923</v>
          </cell>
          <cell r="J370">
            <v>1191944</v>
          </cell>
          <cell r="K370">
            <v>47400242</v>
          </cell>
        </row>
        <row r="371">
          <cell r="A371" t="str">
            <v>4. 부   대   공</v>
          </cell>
        </row>
        <row r="372">
          <cell r="A372" t="str">
            <v>가설사무실(목재)</v>
          </cell>
          <cell r="B372" t="str">
            <v>12 개월</v>
          </cell>
          <cell r="C372">
            <v>20</v>
          </cell>
          <cell r="D372" t="str">
            <v>㎡</v>
          </cell>
          <cell r="E372">
            <v>25600</v>
          </cell>
          <cell r="F372">
            <v>512000</v>
          </cell>
          <cell r="G372">
            <v>0</v>
          </cell>
          <cell r="H372">
            <v>0</v>
          </cell>
          <cell r="I372">
            <v>38600</v>
          </cell>
          <cell r="J372">
            <v>772000</v>
          </cell>
          <cell r="K372">
            <v>1284000</v>
          </cell>
        </row>
        <row r="373">
          <cell r="A373" t="str">
            <v>가설사무실(목재)</v>
          </cell>
          <cell r="B373" t="str">
            <v>3 개월</v>
          </cell>
          <cell r="C373">
            <v>20</v>
          </cell>
          <cell r="D373" t="str">
            <v>㎡</v>
          </cell>
          <cell r="E373">
            <v>25600</v>
          </cell>
          <cell r="F373">
            <v>512000</v>
          </cell>
          <cell r="G373">
            <v>0</v>
          </cell>
          <cell r="H373">
            <v>0</v>
          </cell>
          <cell r="I373">
            <v>38600</v>
          </cell>
          <cell r="J373">
            <v>772000</v>
          </cell>
          <cell r="K373">
            <v>1284000</v>
          </cell>
        </row>
        <row r="374">
          <cell r="A374" t="str">
            <v>가설 창고(목재)</v>
          </cell>
          <cell r="B374" t="str">
            <v>12 개월</v>
          </cell>
          <cell r="C374">
            <v>30</v>
          </cell>
          <cell r="D374" t="str">
            <v>㎡</v>
          </cell>
          <cell r="E374">
            <v>23350</v>
          </cell>
          <cell r="F374">
            <v>700500</v>
          </cell>
          <cell r="G374">
            <v>0</v>
          </cell>
          <cell r="H374">
            <v>0</v>
          </cell>
          <cell r="I374">
            <v>37280</v>
          </cell>
          <cell r="J374">
            <v>1118400</v>
          </cell>
          <cell r="K374">
            <v>1818900</v>
          </cell>
        </row>
        <row r="375">
          <cell r="A375" t="str">
            <v>가설 창고(목재)</v>
          </cell>
          <cell r="B375" t="str">
            <v>3 개월</v>
          </cell>
          <cell r="C375">
            <v>30</v>
          </cell>
          <cell r="D375" t="str">
            <v>㎡</v>
          </cell>
          <cell r="E375">
            <v>23350</v>
          </cell>
          <cell r="F375">
            <v>700500</v>
          </cell>
          <cell r="G375">
            <v>0</v>
          </cell>
          <cell r="H375">
            <v>0</v>
          </cell>
          <cell r="I375">
            <v>37280</v>
          </cell>
          <cell r="J375">
            <v>1118400</v>
          </cell>
          <cell r="K375">
            <v>1818900</v>
          </cell>
        </row>
        <row r="376">
          <cell r="A376" t="str">
            <v>가설사무실(조립식)</v>
          </cell>
          <cell r="B376" t="str">
            <v>12 개월</v>
          </cell>
          <cell r="C376">
            <v>20</v>
          </cell>
          <cell r="D376" t="str">
            <v>㎡</v>
          </cell>
          <cell r="E376">
            <v>25600</v>
          </cell>
          <cell r="F376">
            <v>512000</v>
          </cell>
          <cell r="G376">
            <v>0</v>
          </cell>
          <cell r="H376">
            <v>0</v>
          </cell>
          <cell r="I376">
            <v>38600</v>
          </cell>
          <cell r="J376">
            <v>772000</v>
          </cell>
          <cell r="K376">
            <v>1284000</v>
          </cell>
        </row>
        <row r="377">
          <cell r="A377" t="str">
            <v>가설 창고(조립식)</v>
          </cell>
          <cell r="B377" t="str">
            <v>12 개월</v>
          </cell>
          <cell r="C377">
            <v>30</v>
          </cell>
          <cell r="D377" t="str">
            <v>㎡</v>
          </cell>
          <cell r="E377">
            <v>23350</v>
          </cell>
          <cell r="F377">
            <v>700500</v>
          </cell>
          <cell r="G377">
            <v>0</v>
          </cell>
          <cell r="H377">
            <v>0</v>
          </cell>
          <cell r="I377">
            <v>37280</v>
          </cell>
          <cell r="J377">
            <v>1118400</v>
          </cell>
          <cell r="K377">
            <v>1818900</v>
          </cell>
        </row>
        <row r="378">
          <cell r="A378" t="str">
            <v>가설사무실(콘테이너형)</v>
          </cell>
          <cell r="B378" t="str">
            <v>12 개월</v>
          </cell>
          <cell r="C378">
            <v>20</v>
          </cell>
          <cell r="D378" t="str">
            <v>㎡</v>
          </cell>
          <cell r="E378">
            <v>25600</v>
          </cell>
          <cell r="F378">
            <v>512000</v>
          </cell>
          <cell r="G378">
            <v>0</v>
          </cell>
          <cell r="H378">
            <v>0</v>
          </cell>
          <cell r="I378">
            <v>38600</v>
          </cell>
          <cell r="J378">
            <v>772000</v>
          </cell>
          <cell r="K378">
            <v>1284000</v>
          </cell>
        </row>
        <row r="379">
          <cell r="A379" t="str">
            <v>가설사무실(콘테이너형)</v>
          </cell>
          <cell r="B379" t="str">
            <v>6 개월</v>
          </cell>
          <cell r="C379">
            <v>20</v>
          </cell>
          <cell r="D379" t="str">
            <v>㎡</v>
          </cell>
          <cell r="E379">
            <v>25600</v>
          </cell>
          <cell r="F379">
            <v>512000</v>
          </cell>
          <cell r="G379">
            <v>0</v>
          </cell>
          <cell r="H379">
            <v>0</v>
          </cell>
          <cell r="I379">
            <v>38600</v>
          </cell>
          <cell r="J379">
            <v>772000</v>
          </cell>
          <cell r="K379">
            <v>1284000</v>
          </cell>
        </row>
        <row r="380">
          <cell r="A380" t="str">
            <v>가설사무실(콘테이너형)</v>
          </cell>
          <cell r="B380" t="str">
            <v>3 개월</v>
          </cell>
          <cell r="C380">
            <v>20</v>
          </cell>
          <cell r="D380" t="str">
            <v>㎡</v>
          </cell>
          <cell r="E380">
            <v>25600</v>
          </cell>
          <cell r="F380">
            <v>512000</v>
          </cell>
          <cell r="G380">
            <v>0</v>
          </cell>
          <cell r="H380">
            <v>0</v>
          </cell>
          <cell r="I380">
            <v>38600</v>
          </cell>
          <cell r="J380">
            <v>772000</v>
          </cell>
          <cell r="K380">
            <v>1284000</v>
          </cell>
        </row>
        <row r="381">
          <cell r="A381" t="str">
            <v>가설창고(콘테이너형)</v>
          </cell>
          <cell r="B381" t="str">
            <v>12 개월</v>
          </cell>
          <cell r="C381">
            <v>20</v>
          </cell>
          <cell r="D381" t="str">
            <v>㎡</v>
          </cell>
          <cell r="E381">
            <v>25600</v>
          </cell>
          <cell r="F381">
            <v>512000</v>
          </cell>
          <cell r="G381">
            <v>0</v>
          </cell>
          <cell r="H381">
            <v>0</v>
          </cell>
          <cell r="I381">
            <v>38600</v>
          </cell>
          <cell r="J381">
            <v>772000</v>
          </cell>
          <cell r="K381">
            <v>1284000</v>
          </cell>
        </row>
        <row r="382">
          <cell r="A382" t="str">
            <v>가설창고(콘테이너형)</v>
          </cell>
          <cell r="B382" t="str">
            <v>6 개월</v>
          </cell>
          <cell r="C382">
            <v>20</v>
          </cell>
          <cell r="D382" t="str">
            <v>㎡</v>
          </cell>
          <cell r="E382">
            <v>25600</v>
          </cell>
          <cell r="F382">
            <v>512000</v>
          </cell>
          <cell r="G382">
            <v>0</v>
          </cell>
          <cell r="H382">
            <v>0</v>
          </cell>
          <cell r="I382">
            <v>38600</v>
          </cell>
          <cell r="J382">
            <v>772000</v>
          </cell>
          <cell r="K382">
            <v>1284000</v>
          </cell>
        </row>
        <row r="383">
          <cell r="A383" t="str">
            <v>가설창고(콘테이너형)</v>
          </cell>
          <cell r="B383" t="str">
            <v>3 개월</v>
          </cell>
          <cell r="C383">
            <v>20</v>
          </cell>
          <cell r="D383" t="str">
            <v>㎡</v>
          </cell>
          <cell r="E383">
            <v>25600</v>
          </cell>
          <cell r="F383">
            <v>512000</v>
          </cell>
          <cell r="G383">
            <v>0</v>
          </cell>
          <cell r="H383">
            <v>0</v>
          </cell>
          <cell r="I383">
            <v>38600</v>
          </cell>
          <cell r="J383">
            <v>772000</v>
          </cell>
          <cell r="K383">
            <v>1284000</v>
          </cell>
        </row>
        <row r="384">
          <cell r="A384" t="str">
            <v>가설 변소</v>
          </cell>
          <cell r="B384" t="str">
            <v>12 개월</v>
          </cell>
          <cell r="C384">
            <v>30</v>
          </cell>
          <cell r="D384" t="str">
            <v>㎡</v>
          </cell>
          <cell r="E384">
            <v>23350</v>
          </cell>
          <cell r="F384">
            <v>700500</v>
          </cell>
          <cell r="G384">
            <v>0</v>
          </cell>
          <cell r="H384">
            <v>0</v>
          </cell>
          <cell r="I384">
            <v>37280</v>
          </cell>
          <cell r="J384">
            <v>1118400</v>
          </cell>
          <cell r="K384">
            <v>1818900</v>
          </cell>
        </row>
        <row r="385">
          <cell r="A385" t="str">
            <v>가설 작업헛간</v>
          </cell>
          <cell r="B385" t="str">
            <v>12 개월</v>
          </cell>
          <cell r="C385">
            <v>30</v>
          </cell>
          <cell r="D385" t="str">
            <v>㎡</v>
          </cell>
          <cell r="E385">
            <v>23350</v>
          </cell>
          <cell r="F385">
            <v>700500</v>
          </cell>
          <cell r="G385">
            <v>0</v>
          </cell>
          <cell r="H385">
            <v>0</v>
          </cell>
          <cell r="I385">
            <v>37280</v>
          </cell>
          <cell r="J385">
            <v>1118400</v>
          </cell>
          <cell r="K385">
            <v>1818900</v>
          </cell>
        </row>
        <row r="386">
          <cell r="A386" t="str">
            <v>안전 보호책 제작</v>
          </cell>
          <cell r="B386" t="str">
            <v>12월미만</v>
          </cell>
          <cell r="C386">
            <v>70</v>
          </cell>
          <cell r="D386" t="str">
            <v>M</v>
          </cell>
          <cell r="E386">
            <v>1260</v>
          </cell>
          <cell r="F386">
            <v>88200</v>
          </cell>
          <cell r="G386">
            <v>0</v>
          </cell>
          <cell r="H386">
            <v>0</v>
          </cell>
          <cell r="I386">
            <v>2230</v>
          </cell>
          <cell r="J386">
            <v>156100</v>
          </cell>
          <cell r="K386">
            <v>244300</v>
          </cell>
        </row>
        <row r="387">
          <cell r="A387" t="str">
            <v>안전보호책설치철거</v>
          </cell>
          <cell r="B387" t="str">
            <v>인력</v>
          </cell>
          <cell r="C387">
            <v>2000</v>
          </cell>
          <cell r="D387" t="str">
            <v>M</v>
          </cell>
          <cell r="E387">
            <v>0</v>
          </cell>
          <cell r="F387">
            <v>0</v>
          </cell>
          <cell r="G387">
            <v>700</v>
          </cell>
          <cell r="H387">
            <v>1400000</v>
          </cell>
          <cell r="I387">
            <v>0</v>
          </cell>
          <cell r="J387">
            <v>0</v>
          </cell>
          <cell r="K387">
            <v>1400000</v>
          </cell>
        </row>
        <row r="388">
          <cell r="A388" t="str">
            <v>임시 통행 발판</v>
          </cell>
          <cell r="B388" t="str">
            <v>0.9*1.8</v>
          </cell>
          <cell r="C388">
            <v>40</v>
          </cell>
          <cell r="D388" t="str">
            <v>개소</v>
          </cell>
          <cell r="E388">
            <v>1000</v>
          </cell>
          <cell r="F388">
            <v>40000</v>
          </cell>
          <cell r="G388">
            <v>1800</v>
          </cell>
          <cell r="H388">
            <v>72000</v>
          </cell>
          <cell r="I388">
            <v>0</v>
          </cell>
          <cell r="J388">
            <v>0</v>
          </cell>
          <cell r="K388">
            <v>112000</v>
          </cell>
        </row>
        <row r="389">
          <cell r="A389" t="str">
            <v>전 주 보 호 공</v>
          </cell>
          <cell r="B389">
            <v>0</v>
          </cell>
          <cell r="C389">
            <v>5</v>
          </cell>
          <cell r="D389" t="str">
            <v>개소</v>
          </cell>
          <cell r="E389">
            <v>1200</v>
          </cell>
          <cell r="F389">
            <v>6000</v>
          </cell>
          <cell r="G389">
            <v>16200</v>
          </cell>
          <cell r="H389">
            <v>81000</v>
          </cell>
          <cell r="I389">
            <v>0</v>
          </cell>
          <cell r="J389">
            <v>0</v>
          </cell>
          <cell r="K389">
            <v>87000</v>
          </cell>
        </row>
        <row r="390">
          <cell r="A390" t="str">
            <v>전화 케이블 보호공</v>
          </cell>
          <cell r="B390">
            <v>0</v>
          </cell>
          <cell r="C390">
            <v>20</v>
          </cell>
          <cell r="D390" t="str">
            <v>개소</v>
          </cell>
          <cell r="E390">
            <v>2400</v>
          </cell>
          <cell r="F390">
            <v>48000</v>
          </cell>
          <cell r="G390">
            <v>8100</v>
          </cell>
          <cell r="H390">
            <v>162000</v>
          </cell>
          <cell r="I390">
            <v>0</v>
          </cell>
          <cell r="J390">
            <v>0</v>
          </cell>
          <cell r="K390">
            <v>210000</v>
          </cell>
        </row>
        <row r="391">
          <cell r="A391" t="str">
            <v>토   류    공</v>
          </cell>
          <cell r="B391" t="str">
            <v>D=80~150</v>
          </cell>
          <cell r="C391">
            <v>4</v>
          </cell>
          <cell r="D391" t="str">
            <v>M</v>
          </cell>
          <cell r="E391">
            <v>2255</v>
          </cell>
          <cell r="F391">
            <v>9020</v>
          </cell>
          <cell r="G391">
            <v>6247</v>
          </cell>
          <cell r="H391">
            <v>24988</v>
          </cell>
          <cell r="I391">
            <v>0</v>
          </cell>
          <cell r="J391">
            <v>0</v>
          </cell>
          <cell r="K391">
            <v>34008</v>
          </cell>
        </row>
        <row r="392">
          <cell r="A392" t="str">
            <v>토   류    공</v>
          </cell>
          <cell r="B392" t="str">
            <v>D=200~400</v>
          </cell>
          <cell r="C392">
            <v>4</v>
          </cell>
          <cell r="D392" t="str">
            <v>M</v>
          </cell>
          <cell r="E392">
            <v>2612</v>
          </cell>
          <cell r="F392">
            <v>10448</v>
          </cell>
          <cell r="G392">
            <v>6247</v>
          </cell>
          <cell r="H392">
            <v>24988</v>
          </cell>
          <cell r="I392">
            <v>0</v>
          </cell>
          <cell r="J392">
            <v>0</v>
          </cell>
          <cell r="K392">
            <v>35436</v>
          </cell>
        </row>
        <row r="393">
          <cell r="A393" t="str">
            <v>토   류    공</v>
          </cell>
          <cell r="B393" t="str">
            <v>D=450~900</v>
          </cell>
          <cell r="C393">
            <v>4</v>
          </cell>
          <cell r="D393" t="str">
            <v>M</v>
          </cell>
          <cell r="E393">
            <v>3115</v>
          </cell>
          <cell r="F393">
            <v>12460</v>
          </cell>
          <cell r="G393">
            <v>9947</v>
          </cell>
          <cell r="H393">
            <v>39788</v>
          </cell>
          <cell r="I393">
            <v>0</v>
          </cell>
          <cell r="J393">
            <v>0</v>
          </cell>
          <cell r="K393">
            <v>52248</v>
          </cell>
        </row>
        <row r="394">
          <cell r="A394" t="str">
            <v>하수도복구(오지토)</v>
          </cell>
          <cell r="B394" t="str">
            <v>90*0.6</v>
          </cell>
          <cell r="C394">
            <v>10</v>
          </cell>
          <cell r="D394" t="str">
            <v>개소</v>
          </cell>
          <cell r="E394">
            <v>0</v>
          </cell>
          <cell r="F394">
            <v>0</v>
          </cell>
          <cell r="G394">
            <v>951</v>
          </cell>
          <cell r="H394">
            <v>9510</v>
          </cell>
          <cell r="I394">
            <v>0</v>
          </cell>
          <cell r="J394">
            <v>0</v>
          </cell>
          <cell r="K394">
            <v>9510</v>
          </cell>
        </row>
        <row r="395">
          <cell r="A395" t="str">
            <v>하수도복구(오지토)</v>
          </cell>
          <cell r="B395" t="str">
            <v>120*0.6</v>
          </cell>
          <cell r="C395">
            <v>10</v>
          </cell>
          <cell r="D395" t="str">
            <v>개소</v>
          </cell>
          <cell r="E395">
            <v>0</v>
          </cell>
          <cell r="F395">
            <v>0</v>
          </cell>
          <cell r="G395">
            <v>4620</v>
          </cell>
          <cell r="H395">
            <v>46200</v>
          </cell>
          <cell r="I395">
            <v>0</v>
          </cell>
          <cell r="J395">
            <v>0</v>
          </cell>
          <cell r="K395">
            <v>46200</v>
          </cell>
        </row>
        <row r="396">
          <cell r="A396" t="str">
            <v>하수도복구(오지토)</v>
          </cell>
          <cell r="B396" t="str">
            <v>150*0.6</v>
          </cell>
          <cell r="C396">
            <v>10</v>
          </cell>
          <cell r="D396" t="str">
            <v>개소</v>
          </cell>
          <cell r="E396">
            <v>1200</v>
          </cell>
          <cell r="F396">
            <v>12000</v>
          </cell>
          <cell r="G396">
            <v>4560</v>
          </cell>
          <cell r="H396">
            <v>45600</v>
          </cell>
          <cell r="I396">
            <v>0</v>
          </cell>
          <cell r="J396">
            <v>0</v>
          </cell>
          <cell r="K396">
            <v>57600</v>
          </cell>
        </row>
        <row r="397">
          <cell r="A397" t="str">
            <v>하수도복구공 (PVC)</v>
          </cell>
          <cell r="B397" t="str">
            <v>D=100</v>
          </cell>
          <cell r="C397">
            <v>130</v>
          </cell>
          <cell r="D397" t="str">
            <v>개소</v>
          </cell>
          <cell r="E397">
            <v>1560</v>
          </cell>
          <cell r="F397">
            <v>202800</v>
          </cell>
          <cell r="G397">
            <v>2990</v>
          </cell>
          <cell r="H397">
            <v>388700</v>
          </cell>
          <cell r="I397">
            <v>0</v>
          </cell>
          <cell r="J397">
            <v>0</v>
          </cell>
          <cell r="K397">
            <v>591500</v>
          </cell>
        </row>
        <row r="398">
          <cell r="A398" t="str">
            <v>하수도복구공 (PVC)</v>
          </cell>
          <cell r="B398" t="str">
            <v>D=150</v>
          </cell>
          <cell r="C398">
            <v>70</v>
          </cell>
          <cell r="D398" t="str">
            <v>개소</v>
          </cell>
          <cell r="E398">
            <v>3540</v>
          </cell>
          <cell r="F398">
            <v>247800</v>
          </cell>
          <cell r="G398">
            <v>5980</v>
          </cell>
          <cell r="H398">
            <v>418600</v>
          </cell>
          <cell r="I398">
            <v>0</v>
          </cell>
          <cell r="J398">
            <v>0</v>
          </cell>
          <cell r="K398">
            <v>666400</v>
          </cell>
        </row>
        <row r="399">
          <cell r="A399" t="str">
            <v>하수도복구공 (흄관)</v>
          </cell>
          <cell r="B399" t="str">
            <v>D=300</v>
          </cell>
          <cell r="C399">
            <v>50</v>
          </cell>
          <cell r="D399" t="str">
            <v>M</v>
          </cell>
          <cell r="E399">
            <v>8500</v>
          </cell>
          <cell r="F399">
            <v>425000</v>
          </cell>
          <cell r="G399">
            <v>13000</v>
          </cell>
          <cell r="H399">
            <v>650000</v>
          </cell>
          <cell r="I399">
            <v>10</v>
          </cell>
          <cell r="J399">
            <v>500</v>
          </cell>
          <cell r="K399">
            <v>1075500</v>
          </cell>
        </row>
        <row r="400">
          <cell r="A400" t="str">
            <v>하수도복구공 (흄관)</v>
          </cell>
          <cell r="B400" t="str">
            <v>D=450</v>
          </cell>
          <cell r="C400">
            <v>40</v>
          </cell>
          <cell r="D400" t="str">
            <v>M</v>
          </cell>
          <cell r="E400">
            <v>10000</v>
          </cell>
          <cell r="F400">
            <v>400000</v>
          </cell>
          <cell r="G400">
            <v>25500</v>
          </cell>
          <cell r="H400">
            <v>1020000</v>
          </cell>
          <cell r="I400">
            <v>20</v>
          </cell>
          <cell r="J400">
            <v>800</v>
          </cell>
          <cell r="K400">
            <v>1420800</v>
          </cell>
        </row>
        <row r="401">
          <cell r="A401" t="str">
            <v>하수도복구공 (흄관)</v>
          </cell>
          <cell r="B401" t="str">
            <v>D=600</v>
          </cell>
          <cell r="C401">
            <v>30</v>
          </cell>
          <cell r="D401" t="str">
            <v>M</v>
          </cell>
          <cell r="E401">
            <v>15500</v>
          </cell>
          <cell r="F401">
            <v>465000</v>
          </cell>
          <cell r="G401">
            <v>38500</v>
          </cell>
          <cell r="H401">
            <v>1155000</v>
          </cell>
          <cell r="I401">
            <v>30</v>
          </cell>
          <cell r="J401">
            <v>900</v>
          </cell>
          <cell r="K401">
            <v>1620900</v>
          </cell>
        </row>
        <row r="402">
          <cell r="A402" t="str">
            <v>하수도복구공 (흄관)</v>
          </cell>
          <cell r="B402" t="str">
            <v>D=800</v>
          </cell>
          <cell r="C402">
            <v>10</v>
          </cell>
          <cell r="D402" t="str">
            <v>M</v>
          </cell>
          <cell r="E402">
            <v>10005</v>
          </cell>
          <cell r="F402">
            <v>100050</v>
          </cell>
          <cell r="G402">
            <v>20867</v>
          </cell>
          <cell r="H402">
            <v>208670</v>
          </cell>
          <cell r="I402">
            <v>40</v>
          </cell>
          <cell r="J402">
            <v>400</v>
          </cell>
          <cell r="K402">
            <v>309120</v>
          </cell>
        </row>
        <row r="403">
          <cell r="A403" t="str">
            <v>흄관 절단공</v>
          </cell>
          <cell r="B403" t="str">
            <v>D=800</v>
          </cell>
          <cell r="C403">
            <v>6</v>
          </cell>
          <cell r="D403" t="str">
            <v>개당</v>
          </cell>
          <cell r="E403">
            <v>0</v>
          </cell>
          <cell r="F403">
            <v>0</v>
          </cell>
          <cell r="G403">
            <v>17290</v>
          </cell>
          <cell r="H403">
            <v>103740</v>
          </cell>
          <cell r="I403">
            <v>520</v>
          </cell>
          <cell r="J403">
            <v>3120</v>
          </cell>
          <cell r="K403">
            <v>106860</v>
          </cell>
        </row>
        <row r="404">
          <cell r="A404" t="str">
            <v>수   채   공</v>
          </cell>
          <cell r="B404" t="str">
            <v>D=80~350</v>
          </cell>
          <cell r="C404">
            <v>25</v>
          </cell>
          <cell r="D404" t="str">
            <v>HR</v>
          </cell>
          <cell r="E404">
            <v>380</v>
          </cell>
          <cell r="F404">
            <v>9500</v>
          </cell>
          <cell r="G404">
            <v>3060</v>
          </cell>
          <cell r="H404">
            <v>76500</v>
          </cell>
          <cell r="I404">
            <v>80</v>
          </cell>
          <cell r="J404">
            <v>2000</v>
          </cell>
          <cell r="K404">
            <v>88000</v>
          </cell>
        </row>
        <row r="405">
          <cell r="A405" t="str">
            <v>수   채   공</v>
          </cell>
          <cell r="B405" t="str">
            <v>D=400이상</v>
          </cell>
          <cell r="C405">
            <v>5</v>
          </cell>
          <cell r="D405" t="str">
            <v>HR</v>
          </cell>
          <cell r="E405">
            <v>269</v>
          </cell>
          <cell r="F405">
            <v>1345</v>
          </cell>
          <cell r="G405">
            <v>2926</v>
          </cell>
          <cell r="H405">
            <v>14630</v>
          </cell>
          <cell r="I405">
            <v>51</v>
          </cell>
          <cell r="J405">
            <v>255</v>
          </cell>
          <cell r="K405">
            <v>16230</v>
          </cell>
        </row>
        <row r="406">
          <cell r="A406" t="str">
            <v>수채공</v>
          </cell>
          <cell r="B406" t="str">
            <v>정자분기</v>
          </cell>
          <cell r="C406">
            <v>25</v>
          </cell>
          <cell r="D406" t="str">
            <v>인</v>
          </cell>
          <cell r="E406">
            <v>0</v>
          </cell>
          <cell r="F406">
            <v>0</v>
          </cell>
          <cell r="G406">
            <v>27200</v>
          </cell>
          <cell r="H406">
            <v>680000</v>
          </cell>
          <cell r="I406">
            <v>0</v>
          </cell>
          <cell r="J406">
            <v>0</v>
          </cell>
          <cell r="K406">
            <v>680000</v>
          </cell>
        </row>
        <row r="407">
          <cell r="A407" t="str">
            <v>관로못 설치공</v>
          </cell>
          <cell r="C407">
            <v>5</v>
          </cell>
          <cell r="D407" t="str">
            <v>개소</v>
          </cell>
          <cell r="E407">
            <v>0</v>
          </cell>
          <cell r="F407">
            <v>0</v>
          </cell>
          <cell r="G407">
            <v>9380</v>
          </cell>
          <cell r="H407">
            <v>46900</v>
          </cell>
          <cell r="I407">
            <v>100</v>
          </cell>
          <cell r="J407">
            <v>500</v>
          </cell>
          <cell r="K407">
            <v>47400</v>
          </cell>
        </row>
        <row r="408">
          <cell r="A408" t="str">
            <v>배 관 탐 지 공</v>
          </cell>
          <cell r="B408">
            <v>0</v>
          </cell>
          <cell r="C408">
            <v>380</v>
          </cell>
          <cell r="D408" t="str">
            <v>개소</v>
          </cell>
          <cell r="E408">
            <v>0</v>
          </cell>
          <cell r="F408">
            <v>0</v>
          </cell>
          <cell r="G408">
            <v>1800</v>
          </cell>
          <cell r="H408">
            <v>684000</v>
          </cell>
          <cell r="I408">
            <v>50</v>
          </cell>
          <cell r="J408">
            <v>19000</v>
          </cell>
          <cell r="K408">
            <v>703000</v>
          </cell>
        </row>
        <row r="409">
          <cell r="A409" t="str">
            <v>이동운반비</v>
          </cell>
          <cell r="B409">
            <v>0</v>
          </cell>
          <cell r="C409">
            <v>380</v>
          </cell>
          <cell r="D409" t="str">
            <v>개소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5700</v>
          </cell>
          <cell r="J409">
            <v>2166000</v>
          </cell>
          <cell r="K409">
            <v>2166000</v>
          </cell>
        </row>
        <row r="410">
          <cell r="A410" t="str">
            <v>소      계</v>
          </cell>
          <cell r="B410" t="str">
            <v/>
          </cell>
          <cell r="D410" t="str">
            <v/>
          </cell>
          <cell r="F410">
            <v>10188123</v>
          </cell>
          <cell r="H410">
            <v>7352814</v>
          </cell>
          <cell r="J410">
            <v>14889575</v>
          </cell>
          <cell r="K410">
            <v>32430512</v>
          </cell>
        </row>
        <row r="411">
          <cell r="A411" t="str">
            <v>계</v>
          </cell>
          <cell r="B411" t="str">
            <v/>
          </cell>
          <cell r="D411" t="str">
            <v/>
          </cell>
          <cell r="E411" t="str">
            <v/>
          </cell>
          <cell r="F411">
            <v>17966172</v>
          </cell>
          <cell r="G411" t="str">
            <v/>
          </cell>
          <cell r="H411">
            <v>343311748</v>
          </cell>
          <cell r="I411" t="str">
            <v/>
          </cell>
          <cell r="J411">
            <v>23834383</v>
          </cell>
          <cell r="K411">
            <v>385121613</v>
          </cell>
        </row>
        <row r="412">
          <cell r="A412" t="str">
            <v>5. 간접노무비</v>
          </cell>
          <cell r="C412">
            <v>1</v>
          </cell>
          <cell r="D412" t="str">
            <v>식</v>
          </cell>
          <cell r="K412">
            <v>48060000</v>
          </cell>
        </row>
        <row r="413">
          <cell r="A413" t="str">
            <v>6. 기 타 경 비</v>
          </cell>
          <cell r="C413">
            <v>1</v>
          </cell>
          <cell r="D413" t="str">
            <v>식</v>
          </cell>
          <cell r="K413">
            <v>14730000</v>
          </cell>
        </row>
        <row r="414">
          <cell r="A414" t="str">
            <v>순   공  사  비</v>
          </cell>
          <cell r="K414">
            <v>447902303</v>
          </cell>
        </row>
        <row r="415">
          <cell r="A415" t="str">
            <v>7. 일반관리비</v>
          </cell>
          <cell r="C415">
            <v>1</v>
          </cell>
          <cell r="D415" t="str">
            <v>식</v>
          </cell>
          <cell r="K415">
            <v>24630000</v>
          </cell>
        </row>
        <row r="416">
          <cell r="A416" t="str">
            <v>8. 이      윤</v>
          </cell>
          <cell r="C416">
            <v>1</v>
          </cell>
          <cell r="D416" t="str">
            <v>식</v>
          </cell>
          <cell r="K416">
            <v>68146709.649999991</v>
          </cell>
        </row>
        <row r="417">
          <cell r="A417" t="str">
            <v>9. 사급자재비</v>
          </cell>
          <cell r="C417">
            <v>1</v>
          </cell>
          <cell r="D417" t="str">
            <v>식</v>
          </cell>
          <cell r="K417">
            <v>4956951</v>
          </cell>
        </row>
        <row r="418">
          <cell r="A418" t="str">
            <v>공  급  가  액</v>
          </cell>
          <cell r="K418">
            <v>545635963.64999998</v>
          </cell>
        </row>
        <row r="419">
          <cell r="A419" t="str">
            <v>10. 부가가치세</v>
          </cell>
          <cell r="C419">
            <v>1</v>
          </cell>
          <cell r="D419" t="str">
            <v>식</v>
          </cell>
          <cell r="K419">
            <v>54563597</v>
          </cell>
        </row>
        <row r="420">
          <cell r="A420" t="str">
            <v>11. 폐기물처리비</v>
          </cell>
          <cell r="C420">
            <v>1</v>
          </cell>
          <cell r="D420" t="str">
            <v>식</v>
          </cell>
          <cell r="K420">
            <v>5956800</v>
          </cell>
        </row>
        <row r="421">
          <cell r="A421" t="str">
            <v>도   급   액</v>
          </cell>
          <cell r="K421">
            <v>606156360.64999998</v>
          </cell>
        </row>
        <row r="422">
          <cell r="A422" t="str">
            <v>사   급   자   재   내  역</v>
          </cell>
        </row>
        <row r="423">
          <cell r="A423" t="str">
            <v>스테인레스 강관</v>
          </cell>
          <cell r="B423" t="str">
            <v>13</v>
          </cell>
          <cell r="C423">
            <v>40</v>
          </cell>
          <cell r="D423" t="str">
            <v>M</v>
          </cell>
          <cell r="E423">
            <v>790</v>
          </cell>
          <cell r="F423">
            <v>31600</v>
          </cell>
          <cell r="K423">
            <v>31600</v>
          </cell>
        </row>
        <row r="424">
          <cell r="A424" t="str">
            <v>스테인레스 강관</v>
          </cell>
          <cell r="B424" t="str">
            <v>20</v>
          </cell>
          <cell r="C424">
            <v>100</v>
          </cell>
          <cell r="D424" t="str">
            <v>M</v>
          </cell>
          <cell r="E424">
            <v>850</v>
          </cell>
          <cell r="F424">
            <v>85000</v>
          </cell>
          <cell r="K424">
            <v>85000</v>
          </cell>
        </row>
        <row r="425">
          <cell r="A425" t="str">
            <v>스테인레스 강관</v>
          </cell>
          <cell r="B425" t="str">
            <v>25</v>
          </cell>
          <cell r="C425">
            <v>10</v>
          </cell>
          <cell r="D425" t="str">
            <v>M</v>
          </cell>
          <cell r="E425">
            <v>960</v>
          </cell>
          <cell r="F425">
            <v>9600</v>
          </cell>
          <cell r="K425">
            <v>9600</v>
          </cell>
        </row>
        <row r="426">
          <cell r="A426" t="str">
            <v>스테인레스 강관</v>
          </cell>
          <cell r="B426" t="str">
            <v>30</v>
          </cell>
          <cell r="C426">
            <v>4</v>
          </cell>
          <cell r="D426" t="str">
            <v>M</v>
          </cell>
          <cell r="E426">
            <v>2140</v>
          </cell>
          <cell r="F426">
            <v>8560</v>
          </cell>
          <cell r="K426">
            <v>8560</v>
          </cell>
        </row>
        <row r="427">
          <cell r="A427" t="str">
            <v>스테인레스 강관</v>
          </cell>
          <cell r="B427" t="str">
            <v>40</v>
          </cell>
          <cell r="C427">
            <v>10</v>
          </cell>
          <cell r="D427" t="str">
            <v>M</v>
          </cell>
          <cell r="E427">
            <v>2610</v>
          </cell>
          <cell r="F427">
            <v>26100</v>
          </cell>
          <cell r="K427">
            <v>26100</v>
          </cell>
        </row>
        <row r="428">
          <cell r="A428" t="str">
            <v>스테인레스 강관</v>
          </cell>
          <cell r="B428" t="str">
            <v>50</v>
          </cell>
          <cell r="C428">
            <v>2</v>
          </cell>
          <cell r="D428" t="str">
            <v>M</v>
          </cell>
          <cell r="E428">
            <v>2770</v>
          </cell>
          <cell r="F428">
            <v>5540</v>
          </cell>
          <cell r="K428">
            <v>5540</v>
          </cell>
        </row>
        <row r="429">
          <cell r="A429" t="str">
            <v>수도계량기보호통</v>
          </cell>
          <cell r="B429" t="str">
            <v>13*110</v>
          </cell>
          <cell r="C429">
            <v>1</v>
          </cell>
          <cell r="D429" t="str">
            <v>조</v>
          </cell>
          <cell r="E429">
            <v>9644</v>
          </cell>
          <cell r="F429">
            <v>9644</v>
          </cell>
          <cell r="K429">
            <v>9644</v>
          </cell>
        </row>
        <row r="430">
          <cell r="A430" t="str">
            <v>수도계량기보호통</v>
          </cell>
          <cell r="B430" t="str">
            <v>20*110</v>
          </cell>
          <cell r="C430">
            <v>1</v>
          </cell>
          <cell r="D430" t="str">
            <v>조</v>
          </cell>
          <cell r="E430">
            <v>14434</v>
          </cell>
          <cell r="F430">
            <v>14434</v>
          </cell>
          <cell r="K430">
            <v>14434</v>
          </cell>
        </row>
        <row r="431">
          <cell r="A431" t="str">
            <v>수도계량기보호통</v>
          </cell>
          <cell r="B431" t="str">
            <v>25*110</v>
          </cell>
          <cell r="C431">
            <v>1</v>
          </cell>
          <cell r="D431" t="str">
            <v>조</v>
          </cell>
          <cell r="E431">
            <v>15963</v>
          </cell>
          <cell r="F431">
            <v>15963</v>
          </cell>
          <cell r="K431">
            <v>15963</v>
          </cell>
        </row>
        <row r="432">
          <cell r="A432" t="str">
            <v>수도계량기보호통</v>
          </cell>
          <cell r="B432" t="str">
            <v>40*110</v>
          </cell>
          <cell r="C432">
            <v>1</v>
          </cell>
          <cell r="D432" t="str">
            <v>조</v>
          </cell>
          <cell r="E432">
            <v>49146</v>
          </cell>
          <cell r="F432">
            <v>49146</v>
          </cell>
          <cell r="K432">
            <v>49146</v>
          </cell>
        </row>
        <row r="433">
          <cell r="A433" t="str">
            <v>수도계량기보호통</v>
          </cell>
          <cell r="B433" t="str">
            <v>50*110</v>
          </cell>
          <cell r="C433">
            <v>1</v>
          </cell>
          <cell r="D433" t="str">
            <v>조</v>
          </cell>
          <cell r="E433">
            <v>52043</v>
          </cell>
          <cell r="F433">
            <v>52043</v>
          </cell>
          <cell r="K433">
            <v>52043</v>
          </cell>
        </row>
        <row r="434">
          <cell r="A434" t="str">
            <v>쌔들분수전(SP,VP)</v>
          </cell>
          <cell r="B434" t="str">
            <v>40*20</v>
          </cell>
          <cell r="C434">
            <v>1</v>
          </cell>
          <cell r="D434" t="str">
            <v>개</v>
          </cell>
          <cell r="E434">
            <v>4251</v>
          </cell>
          <cell r="F434">
            <v>4251</v>
          </cell>
          <cell r="K434">
            <v>4251</v>
          </cell>
        </row>
        <row r="435">
          <cell r="A435" t="str">
            <v>쌔들분수전(SP,VP)</v>
          </cell>
          <cell r="B435" t="str">
            <v>50*20</v>
          </cell>
          <cell r="C435">
            <v>1</v>
          </cell>
          <cell r="D435" t="str">
            <v>개</v>
          </cell>
          <cell r="E435">
            <v>4277</v>
          </cell>
          <cell r="F435">
            <v>4277</v>
          </cell>
          <cell r="K435">
            <v>4277</v>
          </cell>
        </row>
        <row r="436">
          <cell r="A436" t="str">
            <v>쌔들분수전(CIP용)</v>
          </cell>
          <cell r="B436" t="str">
            <v>80*20</v>
          </cell>
          <cell r="C436">
            <v>1</v>
          </cell>
          <cell r="D436" t="str">
            <v>개</v>
          </cell>
          <cell r="E436">
            <v>4665</v>
          </cell>
          <cell r="F436">
            <v>4665</v>
          </cell>
          <cell r="K436">
            <v>4665</v>
          </cell>
        </row>
        <row r="437">
          <cell r="A437" t="str">
            <v>쌔들분수전(CIP용)</v>
          </cell>
          <cell r="B437" t="str">
            <v>80*25</v>
          </cell>
          <cell r="C437">
            <v>1</v>
          </cell>
          <cell r="D437" t="str">
            <v>개</v>
          </cell>
          <cell r="E437">
            <v>5708</v>
          </cell>
          <cell r="F437">
            <v>5708</v>
          </cell>
          <cell r="K437">
            <v>5708</v>
          </cell>
        </row>
        <row r="438">
          <cell r="A438" t="str">
            <v>쌔들분수전(CIP용)</v>
          </cell>
          <cell r="B438" t="str">
            <v>80*40</v>
          </cell>
          <cell r="C438">
            <v>1</v>
          </cell>
          <cell r="D438" t="str">
            <v>개</v>
          </cell>
          <cell r="E438">
            <v>11556</v>
          </cell>
          <cell r="F438">
            <v>11556</v>
          </cell>
          <cell r="K438">
            <v>11556</v>
          </cell>
        </row>
        <row r="439">
          <cell r="A439" t="str">
            <v>쌔들분수전(CIP용)</v>
          </cell>
          <cell r="B439" t="str">
            <v>100*20</v>
          </cell>
          <cell r="C439">
            <v>1</v>
          </cell>
          <cell r="D439" t="str">
            <v>개</v>
          </cell>
          <cell r="E439">
            <v>4951</v>
          </cell>
          <cell r="F439">
            <v>4951</v>
          </cell>
          <cell r="K439">
            <v>4951</v>
          </cell>
        </row>
        <row r="440">
          <cell r="A440" t="str">
            <v>쌔들분수전(CIP용)</v>
          </cell>
          <cell r="B440" t="str">
            <v>100*25</v>
          </cell>
          <cell r="C440">
            <v>1</v>
          </cell>
          <cell r="D440" t="str">
            <v>개</v>
          </cell>
          <cell r="E440">
            <v>5991</v>
          </cell>
          <cell r="F440">
            <v>5991</v>
          </cell>
          <cell r="K440">
            <v>5991</v>
          </cell>
        </row>
        <row r="441">
          <cell r="A441" t="str">
            <v>쌔들분수전(CIP용)</v>
          </cell>
          <cell r="B441" t="str">
            <v>100*40</v>
          </cell>
          <cell r="C441">
            <v>1</v>
          </cell>
          <cell r="D441" t="str">
            <v>개</v>
          </cell>
          <cell r="E441">
            <v>12033</v>
          </cell>
          <cell r="F441">
            <v>12033</v>
          </cell>
          <cell r="K441">
            <v>12033</v>
          </cell>
        </row>
        <row r="442">
          <cell r="A442" t="str">
            <v>쌔들분수전(CIP용)</v>
          </cell>
          <cell r="B442" t="str">
            <v>100*50</v>
          </cell>
          <cell r="C442">
            <v>1</v>
          </cell>
          <cell r="D442" t="str">
            <v>개</v>
          </cell>
          <cell r="E442">
            <v>15124</v>
          </cell>
          <cell r="F442">
            <v>15124</v>
          </cell>
          <cell r="K442">
            <v>15124</v>
          </cell>
        </row>
        <row r="443">
          <cell r="A443" t="str">
            <v>쌔들분수전(CIP용)</v>
          </cell>
          <cell r="B443" t="str">
            <v>150*20</v>
          </cell>
          <cell r="C443">
            <v>1</v>
          </cell>
          <cell r="D443" t="str">
            <v>개</v>
          </cell>
          <cell r="E443">
            <v>5234</v>
          </cell>
          <cell r="F443">
            <v>5234</v>
          </cell>
          <cell r="K443">
            <v>5234</v>
          </cell>
        </row>
        <row r="444">
          <cell r="A444" t="str">
            <v>쌔들분수전(CIP용)</v>
          </cell>
          <cell r="B444" t="str">
            <v>150*25</v>
          </cell>
          <cell r="C444">
            <v>1</v>
          </cell>
          <cell r="D444" t="str">
            <v>개</v>
          </cell>
          <cell r="E444">
            <v>6274</v>
          </cell>
          <cell r="F444">
            <v>6274</v>
          </cell>
          <cell r="K444">
            <v>6274</v>
          </cell>
        </row>
        <row r="445">
          <cell r="A445" t="str">
            <v>쌔들분수전(CIP용)</v>
          </cell>
          <cell r="B445" t="str">
            <v>150*40</v>
          </cell>
          <cell r="C445">
            <v>1</v>
          </cell>
          <cell r="D445" t="str">
            <v>개</v>
          </cell>
          <cell r="E445">
            <v>12510</v>
          </cell>
          <cell r="F445">
            <v>12510</v>
          </cell>
          <cell r="K445">
            <v>12510</v>
          </cell>
        </row>
        <row r="446">
          <cell r="A446" t="str">
            <v>쌔들분수전(CIP용)</v>
          </cell>
          <cell r="B446" t="str">
            <v>150*50</v>
          </cell>
          <cell r="C446">
            <v>1</v>
          </cell>
          <cell r="D446" t="str">
            <v>개</v>
          </cell>
          <cell r="E446">
            <v>15562</v>
          </cell>
          <cell r="F446">
            <v>15562</v>
          </cell>
          <cell r="K446">
            <v>15562</v>
          </cell>
        </row>
        <row r="447">
          <cell r="A447" t="str">
            <v>쌔들분수전(CIP용)</v>
          </cell>
          <cell r="B447" t="str">
            <v>200*25</v>
          </cell>
          <cell r="C447">
            <v>1</v>
          </cell>
          <cell r="D447" t="str">
            <v>개</v>
          </cell>
          <cell r="E447">
            <v>7609</v>
          </cell>
          <cell r="F447">
            <v>7609</v>
          </cell>
          <cell r="K447">
            <v>7609</v>
          </cell>
        </row>
        <row r="448">
          <cell r="A448" t="str">
            <v>쌔들분수전(CIP용)</v>
          </cell>
          <cell r="B448" t="str">
            <v>200*40</v>
          </cell>
          <cell r="C448">
            <v>1</v>
          </cell>
          <cell r="D448" t="str">
            <v>개</v>
          </cell>
          <cell r="E448">
            <v>13864</v>
          </cell>
          <cell r="F448">
            <v>13864</v>
          </cell>
          <cell r="K448">
            <v>13864</v>
          </cell>
        </row>
        <row r="449">
          <cell r="A449" t="str">
            <v>쌔들분수전(CIP용)</v>
          </cell>
          <cell r="B449" t="str">
            <v>200*50</v>
          </cell>
          <cell r="C449">
            <v>1</v>
          </cell>
          <cell r="D449" t="str">
            <v>개</v>
          </cell>
          <cell r="E449">
            <v>16923</v>
          </cell>
          <cell r="F449">
            <v>16923</v>
          </cell>
          <cell r="K449">
            <v>16923</v>
          </cell>
        </row>
        <row r="450">
          <cell r="A450" t="str">
            <v>SSP용 연결관</v>
          </cell>
          <cell r="B450" t="str">
            <v>20</v>
          </cell>
          <cell r="C450">
            <v>6</v>
          </cell>
          <cell r="D450" t="str">
            <v>개</v>
          </cell>
          <cell r="E450">
            <v>1147</v>
          </cell>
          <cell r="F450">
            <v>6882</v>
          </cell>
          <cell r="K450">
            <v>6882</v>
          </cell>
        </row>
        <row r="451">
          <cell r="A451" t="str">
            <v>SSP용 연결관</v>
          </cell>
          <cell r="B451" t="str">
            <v>25</v>
          </cell>
          <cell r="C451">
            <v>4</v>
          </cell>
          <cell r="D451" t="str">
            <v>개</v>
          </cell>
          <cell r="E451">
            <v>1475</v>
          </cell>
          <cell r="F451">
            <v>5900</v>
          </cell>
          <cell r="K451">
            <v>5900</v>
          </cell>
        </row>
        <row r="452">
          <cell r="A452" t="str">
            <v>SSP용 연결관</v>
          </cell>
          <cell r="B452" t="str">
            <v>40</v>
          </cell>
          <cell r="C452">
            <v>4</v>
          </cell>
          <cell r="D452" t="str">
            <v>개</v>
          </cell>
          <cell r="E452">
            <v>2973</v>
          </cell>
          <cell r="F452">
            <v>11892</v>
          </cell>
          <cell r="K452">
            <v>11892</v>
          </cell>
        </row>
        <row r="453">
          <cell r="A453" t="str">
            <v>SSP용 연결관</v>
          </cell>
          <cell r="B453" t="str">
            <v>50</v>
          </cell>
          <cell r="C453">
            <v>4</v>
          </cell>
          <cell r="D453" t="str">
            <v>개</v>
          </cell>
          <cell r="E453">
            <v>3927</v>
          </cell>
          <cell r="F453">
            <v>15708</v>
          </cell>
          <cell r="K453">
            <v>15708</v>
          </cell>
        </row>
        <row r="454">
          <cell r="A454" t="str">
            <v>SSP 엘보 (90。)</v>
          </cell>
          <cell r="B454" t="str">
            <v>13</v>
          </cell>
          <cell r="C454">
            <v>20</v>
          </cell>
          <cell r="D454" t="str">
            <v>개</v>
          </cell>
          <cell r="E454">
            <v>340</v>
          </cell>
          <cell r="F454">
            <v>6800</v>
          </cell>
          <cell r="K454">
            <v>6800</v>
          </cell>
        </row>
        <row r="455">
          <cell r="A455" t="str">
            <v>SSP 엘보 (90。)</v>
          </cell>
          <cell r="B455" t="str">
            <v>20</v>
          </cell>
          <cell r="C455">
            <v>120</v>
          </cell>
          <cell r="D455" t="str">
            <v>개</v>
          </cell>
          <cell r="E455">
            <v>420</v>
          </cell>
          <cell r="F455">
            <v>50400</v>
          </cell>
          <cell r="K455">
            <v>50400</v>
          </cell>
        </row>
        <row r="456">
          <cell r="A456" t="str">
            <v>SSP 엘보 (90。)</v>
          </cell>
          <cell r="B456" t="str">
            <v>25</v>
          </cell>
          <cell r="C456">
            <v>20</v>
          </cell>
          <cell r="D456" t="str">
            <v>개</v>
          </cell>
          <cell r="E456">
            <v>540</v>
          </cell>
          <cell r="F456">
            <v>10800</v>
          </cell>
          <cell r="K456">
            <v>10800</v>
          </cell>
        </row>
        <row r="457">
          <cell r="A457" t="str">
            <v>SSP 엘보 (90。)</v>
          </cell>
          <cell r="B457" t="str">
            <v>30</v>
          </cell>
          <cell r="C457">
            <v>4</v>
          </cell>
          <cell r="D457" t="str">
            <v>개</v>
          </cell>
          <cell r="E457">
            <v>1200</v>
          </cell>
          <cell r="F457">
            <v>4800</v>
          </cell>
          <cell r="K457">
            <v>4800</v>
          </cell>
        </row>
        <row r="458">
          <cell r="A458" t="str">
            <v>SSP 엘보 (90。)</v>
          </cell>
          <cell r="B458" t="str">
            <v>40</v>
          </cell>
          <cell r="C458">
            <v>4</v>
          </cell>
          <cell r="D458" t="str">
            <v>개</v>
          </cell>
          <cell r="E458">
            <v>1450</v>
          </cell>
          <cell r="F458">
            <v>5800</v>
          </cell>
          <cell r="K458">
            <v>5800</v>
          </cell>
        </row>
        <row r="459">
          <cell r="A459" t="str">
            <v>SSP 엘보 (90。)</v>
          </cell>
          <cell r="B459" t="str">
            <v>50</v>
          </cell>
          <cell r="C459">
            <v>2</v>
          </cell>
          <cell r="D459" t="str">
            <v>개</v>
          </cell>
          <cell r="E459">
            <v>1900</v>
          </cell>
          <cell r="F459">
            <v>3800</v>
          </cell>
          <cell r="K459">
            <v>3800</v>
          </cell>
        </row>
        <row r="460">
          <cell r="A460" t="str">
            <v xml:space="preserve"> SSP 소 켓</v>
          </cell>
          <cell r="B460" t="str">
            <v>13</v>
          </cell>
          <cell r="C460">
            <v>10</v>
          </cell>
          <cell r="D460" t="str">
            <v>개</v>
          </cell>
          <cell r="E460">
            <v>280</v>
          </cell>
          <cell r="F460">
            <v>2800</v>
          </cell>
          <cell r="K460">
            <v>2800</v>
          </cell>
        </row>
        <row r="461">
          <cell r="A461" t="str">
            <v xml:space="preserve"> SSP 소 켓</v>
          </cell>
          <cell r="B461" t="str">
            <v>20</v>
          </cell>
          <cell r="C461">
            <v>5</v>
          </cell>
          <cell r="D461" t="str">
            <v>개</v>
          </cell>
          <cell r="E461">
            <v>360</v>
          </cell>
          <cell r="F461">
            <v>1800</v>
          </cell>
          <cell r="K461">
            <v>1800</v>
          </cell>
        </row>
        <row r="462">
          <cell r="A462" t="str">
            <v xml:space="preserve"> SSP 소 켓</v>
          </cell>
          <cell r="B462" t="str">
            <v>25</v>
          </cell>
          <cell r="C462">
            <v>2</v>
          </cell>
          <cell r="D462" t="str">
            <v>개</v>
          </cell>
          <cell r="E462">
            <v>450</v>
          </cell>
          <cell r="F462">
            <v>900</v>
          </cell>
          <cell r="K462">
            <v>900</v>
          </cell>
        </row>
        <row r="463">
          <cell r="A463" t="str">
            <v xml:space="preserve"> SSP 소 켓</v>
          </cell>
          <cell r="B463" t="str">
            <v>30</v>
          </cell>
          <cell r="C463">
            <v>2</v>
          </cell>
          <cell r="D463" t="str">
            <v>개</v>
          </cell>
          <cell r="E463">
            <v>460</v>
          </cell>
          <cell r="F463">
            <v>920</v>
          </cell>
          <cell r="K463">
            <v>920</v>
          </cell>
        </row>
        <row r="464">
          <cell r="A464" t="str">
            <v xml:space="preserve"> SSP 소 켓</v>
          </cell>
          <cell r="B464" t="str">
            <v>40</v>
          </cell>
          <cell r="C464">
            <v>2</v>
          </cell>
          <cell r="D464" t="str">
            <v>개</v>
          </cell>
          <cell r="E464">
            <v>1180</v>
          </cell>
          <cell r="F464">
            <v>2360</v>
          </cell>
          <cell r="K464">
            <v>2360</v>
          </cell>
        </row>
        <row r="465">
          <cell r="A465" t="str">
            <v xml:space="preserve"> SSP 소 켓</v>
          </cell>
          <cell r="B465" t="str">
            <v>50</v>
          </cell>
          <cell r="C465">
            <v>2</v>
          </cell>
          <cell r="D465" t="str">
            <v>개</v>
          </cell>
          <cell r="E465">
            <v>1470</v>
          </cell>
          <cell r="F465">
            <v>2940</v>
          </cell>
          <cell r="K465">
            <v>2940</v>
          </cell>
        </row>
        <row r="466">
          <cell r="A466" t="str">
            <v>아답타 소켓(M)</v>
          </cell>
          <cell r="B466" t="str">
            <v>13*15</v>
          </cell>
          <cell r="C466">
            <v>20</v>
          </cell>
          <cell r="D466" t="str">
            <v>개</v>
          </cell>
          <cell r="E466">
            <v>284</v>
          </cell>
          <cell r="F466">
            <v>5680</v>
          </cell>
          <cell r="K466">
            <v>5680</v>
          </cell>
        </row>
        <row r="467">
          <cell r="A467" t="str">
            <v>아답타 소켓(M)</v>
          </cell>
          <cell r="B467" t="str">
            <v>20*20</v>
          </cell>
          <cell r="C467">
            <v>10</v>
          </cell>
          <cell r="D467" t="str">
            <v>개</v>
          </cell>
          <cell r="E467">
            <v>393</v>
          </cell>
          <cell r="F467">
            <v>3930</v>
          </cell>
          <cell r="K467">
            <v>3930</v>
          </cell>
        </row>
        <row r="468">
          <cell r="A468" t="str">
            <v>아답타 소켓(M)</v>
          </cell>
          <cell r="B468" t="str">
            <v>25*25</v>
          </cell>
          <cell r="C468">
            <v>8</v>
          </cell>
          <cell r="D468" t="str">
            <v>개</v>
          </cell>
          <cell r="E468">
            <v>456</v>
          </cell>
          <cell r="F468">
            <v>3648</v>
          </cell>
          <cell r="K468">
            <v>3648</v>
          </cell>
        </row>
        <row r="469">
          <cell r="A469" t="str">
            <v>아답타 소켓(M)</v>
          </cell>
          <cell r="B469" t="str">
            <v>40*40</v>
          </cell>
          <cell r="C469">
            <v>2</v>
          </cell>
          <cell r="D469" t="str">
            <v>개</v>
          </cell>
          <cell r="E469">
            <v>1625</v>
          </cell>
          <cell r="F469">
            <v>3250</v>
          </cell>
          <cell r="K469">
            <v>3250</v>
          </cell>
        </row>
        <row r="470">
          <cell r="A470" t="str">
            <v>아답타 소켓(M)</v>
          </cell>
          <cell r="B470" t="str">
            <v>50*50</v>
          </cell>
          <cell r="C470">
            <v>2</v>
          </cell>
          <cell r="D470" t="str">
            <v>개</v>
          </cell>
          <cell r="E470">
            <v>1808</v>
          </cell>
          <cell r="F470">
            <v>3616</v>
          </cell>
          <cell r="K470">
            <v>3616</v>
          </cell>
        </row>
        <row r="471">
          <cell r="A471" t="str">
            <v>베 어 소 켓</v>
          </cell>
          <cell r="B471" t="str">
            <v>13</v>
          </cell>
          <cell r="C471">
            <v>1</v>
          </cell>
          <cell r="D471" t="str">
            <v>개</v>
          </cell>
          <cell r="E471">
            <v>320</v>
          </cell>
          <cell r="F471">
            <v>320</v>
          </cell>
          <cell r="K471">
            <v>320</v>
          </cell>
        </row>
        <row r="472">
          <cell r="A472" t="str">
            <v>베 어 소 켓</v>
          </cell>
          <cell r="B472" t="str">
            <v>20</v>
          </cell>
          <cell r="C472">
            <v>1</v>
          </cell>
          <cell r="D472" t="str">
            <v>개</v>
          </cell>
          <cell r="E472">
            <v>420</v>
          </cell>
          <cell r="F472">
            <v>420</v>
          </cell>
          <cell r="K472">
            <v>420</v>
          </cell>
        </row>
        <row r="473">
          <cell r="A473" t="str">
            <v>베 어 소 켓</v>
          </cell>
          <cell r="B473" t="str">
            <v>25</v>
          </cell>
          <cell r="C473">
            <v>1</v>
          </cell>
          <cell r="D473" t="str">
            <v>개</v>
          </cell>
          <cell r="E473">
            <v>530</v>
          </cell>
          <cell r="F473">
            <v>530</v>
          </cell>
          <cell r="K473">
            <v>530</v>
          </cell>
        </row>
        <row r="474">
          <cell r="A474" t="str">
            <v>베 어 소 켓</v>
          </cell>
          <cell r="B474" t="str">
            <v>40</v>
          </cell>
          <cell r="C474">
            <v>3</v>
          </cell>
          <cell r="D474" t="str">
            <v>개</v>
          </cell>
          <cell r="E474">
            <v>3520</v>
          </cell>
          <cell r="F474">
            <v>10560</v>
          </cell>
          <cell r="K474">
            <v>10560</v>
          </cell>
        </row>
        <row r="475">
          <cell r="A475" t="str">
            <v>베 어 소 켓</v>
          </cell>
          <cell r="B475" t="str">
            <v>50</v>
          </cell>
          <cell r="C475">
            <v>2</v>
          </cell>
          <cell r="D475" t="str">
            <v>개</v>
          </cell>
          <cell r="E475">
            <v>4510</v>
          </cell>
          <cell r="F475">
            <v>9020</v>
          </cell>
          <cell r="K475">
            <v>9020</v>
          </cell>
        </row>
        <row r="476">
          <cell r="A476" t="str">
            <v>K - 유니온</v>
          </cell>
          <cell r="B476" t="str">
            <v>청동13</v>
          </cell>
          <cell r="C476">
            <v>210</v>
          </cell>
          <cell r="D476" t="str">
            <v>개</v>
          </cell>
          <cell r="E476">
            <v>2100</v>
          </cell>
          <cell r="F476">
            <v>441000</v>
          </cell>
          <cell r="K476">
            <v>441000</v>
          </cell>
        </row>
        <row r="477">
          <cell r="A477" t="str">
            <v>K - 유니온</v>
          </cell>
          <cell r="B477" t="str">
            <v>청동20</v>
          </cell>
          <cell r="C477">
            <v>30</v>
          </cell>
          <cell r="D477" t="str">
            <v>개</v>
          </cell>
          <cell r="E477">
            <v>3200</v>
          </cell>
          <cell r="F477">
            <v>96000</v>
          </cell>
          <cell r="K477">
            <v>96000</v>
          </cell>
        </row>
        <row r="478">
          <cell r="A478" t="str">
            <v>K - 유니온</v>
          </cell>
          <cell r="B478" t="str">
            <v>청동25</v>
          </cell>
          <cell r="C478">
            <v>10</v>
          </cell>
          <cell r="D478" t="str">
            <v>개</v>
          </cell>
          <cell r="E478">
            <v>4260</v>
          </cell>
          <cell r="F478">
            <v>42600</v>
          </cell>
          <cell r="K478">
            <v>42600</v>
          </cell>
        </row>
        <row r="479">
          <cell r="A479" t="str">
            <v>K - 유니온</v>
          </cell>
          <cell r="B479" t="str">
            <v>청동30</v>
          </cell>
          <cell r="C479">
            <v>1</v>
          </cell>
          <cell r="D479" t="str">
            <v>개</v>
          </cell>
          <cell r="E479">
            <v>6100</v>
          </cell>
          <cell r="F479">
            <v>6100</v>
          </cell>
          <cell r="K479">
            <v>6100</v>
          </cell>
        </row>
        <row r="480">
          <cell r="A480" t="str">
            <v>K - 유니온</v>
          </cell>
          <cell r="B480" t="str">
            <v>청동40</v>
          </cell>
          <cell r="C480">
            <v>10</v>
          </cell>
          <cell r="D480" t="str">
            <v>개</v>
          </cell>
          <cell r="E480">
            <v>8830</v>
          </cell>
          <cell r="F480">
            <v>88300</v>
          </cell>
          <cell r="K480">
            <v>88300</v>
          </cell>
        </row>
        <row r="481">
          <cell r="A481" t="str">
            <v>K - 유니온</v>
          </cell>
          <cell r="B481" t="str">
            <v>청동50</v>
          </cell>
          <cell r="C481">
            <v>5</v>
          </cell>
          <cell r="D481" t="str">
            <v>개</v>
          </cell>
          <cell r="E481">
            <v>13400</v>
          </cell>
          <cell r="F481">
            <v>67000</v>
          </cell>
          <cell r="K481">
            <v>67000</v>
          </cell>
        </row>
        <row r="482">
          <cell r="A482" t="str">
            <v xml:space="preserve"> SSP  티이</v>
          </cell>
          <cell r="B482" t="str">
            <v>20*20</v>
          </cell>
          <cell r="C482">
            <v>1</v>
          </cell>
          <cell r="D482" t="str">
            <v>개</v>
          </cell>
          <cell r="E482">
            <v>372</v>
          </cell>
          <cell r="F482">
            <v>372</v>
          </cell>
          <cell r="K482">
            <v>372</v>
          </cell>
        </row>
        <row r="483">
          <cell r="A483" t="str">
            <v xml:space="preserve"> SSP  티이</v>
          </cell>
          <cell r="B483" t="str">
            <v>25*25</v>
          </cell>
          <cell r="C483">
            <v>2</v>
          </cell>
          <cell r="D483" t="str">
            <v>개</v>
          </cell>
          <cell r="E483">
            <v>439</v>
          </cell>
          <cell r="F483">
            <v>878</v>
          </cell>
          <cell r="K483">
            <v>878</v>
          </cell>
        </row>
        <row r="484">
          <cell r="A484" t="str">
            <v xml:space="preserve"> SSP  티이</v>
          </cell>
          <cell r="B484" t="str">
            <v>25*20</v>
          </cell>
          <cell r="C484">
            <v>2</v>
          </cell>
          <cell r="D484" t="str">
            <v>개</v>
          </cell>
          <cell r="E484">
            <v>456</v>
          </cell>
          <cell r="F484">
            <v>912</v>
          </cell>
          <cell r="K484">
            <v>912</v>
          </cell>
        </row>
        <row r="485">
          <cell r="A485" t="str">
            <v xml:space="preserve"> SSP  티이</v>
          </cell>
          <cell r="B485" t="str">
            <v>30*25</v>
          </cell>
          <cell r="C485">
            <v>1</v>
          </cell>
          <cell r="D485" t="str">
            <v>개</v>
          </cell>
          <cell r="E485">
            <v>1240</v>
          </cell>
          <cell r="F485">
            <v>1240</v>
          </cell>
          <cell r="K485">
            <v>1240</v>
          </cell>
        </row>
        <row r="486">
          <cell r="A486" t="str">
            <v xml:space="preserve"> SSP  티이</v>
          </cell>
          <cell r="B486" t="str">
            <v>30*20</v>
          </cell>
          <cell r="C486">
            <v>1</v>
          </cell>
          <cell r="D486" t="str">
            <v>개</v>
          </cell>
          <cell r="E486">
            <v>1251</v>
          </cell>
          <cell r="F486">
            <v>1251</v>
          </cell>
          <cell r="K486">
            <v>1251</v>
          </cell>
        </row>
        <row r="487">
          <cell r="A487" t="str">
            <v xml:space="preserve"> SSP  티이</v>
          </cell>
          <cell r="B487" t="str">
            <v>40*40</v>
          </cell>
          <cell r="C487">
            <v>1</v>
          </cell>
          <cell r="D487" t="str">
            <v>개</v>
          </cell>
          <cell r="E487">
            <v>1569</v>
          </cell>
          <cell r="F487">
            <v>1569</v>
          </cell>
          <cell r="K487">
            <v>1569</v>
          </cell>
        </row>
        <row r="488">
          <cell r="A488" t="str">
            <v xml:space="preserve"> SSP  티이</v>
          </cell>
          <cell r="B488" t="str">
            <v>40*25</v>
          </cell>
          <cell r="C488">
            <v>1</v>
          </cell>
          <cell r="D488" t="str">
            <v>개</v>
          </cell>
          <cell r="E488">
            <v>5000</v>
          </cell>
          <cell r="F488">
            <v>5000</v>
          </cell>
          <cell r="K488">
            <v>5000</v>
          </cell>
        </row>
        <row r="489">
          <cell r="A489" t="str">
            <v xml:space="preserve"> SSP  티이</v>
          </cell>
          <cell r="B489" t="str">
            <v>40*20</v>
          </cell>
          <cell r="C489">
            <v>1</v>
          </cell>
          <cell r="D489" t="str">
            <v>개</v>
          </cell>
          <cell r="E489">
            <v>5230</v>
          </cell>
          <cell r="F489">
            <v>5230</v>
          </cell>
          <cell r="K489">
            <v>5230</v>
          </cell>
        </row>
        <row r="490">
          <cell r="A490" t="str">
            <v xml:space="preserve"> SSP  티이</v>
          </cell>
          <cell r="B490" t="str">
            <v>50*50</v>
          </cell>
          <cell r="C490">
            <v>1</v>
          </cell>
          <cell r="D490" t="str">
            <v>개</v>
          </cell>
          <cell r="E490">
            <v>1770</v>
          </cell>
          <cell r="F490">
            <v>1770</v>
          </cell>
          <cell r="K490">
            <v>1770</v>
          </cell>
        </row>
        <row r="491">
          <cell r="A491" t="str">
            <v xml:space="preserve"> SSP  티이</v>
          </cell>
          <cell r="B491" t="str">
            <v>50*40</v>
          </cell>
          <cell r="C491">
            <v>1</v>
          </cell>
          <cell r="D491" t="str">
            <v>개</v>
          </cell>
          <cell r="E491">
            <v>1873</v>
          </cell>
          <cell r="F491">
            <v>1873</v>
          </cell>
          <cell r="K491">
            <v>1873</v>
          </cell>
        </row>
        <row r="492">
          <cell r="A492" t="str">
            <v xml:space="preserve"> SSP  티이</v>
          </cell>
          <cell r="B492" t="str">
            <v>50*25</v>
          </cell>
          <cell r="C492">
            <v>1</v>
          </cell>
          <cell r="D492" t="str">
            <v>개</v>
          </cell>
          <cell r="E492">
            <v>6100</v>
          </cell>
          <cell r="F492">
            <v>6100</v>
          </cell>
          <cell r="K492">
            <v>6100</v>
          </cell>
        </row>
        <row r="493">
          <cell r="A493" t="str">
            <v xml:space="preserve"> SSP  티이</v>
          </cell>
          <cell r="B493" t="str">
            <v>50*20</v>
          </cell>
          <cell r="C493">
            <v>1</v>
          </cell>
          <cell r="D493" t="str">
            <v>개</v>
          </cell>
          <cell r="E493">
            <v>6210</v>
          </cell>
          <cell r="F493">
            <v>6210</v>
          </cell>
          <cell r="K493">
            <v>6210</v>
          </cell>
        </row>
        <row r="494">
          <cell r="A494" t="str">
            <v xml:space="preserve"> SSP 레듀샤</v>
          </cell>
          <cell r="B494" t="str">
            <v>20*13</v>
          </cell>
          <cell r="C494">
            <v>5</v>
          </cell>
          <cell r="D494" t="str">
            <v>개</v>
          </cell>
          <cell r="E494">
            <v>600</v>
          </cell>
          <cell r="F494">
            <v>3000</v>
          </cell>
          <cell r="K494">
            <v>3000</v>
          </cell>
        </row>
        <row r="495">
          <cell r="A495" t="str">
            <v xml:space="preserve"> SSP 레듀샤</v>
          </cell>
          <cell r="B495" t="str">
            <v>25*20</v>
          </cell>
          <cell r="C495">
            <v>2</v>
          </cell>
          <cell r="D495" t="str">
            <v>개</v>
          </cell>
          <cell r="E495">
            <v>900</v>
          </cell>
          <cell r="F495">
            <v>1800</v>
          </cell>
          <cell r="K495">
            <v>1800</v>
          </cell>
        </row>
        <row r="496">
          <cell r="A496" t="str">
            <v xml:space="preserve"> SSP 레듀샤</v>
          </cell>
          <cell r="B496" t="str">
            <v>25*13</v>
          </cell>
          <cell r="C496">
            <v>1</v>
          </cell>
          <cell r="D496" t="str">
            <v>개</v>
          </cell>
          <cell r="E496">
            <v>308</v>
          </cell>
          <cell r="F496">
            <v>308</v>
          </cell>
          <cell r="K496">
            <v>308</v>
          </cell>
        </row>
        <row r="497">
          <cell r="A497" t="str">
            <v xml:space="preserve"> SSP 레듀샤</v>
          </cell>
          <cell r="B497" t="str">
            <v>30*25</v>
          </cell>
          <cell r="C497">
            <v>1</v>
          </cell>
          <cell r="D497" t="str">
            <v>개</v>
          </cell>
          <cell r="E497">
            <v>499</v>
          </cell>
          <cell r="F497">
            <v>499</v>
          </cell>
          <cell r="K497">
            <v>499</v>
          </cell>
        </row>
        <row r="498">
          <cell r="A498" t="str">
            <v xml:space="preserve"> SSP 레듀샤</v>
          </cell>
          <cell r="B498" t="str">
            <v>30*20</v>
          </cell>
          <cell r="C498">
            <v>1</v>
          </cell>
          <cell r="D498" t="str">
            <v>개</v>
          </cell>
          <cell r="E498">
            <v>534</v>
          </cell>
          <cell r="F498">
            <v>534</v>
          </cell>
          <cell r="K498">
            <v>534</v>
          </cell>
        </row>
        <row r="499">
          <cell r="A499" t="str">
            <v xml:space="preserve"> SSP 레듀샤</v>
          </cell>
          <cell r="B499" t="str">
            <v>40*30</v>
          </cell>
          <cell r="C499">
            <v>1</v>
          </cell>
          <cell r="D499" t="str">
            <v>개</v>
          </cell>
          <cell r="E499">
            <v>629</v>
          </cell>
          <cell r="F499">
            <v>629</v>
          </cell>
          <cell r="K499">
            <v>629</v>
          </cell>
        </row>
        <row r="500">
          <cell r="A500" t="str">
            <v xml:space="preserve"> SSP 레듀샤</v>
          </cell>
          <cell r="B500" t="str">
            <v>40*25</v>
          </cell>
          <cell r="C500">
            <v>1</v>
          </cell>
          <cell r="D500" t="str">
            <v>개</v>
          </cell>
          <cell r="E500">
            <v>2100</v>
          </cell>
          <cell r="F500">
            <v>2100</v>
          </cell>
          <cell r="K500">
            <v>2100</v>
          </cell>
        </row>
        <row r="501">
          <cell r="A501" t="str">
            <v xml:space="preserve"> SSP 레듀샤</v>
          </cell>
          <cell r="B501" t="str">
            <v>50*40</v>
          </cell>
          <cell r="C501">
            <v>1</v>
          </cell>
          <cell r="D501" t="str">
            <v>개</v>
          </cell>
          <cell r="E501">
            <v>2400</v>
          </cell>
          <cell r="F501">
            <v>2400</v>
          </cell>
          <cell r="K501">
            <v>2400</v>
          </cell>
        </row>
        <row r="502">
          <cell r="A502" t="str">
            <v xml:space="preserve"> SSP 레듀샤</v>
          </cell>
          <cell r="B502" t="str">
            <v>50*25</v>
          </cell>
          <cell r="C502">
            <v>1</v>
          </cell>
          <cell r="D502" t="str">
            <v>개</v>
          </cell>
          <cell r="E502">
            <v>2920</v>
          </cell>
          <cell r="F502">
            <v>2920</v>
          </cell>
          <cell r="K502">
            <v>2920</v>
          </cell>
        </row>
        <row r="503">
          <cell r="A503" t="str">
            <v>베 어 소 켓</v>
          </cell>
          <cell r="B503" t="str">
            <v>20</v>
          </cell>
          <cell r="C503">
            <v>1</v>
          </cell>
          <cell r="D503" t="str">
            <v>개</v>
          </cell>
          <cell r="E503">
            <v>420</v>
          </cell>
          <cell r="F503">
            <v>420</v>
          </cell>
          <cell r="K503">
            <v>420</v>
          </cell>
        </row>
        <row r="504">
          <cell r="A504" t="str">
            <v>베 어 소 켓</v>
          </cell>
          <cell r="B504" t="str">
            <v>25</v>
          </cell>
          <cell r="C504">
            <v>1</v>
          </cell>
          <cell r="D504" t="str">
            <v>개</v>
          </cell>
          <cell r="E504">
            <v>530</v>
          </cell>
          <cell r="F504">
            <v>530</v>
          </cell>
          <cell r="K504">
            <v>530</v>
          </cell>
        </row>
        <row r="505">
          <cell r="A505" t="str">
            <v>베 어 소 켓</v>
          </cell>
          <cell r="B505" t="str">
            <v>40</v>
          </cell>
          <cell r="C505">
            <v>3</v>
          </cell>
          <cell r="D505" t="str">
            <v>개</v>
          </cell>
          <cell r="E505">
            <v>3520</v>
          </cell>
          <cell r="F505">
            <v>10560</v>
          </cell>
          <cell r="K505">
            <v>10560</v>
          </cell>
        </row>
        <row r="506">
          <cell r="A506" t="str">
            <v>베 어 소 켓</v>
          </cell>
          <cell r="B506" t="str">
            <v>50</v>
          </cell>
          <cell r="C506">
            <v>2</v>
          </cell>
          <cell r="D506" t="str">
            <v>개</v>
          </cell>
          <cell r="E506">
            <v>4510</v>
          </cell>
          <cell r="F506">
            <v>9020</v>
          </cell>
          <cell r="K506">
            <v>9020</v>
          </cell>
        </row>
        <row r="507">
          <cell r="A507" t="str">
            <v>누수방지쌔들</v>
          </cell>
          <cell r="B507" t="str">
            <v>40*80</v>
          </cell>
          <cell r="C507">
            <v>1</v>
          </cell>
          <cell r="D507" t="str">
            <v>개</v>
          </cell>
          <cell r="E507">
            <v>4320</v>
          </cell>
          <cell r="F507">
            <v>4320</v>
          </cell>
          <cell r="K507">
            <v>4320</v>
          </cell>
        </row>
        <row r="508">
          <cell r="A508" t="str">
            <v>누수방지쌔들</v>
          </cell>
          <cell r="B508" t="str">
            <v>50*80</v>
          </cell>
          <cell r="C508">
            <v>1</v>
          </cell>
          <cell r="D508" t="str">
            <v>개</v>
          </cell>
          <cell r="E508">
            <v>4460</v>
          </cell>
          <cell r="F508">
            <v>4460</v>
          </cell>
          <cell r="K508">
            <v>4460</v>
          </cell>
        </row>
        <row r="509">
          <cell r="A509" t="str">
            <v>누수방지쌔들</v>
          </cell>
          <cell r="B509" t="str">
            <v>80*80</v>
          </cell>
          <cell r="C509">
            <v>2</v>
          </cell>
          <cell r="D509" t="str">
            <v>개</v>
          </cell>
          <cell r="E509">
            <v>8450</v>
          </cell>
          <cell r="F509">
            <v>16900</v>
          </cell>
          <cell r="K509">
            <v>16900</v>
          </cell>
        </row>
        <row r="510">
          <cell r="A510" t="str">
            <v>누수방지쌔들</v>
          </cell>
          <cell r="B510" t="str">
            <v>80*140</v>
          </cell>
          <cell r="C510">
            <v>2</v>
          </cell>
          <cell r="D510" t="str">
            <v>개</v>
          </cell>
          <cell r="E510">
            <v>20130</v>
          </cell>
          <cell r="F510">
            <v>40260</v>
          </cell>
          <cell r="K510">
            <v>40260</v>
          </cell>
        </row>
        <row r="511">
          <cell r="A511" t="str">
            <v>누수방지쌔들</v>
          </cell>
          <cell r="B511" t="str">
            <v>100*80</v>
          </cell>
          <cell r="C511">
            <v>1</v>
          </cell>
          <cell r="D511" t="str">
            <v>개</v>
          </cell>
          <cell r="E511">
            <v>9510</v>
          </cell>
          <cell r="F511">
            <v>9510</v>
          </cell>
          <cell r="K511">
            <v>9510</v>
          </cell>
        </row>
        <row r="512">
          <cell r="A512" t="str">
            <v>누수방지쌔들</v>
          </cell>
          <cell r="B512" t="str">
            <v>100*140</v>
          </cell>
          <cell r="C512">
            <v>1</v>
          </cell>
          <cell r="D512" t="str">
            <v>개</v>
          </cell>
          <cell r="E512">
            <v>24130</v>
          </cell>
          <cell r="F512">
            <v>24130</v>
          </cell>
          <cell r="K512">
            <v>24130</v>
          </cell>
        </row>
        <row r="513">
          <cell r="A513" t="str">
            <v>누수방지쌔들</v>
          </cell>
          <cell r="B513" t="str">
            <v>150*80</v>
          </cell>
          <cell r="C513">
            <v>1</v>
          </cell>
          <cell r="D513" t="str">
            <v>개</v>
          </cell>
          <cell r="E513">
            <v>10560</v>
          </cell>
          <cell r="F513">
            <v>10560</v>
          </cell>
          <cell r="K513">
            <v>10560</v>
          </cell>
        </row>
        <row r="514">
          <cell r="A514" t="str">
            <v>누수방지쌔들</v>
          </cell>
          <cell r="B514" t="str">
            <v>150*140</v>
          </cell>
          <cell r="C514">
            <v>1</v>
          </cell>
          <cell r="D514" t="str">
            <v>개</v>
          </cell>
          <cell r="E514">
            <v>26000</v>
          </cell>
          <cell r="F514">
            <v>26000</v>
          </cell>
          <cell r="K514">
            <v>26000</v>
          </cell>
        </row>
        <row r="515">
          <cell r="A515" t="str">
            <v>누수방지쌔들</v>
          </cell>
          <cell r="B515" t="str">
            <v>200*100</v>
          </cell>
          <cell r="C515">
            <v>1</v>
          </cell>
          <cell r="D515" t="str">
            <v>개</v>
          </cell>
          <cell r="E515">
            <v>4859</v>
          </cell>
          <cell r="F515">
            <v>4859</v>
          </cell>
          <cell r="K515">
            <v>4859</v>
          </cell>
        </row>
        <row r="516">
          <cell r="A516" t="str">
            <v>누수방지쌔들</v>
          </cell>
          <cell r="B516" t="str">
            <v>200*140</v>
          </cell>
          <cell r="C516">
            <v>1</v>
          </cell>
          <cell r="D516" t="str">
            <v>개</v>
          </cell>
          <cell r="E516">
            <v>9810</v>
          </cell>
          <cell r="F516">
            <v>9810</v>
          </cell>
          <cell r="K516">
            <v>9810</v>
          </cell>
        </row>
        <row r="517">
          <cell r="A517" t="str">
            <v>소 켓 트</v>
          </cell>
          <cell r="B517" t="str">
            <v>주철13</v>
          </cell>
          <cell r="C517">
            <v>1</v>
          </cell>
          <cell r="D517" t="str">
            <v>개</v>
          </cell>
          <cell r="E517">
            <v>170</v>
          </cell>
          <cell r="F517">
            <v>170</v>
          </cell>
          <cell r="K517">
            <v>170</v>
          </cell>
        </row>
        <row r="518">
          <cell r="A518" t="str">
            <v>소 켓 트</v>
          </cell>
          <cell r="B518" t="str">
            <v>주철20</v>
          </cell>
          <cell r="C518">
            <v>1</v>
          </cell>
          <cell r="D518" t="str">
            <v>개</v>
          </cell>
          <cell r="E518">
            <v>200</v>
          </cell>
          <cell r="F518">
            <v>200</v>
          </cell>
          <cell r="K518">
            <v>200</v>
          </cell>
        </row>
        <row r="519">
          <cell r="A519" t="str">
            <v>소 켓 트</v>
          </cell>
          <cell r="B519" t="str">
            <v>주철25</v>
          </cell>
          <cell r="C519">
            <v>1</v>
          </cell>
          <cell r="D519" t="str">
            <v>개</v>
          </cell>
          <cell r="E519">
            <v>330</v>
          </cell>
          <cell r="F519">
            <v>330</v>
          </cell>
          <cell r="K519">
            <v>330</v>
          </cell>
        </row>
        <row r="520">
          <cell r="A520" t="str">
            <v>소 켓 트</v>
          </cell>
          <cell r="B520" t="str">
            <v>주철30</v>
          </cell>
          <cell r="C520">
            <v>1</v>
          </cell>
          <cell r="D520" t="str">
            <v>개</v>
          </cell>
          <cell r="E520">
            <v>420</v>
          </cell>
          <cell r="F520">
            <v>420</v>
          </cell>
          <cell r="K520">
            <v>420</v>
          </cell>
        </row>
        <row r="521">
          <cell r="A521" t="str">
            <v>소 켓 트</v>
          </cell>
          <cell r="B521" t="str">
            <v>주철40</v>
          </cell>
          <cell r="C521">
            <v>1</v>
          </cell>
          <cell r="D521" t="str">
            <v>개</v>
          </cell>
          <cell r="E521">
            <v>500</v>
          </cell>
          <cell r="F521">
            <v>500</v>
          </cell>
          <cell r="K521">
            <v>500</v>
          </cell>
        </row>
        <row r="522">
          <cell r="A522" t="str">
            <v>소 켓 트</v>
          </cell>
          <cell r="B522" t="str">
            <v>주철50</v>
          </cell>
          <cell r="C522">
            <v>1</v>
          </cell>
          <cell r="D522" t="str">
            <v>개</v>
          </cell>
          <cell r="E522">
            <v>800</v>
          </cell>
          <cell r="F522">
            <v>800</v>
          </cell>
          <cell r="K522">
            <v>800</v>
          </cell>
        </row>
        <row r="523">
          <cell r="A523" t="str">
            <v>닛 블(강관)</v>
          </cell>
          <cell r="B523" t="str">
            <v>주철13</v>
          </cell>
          <cell r="C523">
            <v>1</v>
          </cell>
          <cell r="D523" t="str">
            <v>개</v>
          </cell>
          <cell r="E523">
            <v>200</v>
          </cell>
          <cell r="F523">
            <v>200</v>
          </cell>
          <cell r="K523">
            <v>200</v>
          </cell>
        </row>
        <row r="524">
          <cell r="A524" t="str">
            <v>닛 블(강관)</v>
          </cell>
          <cell r="B524" t="str">
            <v>주철20</v>
          </cell>
          <cell r="C524">
            <v>1</v>
          </cell>
          <cell r="D524" t="str">
            <v>개</v>
          </cell>
          <cell r="E524">
            <v>240</v>
          </cell>
          <cell r="F524">
            <v>240</v>
          </cell>
          <cell r="K524">
            <v>240</v>
          </cell>
        </row>
        <row r="525">
          <cell r="A525" t="str">
            <v>닛 블(강관)</v>
          </cell>
          <cell r="B525" t="str">
            <v>주철25</v>
          </cell>
          <cell r="C525">
            <v>1</v>
          </cell>
          <cell r="D525" t="str">
            <v>개</v>
          </cell>
          <cell r="E525">
            <v>340</v>
          </cell>
          <cell r="F525">
            <v>340</v>
          </cell>
          <cell r="K525">
            <v>340</v>
          </cell>
        </row>
        <row r="526">
          <cell r="A526" t="str">
            <v>닛 블(강관)</v>
          </cell>
          <cell r="B526" t="str">
            <v>주철30</v>
          </cell>
          <cell r="C526">
            <v>1</v>
          </cell>
          <cell r="D526" t="str">
            <v>개</v>
          </cell>
          <cell r="E526">
            <v>430</v>
          </cell>
          <cell r="F526">
            <v>430</v>
          </cell>
          <cell r="K526">
            <v>430</v>
          </cell>
        </row>
        <row r="527">
          <cell r="A527" t="str">
            <v>닛 블(강관)</v>
          </cell>
          <cell r="B527" t="str">
            <v>주철40</v>
          </cell>
          <cell r="C527">
            <v>1</v>
          </cell>
          <cell r="D527" t="str">
            <v>개</v>
          </cell>
          <cell r="E527">
            <v>620</v>
          </cell>
          <cell r="F527">
            <v>620</v>
          </cell>
          <cell r="K527">
            <v>620</v>
          </cell>
        </row>
        <row r="528">
          <cell r="A528" t="str">
            <v>닛 블(강관)</v>
          </cell>
          <cell r="B528" t="str">
            <v>주철50</v>
          </cell>
          <cell r="C528">
            <v>1</v>
          </cell>
          <cell r="D528" t="str">
            <v>개</v>
          </cell>
          <cell r="E528">
            <v>740</v>
          </cell>
          <cell r="F528">
            <v>740</v>
          </cell>
          <cell r="K528">
            <v>740</v>
          </cell>
        </row>
        <row r="529">
          <cell r="A529" t="str">
            <v>게이트밸브</v>
          </cell>
          <cell r="B529" t="str">
            <v>청동13</v>
          </cell>
          <cell r="C529">
            <v>20</v>
          </cell>
          <cell r="D529" t="str">
            <v>개</v>
          </cell>
          <cell r="E529">
            <v>3740</v>
          </cell>
          <cell r="F529">
            <v>74800</v>
          </cell>
          <cell r="K529">
            <v>74800</v>
          </cell>
        </row>
        <row r="530">
          <cell r="A530" t="str">
            <v>게이트밸브</v>
          </cell>
          <cell r="B530" t="str">
            <v>청동20</v>
          </cell>
          <cell r="C530">
            <v>10</v>
          </cell>
          <cell r="D530" t="str">
            <v>개</v>
          </cell>
          <cell r="E530">
            <v>5360</v>
          </cell>
          <cell r="F530">
            <v>53600</v>
          </cell>
          <cell r="K530">
            <v>53600</v>
          </cell>
        </row>
        <row r="531">
          <cell r="A531" t="str">
            <v>게이트밸브</v>
          </cell>
          <cell r="B531" t="str">
            <v>청동25</v>
          </cell>
          <cell r="C531">
            <v>4</v>
          </cell>
          <cell r="D531" t="str">
            <v>개</v>
          </cell>
          <cell r="E531">
            <v>8540</v>
          </cell>
          <cell r="F531">
            <v>34160</v>
          </cell>
          <cell r="K531">
            <v>34160</v>
          </cell>
        </row>
        <row r="532">
          <cell r="A532" t="str">
            <v>게이트밸브</v>
          </cell>
          <cell r="B532" t="str">
            <v>청동40</v>
          </cell>
          <cell r="C532">
            <v>4</v>
          </cell>
          <cell r="D532" t="str">
            <v>개</v>
          </cell>
          <cell r="E532">
            <v>16270</v>
          </cell>
          <cell r="F532">
            <v>65080</v>
          </cell>
          <cell r="K532">
            <v>65080</v>
          </cell>
        </row>
        <row r="533">
          <cell r="A533" t="str">
            <v>게이트밸브</v>
          </cell>
          <cell r="B533" t="str">
            <v>청동50</v>
          </cell>
          <cell r="C533">
            <v>2</v>
          </cell>
          <cell r="D533" t="str">
            <v>개</v>
          </cell>
          <cell r="E533">
            <v>25090</v>
          </cell>
          <cell r="F533">
            <v>50180</v>
          </cell>
          <cell r="K533">
            <v>50180</v>
          </cell>
        </row>
        <row r="534">
          <cell r="A534" t="str">
            <v>타이튼닥타일주철관</v>
          </cell>
          <cell r="B534" t="str">
            <v>80*4</v>
          </cell>
          <cell r="C534">
            <v>28</v>
          </cell>
          <cell r="D534" t="str">
            <v>본</v>
          </cell>
          <cell r="E534">
            <v>34790</v>
          </cell>
          <cell r="F534">
            <v>974120</v>
          </cell>
          <cell r="G534" t="str">
            <v/>
          </cell>
          <cell r="H534">
            <v>0</v>
          </cell>
          <cell r="K534">
            <v>974120</v>
          </cell>
          <cell r="M534">
            <v>0</v>
          </cell>
        </row>
        <row r="535">
          <cell r="A535" t="str">
            <v>타이튼닥타일주철관</v>
          </cell>
          <cell r="B535" t="str">
            <v>100*5</v>
          </cell>
          <cell r="C535">
            <v>8</v>
          </cell>
          <cell r="D535" t="str">
            <v>본</v>
          </cell>
          <cell r="E535">
            <v>51940</v>
          </cell>
          <cell r="F535">
            <v>415520</v>
          </cell>
          <cell r="K535">
            <v>415520</v>
          </cell>
        </row>
        <row r="536">
          <cell r="A536" t="str">
            <v>타이튼닥타일주철관</v>
          </cell>
          <cell r="B536" t="str">
            <v>150*5</v>
          </cell>
          <cell r="C536">
            <v>4</v>
          </cell>
          <cell r="D536" t="str">
            <v>본</v>
          </cell>
          <cell r="E536">
            <v>80190</v>
          </cell>
          <cell r="F536">
            <v>320760</v>
          </cell>
          <cell r="K536">
            <v>320760</v>
          </cell>
        </row>
        <row r="537">
          <cell r="A537" t="str">
            <v>타이튼닥타일주철관</v>
          </cell>
          <cell r="B537" t="str">
            <v>200*6</v>
          </cell>
          <cell r="C537">
            <v>4</v>
          </cell>
          <cell r="D537" t="str">
            <v>본</v>
          </cell>
          <cell r="E537">
            <v>127610</v>
          </cell>
          <cell r="F537">
            <v>510440</v>
          </cell>
          <cell r="K537">
            <v>510440</v>
          </cell>
        </row>
        <row r="538">
          <cell r="A538" t="str">
            <v>타이튼 고무링</v>
          </cell>
          <cell r="B538" t="str">
            <v>80</v>
          </cell>
          <cell r="C538">
            <v>22</v>
          </cell>
          <cell r="D538" t="str">
            <v>개</v>
          </cell>
          <cell r="E538">
            <v>460</v>
          </cell>
          <cell r="F538">
            <v>10120</v>
          </cell>
          <cell r="K538">
            <v>10120</v>
          </cell>
        </row>
        <row r="539">
          <cell r="A539" t="str">
            <v>타이튼 고무링</v>
          </cell>
          <cell r="B539" t="str">
            <v>100</v>
          </cell>
          <cell r="C539">
            <v>8</v>
          </cell>
          <cell r="D539" t="str">
            <v>개</v>
          </cell>
          <cell r="E539">
            <v>520</v>
          </cell>
          <cell r="F539">
            <v>4160</v>
          </cell>
          <cell r="K539">
            <v>4160</v>
          </cell>
        </row>
        <row r="540">
          <cell r="A540" t="str">
            <v>타이튼 고무링</v>
          </cell>
          <cell r="B540" t="str">
            <v>150</v>
          </cell>
          <cell r="C540">
            <v>4</v>
          </cell>
          <cell r="D540" t="str">
            <v>개</v>
          </cell>
          <cell r="E540">
            <v>740</v>
          </cell>
          <cell r="F540">
            <v>2960</v>
          </cell>
          <cell r="K540">
            <v>2960</v>
          </cell>
        </row>
        <row r="541">
          <cell r="A541" t="str">
            <v>타이튼 고무링</v>
          </cell>
          <cell r="B541" t="str">
            <v>200</v>
          </cell>
          <cell r="C541">
            <v>4</v>
          </cell>
          <cell r="D541" t="str">
            <v>개</v>
          </cell>
          <cell r="E541">
            <v>1160</v>
          </cell>
          <cell r="F541">
            <v>4640</v>
          </cell>
          <cell r="K541">
            <v>4640</v>
          </cell>
        </row>
        <row r="542">
          <cell r="A542" t="str">
            <v>KP 접합부속</v>
          </cell>
          <cell r="B542" t="str">
            <v>80</v>
          </cell>
          <cell r="C542">
            <v>14</v>
          </cell>
          <cell r="D542" t="str">
            <v>조</v>
          </cell>
          <cell r="E542">
            <v>6130</v>
          </cell>
          <cell r="F542">
            <v>85820</v>
          </cell>
          <cell r="K542">
            <v>85820</v>
          </cell>
        </row>
        <row r="543">
          <cell r="A543" t="str">
            <v>KP 접합부속</v>
          </cell>
          <cell r="B543" t="str">
            <v>100</v>
          </cell>
          <cell r="C543">
            <v>10</v>
          </cell>
          <cell r="D543" t="str">
            <v>조</v>
          </cell>
          <cell r="E543">
            <v>6890</v>
          </cell>
          <cell r="F543">
            <v>68900</v>
          </cell>
          <cell r="K543">
            <v>68900</v>
          </cell>
        </row>
        <row r="544">
          <cell r="A544" t="str">
            <v>KP 접합부속</v>
          </cell>
          <cell r="B544" t="str">
            <v>150</v>
          </cell>
          <cell r="C544">
            <v>6</v>
          </cell>
          <cell r="D544" t="str">
            <v>조</v>
          </cell>
          <cell r="E544">
            <v>9520</v>
          </cell>
          <cell r="F544">
            <v>57120</v>
          </cell>
          <cell r="K544">
            <v>57120</v>
          </cell>
        </row>
        <row r="545">
          <cell r="A545" t="str">
            <v>KP 접합부속</v>
          </cell>
          <cell r="B545" t="str">
            <v>200</v>
          </cell>
          <cell r="C545">
            <v>3</v>
          </cell>
          <cell r="D545" t="str">
            <v>조</v>
          </cell>
          <cell r="E545">
            <v>11820</v>
          </cell>
          <cell r="F545">
            <v>35460</v>
          </cell>
          <cell r="K545">
            <v>35460</v>
          </cell>
        </row>
        <row r="546">
          <cell r="A546" t="str">
            <v>플렌지 접합부속</v>
          </cell>
          <cell r="B546" t="str">
            <v>80</v>
          </cell>
          <cell r="C546">
            <v>21</v>
          </cell>
          <cell r="D546" t="str">
            <v>조</v>
          </cell>
          <cell r="E546">
            <v>2222</v>
          </cell>
          <cell r="F546">
            <v>46662</v>
          </cell>
          <cell r="K546">
            <v>46662</v>
          </cell>
        </row>
        <row r="547">
          <cell r="A547" t="str">
            <v>플렌지 접합부속</v>
          </cell>
          <cell r="B547" t="str">
            <v>100</v>
          </cell>
          <cell r="C547">
            <v>6</v>
          </cell>
          <cell r="D547" t="str">
            <v>조</v>
          </cell>
          <cell r="E547">
            <v>3751</v>
          </cell>
          <cell r="F547">
            <v>22506</v>
          </cell>
          <cell r="K547">
            <v>22506</v>
          </cell>
        </row>
        <row r="548">
          <cell r="A548" t="str">
            <v>플렌지 접합부속</v>
          </cell>
          <cell r="B548" t="str">
            <v>125</v>
          </cell>
          <cell r="C548">
            <v>3</v>
          </cell>
          <cell r="D548" t="str">
            <v>조</v>
          </cell>
          <cell r="E548">
            <v>3883</v>
          </cell>
          <cell r="F548">
            <v>11649</v>
          </cell>
          <cell r="K548">
            <v>11649</v>
          </cell>
        </row>
        <row r="549">
          <cell r="A549" t="str">
            <v>플렌지 접합부속</v>
          </cell>
          <cell r="B549" t="str">
            <v>150</v>
          </cell>
          <cell r="C549">
            <v>6</v>
          </cell>
          <cell r="D549" t="str">
            <v>조</v>
          </cell>
          <cell r="E549">
            <v>5225</v>
          </cell>
          <cell r="F549">
            <v>31350</v>
          </cell>
          <cell r="K549">
            <v>31350</v>
          </cell>
        </row>
        <row r="550">
          <cell r="A550" t="str">
            <v>플렌지 접합부속</v>
          </cell>
          <cell r="B550" t="str">
            <v>200</v>
          </cell>
          <cell r="C550">
            <v>1</v>
          </cell>
          <cell r="D550" t="str">
            <v>조</v>
          </cell>
          <cell r="E550">
            <v>4880</v>
          </cell>
          <cell r="F550">
            <v>4880</v>
          </cell>
          <cell r="K550">
            <v>4880</v>
          </cell>
        </row>
        <row r="551">
          <cell r="A551" t="str">
            <v>닥타일 주철이형관</v>
          </cell>
          <cell r="B551" t="str">
            <v>시멘트</v>
          </cell>
          <cell r="C551">
            <v>20</v>
          </cell>
          <cell r="D551" t="str">
            <v>Kg</v>
          </cell>
          <cell r="E551">
            <v>1060</v>
          </cell>
          <cell r="F551">
            <v>21200</v>
          </cell>
          <cell r="K551">
            <v>21200</v>
          </cell>
        </row>
        <row r="552">
          <cell r="A552" t="str">
            <v>닥타일 주철이형관</v>
          </cell>
          <cell r="B552" t="str">
            <v>흑페인트</v>
          </cell>
          <cell r="C552">
            <v>10</v>
          </cell>
          <cell r="D552" t="str">
            <v>Kg</v>
          </cell>
          <cell r="E552">
            <v>810</v>
          </cell>
          <cell r="F552">
            <v>8100</v>
          </cell>
          <cell r="K552">
            <v>8100</v>
          </cell>
        </row>
        <row r="553">
          <cell r="A553" t="str">
            <v>KP 이탈방지압륜</v>
          </cell>
          <cell r="B553" t="str">
            <v>80</v>
          </cell>
          <cell r="C553">
            <v>2</v>
          </cell>
          <cell r="D553" t="str">
            <v>조</v>
          </cell>
          <cell r="E553">
            <v>19850</v>
          </cell>
          <cell r="F553">
            <v>39700</v>
          </cell>
          <cell r="K553">
            <v>39700</v>
          </cell>
        </row>
        <row r="554">
          <cell r="A554" t="str">
            <v>KP 이탈방지압륜</v>
          </cell>
          <cell r="B554" t="str">
            <v>100</v>
          </cell>
          <cell r="C554">
            <v>1</v>
          </cell>
          <cell r="D554" t="str">
            <v>조</v>
          </cell>
          <cell r="E554">
            <v>20450</v>
          </cell>
          <cell r="F554">
            <v>20450</v>
          </cell>
          <cell r="K554">
            <v>20450</v>
          </cell>
        </row>
        <row r="555">
          <cell r="A555" t="str">
            <v>KP 이탈방지압륜</v>
          </cell>
          <cell r="B555" t="str">
            <v>150</v>
          </cell>
          <cell r="C555">
            <v>1</v>
          </cell>
          <cell r="D555" t="str">
            <v>조</v>
          </cell>
          <cell r="E555">
            <v>27250</v>
          </cell>
          <cell r="F555">
            <v>27250</v>
          </cell>
          <cell r="K555">
            <v>27250</v>
          </cell>
        </row>
        <row r="556">
          <cell r="A556" t="str">
            <v>KP 이탈방지압륜</v>
          </cell>
          <cell r="B556" t="str">
            <v>200</v>
          </cell>
          <cell r="C556">
            <v>1</v>
          </cell>
          <cell r="D556" t="str">
            <v>조</v>
          </cell>
          <cell r="E556">
            <v>34050</v>
          </cell>
          <cell r="F556">
            <v>34050</v>
          </cell>
          <cell r="K556">
            <v>34050</v>
          </cell>
        </row>
        <row r="557">
          <cell r="A557" t="str">
            <v>소프트실제수밸브</v>
          </cell>
          <cell r="B557" t="str">
            <v>80</v>
          </cell>
          <cell r="C557">
            <v>1</v>
          </cell>
          <cell r="D557" t="str">
            <v>개</v>
          </cell>
          <cell r="E557">
            <v>85400</v>
          </cell>
          <cell r="F557">
            <v>85400</v>
          </cell>
          <cell r="K557">
            <v>85400</v>
          </cell>
        </row>
        <row r="558">
          <cell r="A558" t="str">
            <v>소프트실제수밸브</v>
          </cell>
          <cell r="B558" t="str">
            <v>100</v>
          </cell>
          <cell r="C558">
            <v>1</v>
          </cell>
          <cell r="D558" t="str">
            <v>개</v>
          </cell>
          <cell r="E558">
            <v>95600</v>
          </cell>
          <cell r="F558">
            <v>95600</v>
          </cell>
          <cell r="K558">
            <v>95600</v>
          </cell>
        </row>
        <row r="559">
          <cell r="A559" t="str">
            <v>소프트실제수밸브</v>
          </cell>
          <cell r="B559" t="str">
            <v>150</v>
          </cell>
          <cell r="C559">
            <v>1</v>
          </cell>
          <cell r="D559" t="str">
            <v>개</v>
          </cell>
          <cell r="E559">
            <v>75430</v>
          </cell>
          <cell r="F559">
            <v>75430</v>
          </cell>
          <cell r="K559">
            <v>75430</v>
          </cell>
        </row>
        <row r="560">
          <cell r="A560" t="str">
            <v>소프트실제수밸브</v>
          </cell>
          <cell r="B560" t="str">
            <v>200</v>
          </cell>
          <cell r="C560">
            <v>1</v>
          </cell>
          <cell r="D560" t="str">
            <v>개</v>
          </cell>
          <cell r="E560">
            <v>85600</v>
          </cell>
          <cell r="F560">
            <v>85600</v>
          </cell>
          <cell r="K560">
            <v>85600</v>
          </cell>
        </row>
        <row r="561">
          <cell r="A561" t="str">
            <v>제수밸브</v>
          </cell>
          <cell r="B561" t="str">
            <v>수동80</v>
          </cell>
          <cell r="C561">
            <v>1</v>
          </cell>
          <cell r="D561" t="str">
            <v>개</v>
          </cell>
          <cell r="E561">
            <v>63200</v>
          </cell>
          <cell r="F561">
            <v>63200</v>
          </cell>
          <cell r="K561">
            <v>63200</v>
          </cell>
        </row>
        <row r="562">
          <cell r="A562" t="str">
            <v>제수밸브</v>
          </cell>
          <cell r="B562" t="str">
            <v>수동100</v>
          </cell>
          <cell r="C562">
            <v>1</v>
          </cell>
          <cell r="D562" t="str">
            <v>개</v>
          </cell>
          <cell r="E562">
            <v>70000</v>
          </cell>
          <cell r="F562">
            <v>70000</v>
          </cell>
          <cell r="K562">
            <v>70000</v>
          </cell>
        </row>
        <row r="563">
          <cell r="A563" t="str">
            <v>제수밸브</v>
          </cell>
          <cell r="B563" t="str">
            <v>수동150</v>
          </cell>
          <cell r="C563">
            <v>1</v>
          </cell>
          <cell r="D563" t="str">
            <v>개</v>
          </cell>
          <cell r="E563">
            <v>126200</v>
          </cell>
          <cell r="F563">
            <v>126200</v>
          </cell>
          <cell r="K563">
            <v>126200</v>
          </cell>
        </row>
        <row r="564">
          <cell r="A564" t="str">
            <v>제수밸브</v>
          </cell>
          <cell r="B564" t="str">
            <v>수동200</v>
          </cell>
          <cell r="C564">
            <v>1</v>
          </cell>
          <cell r="D564" t="str">
            <v>개</v>
          </cell>
          <cell r="E564">
            <v>56127</v>
          </cell>
          <cell r="F564">
            <v>56127</v>
          </cell>
          <cell r="K564">
            <v>56127</v>
          </cell>
        </row>
        <row r="565">
          <cell r="A565" t="str">
            <v>소화전(지하식F)</v>
          </cell>
          <cell r="B565" t="str">
            <v>100</v>
          </cell>
          <cell r="C565">
            <v>1</v>
          </cell>
          <cell r="D565" t="str">
            <v>개</v>
          </cell>
          <cell r="E565">
            <v>102000</v>
          </cell>
          <cell r="F565">
            <v>102000</v>
          </cell>
          <cell r="K565">
            <v>102000</v>
          </cell>
        </row>
        <row r="566">
          <cell r="A566" t="str">
            <v>소화전(지상식B)</v>
          </cell>
          <cell r="B566" t="str">
            <v>100</v>
          </cell>
          <cell r="C566">
            <v>1</v>
          </cell>
          <cell r="D566" t="str">
            <v>개</v>
          </cell>
          <cell r="E566">
            <v>1640</v>
          </cell>
          <cell r="F566">
            <v>1640</v>
          </cell>
          <cell r="K566">
            <v>1640</v>
          </cell>
        </row>
        <row r="567">
          <cell r="A567" t="str">
            <v>상수도용 철개</v>
          </cell>
          <cell r="B567" t="str">
            <v>648</v>
          </cell>
          <cell r="C567">
            <v>1</v>
          </cell>
          <cell r="D567" t="str">
            <v>조</v>
          </cell>
          <cell r="E567">
            <v>120000</v>
          </cell>
          <cell r="F567">
            <v>120000</v>
          </cell>
          <cell r="K567">
            <v>120000</v>
          </cell>
        </row>
        <row r="568">
          <cell r="A568" t="str">
            <v>상수도용 철개</v>
          </cell>
          <cell r="B568" t="str">
            <v>766</v>
          </cell>
          <cell r="C568">
            <v>1</v>
          </cell>
          <cell r="D568" t="str">
            <v>조</v>
          </cell>
          <cell r="E568">
            <v>130000</v>
          </cell>
          <cell r="F568">
            <v>130000</v>
          </cell>
          <cell r="K568">
            <v>130000</v>
          </cell>
        </row>
        <row r="569">
          <cell r="A569" t="str">
            <v>제수변보 호통</v>
          </cell>
          <cell r="B569" t="str">
            <v>200*265</v>
          </cell>
          <cell r="C569">
            <v>1</v>
          </cell>
          <cell r="D569" t="str">
            <v>개</v>
          </cell>
          <cell r="E569">
            <v>11206</v>
          </cell>
          <cell r="F569">
            <v>11206</v>
          </cell>
          <cell r="K569">
            <v>11206</v>
          </cell>
        </row>
        <row r="570">
          <cell r="A570" t="str">
            <v>제수변 받침통</v>
          </cell>
          <cell r="B570" t="str">
            <v>250*300</v>
          </cell>
          <cell r="C570">
            <v>1</v>
          </cell>
          <cell r="D570" t="str">
            <v>개</v>
          </cell>
          <cell r="E570">
            <v>10539</v>
          </cell>
          <cell r="F570">
            <v>10539</v>
          </cell>
          <cell r="K570">
            <v>10539</v>
          </cell>
        </row>
        <row r="571">
          <cell r="A571" t="str">
            <v>공기밸브</v>
          </cell>
          <cell r="B571" t="str">
            <v>급속80</v>
          </cell>
          <cell r="C571">
            <v>1</v>
          </cell>
          <cell r="D571" t="str">
            <v>개</v>
          </cell>
          <cell r="E571">
            <v>37142</v>
          </cell>
          <cell r="F571">
            <v>37142</v>
          </cell>
          <cell r="K571">
            <v>37142</v>
          </cell>
        </row>
        <row r="572">
          <cell r="A572" t="str">
            <v>공기밸브</v>
          </cell>
          <cell r="B572" t="str">
            <v>급속100</v>
          </cell>
          <cell r="C572">
            <v>1</v>
          </cell>
          <cell r="D572" t="str">
            <v>개</v>
          </cell>
          <cell r="E572">
            <v>45346</v>
          </cell>
          <cell r="F572">
            <v>45346</v>
          </cell>
          <cell r="K572">
            <v>45346</v>
          </cell>
        </row>
        <row r="573">
          <cell r="A573" t="str">
            <v>조립식원형맨홀</v>
          </cell>
          <cell r="B573" t="str">
            <v>80-100</v>
          </cell>
          <cell r="C573">
            <v>1</v>
          </cell>
          <cell r="D573" t="str">
            <v>조</v>
          </cell>
          <cell r="E573">
            <v>65230</v>
          </cell>
          <cell r="F573">
            <v>65230</v>
          </cell>
          <cell r="K573">
            <v>65230</v>
          </cell>
        </row>
        <row r="574">
          <cell r="A574" t="str">
            <v>조립식원형맨홀</v>
          </cell>
          <cell r="B574" t="str">
            <v>150</v>
          </cell>
          <cell r="C574">
            <v>1</v>
          </cell>
          <cell r="D574" t="str">
            <v>조</v>
          </cell>
          <cell r="E574">
            <v>73920</v>
          </cell>
          <cell r="F574">
            <v>73920</v>
          </cell>
          <cell r="K574">
            <v>73920</v>
          </cell>
        </row>
        <row r="575">
          <cell r="A575" t="str">
            <v>조립식원형맨홀</v>
          </cell>
          <cell r="B575" t="str">
            <v>200-250</v>
          </cell>
          <cell r="C575">
            <v>1</v>
          </cell>
          <cell r="D575" t="str">
            <v>조</v>
          </cell>
          <cell r="E575">
            <v>79860</v>
          </cell>
          <cell r="F575">
            <v>79860</v>
          </cell>
          <cell r="K575">
            <v>79860</v>
          </cell>
        </row>
        <row r="576">
          <cell r="A576" t="str">
            <v>부단수활정자관</v>
          </cell>
          <cell r="B576" t="str">
            <v>150*80</v>
          </cell>
          <cell r="C576">
            <v>1</v>
          </cell>
          <cell r="D576" t="str">
            <v>조</v>
          </cell>
          <cell r="E576">
            <v>28906</v>
          </cell>
          <cell r="F576">
            <v>28906</v>
          </cell>
          <cell r="K576">
            <v>28906</v>
          </cell>
        </row>
        <row r="577">
          <cell r="A577" t="str">
            <v>부단수활정자관</v>
          </cell>
          <cell r="B577" t="str">
            <v>150*100</v>
          </cell>
          <cell r="C577">
            <v>1</v>
          </cell>
          <cell r="D577" t="str">
            <v>조</v>
          </cell>
          <cell r="E577">
            <v>32400</v>
          </cell>
          <cell r="F577">
            <v>32400</v>
          </cell>
          <cell r="K577">
            <v>32400</v>
          </cell>
        </row>
        <row r="578">
          <cell r="A578" t="str">
            <v>부단수활정자관</v>
          </cell>
          <cell r="B578" t="str">
            <v>200*80</v>
          </cell>
          <cell r="C578">
            <v>1</v>
          </cell>
          <cell r="D578" t="str">
            <v>조</v>
          </cell>
          <cell r="E578">
            <v>38796</v>
          </cell>
          <cell r="F578">
            <v>38796</v>
          </cell>
          <cell r="K578">
            <v>38796</v>
          </cell>
        </row>
        <row r="579">
          <cell r="A579" t="str">
            <v>부단수활정자관</v>
          </cell>
          <cell r="B579" t="str">
            <v>200*100</v>
          </cell>
          <cell r="C579">
            <v>1</v>
          </cell>
          <cell r="D579" t="str">
            <v>조</v>
          </cell>
          <cell r="E579">
            <v>43560</v>
          </cell>
          <cell r="F579">
            <v>43560</v>
          </cell>
          <cell r="K579">
            <v>43560</v>
          </cell>
        </row>
        <row r="580">
          <cell r="A580" t="str">
            <v>부단수활정자관</v>
          </cell>
          <cell r="B580" t="str">
            <v>200*150</v>
          </cell>
          <cell r="C580">
            <v>1</v>
          </cell>
          <cell r="D580" t="str">
            <v>조</v>
          </cell>
          <cell r="E580">
            <v>40268</v>
          </cell>
          <cell r="F580">
            <v>40268</v>
          </cell>
          <cell r="K580">
            <v>40268</v>
          </cell>
        </row>
        <row r="581">
          <cell r="A581" t="str">
            <v>부단수활정자관</v>
          </cell>
          <cell r="B581" t="str">
            <v>300*80</v>
          </cell>
          <cell r="C581">
            <v>1</v>
          </cell>
          <cell r="D581" t="str">
            <v>조</v>
          </cell>
          <cell r="E581">
            <v>49143</v>
          </cell>
          <cell r="F581">
            <v>49143</v>
          </cell>
          <cell r="K581">
            <v>49143</v>
          </cell>
        </row>
        <row r="582">
          <cell r="A582" t="str">
            <v>부단수활정자관</v>
          </cell>
          <cell r="B582" t="str">
            <v>300*100</v>
          </cell>
          <cell r="C582">
            <v>1</v>
          </cell>
          <cell r="D582" t="str">
            <v>조</v>
          </cell>
          <cell r="E582">
            <v>52100</v>
          </cell>
          <cell r="F582">
            <v>52100</v>
          </cell>
          <cell r="K582">
            <v>52100</v>
          </cell>
        </row>
        <row r="583">
          <cell r="A583" t="str">
            <v>부단수활정자관</v>
          </cell>
          <cell r="B583" t="str">
            <v>300*150</v>
          </cell>
          <cell r="C583">
            <v>1</v>
          </cell>
          <cell r="D583" t="str">
            <v>조</v>
          </cell>
          <cell r="E583">
            <v>56747</v>
          </cell>
          <cell r="F583">
            <v>56747</v>
          </cell>
          <cell r="K583">
            <v>56747</v>
          </cell>
        </row>
        <row r="584">
          <cell r="A584" t="str">
            <v>부단수활정자관</v>
          </cell>
          <cell r="B584" t="str">
            <v>300*200</v>
          </cell>
          <cell r="C584">
            <v>1</v>
          </cell>
          <cell r="D584" t="str">
            <v>조</v>
          </cell>
          <cell r="E584">
            <v>54435</v>
          </cell>
          <cell r="F584">
            <v>54435</v>
          </cell>
          <cell r="K584">
            <v>54435</v>
          </cell>
        </row>
        <row r="585">
          <cell r="A585" t="str">
            <v>계</v>
          </cell>
          <cell r="B585" t="str">
            <v/>
          </cell>
          <cell r="D585" t="str">
            <v/>
          </cell>
          <cell r="E585" t="str">
            <v/>
          </cell>
          <cell r="F585">
            <v>4956951</v>
          </cell>
          <cell r="K585">
            <v>4956951</v>
          </cell>
        </row>
        <row r="586">
          <cell r="A586" t="str">
            <v>폐 기 물 처 리 비 내  역</v>
          </cell>
        </row>
        <row r="587">
          <cell r="A587" t="str">
            <v>콘크리트잔재처리비</v>
          </cell>
          <cell r="B587" t="str">
            <v>2.3*4=</v>
          </cell>
          <cell r="C587">
            <v>28</v>
          </cell>
          <cell r="D587" t="str">
            <v>톤</v>
          </cell>
          <cell r="E587">
            <v>8000</v>
          </cell>
          <cell r="F587">
            <v>224000</v>
          </cell>
          <cell r="G587" t="str">
            <v/>
          </cell>
          <cell r="H587">
            <v>0</v>
          </cell>
          <cell r="K587">
            <v>224000</v>
          </cell>
          <cell r="M587">
            <v>0</v>
          </cell>
        </row>
        <row r="588">
          <cell r="A588" t="str">
            <v>콘크리트잔재운반비</v>
          </cell>
          <cell r="C588">
            <v>8</v>
          </cell>
          <cell r="D588" t="str">
            <v>M^3</v>
          </cell>
          <cell r="E588">
            <v>12000</v>
          </cell>
          <cell r="F588">
            <v>96000</v>
          </cell>
          <cell r="K588">
            <v>96000</v>
          </cell>
        </row>
        <row r="589">
          <cell r="A589" t="str">
            <v>아스팔트잔재처리비</v>
          </cell>
          <cell r="B589" t="str">
            <v>2.2*5=</v>
          </cell>
          <cell r="C589">
            <v>4</v>
          </cell>
          <cell r="D589" t="str">
            <v>톤</v>
          </cell>
          <cell r="E589">
            <v>8000</v>
          </cell>
          <cell r="F589">
            <v>32000</v>
          </cell>
          <cell r="K589">
            <v>32000</v>
          </cell>
        </row>
        <row r="590">
          <cell r="A590" t="str">
            <v>아스팔트잔재운반비</v>
          </cell>
          <cell r="C590">
            <v>4</v>
          </cell>
          <cell r="D590" t="str">
            <v>M^3</v>
          </cell>
          <cell r="E590">
            <v>12000</v>
          </cell>
          <cell r="F590">
            <v>48000</v>
          </cell>
          <cell r="K590">
            <v>48000</v>
          </cell>
        </row>
        <row r="591">
          <cell r="A591" t="str">
            <v>기타잔재처리비</v>
          </cell>
          <cell r="B591" t="str">
            <v>1.4*6=</v>
          </cell>
          <cell r="C591">
            <v>22</v>
          </cell>
          <cell r="D591" t="str">
            <v>톤</v>
          </cell>
          <cell r="E591">
            <v>8000</v>
          </cell>
          <cell r="F591">
            <v>176000</v>
          </cell>
          <cell r="K591">
            <v>176000</v>
          </cell>
        </row>
        <row r="592">
          <cell r="A592" t="str">
            <v>기타잔재운반비</v>
          </cell>
          <cell r="C592">
            <v>1</v>
          </cell>
          <cell r="D592" t="str">
            <v>M^3</v>
          </cell>
          <cell r="E592">
            <v>12000</v>
          </cell>
          <cell r="F592">
            <v>12000</v>
          </cell>
          <cell r="K592">
            <v>12000</v>
          </cell>
        </row>
        <row r="593">
          <cell r="A593" t="str">
            <v>계</v>
          </cell>
          <cell r="F593">
            <v>588000</v>
          </cell>
          <cell r="K593">
            <v>588000</v>
          </cell>
        </row>
        <row r="594">
          <cell r="A594" t="str">
            <v>관  급  자  재  내  역</v>
          </cell>
        </row>
        <row r="595">
          <cell r="A595" t="str">
            <v>스테인레스 강관</v>
          </cell>
          <cell r="B595" t="str">
            <v>20</v>
          </cell>
          <cell r="C595">
            <v>2070</v>
          </cell>
          <cell r="D595" t="str">
            <v>M</v>
          </cell>
          <cell r="E595">
            <v>2021</v>
          </cell>
          <cell r="F595">
            <v>4183470</v>
          </cell>
          <cell r="K595">
            <v>4183470</v>
          </cell>
        </row>
        <row r="596">
          <cell r="A596" t="str">
            <v>스테인레스 강관</v>
          </cell>
          <cell r="B596" t="str">
            <v>25</v>
          </cell>
          <cell r="C596">
            <v>430</v>
          </cell>
          <cell r="D596" t="str">
            <v>M</v>
          </cell>
          <cell r="E596">
            <v>2525</v>
          </cell>
          <cell r="F596">
            <v>1085750</v>
          </cell>
          <cell r="K596">
            <v>1085750</v>
          </cell>
        </row>
        <row r="597">
          <cell r="A597" t="str">
            <v>스테인레스 강관</v>
          </cell>
          <cell r="B597" t="str">
            <v>30</v>
          </cell>
          <cell r="C597">
            <v>45</v>
          </cell>
          <cell r="D597" t="str">
            <v>M</v>
          </cell>
          <cell r="E597">
            <v>3471</v>
          </cell>
          <cell r="F597">
            <v>156195</v>
          </cell>
          <cell r="K597">
            <v>156195</v>
          </cell>
        </row>
        <row r="598">
          <cell r="A598" t="str">
            <v>스테인레스 강관</v>
          </cell>
          <cell r="B598" t="str">
            <v>40</v>
          </cell>
          <cell r="C598">
            <v>395</v>
          </cell>
          <cell r="D598" t="str">
            <v>M</v>
          </cell>
          <cell r="E598">
            <v>4224</v>
          </cell>
          <cell r="F598">
            <v>1668480</v>
          </cell>
          <cell r="K598">
            <v>1668480</v>
          </cell>
        </row>
        <row r="599">
          <cell r="A599" t="str">
            <v>스테인레스 강관</v>
          </cell>
          <cell r="B599" t="str">
            <v>50</v>
          </cell>
          <cell r="C599">
            <v>370</v>
          </cell>
          <cell r="D599" t="str">
            <v>M</v>
          </cell>
          <cell r="E599">
            <v>4739</v>
          </cell>
          <cell r="F599">
            <v>1753430</v>
          </cell>
          <cell r="K599">
            <v>1753430</v>
          </cell>
        </row>
        <row r="600">
          <cell r="A600" t="str">
            <v>수도계량기보호통</v>
          </cell>
          <cell r="B600" t="str">
            <v>13*110</v>
          </cell>
          <cell r="C600">
            <v>140</v>
          </cell>
          <cell r="D600" t="str">
            <v>개</v>
          </cell>
          <cell r="E600">
            <v>33363</v>
          </cell>
          <cell r="F600">
            <v>4670820</v>
          </cell>
          <cell r="K600">
            <v>4670820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내역서01"/>
      <sheetName val="원가"/>
      <sheetName val="원가계산서"/>
      <sheetName val="공토공단위당"/>
      <sheetName val="단가"/>
      <sheetName val="설비"/>
      <sheetName val="중기"/>
      <sheetName val="산출"/>
      <sheetName val="내역"/>
      <sheetName val="토사(PE)"/>
      <sheetName val="파일의이용"/>
      <sheetName val="조명시설"/>
      <sheetName val="INPUT"/>
    </sheetNames>
    <sheetDataSet>
      <sheetData sheetId="0" refreshError="1">
        <row r="31">
          <cell r="B31">
            <v>481</v>
          </cell>
        </row>
        <row r="32">
          <cell r="B32">
            <v>578</v>
          </cell>
        </row>
        <row r="33">
          <cell r="B33">
            <v>688</v>
          </cell>
        </row>
        <row r="34">
          <cell r="B34">
            <v>803</v>
          </cell>
        </row>
        <row r="35">
          <cell r="B35">
            <v>1156</v>
          </cell>
        </row>
        <row r="37">
          <cell r="B37">
            <v>1606</v>
          </cell>
        </row>
        <row r="39">
          <cell r="B39">
            <v>18</v>
          </cell>
        </row>
        <row r="42">
          <cell r="B42">
            <v>72</v>
          </cell>
        </row>
        <row r="43">
          <cell r="B43">
            <v>115</v>
          </cell>
        </row>
        <row r="45">
          <cell r="B45">
            <v>127</v>
          </cell>
        </row>
        <row r="46">
          <cell r="B46">
            <v>153</v>
          </cell>
        </row>
        <row r="47">
          <cell r="B47">
            <v>182</v>
          </cell>
        </row>
        <row r="48">
          <cell r="B48">
            <v>213</v>
          </cell>
        </row>
        <row r="49">
          <cell r="B49">
            <v>306</v>
          </cell>
        </row>
        <row r="51">
          <cell r="B51">
            <v>426</v>
          </cell>
        </row>
        <row r="53">
          <cell r="B53">
            <v>4</v>
          </cell>
        </row>
        <row r="56">
          <cell r="B56">
            <v>19</v>
          </cell>
        </row>
        <row r="57">
          <cell r="B57">
            <v>30</v>
          </cell>
        </row>
        <row r="59">
          <cell r="B59">
            <v>92</v>
          </cell>
        </row>
        <row r="60">
          <cell r="B60">
            <v>111</v>
          </cell>
        </row>
        <row r="61">
          <cell r="B61">
            <v>132</v>
          </cell>
        </row>
        <row r="62">
          <cell r="B62">
            <v>154</v>
          </cell>
        </row>
        <row r="63">
          <cell r="B63">
            <v>222</v>
          </cell>
        </row>
        <row r="65">
          <cell r="B65">
            <v>309</v>
          </cell>
        </row>
        <row r="67">
          <cell r="B67">
            <v>3</v>
          </cell>
        </row>
        <row r="70">
          <cell r="B70">
            <v>13</v>
          </cell>
        </row>
        <row r="71">
          <cell r="B71">
            <v>22</v>
          </cell>
        </row>
        <row r="86">
          <cell r="B86">
            <v>30114</v>
          </cell>
        </row>
        <row r="87">
          <cell r="B87">
            <v>400</v>
          </cell>
        </row>
        <row r="88">
          <cell r="B88">
            <v>124</v>
          </cell>
        </row>
        <row r="89">
          <cell r="B89">
            <v>89224</v>
          </cell>
        </row>
        <row r="90">
          <cell r="B90">
            <v>1778</v>
          </cell>
        </row>
        <row r="91">
          <cell r="B91">
            <v>2100</v>
          </cell>
        </row>
        <row r="92">
          <cell r="B92">
            <v>184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내역서"/>
      <sheetName val="내역서(1안)"/>
      <sheetName val="내역서(2안)"/>
      <sheetName val="일위대가_목록"/>
      <sheetName val="일위대가 "/>
      <sheetName val="큰바위수량산출서"/>
      <sheetName val="자재단가표"/>
      <sheetName val="단산목록"/>
      <sheetName val="단가산출"/>
      <sheetName val="시비량산출"/>
      <sheetName val="중기단가"/>
      <sheetName val="중기산출기준"/>
      <sheetName val="중기집계"/>
      <sheetName val="중기산출"/>
      <sheetName val="노임단가"/>
      <sheetName val="Sheet3"/>
      <sheetName val="DATE"/>
      <sheetName val="인건-측정"/>
      <sheetName val="내역서01"/>
      <sheetName val="계수시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_BOQ"/>
      <sheetName val="최종BOQ"/>
      <sheetName val="주요자재1"/>
      <sheetName val="주요자재2"/>
      <sheetName val="골재수량수량집계표"/>
      <sheetName val="타공종집계표"/>
      <sheetName val="토공총괄집계"/>
      <sheetName val="총괄철근수량집계표 (1)"/>
      <sheetName val="총괄철근수량집계표(2)"/>
      <sheetName val="라멘토공집계"/>
      <sheetName val="옹벽토공총괄집계"/>
      <sheetName val="옹벽토공(W1)집계"/>
      <sheetName val="옹벽토공(W2)집계 "/>
      <sheetName val="라멘토공(R-B)"/>
      <sheetName val="기존구조물깨기"/>
      <sheetName val="라멘옹벽토공(R-B,W1)"/>
      <sheetName val="라멘옹벽토공(H=8.00,W1)(R-B)"/>
      <sheetName val="라멘옹벽토공(H=3.50,W1)(R-B)"/>
      <sheetName val="라멘옹벽토공(R-B,W2)"/>
      <sheetName val="라멘옹벽토공(H=8.00,W2)(R-B)"/>
      <sheetName val="라멘옹벽토공(H=3.828,W2)(R-B)"/>
      <sheetName val="총괄일반수량집계표"/>
      <sheetName val="라멘구체수량집계"/>
      <sheetName val="라멘(구체)철근수량집계"/>
      <sheetName val="라멘(다웰바)철근수량집계 "/>
      <sheetName val="라멘구체수량산출근거"/>
      <sheetName val="접속슬래브집계"/>
      <sheetName val="접속슬래브철근수량집계"/>
      <sheetName val="접속슬래브산출근거"/>
      <sheetName val="옹벽일반수량집계"/>
      <sheetName val="옹벽철근수량집계"/>
      <sheetName val="라멘옹벽산출근거(W1)"/>
      <sheetName val="라멘옹벽산출근거(W2)"/>
      <sheetName val="라멘옹벽산출근거(H=8.0)"/>
      <sheetName val="라멘옹벽산출근거(H=2.078)"/>
      <sheetName val="라멘옹벽산출근거(H=3.828)"/>
      <sheetName val="표지"/>
      <sheetName val="표지 (2)"/>
      <sheetName val="표지 (3)"/>
      <sheetName val="표지 (4)"/>
      <sheetName val="표지 (5)"/>
      <sheetName val="표지 (6)"/>
      <sheetName val="삽도"/>
      <sheetName val="DATE"/>
      <sheetName val="총괄내역서"/>
      <sheetName val="계수시트"/>
      <sheetName val="제경비"/>
      <sheetName val="원가계산"/>
      <sheetName val="경산"/>
      <sheetName val="토사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"/>
      <sheetName val="TOTAL_BOQ"/>
      <sheetName val="2호맨홀공제수량"/>
      <sheetName val="계수시트"/>
      <sheetName val="토공(우물통,기타) "/>
      <sheetName val="설계예산서"/>
      <sheetName val="총괄내역서"/>
      <sheetName val="내역서"/>
      <sheetName val="용소리교"/>
    </sheetNames>
    <sheetDataSet>
      <sheetData sheetId="0" refreshError="1">
        <row r="1">
          <cell r="A1" t="str">
            <v xml:space="preserve"> 명       칭</v>
          </cell>
          <cell r="B1" t="str">
            <v>규  격</v>
          </cell>
          <cell r="C1" t="str">
            <v>수   량</v>
          </cell>
          <cell r="D1" t="str">
            <v>단위</v>
          </cell>
          <cell r="E1" t="str">
            <v>총        액</v>
          </cell>
          <cell r="G1" t="str">
            <v>노   무   비</v>
          </cell>
          <cell r="I1" t="str">
            <v>재   료   비</v>
          </cell>
          <cell r="K1" t="str">
            <v>경        비</v>
          </cell>
          <cell r="M1" t="str">
            <v>비고</v>
          </cell>
        </row>
        <row r="2">
          <cell r="E2" t="str">
            <v>단  가</v>
          </cell>
          <cell r="F2" t="str">
            <v>금     액</v>
          </cell>
          <cell r="G2" t="str">
            <v>단  가</v>
          </cell>
          <cell r="H2" t="str">
            <v>금     액</v>
          </cell>
          <cell r="I2" t="str">
            <v>단  가</v>
          </cell>
          <cell r="J2" t="str">
            <v>금     액</v>
          </cell>
          <cell r="K2" t="str">
            <v>단   가</v>
          </cell>
          <cell r="L2" t="str">
            <v>금     액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식품 총괄표"/>
      <sheetName val="자재 총괄표"/>
      <sheetName val="굴취 녹화끈"/>
      <sheetName val="굴취 녹화마대"/>
      <sheetName val="수간보호 녹화마대"/>
      <sheetName val="철선 소요량"/>
      <sheetName val="고무줄 소요량"/>
      <sheetName val="상하차"/>
      <sheetName val="시비 지주목 기준"/>
      <sheetName val="토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TOTAL_BOQ"/>
      <sheetName val="토공"/>
      <sheetName val="인건비 "/>
      <sheetName val="직접경비"/>
      <sheetName val="직접인건비"/>
      <sheetName val="장비집계"/>
      <sheetName val="터파기및재료"/>
      <sheetName val="내역"/>
      <sheetName val="변수"/>
      <sheetName val="이름표"/>
      <sheetName val="편입용지조서"/>
      <sheetName val="2000년1차"/>
      <sheetName val="국산화"/>
      <sheetName val="품셈"/>
      <sheetName val="평가기준"/>
      <sheetName val="연결관연장산출"/>
      <sheetName val="2@ BOX"/>
      <sheetName val="진천방향"/>
      <sheetName val="파일의이용"/>
      <sheetName val="A1-DATA"/>
      <sheetName val="단면"/>
    </sheetNames>
    <sheetDataSet>
      <sheetData sheetId="0" refreshError="1">
        <row r="61">
          <cell r="I61" t="str">
            <v>×</v>
          </cell>
        </row>
        <row r="62">
          <cell r="I62" t="str">
            <v>×</v>
          </cell>
        </row>
        <row r="63">
          <cell r="I63" t="str">
            <v>×</v>
          </cell>
        </row>
        <row r="64">
          <cell r="I64" t="str">
            <v>×</v>
          </cell>
        </row>
        <row r="65">
          <cell r="I65" t="str">
            <v>×</v>
          </cell>
        </row>
        <row r="66">
          <cell r="I66" t="str">
            <v>×</v>
          </cell>
        </row>
        <row r="67">
          <cell r="I67" t="str">
            <v>×</v>
          </cell>
        </row>
        <row r="68">
          <cell r="I68" t="str">
            <v>×</v>
          </cell>
        </row>
        <row r="69">
          <cell r="I69" t="str">
            <v>×</v>
          </cell>
        </row>
        <row r="70">
          <cell r="I70" t="str">
            <v>×</v>
          </cell>
        </row>
        <row r="71">
          <cell r="I71" t="str">
            <v>×</v>
          </cell>
        </row>
        <row r="72">
          <cell r="I72" t="str">
            <v>×</v>
          </cell>
        </row>
        <row r="73">
          <cell r="I73" t="str">
            <v>×</v>
          </cell>
        </row>
        <row r="74">
          <cell r="I74" t="str">
            <v>×</v>
          </cell>
        </row>
        <row r="75">
          <cell r="I75" t="str">
            <v>×</v>
          </cell>
        </row>
        <row r="76">
          <cell r="I76" t="str">
            <v>×</v>
          </cell>
        </row>
        <row r="77">
          <cell r="I77" t="str">
            <v>×</v>
          </cell>
        </row>
        <row r="78">
          <cell r="I78" t="str">
            <v>×</v>
          </cell>
        </row>
        <row r="79">
          <cell r="I79" t="str">
            <v>×</v>
          </cell>
        </row>
        <row r="80">
          <cell r="I80" t="str">
            <v>×</v>
          </cell>
        </row>
        <row r="81">
          <cell r="I81" t="str">
            <v>×</v>
          </cell>
        </row>
        <row r="82">
          <cell r="I82" t="str">
            <v>×</v>
          </cell>
        </row>
        <row r="83">
          <cell r="I83" t="str">
            <v>×</v>
          </cell>
        </row>
        <row r="84">
          <cell r="I84" t="str">
            <v>×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목록표"/>
      <sheetName val="흙깍기(토사)"/>
      <sheetName val="비다짐"/>
      <sheetName val="도쟈운반"/>
      <sheetName val="덤프운반"/>
      <sheetName val="터파기(0.7)"/>
      <sheetName val="터파기(기+인)"/>
      <sheetName val="터파기(인)"/>
      <sheetName val="되메우기(0.7)"/>
      <sheetName val="순성토"/>
      <sheetName val="불량토치환"/>
      <sheetName val="원지반다짐"/>
      <sheetName val="보조기층포설"/>
      <sheetName val="되메우기(90-10)"/>
      <sheetName val="전기"/>
      <sheetName val="총괄내역서"/>
      <sheetName val="DAT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표지"/>
      <sheetName val="원가"/>
      <sheetName val="견적갑지"/>
      <sheetName val="견적을지"/>
      <sheetName val="일대(터파기)"/>
      <sheetName val="단위(터파기)"/>
      <sheetName val="단위(수공,피뢰침)"/>
      <sheetName val="단위(기계)"/>
      <sheetName val="단가"/>
      <sheetName val="단가조사표"/>
      <sheetName val="기본단가표"/>
      <sheetName val="최참판댁복원공사2"/>
      <sheetName val="터파기및재료"/>
      <sheetName val="b_balju"/>
      <sheetName val="공종"/>
      <sheetName val="2000년1차"/>
      <sheetName val="토사(PE)"/>
      <sheetName val="내역서01"/>
      <sheetName val="일위대가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노무비단가"/>
      <sheetName val="규격"/>
      <sheetName val="수종"/>
      <sheetName val="밸브설치"/>
      <sheetName val="일위대가"/>
      <sheetName val="DATE"/>
      <sheetName val="내역서01"/>
      <sheetName val="토사(PE)"/>
      <sheetName val="노임단가"/>
      <sheetName val="효명0010"/>
      <sheetName val="중기조종사 단위단가"/>
      <sheetName val="계수시트"/>
      <sheetName val="99노임기준"/>
      <sheetName val="원가계산서"/>
      <sheetName val="설비"/>
      <sheetName val="단가목록"/>
      <sheetName val="시설물일위"/>
      <sheetName val="토공"/>
    </sheetNames>
    <sheetDataSet>
      <sheetData sheetId="0" refreshError="1"/>
      <sheetData sheetId="1" refreshError="1">
        <row r="2">
          <cell r="B2">
            <v>49667</v>
          </cell>
        </row>
        <row r="28">
          <cell r="B28">
            <v>51545</v>
          </cell>
        </row>
        <row r="72">
          <cell r="B72">
            <v>100</v>
          </cell>
        </row>
        <row r="73">
          <cell r="B73">
            <v>390000</v>
          </cell>
        </row>
        <row r="74">
          <cell r="B74">
            <v>109000</v>
          </cell>
        </row>
        <row r="75">
          <cell r="B75">
            <v>26000</v>
          </cell>
        </row>
        <row r="76">
          <cell r="B76">
            <v>42000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_x0000_ÿ"/>
      <sheetName val="총괄내역서"/>
      <sheetName val="내역서"/>
      <sheetName val="일위대가총괄"/>
      <sheetName val="일위대가"/>
      <sheetName val="단가대비표"/>
      <sheetName val="단가산출"/>
      <sheetName val="99노임기준"/>
      <sheetName val="자재단가비교표"/>
      <sheetName val="노무비단가"/>
      <sheetName val="단가"/>
      <sheetName val="****"/>
      <sheetName val="식재일위대가"/>
      <sheetName val="설비"/>
      <sheetName val="98지급계획"/>
      <sheetName val="노임"/>
      <sheetName val="밸브설치"/>
      <sheetName val="9509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성토단가"/>
      <sheetName val="중기단가산출근거"/>
      <sheetName val="중기조종사 단위단가"/>
      <sheetName val="노무비단가"/>
      <sheetName val="99노임기준"/>
      <sheetName val="일위대가"/>
      <sheetName val="목록"/>
      <sheetName val="단가"/>
      <sheetName val="중기조종사_단위단가"/>
      <sheetName val="중기조종사_단위단가1"/>
      <sheetName val="중기"/>
      <sheetName val="2003상반기노임기준"/>
      <sheetName val="양식_자재단가조사표"/>
      <sheetName val="DATE"/>
    </sheetNames>
    <sheetDataSet>
      <sheetData sheetId="0" refreshError="1"/>
      <sheetData sheetId="1" refreshError="1"/>
      <sheetData sheetId="2" refreshError="1">
        <row r="1">
          <cell r="B1">
            <v>52927</v>
          </cell>
        </row>
        <row r="2">
          <cell r="B2">
            <v>39004</v>
          </cell>
        </row>
        <row r="3">
          <cell r="B3">
            <v>51867</v>
          </cell>
        </row>
        <row r="4">
          <cell r="B4">
            <v>41899</v>
          </cell>
        </row>
        <row r="5">
          <cell r="B5">
            <v>43017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"/>
      <sheetName val="공사비(전)"/>
      <sheetName val="내역(전) "/>
      <sheetName val="집계(전)"/>
      <sheetName val="일위집계(전)"/>
      <sheetName val="일위대가(전1)"/>
      <sheetName val="단가조사"/>
      <sheetName val="배관배선 스튜디오"/>
      <sheetName val="배관배선 다목적실"/>
      <sheetName val="배관배선 시청각실"/>
      <sheetName val="노임단가"/>
      <sheetName val="중기조종사 단위단가"/>
      <sheetName val="#REF"/>
      <sheetName val="SULKEA"/>
      <sheetName val="기본1"/>
      <sheetName val="수정일위대가"/>
      <sheetName val="단가산출"/>
      <sheetName val="2000년1차"/>
      <sheetName val="단가조사표"/>
      <sheetName val="별표집계"/>
      <sheetName val="준검 내역서"/>
      <sheetName val="터파기및재료"/>
      <sheetName val="99노임기준"/>
      <sheetName val="일위대가"/>
      <sheetName val="일위"/>
      <sheetName val="데리네이타현황"/>
      <sheetName val="적용단위길이"/>
      <sheetName val="피벗테이블데이터분석"/>
      <sheetName val="종배수관면벽신"/>
      <sheetName val="특수기호강도거푸집"/>
      <sheetName val="종배수관(신)"/>
      <sheetName val="노무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름마을(선경APT)"/>
      <sheetName val="견적서(양식DN-S-01) (2)"/>
      <sheetName val="내역서(양식DN-S-02)"/>
      <sheetName val="일위대가(양식DN-S-03)"/>
      <sheetName val="#REF"/>
      <sheetName val="중기조종사 단위단가"/>
      <sheetName val="기본1"/>
      <sheetName val="수정일위대가"/>
      <sheetName val="데리네이타현황"/>
      <sheetName val="99노임기준"/>
      <sheetName val="일위대가"/>
      <sheetName val="2000년1차"/>
      <sheetName val="DATE"/>
      <sheetName val="골조시행"/>
      <sheetName val="TOTAL_BOQ"/>
      <sheetName val="견적서(양식DN-S-01)_(2)"/>
      <sheetName val="포장공사"/>
      <sheetName val="견적서(양식DN-S-01)_(2)1"/>
      <sheetName val="00노임기준"/>
      <sheetName val="Baby일위대가"/>
      <sheetName val="일위대가(가설)"/>
      <sheetName val="단가"/>
      <sheetName val="노임이"/>
      <sheetName val="건축공사실행"/>
      <sheetName val="중기사용료"/>
      <sheetName val="적용노임"/>
      <sheetName val="배수공"/>
      <sheetName val="계수시트"/>
      <sheetName val="직접인건비"/>
      <sheetName val="직접경비"/>
      <sheetName val="내역서(삼호)"/>
      <sheetName val="3연box"/>
      <sheetName val="단 box"/>
      <sheetName val="노임"/>
      <sheetName val="경산"/>
      <sheetName val="노임단가"/>
      <sheetName val="직노"/>
      <sheetName val="소일위대가코드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데이타 "/>
      <sheetName val="노무비단가"/>
      <sheetName val="식재노임목록"/>
      <sheetName val="#단가조사표1"/>
      <sheetName val="1.식재공사"/>
      <sheetName val="2.시설물공사"/>
      <sheetName val="#수목일위대가"/>
      <sheetName val="수고일위"/>
      <sheetName val="근원일위"/>
      <sheetName val="흉고일위"/>
      <sheetName val="관목일위"/>
      <sheetName val="초화일위"/>
      <sheetName val="지주목일위"/>
      <sheetName val="시설일위"/>
      <sheetName val="대일위대가코드표"/>
      <sheetName val="기초일위대가"/>
      <sheetName val="기초일위대가코드표"/>
      <sheetName val="표지"/>
      <sheetName val="공사원가계산서"/>
      <sheetName val="총괄내역서"/>
      <sheetName val="3.포장공사"/>
      <sheetName val="수목일위대가"/>
      <sheetName val="대일위대가"/>
      <sheetName val="소일위대가"/>
      <sheetName val="산출근거"/>
      <sheetName val="수목"/>
      <sheetName val="노무비(수목)"/>
      <sheetName val="단가조사표(수목)"/>
      <sheetName val="단가조사표(시설물)"/>
      <sheetName val="97노임단가"/>
      <sheetName val="식재품셈"/>
      <sheetName val="소일위대가코드표"/>
      <sheetName val="중기조종사 단위단가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1">
          <cell r="A1" t="str">
            <v>공           종</v>
          </cell>
          <cell r="B1" t="str">
            <v>재료비</v>
          </cell>
          <cell r="C1" t="str">
            <v>노무비</v>
          </cell>
          <cell r="D1" t="str">
            <v>경비</v>
          </cell>
        </row>
        <row r="2">
          <cell r="A2" t="str">
            <v>화강석경계석설치</v>
          </cell>
          <cell r="B2">
            <v>0</v>
          </cell>
          <cell r="C2">
            <v>15250</v>
          </cell>
        </row>
        <row r="3">
          <cell r="A3" t="str">
            <v>앵커볼트설치</v>
          </cell>
          <cell r="B3">
            <v>0</v>
          </cell>
          <cell r="C3">
            <v>5382</v>
          </cell>
        </row>
        <row r="4">
          <cell r="A4" t="str">
            <v>연못경계석설치공사</v>
          </cell>
          <cell r="B4">
            <v>482</v>
          </cell>
          <cell r="C4">
            <v>16488</v>
          </cell>
        </row>
        <row r="5">
          <cell r="A5" t="str">
            <v>몰탈바르기 (T=20)</v>
          </cell>
          <cell r="C5">
            <v>5120</v>
          </cell>
        </row>
        <row r="6">
          <cell r="A6" t="str">
            <v>흑자갈박기(φ25내외)</v>
          </cell>
          <cell r="B6">
            <v>0</v>
          </cell>
          <cell r="C6">
            <v>13488</v>
          </cell>
        </row>
        <row r="7">
          <cell r="A7" t="str">
            <v>화강석각석설치</v>
          </cell>
          <cell r="B7">
            <v>8997</v>
          </cell>
          <cell r="C7">
            <v>156842</v>
          </cell>
        </row>
        <row r="8">
          <cell r="A8" t="str">
            <v>시트방수</v>
          </cell>
          <cell r="B8">
            <v>5831</v>
          </cell>
          <cell r="C8">
            <v>6504</v>
          </cell>
          <cell r="D8">
            <v>195</v>
          </cell>
        </row>
        <row r="9">
          <cell r="A9" t="str">
            <v>액체방수</v>
          </cell>
          <cell r="B9">
            <v>1299</v>
          </cell>
          <cell r="C9">
            <v>16192</v>
          </cell>
        </row>
        <row r="10">
          <cell r="A10" t="str">
            <v>화강석마름돌 설치</v>
          </cell>
          <cell r="B10">
            <v>14845</v>
          </cell>
          <cell r="C10">
            <v>831421</v>
          </cell>
        </row>
        <row r="11">
          <cell r="A11" t="str">
            <v>와이어메쉬</v>
          </cell>
          <cell r="B11">
            <v>1748</v>
          </cell>
          <cell r="C11">
            <v>851</v>
          </cell>
        </row>
        <row r="12">
          <cell r="A12" t="str">
            <v>잔다듬(2회)</v>
          </cell>
          <cell r="B12">
            <v>0</v>
          </cell>
          <cell r="C12">
            <v>388503</v>
          </cell>
        </row>
        <row r="13">
          <cell r="A13" t="str">
            <v>합판거푸집(1회)</v>
          </cell>
          <cell r="B13">
            <v>11857</v>
          </cell>
          <cell r="C13">
            <v>29920</v>
          </cell>
        </row>
        <row r="14">
          <cell r="A14" t="str">
            <v>합판거푸집(4회)</v>
          </cell>
          <cell r="B14">
            <v>4754</v>
          </cell>
          <cell r="C14">
            <v>11968</v>
          </cell>
        </row>
        <row r="15">
          <cell r="A15" t="str">
            <v>마루틀깔기</v>
          </cell>
          <cell r="B15">
            <v>16</v>
          </cell>
          <cell r="C15">
            <v>5290</v>
          </cell>
        </row>
        <row r="16">
          <cell r="A16" t="str">
            <v>레미콘타설(소형구조물)</v>
          </cell>
          <cell r="B16">
            <v>0</v>
          </cell>
          <cell r="C16">
            <v>30178</v>
          </cell>
        </row>
        <row r="17">
          <cell r="A17" t="str">
            <v>레미콘타설(무근구조물)</v>
          </cell>
          <cell r="B17">
            <v>0</v>
          </cell>
          <cell r="C17">
            <v>19123</v>
          </cell>
        </row>
        <row r="18">
          <cell r="A18" t="str">
            <v>레미콘타설(철근구조물)</v>
          </cell>
          <cell r="B18">
            <v>0</v>
          </cell>
          <cell r="C18">
            <v>21114</v>
          </cell>
        </row>
        <row r="19">
          <cell r="A19" t="str">
            <v>화강석 고운 다듬</v>
          </cell>
          <cell r="B19">
            <v>0</v>
          </cell>
          <cell r="C19">
            <v>179862</v>
          </cell>
        </row>
        <row r="20">
          <cell r="A20" t="str">
            <v>화강석판석붙이기(바닥)</v>
          </cell>
          <cell r="B20">
            <v>44924</v>
          </cell>
          <cell r="C20">
            <v>45561</v>
          </cell>
        </row>
        <row r="21">
          <cell r="A21" t="str">
            <v>모르터(1:3)</v>
          </cell>
          <cell r="B21">
            <v>44987</v>
          </cell>
          <cell r="C21">
            <v>34947</v>
          </cell>
        </row>
        <row r="22">
          <cell r="A22" t="str">
            <v>목재가공</v>
          </cell>
          <cell r="B22">
            <v>0</v>
          </cell>
          <cell r="C22">
            <v>1360</v>
          </cell>
        </row>
        <row r="23">
          <cell r="A23" t="str">
            <v>화강석물갈기</v>
          </cell>
          <cell r="B23">
            <v>0</v>
          </cell>
          <cell r="C23">
            <v>705061</v>
          </cell>
        </row>
        <row r="24">
          <cell r="A24" t="str">
            <v>잡석깔기 및 다지기</v>
          </cell>
          <cell r="B24">
            <v>19650</v>
          </cell>
          <cell r="C24">
            <v>43333</v>
          </cell>
        </row>
        <row r="25">
          <cell r="A25" t="str">
            <v>목재면다듬기</v>
          </cell>
          <cell r="B25">
            <v>52</v>
          </cell>
          <cell r="C25">
            <v>595</v>
          </cell>
          <cell r="D25">
            <v>11</v>
          </cell>
        </row>
        <row r="26">
          <cell r="A26" t="str">
            <v>버림콘크리트타설(인력비빔)</v>
          </cell>
          <cell r="B26">
            <v>32169</v>
          </cell>
          <cell r="C26">
            <v>82593</v>
          </cell>
        </row>
        <row r="27">
          <cell r="A27" t="str">
            <v>잡철물제작설치(간단)</v>
          </cell>
          <cell r="B27">
            <v>36071</v>
          </cell>
          <cell r="C27">
            <v>2111629</v>
          </cell>
          <cell r="D27">
            <v>72518</v>
          </cell>
        </row>
        <row r="28">
          <cell r="A28" t="str">
            <v>화강석 거친다듬</v>
          </cell>
          <cell r="B28">
            <v>0</v>
          </cell>
          <cell r="C28">
            <v>56117</v>
          </cell>
        </row>
        <row r="29">
          <cell r="A29" t="str">
            <v>오일스테인칠 2회</v>
          </cell>
          <cell r="B29">
            <v>338</v>
          </cell>
          <cell r="C29">
            <v>2680</v>
          </cell>
        </row>
        <row r="30">
          <cell r="A30" t="str">
            <v>목구조체 설치</v>
          </cell>
          <cell r="B30">
            <v>315</v>
          </cell>
          <cell r="C30">
            <v>30059</v>
          </cell>
        </row>
        <row r="31">
          <cell r="A31" t="str">
            <v>터파기</v>
          </cell>
          <cell r="B31">
            <v>0</v>
          </cell>
          <cell r="C31">
            <v>10484</v>
          </cell>
        </row>
        <row r="32">
          <cell r="A32" t="str">
            <v>자갈깔기</v>
          </cell>
          <cell r="B32">
            <v>17600</v>
          </cell>
          <cell r="C32">
            <v>4543</v>
          </cell>
        </row>
        <row r="33">
          <cell r="A33" t="str">
            <v>잔토처리</v>
          </cell>
          <cell r="B33">
            <v>0</v>
          </cell>
          <cell r="C33">
            <v>6989</v>
          </cell>
        </row>
        <row r="34">
          <cell r="A34" t="str">
            <v>인력절취</v>
          </cell>
          <cell r="B34">
            <v>0</v>
          </cell>
          <cell r="C34">
            <v>5591</v>
          </cell>
        </row>
        <row r="35">
          <cell r="A35" t="str">
            <v>되메우기</v>
          </cell>
          <cell r="B35">
            <v>0</v>
          </cell>
          <cell r="C35">
            <v>3494</v>
          </cell>
        </row>
        <row r="36">
          <cell r="A36" t="str">
            <v>판형다발관설치공</v>
          </cell>
          <cell r="B36">
            <v>9080</v>
          </cell>
          <cell r="C36">
            <v>660</v>
          </cell>
        </row>
        <row r="37">
          <cell r="A37" t="str">
            <v>접속다발관설치공</v>
          </cell>
          <cell r="B37">
            <v>18705</v>
          </cell>
          <cell r="C37">
            <v>605</v>
          </cell>
        </row>
      </sheetData>
      <sheetData sheetId="32" refreshError="1"/>
      <sheetData sheetId="33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식재수량표"/>
      <sheetName val="시설수량표"/>
      <sheetName val="광조명수량산출"/>
      <sheetName val="주요자재집계"/>
      <sheetName val="주요자재"/>
      <sheetName val="시멘모래"/>
      <sheetName val="관급"/>
      <sheetName val="일위목록"/>
      <sheetName val="식재일위"/>
      <sheetName val="시설일위"/>
      <sheetName val="조명일위"/>
      <sheetName val="기초일위"/>
      <sheetName val="자재단가"/>
      <sheetName val="수목단가"/>
      <sheetName val="노임단가"/>
      <sheetName val="경비목록"/>
      <sheetName val="경비"/>
      <sheetName val="주공일위"/>
      <sheetName val="내역서01"/>
      <sheetName val="우배수"/>
      <sheetName val="단위중량"/>
      <sheetName val="주공일_x0004_"/>
      <sheetName val="소일위대가코드표"/>
      <sheetName val="9509"/>
      <sheetName val="NYS"/>
      <sheetName val="단가일람"/>
      <sheetName val="조경일람"/>
      <sheetName val="공종"/>
      <sheetName val="토공"/>
      <sheetName val="SORCE1"/>
      <sheetName val="매매"/>
      <sheetName val="전신"/>
      <sheetName val="2000년1차"/>
      <sheetName val="대비"/>
      <sheetName val="중기조종사 단위단가"/>
      <sheetName val="노무비단가"/>
      <sheetName val="앉음벽 (2)"/>
      <sheetName val="진해석동"/>
      <sheetName val="2000전체분"/>
      <sheetName val="집계표"/>
      <sheetName val="주공일"/>
      <sheetName val="기자재대비표"/>
      <sheetName val="기본1"/>
      <sheetName val="수정일위대가"/>
      <sheetName val="표  지"/>
      <sheetName val="기본단가표"/>
      <sheetName val="금액결정"/>
      <sheetName val="데이타"/>
      <sheetName val="금광1터널"/>
      <sheetName val="#REF"/>
      <sheetName val="I.일위대가목차"/>
      <sheetName val="중기가격"/>
      <sheetName val="DATE"/>
      <sheetName val="일위대가"/>
      <sheetName val="3절_CheckList_구분"/>
      <sheetName val="계산식"/>
      <sheetName val="7기초"/>
      <sheetName val="을지"/>
      <sheetName val="단가조사"/>
      <sheetName val="출력X"/>
      <sheetName val="세부내역(직접인건비)"/>
      <sheetName val="세부내역(직접경비)"/>
      <sheetName val="선로정수계산"/>
      <sheetName val="자판실행"/>
      <sheetName val="실행내역서 "/>
      <sheetName val="일위대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H1" t="str">
            <v>재  료  비</v>
          </cell>
          <cell r="J1" t="str">
            <v>노  무  비</v>
          </cell>
          <cell r="L1" t="str">
            <v>경     비</v>
          </cell>
        </row>
        <row r="2"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G3" t="str">
            <v>m당</v>
          </cell>
          <cell r="H3">
            <v>0</v>
          </cell>
          <cell r="I3" t="str">
            <v xml:space="preserve"> </v>
          </cell>
          <cell r="J3">
            <v>0</v>
          </cell>
          <cell r="K3" t="str">
            <v xml:space="preserve"> </v>
          </cell>
          <cell r="M3" t="str">
            <v xml:space="preserve"> </v>
          </cell>
        </row>
        <row r="4">
          <cell r="G4" t="str">
            <v xml:space="preserve"> </v>
          </cell>
          <cell r="H4">
            <v>0</v>
          </cell>
          <cell r="I4">
            <v>0</v>
          </cell>
          <cell r="J4">
            <v>5928</v>
          </cell>
          <cell r="K4">
            <v>2181.5</v>
          </cell>
          <cell r="L4">
            <v>0</v>
          </cell>
          <cell r="M4">
            <v>0</v>
          </cell>
        </row>
        <row r="5">
          <cell r="G5" t="str">
            <v xml:space="preserve"> </v>
          </cell>
          <cell r="H5">
            <v>0</v>
          </cell>
          <cell r="I5">
            <v>0</v>
          </cell>
          <cell r="J5">
            <v>7410</v>
          </cell>
          <cell r="K5">
            <v>2045.1</v>
          </cell>
          <cell r="L5">
            <v>0</v>
          </cell>
          <cell r="M5">
            <v>0</v>
          </cell>
        </row>
        <row r="6">
          <cell r="G6" t="str">
            <v xml:space="preserve"> </v>
          </cell>
          <cell r="H6">
            <v>0</v>
          </cell>
          <cell r="I6">
            <v>0</v>
          </cell>
          <cell r="J6">
            <v>7780</v>
          </cell>
          <cell r="K6">
            <v>715.7</v>
          </cell>
          <cell r="L6">
            <v>0</v>
          </cell>
          <cell r="M6">
            <v>0</v>
          </cell>
        </row>
        <row r="7">
          <cell r="G7" t="str">
            <v xml:space="preserve"> </v>
          </cell>
          <cell r="H7">
            <v>3377</v>
          </cell>
          <cell r="I7">
            <v>1013.1</v>
          </cell>
          <cell r="J7">
            <v>10908</v>
          </cell>
          <cell r="K7">
            <v>3272.4</v>
          </cell>
          <cell r="L7">
            <v>0</v>
          </cell>
          <cell r="M7">
            <v>0</v>
          </cell>
        </row>
        <row r="8">
          <cell r="G8" t="str">
            <v xml:space="preserve"> </v>
          </cell>
          <cell r="H8">
            <v>39188</v>
          </cell>
          <cell r="I8">
            <v>7053.8</v>
          </cell>
          <cell r="J8">
            <v>19650</v>
          </cell>
          <cell r="K8">
            <v>3537</v>
          </cell>
          <cell r="L8">
            <v>0</v>
          </cell>
          <cell r="M8">
            <v>0</v>
          </cell>
        </row>
        <row r="9">
          <cell r="G9" t="str">
            <v xml:space="preserve"> </v>
          </cell>
          <cell r="H9">
            <v>45177</v>
          </cell>
          <cell r="I9">
            <v>2710.6</v>
          </cell>
          <cell r="J9">
            <v>37052</v>
          </cell>
          <cell r="K9">
            <v>2223.1</v>
          </cell>
          <cell r="L9">
            <v>0</v>
          </cell>
          <cell r="M9">
            <v>0</v>
          </cell>
        </row>
        <row r="10">
          <cell r="H10">
            <v>59000</v>
          </cell>
          <cell r="I10">
            <v>7080</v>
          </cell>
          <cell r="K10">
            <v>0</v>
          </cell>
          <cell r="M10">
            <v>0</v>
          </cell>
        </row>
        <row r="11">
          <cell r="H11">
            <v>85000</v>
          </cell>
          <cell r="I11">
            <v>102000</v>
          </cell>
          <cell r="K11">
            <v>0</v>
          </cell>
          <cell r="M11">
            <v>0</v>
          </cell>
        </row>
        <row r="12">
          <cell r="G12" t="str">
            <v xml:space="preserve"> </v>
          </cell>
          <cell r="H12">
            <v>48.6</v>
          </cell>
          <cell r="I12">
            <v>291.60000000000002</v>
          </cell>
          <cell r="K12">
            <v>0</v>
          </cell>
          <cell r="M12">
            <v>0</v>
          </cell>
        </row>
        <row r="13">
          <cell r="G13" t="str">
            <v xml:space="preserve"> </v>
          </cell>
          <cell r="H13">
            <v>32.6</v>
          </cell>
          <cell r="I13">
            <v>652</v>
          </cell>
          <cell r="K13">
            <v>0</v>
          </cell>
          <cell r="M13">
            <v>0</v>
          </cell>
        </row>
        <row r="14">
          <cell r="G14" t="str">
            <v xml:space="preserve"> </v>
          </cell>
          <cell r="H14">
            <v>10456</v>
          </cell>
          <cell r="I14">
            <v>1254.7</v>
          </cell>
          <cell r="J14">
            <v>6763</v>
          </cell>
          <cell r="K14">
            <v>811.5</v>
          </cell>
          <cell r="L14">
            <v>0</v>
          </cell>
          <cell r="M14">
            <v>0</v>
          </cell>
        </row>
        <row r="15">
          <cell r="H15">
            <v>0</v>
          </cell>
          <cell r="I15">
            <v>0</v>
          </cell>
          <cell r="J15">
            <v>107349</v>
          </cell>
          <cell r="K15">
            <v>128818.8</v>
          </cell>
          <cell r="L15">
            <v>0</v>
          </cell>
          <cell r="M15">
            <v>0</v>
          </cell>
        </row>
        <row r="16">
          <cell r="G16">
            <v>265660</v>
          </cell>
          <cell r="I16">
            <v>122055</v>
          </cell>
          <cell r="K16">
            <v>143605</v>
          </cell>
          <cell r="M16">
            <v>0</v>
          </cell>
        </row>
        <row r="17">
          <cell r="G17">
            <v>0</v>
          </cell>
          <cell r="I17">
            <v>0</v>
          </cell>
          <cell r="K17">
            <v>0</v>
          </cell>
          <cell r="M17">
            <v>0</v>
          </cell>
        </row>
        <row r="18">
          <cell r="G18" t="str">
            <v>m2당</v>
          </cell>
          <cell r="H18">
            <v>0</v>
          </cell>
          <cell r="I18" t="str">
            <v xml:space="preserve"> </v>
          </cell>
          <cell r="J18">
            <v>0</v>
          </cell>
          <cell r="K18" t="str">
            <v xml:space="preserve"> </v>
          </cell>
          <cell r="M18" t="str">
            <v xml:space="preserve"> </v>
          </cell>
        </row>
        <row r="19">
          <cell r="G19" t="str">
            <v xml:space="preserve"> </v>
          </cell>
          <cell r="H19">
            <v>0</v>
          </cell>
          <cell r="I19">
            <v>0</v>
          </cell>
          <cell r="J19">
            <v>5928</v>
          </cell>
          <cell r="K19">
            <v>1363.4</v>
          </cell>
          <cell r="L19">
            <v>0</v>
          </cell>
          <cell r="M19">
            <v>0</v>
          </cell>
        </row>
        <row r="20">
          <cell r="G20" t="str">
            <v xml:space="preserve"> </v>
          </cell>
          <cell r="H20">
            <v>0</v>
          </cell>
          <cell r="I20">
            <v>0</v>
          </cell>
          <cell r="J20">
            <v>7410</v>
          </cell>
          <cell r="K20">
            <v>1704.3</v>
          </cell>
          <cell r="L20">
            <v>0</v>
          </cell>
          <cell r="M20">
            <v>0</v>
          </cell>
        </row>
        <row r="21">
          <cell r="G21" t="str">
            <v xml:space="preserve"> </v>
          </cell>
          <cell r="H21">
            <v>39188</v>
          </cell>
          <cell r="I21">
            <v>5878.2</v>
          </cell>
          <cell r="J21">
            <v>19650</v>
          </cell>
          <cell r="K21">
            <v>2947.5</v>
          </cell>
          <cell r="L21">
            <v>0</v>
          </cell>
          <cell r="M21">
            <v>0</v>
          </cell>
        </row>
        <row r="22">
          <cell r="G22" t="str">
            <v xml:space="preserve"> </v>
          </cell>
          <cell r="H22">
            <v>45177</v>
          </cell>
          <cell r="I22">
            <v>2258.8000000000002</v>
          </cell>
          <cell r="J22">
            <v>37052</v>
          </cell>
          <cell r="K22">
            <v>1852.6</v>
          </cell>
          <cell r="L22">
            <v>0</v>
          </cell>
          <cell r="M22">
            <v>0</v>
          </cell>
        </row>
        <row r="23">
          <cell r="H23">
            <v>59000</v>
          </cell>
          <cell r="I23">
            <v>8850</v>
          </cell>
          <cell r="K23">
            <v>0</v>
          </cell>
          <cell r="M23">
            <v>0</v>
          </cell>
        </row>
        <row r="24">
          <cell r="H24">
            <v>85000</v>
          </cell>
          <cell r="I24">
            <v>85000</v>
          </cell>
          <cell r="K24">
            <v>0</v>
          </cell>
          <cell r="M24">
            <v>0</v>
          </cell>
        </row>
        <row r="25">
          <cell r="G25" t="str">
            <v xml:space="preserve"> </v>
          </cell>
          <cell r="H25">
            <v>48.6</v>
          </cell>
          <cell r="I25">
            <v>486</v>
          </cell>
          <cell r="K25">
            <v>0</v>
          </cell>
          <cell r="M25">
            <v>0</v>
          </cell>
        </row>
        <row r="26">
          <cell r="G26" t="str">
            <v xml:space="preserve"> </v>
          </cell>
          <cell r="H26">
            <v>32.6</v>
          </cell>
          <cell r="I26">
            <v>554.20000000000005</v>
          </cell>
          <cell r="K26">
            <v>0</v>
          </cell>
          <cell r="M26">
            <v>0</v>
          </cell>
        </row>
        <row r="27">
          <cell r="G27" t="str">
            <v xml:space="preserve"> </v>
          </cell>
          <cell r="H27">
            <v>10456</v>
          </cell>
          <cell r="I27">
            <v>1568.4</v>
          </cell>
          <cell r="J27">
            <v>6763</v>
          </cell>
          <cell r="K27">
            <v>1014.4</v>
          </cell>
          <cell r="L27">
            <v>0</v>
          </cell>
          <cell r="M27">
            <v>0</v>
          </cell>
        </row>
        <row r="28">
          <cell r="H28">
            <v>0</v>
          </cell>
          <cell r="I28">
            <v>0</v>
          </cell>
          <cell r="J28">
            <v>107349</v>
          </cell>
          <cell r="K28">
            <v>107349</v>
          </cell>
          <cell r="L28">
            <v>0</v>
          </cell>
          <cell r="M28">
            <v>0</v>
          </cell>
        </row>
        <row r="29">
          <cell r="G29">
            <v>220826</v>
          </cell>
          <cell r="I29">
            <v>104595</v>
          </cell>
          <cell r="K29">
            <v>116231</v>
          </cell>
          <cell r="M29">
            <v>0</v>
          </cell>
        </row>
        <row r="30">
          <cell r="G30">
            <v>0</v>
          </cell>
          <cell r="I30">
            <v>0</v>
          </cell>
          <cell r="K30">
            <v>0</v>
          </cell>
          <cell r="M30">
            <v>0</v>
          </cell>
        </row>
        <row r="31">
          <cell r="G31" t="str">
            <v>개소당</v>
          </cell>
          <cell r="H31">
            <v>0</v>
          </cell>
          <cell r="I31" t="str">
            <v xml:space="preserve"> </v>
          </cell>
          <cell r="J31">
            <v>0</v>
          </cell>
          <cell r="K31" t="str">
            <v xml:space="preserve"> </v>
          </cell>
          <cell r="M31" t="str">
            <v xml:space="preserve"> </v>
          </cell>
        </row>
        <row r="32">
          <cell r="H32">
            <v>2633661</v>
          </cell>
          <cell r="I32">
            <v>2633661</v>
          </cell>
          <cell r="J32">
            <v>2832248</v>
          </cell>
          <cell r="K32">
            <v>2832248</v>
          </cell>
          <cell r="L32">
            <v>5965</v>
          </cell>
          <cell r="M32">
            <v>5965</v>
          </cell>
        </row>
        <row r="33">
          <cell r="G33" t="str">
            <v xml:space="preserve"> </v>
          </cell>
          <cell r="H33">
            <v>51156</v>
          </cell>
          <cell r="I33">
            <v>3586547.1</v>
          </cell>
          <cell r="J33">
            <v>82903</v>
          </cell>
          <cell r="K33">
            <v>5812329.2999999998</v>
          </cell>
          <cell r="L33">
            <v>146</v>
          </cell>
          <cell r="M33">
            <v>10236</v>
          </cell>
        </row>
        <row r="34">
          <cell r="G34">
            <v>14880986</v>
          </cell>
          <cell r="I34">
            <v>6220208</v>
          </cell>
          <cell r="K34">
            <v>8644577</v>
          </cell>
          <cell r="M34">
            <v>16201</v>
          </cell>
        </row>
        <row r="36">
          <cell r="G36" t="str">
            <v>개소당</v>
          </cell>
          <cell r="H36">
            <v>0</v>
          </cell>
          <cell r="I36" t="str">
            <v xml:space="preserve"> </v>
          </cell>
          <cell r="J36">
            <v>0</v>
          </cell>
          <cell r="K36" t="str">
            <v xml:space="preserve"> </v>
          </cell>
          <cell r="M36" t="str">
            <v xml:space="preserve"> </v>
          </cell>
        </row>
        <row r="37">
          <cell r="H37">
            <v>27071</v>
          </cell>
          <cell r="I37">
            <v>2160265.7999999998</v>
          </cell>
          <cell r="J37">
            <v>32105</v>
          </cell>
          <cell r="K37">
            <v>2561979</v>
          </cell>
          <cell r="L37">
            <v>44</v>
          </cell>
          <cell r="M37">
            <v>3511.2</v>
          </cell>
        </row>
        <row r="38">
          <cell r="G38" t="str">
            <v xml:space="preserve"> </v>
          </cell>
          <cell r="H38">
            <v>51156</v>
          </cell>
          <cell r="I38">
            <v>5316643</v>
          </cell>
          <cell r="J38">
            <v>82903</v>
          </cell>
          <cell r="K38">
            <v>8616108.6999999993</v>
          </cell>
          <cell r="L38">
            <v>146</v>
          </cell>
          <cell r="M38">
            <v>15173.7</v>
          </cell>
        </row>
        <row r="39">
          <cell r="G39">
            <v>18673679</v>
          </cell>
          <cell r="I39">
            <v>7476908</v>
          </cell>
          <cell r="K39">
            <v>11178087</v>
          </cell>
          <cell r="M39">
            <v>18684</v>
          </cell>
        </row>
        <row r="41">
          <cell r="G41" t="str">
            <v>개소당</v>
          </cell>
          <cell r="H41">
            <v>0</v>
          </cell>
          <cell r="I41" t="str">
            <v xml:space="preserve"> </v>
          </cell>
          <cell r="J41">
            <v>0</v>
          </cell>
          <cell r="K41" t="str">
            <v xml:space="preserve"> </v>
          </cell>
          <cell r="M41" t="str">
            <v xml:space="preserve"> </v>
          </cell>
        </row>
        <row r="42">
          <cell r="H42">
            <v>135</v>
          </cell>
          <cell r="I42">
            <v>2682.9</v>
          </cell>
          <cell r="J42">
            <v>1882</v>
          </cell>
          <cell r="K42">
            <v>37402.800000000003</v>
          </cell>
          <cell r="L42">
            <v>179</v>
          </cell>
          <cell r="M42">
            <v>3557.4</v>
          </cell>
        </row>
        <row r="43">
          <cell r="G43" t="str">
            <v xml:space="preserve"> </v>
          </cell>
          <cell r="H43">
            <v>0</v>
          </cell>
          <cell r="I43">
            <v>0</v>
          </cell>
          <cell r="J43">
            <v>7410</v>
          </cell>
          <cell r="K43">
            <v>91380.1</v>
          </cell>
          <cell r="L43">
            <v>0</v>
          </cell>
          <cell r="M43">
            <v>0</v>
          </cell>
        </row>
        <row r="44">
          <cell r="G44" t="str">
            <v xml:space="preserve"> </v>
          </cell>
          <cell r="H44">
            <v>0</v>
          </cell>
          <cell r="I44">
            <v>0</v>
          </cell>
          <cell r="J44">
            <v>7780</v>
          </cell>
          <cell r="K44">
            <v>58676.7</v>
          </cell>
          <cell r="L44">
            <v>0</v>
          </cell>
          <cell r="M44">
            <v>0</v>
          </cell>
        </row>
        <row r="45">
          <cell r="H45">
            <v>13500</v>
          </cell>
          <cell r="I45">
            <v>39892.5</v>
          </cell>
          <cell r="J45">
            <v>40757</v>
          </cell>
          <cell r="K45">
            <v>120436.9</v>
          </cell>
          <cell r="L45">
            <v>815</v>
          </cell>
          <cell r="M45">
            <v>2408.3000000000002</v>
          </cell>
        </row>
        <row r="46">
          <cell r="G46" t="str">
            <v xml:space="preserve"> </v>
          </cell>
          <cell r="H46">
            <v>3377</v>
          </cell>
          <cell r="I46">
            <v>21646.5</v>
          </cell>
          <cell r="J46">
            <v>10908</v>
          </cell>
          <cell r="K46">
            <v>69920.2</v>
          </cell>
          <cell r="L46">
            <v>0</v>
          </cell>
          <cell r="M46">
            <v>0</v>
          </cell>
        </row>
        <row r="47">
          <cell r="G47" t="str">
            <v xml:space="preserve"> </v>
          </cell>
          <cell r="H47">
            <v>42127</v>
          </cell>
          <cell r="I47">
            <v>221798.6</v>
          </cell>
          <cell r="J47">
            <v>21677</v>
          </cell>
          <cell r="K47">
            <v>114129.4</v>
          </cell>
          <cell r="L47">
            <v>0</v>
          </cell>
          <cell r="M47">
            <v>0</v>
          </cell>
        </row>
        <row r="48">
          <cell r="G48" t="str">
            <v xml:space="preserve"> </v>
          </cell>
          <cell r="H48">
            <v>320</v>
          </cell>
          <cell r="I48">
            <v>111576.9</v>
          </cell>
          <cell r="K48">
            <v>0</v>
          </cell>
          <cell r="M48">
            <v>0</v>
          </cell>
        </row>
        <row r="49">
          <cell r="G49" t="str">
            <v xml:space="preserve"> </v>
          </cell>
          <cell r="H49">
            <v>4</v>
          </cell>
          <cell r="I49">
            <v>1354</v>
          </cell>
          <cell r="J49">
            <v>656</v>
          </cell>
          <cell r="K49">
            <v>222071</v>
          </cell>
          <cell r="L49">
            <v>0</v>
          </cell>
          <cell r="M49">
            <v>0</v>
          </cell>
        </row>
        <row r="50">
          <cell r="G50" t="str">
            <v xml:space="preserve"> </v>
          </cell>
          <cell r="H50">
            <v>2397</v>
          </cell>
          <cell r="I50">
            <v>75026.100000000006</v>
          </cell>
          <cell r="J50">
            <v>15258</v>
          </cell>
          <cell r="K50">
            <v>477575.4</v>
          </cell>
          <cell r="L50">
            <v>0</v>
          </cell>
          <cell r="M50">
            <v>0</v>
          </cell>
        </row>
        <row r="51">
          <cell r="G51" t="str">
            <v xml:space="preserve"> </v>
          </cell>
          <cell r="H51">
            <v>45177</v>
          </cell>
          <cell r="I51">
            <v>47300.3</v>
          </cell>
          <cell r="J51">
            <v>37052</v>
          </cell>
          <cell r="K51">
            <v>38793.4</v>
          </cell>
          <cell r="L51">
            <v>0</v>
          </cell>
          <cell r="M51">
            <v>0</v>
          </cell>
        </row>
        <row r="52">
          <cell r="G52" t="str">
            <v xml:space="preserve"> </v>
          </cell>
          <cell r="H52">
            <v>53796</v>
          </cell>
          <cell r="I52">
            <v>14094.5</v>
          </cell>
          <cell r="J52">
            <v>37052</v>
          </cell>
          <cell r="K52">
            <v>9707.6</v>
          </cell>
          <cell r="L52">
            <v>0</v>
          </cell>
          <cell r="M52">
            <v>0</v>
          </cell>
        </row>
        <row r="53">
          <cell r="G53" t="str">
            <v xml:space="preserve"> </v>
          </cell>
          <cell r="H53">
            <v>35000</v>
          </cell>
          <cell r="I53">
            <v>1064000</v>
          </cell>
          <cell r="K53">
            <v>0</v>
          </cell>
          <cell r="M53">
            <v>0</v>
          </cell>
        </row>
        <row r="54">
          <cell r="G54" t="str">
            <v xml:space="preserve"> </v>
          </cell>
          <cell r="H54">
            <v>0</v>
          </cell>
          <cell r="I54">
            <v>0</v>
          </cell>
          <cell r="J54">
            <v>54031</v>
          </cell>
          <cell r="K54">
            <v>1492876.5</v>
          </cell>
          <cell r="L54">
            <v>0</v>
          </cell>
          <cell r="M54">
            <v>0</v>
          </cell>
        </row>
        <row r="55">
          <cell r="G55" t="str">
            <v xml:space="preserve"> </v>
          </cell>
          <cell r="H55">
            <v>11500</v>
          </cell>
          <cell r="I55">
            <v>1035000</v>
          </cell>
          <cell r="K55">
            <v>0</v>
          </cell>
          <cell r="M55">
            <v>0</v>
          </cell>
        </row>
        <row r="56">
          <cell r="G56" t="str">
            <v xml:space="preserve"> </v>
          </cell>
          <cell r="I56">
            <v>0</v>
          </cell>
          <cell r="J56">
            <v>51490</v>
          </cell>
          <cell r="K56">
            <v>50666.1</v>
          </cell>
          <cell r="M56">
            <v>0</v>
          </cell>
        </row>
        <row r="57">
          <cell r="G57" t="str">
            <v xml:space="preserve"> </v>
          </cell>
          <cell r="I57">
            <v>0</v>
          </cell>
          <cell r="J57">
            <v>37052</v>
          </cell>
          <cell r="K57">
            <v>48612.2</v>
          </cell>
          <cell r="M57">
            <v>0</v>
          </cell>
        </row>
        <row r="58">
          <cell r="G58" t="str">
            <v xml:space="preserve"> </v>
          </cell>
          <cell r="H58">
            <v>100</v>
          </cell>
          <cell r="I58">
            <v>-710.8</v>
          </cell>
          <cell r="K58">
            <v>0</v>
          </cell>
          <cell r="M58">
            <v>0</v>
          </cell>
        </row>
        <row r="59">
          <cell r="G59">
            <v>5471874</v>
          </cell>
          <cell r="I59">
            <v>2633661</v>
          </cell>
          <cell r="K59">
            <v>2832248</v>
          </cell>
          <cell r="M59">
            <v>5965</v>
          </cell>
        </row>
        <row r="61">
          <cell r="G61" t="str">
            <v>m당</v>
          </cell>
          <cell r="H61">
            <v>0</v>
          </cell>
          <cell r="I61" t="str">
            <v xml:space="preserve"> </v>
          </cell>
          <cell r="J61">
            <v>0</v>
          </cell>
          <cell r="K61" t="str">
            <v xml:space="preserve"> </v>
          </cell>
          <cell r="M61" t="str">
            <v xml:space="preserve"> 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G63" t="str">
            <v xml:space="preserve"> </v>
          </cell>
          <cell r="H63">
            <v>0</v>
          </cell>
          <cell r="I63">
            <v>0</v>
          </cell>
          <cell r="J63">
            <v>7410</v>
          </cell>
          <cell r="K63">
            <v>1259.7</v>
          </cell>
          <cell r="L63">
            <v>0</v>
          </cell>
          <cell r="M63">
            <v>0</v>
          </cell>
        </row>
        <row r="64">
          <cell r="G64" t="str">
            <v xml:space="preserve"> </v>
          </cell>
          <cell r="H64">
            <v>0</v>
          </cell>
          <cell r="I64">
            <v>0</v>
          </cell>
          <cell r="J64">
            <v>7780</v>
          </cell>
          <cell r="K64">
            <v>311.2</v>
          </cell>
          <cell r="L64">
            <v>0</v>
          </cell>
          <cell r="M64">
            <v>0</v>
          </cell>
        </row>
        <row r="65">
          <cell r="H65">
            <v>13500</v>
          </cell>
          <cell r="I65">
            <v>729</v>
          </cell>
          <cell r="J65">
            <v>40757</v>
          </cell>
          <cell r="K65">
            <v>2200.8000000000002</v>
          </cell>
          <cell r="L65">
            <v>815</v>
          </cell>
          <cell r="M65">
            <v>44</v>
          </cell>
        </row>
        <row r="66">
          <cell r="G66" t="str">
            <v xml:space="preserve"> </v>
          </cell>
          <cell r="H66">
            <v>3377</v>
          </cell>
          <cell r="I66">
            <v>2363.9</v>
          </cell>
          <cell r="J66">
            <v>10908</v>
          </cell>
          <cell r="K66">
            <v>7635.6</v>
          </cell>
          <cell r="L66">
            <v>0</v>
          </cell>
          <cell r="M66">
            <v>0</v>
          </cell>
        </row>
        <row r="67">
          <cell r="G67" t="str">
            <v xml:space="preserve"> </v>
          </cell>
          <cell r="H67">
            <v>42127</v>
          </cell>
          <cell r="I67">
            <v>2148.4</v>
          </cell>
          <cell r="J67">
            <v>21677</v>
          </cell>
          <cell r="K67">
            <v>1105.5</v>
          </cell>
          <cell r="L67">
            <v>0</v>
          </cell>
          <cell r="M67">
            <v>0</v>
          </cell>
        </row>
        <row r="68">
          <cell r="G68" t="str">
            <v xml:space="preserve"> </v>
          </cell>
          <cell r="H68">
            <v>320</v>
          </cell>
          <cell r="I68">
            <v>1246</v>
          </cell>
          <cell r="K68">
            <v>0</v>
          </cell>
          <cell r="M68">
            <v>0</v>
          </cell>
        </row>
        <row r="69">
          <cell r="G69" t="str">
            <v xml:space="preserve"> </v>
          </cell>
          <cell r="H69">
            <v>4</v>
          </cell>
          <cell r="I69">
            <v>15.1</v>
          </cell>
          <cell r="J69">
            <v>656</v>
          </cell>
          <cell r="K69">
            <v>2480.3000000000002</v>
          </cell>
          <cell r="L69">
            <v>0</v>
          </cell>
          <cell r="M69">
            <v>0</v>
          </cell>
        </row>
        <row r="70">
          <cell r="G70" t="str">
            <v xml:space="preserve"> </v>
          </cell>
          <cell r="H70">
            <v>2397</v>
          </cell>
          <cell r="I70">
            <v>719.1</v>
          </cell>
          <cell r="J70">
            <v>15258</v>
          </cell>
          <cell r="K70">
            <v>4577.3999999999996</v>
          </cell>
          <cell r="L70">
            <v>0</v>
          </cell>
          <cell r="M70">
            <v>0</v>
          </cell>
        </row>
        <row r="71">
          <cell r="G71" t="str">
            <v xml:space="preserve"> </v>
          </cell>
          <cell r="H71">
            <v>45177</v>
          </cell>
          <cell r="I71">
            <v>496.9</v>
          </cell>
          <cell r="J71">
            <v>37052</v>
          </cell>
          <cell r="K71">
            <v>407.5</v>
          </cell>
          <cell r="L71">
            <v>0</v>
          </cell>
          <cell r="M71">
            <v>0</v>
          </cell>
        </row>
        <row r="72">
          <cell r="G72" t="str">
            <v xml:space="preserve"> </v>
          </cell>
          <cell r="H72">
            <v>53796</v>
          </cell>
          <cell r="I72">
            <v>161.30000000000001</v>
          </cell>
          <cell r="J72">
            <v>37052</v>
          </cell>
          <cell r="K72">
            <v>111.1</v>
          </cell>
          <cell r="L72">
            <v>0</v>
          </cell>
          <cell r="M72">
            <v>0</v>
          </cell>
        </row>
        <row r="73">
          <cell r="G73" t="str">
            <v xml:space="preserve"> </v>
          </cell>
          <cell r="H73">
            <v>35000</v>
          </cell>
          <cell r="I73">
            <v>7700</v>
          </cell>
          <cell r="K73">
            <v>0</v>
          </cell>
          <cell r="M73">
            <v>0</v>
          </cell>
        </row>
        <row r="74">
          <cell r="G74" t="str">
            <v xml:space="preserve"> </v>
          </cell>
          <cell r="H74">
            <v>0</v>
          </cell>
          <cell r="I74">
            <v>0</v>
          </cell>
          <cell r="J74">
            <v>54031</v>
          </cell>
          <cell r="K74">
            <v>10806.2</v>
          </cell>
          <cell r="L74">
            <v>0</v>
          </cell>
          <cell r="M74">
            <v>0</v>
          </cell>
        </row>
        <row r="75">
          <cell r="G75" t="str">
            <v xml:space="preserve"> </v>
          </cell>
          <cell r="H75">
            <v>11500</v>
          </cell>
          <cell r="I75">
            <v>11500</v>
          </cell>
          <cell r="K75">
            <v>0</v>
          </cell>
          <cell r="M75">
            <v>0</v>
          </cell>
        </row>
        <row r="76">
          <cell r="G76" t="str">
            <v xml:space="preserve"> </v>
          </cell>
          <cell r="I76">
            <v>0</v>
          </cell>
          <cell r="J76">
            <v>51490</v>
          </cell>
          <cell r="K76">
            <v>617.79999999999995</v>
          </cell>
          <cell r="M76">
            <v>0</v>
          </cell>
        </row>
        <row r="77">
          <cell r="G77" t="str">
            <v xml:space="preserve"> </v>
          </cell>
          <cell r="I77">
            <v>0</v>
          </cell>
          <cell r="J77">
            <v>37052</v>
          </cell>
          <cell r="K77">
            <v>592.79999999999995</v>
          </cell>
          <cell r="M77">
            <v>0</v>
          </cell>
        </row>
        <row r="78">
          <cell r="G78" t="str">
            <v xml:space="preserve"> </v>
          </cell>
          <cell r="H78">
            <v>100</v>
          </cell>
          <cell r="I78">
            <v>-7.9</v>
          </cell>
          <cell r="K78">
            <v>0</v>
          </cell>
          <cell r="M78">
            <v>0</v>
          </cell>
        </row>
        <row r="79">
          <cell r="G79">
            <v>59220</v>
          </cell>
          <cell r="I79">
            <v>27071</v>
          </cell>
          <cell r="K79">
            <v>32105</v>
          </cell>
          <cell r="M79">
            <v>44</v>
          </cell>
        </row>
        <row r="81">
          <cell r="G81" t="str">
            <v>m2당</v>
          </cell>
          <cell r="H81">
            <v>0</v>
          </cell>
          <cell r="I81" t="str">
            <v xml:space="preserve"> </v>
          </cell>
          <cell r="J81">
            <v>0</v>
          </cell>
          <cell r="K81" t="str">
            <v xml:space="preserve"> </v>
          </cell>
          <cell r="M81" t="str">
            <v xml:space="preserve"> </v>
          </cell>
        </row>
        <row r="82">
          <cell r="H82">
            <v>14</v>
          </cell>
          <cell r="I82">
            <v>7.8</v>
          </cell>
          <cell r="J82">
            <v>120</v>
          </cell>
          <cell r="K82">
            <v>67.2</v>
          </cell>
          <cell r="L82">
            <v>43</v>
          </cell>
          <cell r="M82">
            <v>24</v>
          </cell>
        </row>
        <row r="83">
          <cell r="G83" t="str">
            <v xml:space="preserve"> </v>
          </cell>
          <cell r="H83">
            <v>0</v>
          </cell>
          <cell r="I83">
            <v>0</v>
          </cell>
          <cell r="J83">
            <v>7410</v>
          </cell>
          <cell r="K83">
            <v>4149.6000000000004</v>
          </cell>
          <cell r="L83">
            <v>0</v>
          </cell>
          <cell r="M83">
            <v>0</v>
          </cell>
        </row>
        <row r="84">
          <cell r="H84">
            <v>13500</v>
          </cell>
          <cell r="I84">
            <v>2025</v>
          </cell>
          <cell r="J84">
            <v>40757</v>
          </cell>
          <cell r="K84">
            <v>6113.5</v>
          </cell>
          <cell r="L84">
            <v>815</v>
          </cell>
          <cell r="M84">
            <v>122.2</v>
          </cell>
        </row>
        <row r="85">
          <cell r="G85" t="str">
            <v xml:space="preserve"> </v>
          </cell>
          <cell r="H85">
            <v>42127</v>
          </cell>
          <cell r="I85">
            <v>4212.7</v>
          </cell>
          <cell r="J85">
            <v>21677</v>
          </cell>
          <cell r="K85">
            <v>2167.6999999999998</v>
          </cell>
          <cell r="L85">
            <v>0</v>
          </cell>
          <cell r="M85">
            <v>0</v>
          </cell>
        </row>
        <row r="86">
          <cell r="G86" t="str">
            <v xml:space="preserve"> </v>
          </cell>
          <cell r="H86">
            <v>320</v>
          </cell>
          <cell r="I86">
            <v>2623.6</v>
          </cell>
          <cell r="K86">
            <v>0</v>
          </cell>
          <cell r="M86">
            <v>0</v>
          </cell>
        </row>
        <row r="87">
          <cell r="G87" t="str">
            <v xml:space="preserve"> </v>
          </cell>
          <cell r="H87">
            <v>4</v>
          </cell>
          <cell r="I87">
            <v>0</v>
          </cell>
          <cell r="J87">
            <v>656</v>
          </cell>
          <cell r="K87">
            <v>5.2</v>
          </cell>
          <cell r="L87">
            <v>0</v>
          </cell>
          <cell r="M87">
            <v>0</v>
          </cell>
        </row>
        <row r="88">
          <cell r="G88" t="str">
            <v xml:space="preserve"> </v>
          </cell>
          <cell r="H88">
            <v>2397</v>
          </cell>
          <cell r="I88">
            <v>2397</v>
          </cell>
          <cell r="J88">
            <v>15258</v>
          </cell>
          <cell r="K88">
            <v>15258</v>
          </cell>
          <cell r="L88">
            <v>0</v>
          </cell>
          <cell r="M88">
            <v>0</v>
          </cell>
        </row>
        <row r="89">
          <cell r="G89" t="str">
            <v xml:space="preserve"> </v>
          </cell>
          <cell r="H89">
            <v>45177</v>
          </cell>
          <cell r="I89">
            <v>1084.2</v>
          </cell>
          <cell r="J89">
            <v>37052</v>
          </cell>
          <cell r="K89">
            <v>889.2</v>
          </cell>
          <cell r="L89">
            <v>0</v>
          </cell>
          <cell r="M89">
            <v>0</v>
          </cell>
        </row>
        <row r="90">
          <cell r="G90" t="str">
            <v xml:space="preserve"> </v>
          </cell>
          <cell r="H90">
            <v>53796</v>
          </cell>
          <cell r="I90">
            <v>322.7</v>
          </cell>
          <cell r="J90">
            <v>37052</v>
          </cell>
          <cell r="K90">
            <v>222.3</v>
          </cell>
          <cell r="L90">
            <v>0</v>
          </cell>
          <cell r="M90">
            <v>0</v>
          </cell>
        </row>
        <row r="91">
          <cell r="G91" t="str">
            <v xml:space="preserve"> </v>
          </cell>
          <cell r="H91">
            <v>35000</v>
          </cell>
          <cell r="I91">
            <v>38500</v>
          </cell>
          <cell r="K91">
            <v>0</v>
          </cell>
          <cell r="M91">
            <v>0</v>
          </cell>
        </row>
        <row r="92">
          <cell r="G92" t="str">
            <v xml:space="preserve"> </v>
          </cell>
          <cell r="H92">
            <v>0</v>
          </cell>
          <cell r="I92">
            <v>0</v>
          </cell>
          <cell r="J92">
            <v>54031</v>
          </cell>
          <cell r="K92">
            <v>54031</v>
          </cell>
          <cell r="L92">
            <v>0</v>
          </cell>
          <cell r="M92">
            <v>0</v>
          </cell>
        </row>
        <row r="93">
          <cell r="G93" t="str">
            <v xml:space="preserve"> </v>
          </cell>
          <cell r="H93">
            <v>100</v>
          </cell>
          <cell r="I93">
            <v>-16.7</v>
          </cell>
          <cell r="K93">
            <v>0</v>
          </cell>
          <cell r="M93">
            <v>0</v>
          </cell>
        </row>
        <row r="94">
          <cell r="G94">
            <v>134205</v>
          </cell>
          <cell r="I94">
            <v>51156</v>
          </cell>
          <cell r="K94">
            <v>82903</v>
          </cell>
          <cell r="M94">
            <v>146</v>
          </cell>
        </row>
        <row r="96">
          <cell r="G96" t="str">
            <v>개소당</v>
          </cell>
          <cell r="H96">
            <v>0</v>
          </cell>
          <cell r="I96" t="str">
            <v xml:space="preserve"> </v>
          </cell>
          <cell r="J96">
            <v>0</v>
          </cell>
          <cell r="K96" t="str">
            <v xml:space="preserve"> </v>
          </cell>
          <cell r="M96" t="str">
            <v xml:space="preserve"> </v>
          </cell>
        </row>
        <row r="97">
          <cell r="G97" t="str">
            <v xml:space="preserve"> </v>
          </cell>
          <cell r="H97">
            <v>0</v>
          </cell>
          <cell r="I97">
            <v>0</v>
          </cell>
          <cell r="J97">
            <v>9263</v>
          </cell>
          <cell r="K97">
            <v>97502.3</v>
          </cell>
          <cell r="L97">
            <v>0</v>
          </cell>
          <cell r="M97">
            <v>0</v>
          </cell>
        </row>
        <row r="98">
          <cell r="G98" t="str">
            <v xml:space="preserve"> </v>
          </cell>
          <cell r="H98">
            <v>0</v>
          </cell>
          <cell r="I98">
            <v>0</v>
          </cell>
          <cell r="J98">
            <v>7410</v>
          </cell>
          <cell r="K98">
            <v>57464.5</v>
          </cell>
          <cell r="L98">
            <v>0</v>
          </cell>
          <cell r="M98">
            <v>0</v>
          </cell>
        </row>
        <row r="99">
          <cell r="G99" t="str">
            <v xml:space="preserve"> </v>
          </cell>
          <cell r="H99">
            <v>0</v>
          </cell>
          <cell r="I99">
            <v>0</v>
          </cell>
          <cell r="J99">
            <v>7780</v>
          </cell>
          <cell r="K99">
            <v>21558.3</v>
          </cell>
          <cell r="L99">
            <v>0</v>
          </cell>
          <cell r="M99">
            <v>0</v>
          </cell>
        </row>
        <row r="100">
          <cell r="H100">
            <v>13500</v>
          </cell>
          <cell r="I100">
            <v>49072.5</v>
          </cell>
          <cell r="J100">
            <v>40757</v>
          </cell>
          <cell r="K100">
            <v>148151.6</v>
          </cell>
          <cell r="L100">
            <v>815</v>
          </cell>
          <cell r="M100">
            <v>2962.5</v>
          </cell>
        </row>
        <row r="101">
          <cell r="G101" t="str">
            <v xml:space="preserve"> </v>
          </cell>
          <cell r="H101">
            <v>3377</v>
          </cell>
          <cell r="I101">
            <v>91938.8</v>
          </cell>
          <cell r="J101">
            <v>10908</v>
          </cell>
          <cell r="K101">
            <v>296970.3</v>
          </cell>
          <cell r="L101">
            <v>0</v>
          </cell>
          <cell r="M101">
            <v>0</v>
          </cell>
        </row>
        <row r="102">
          <cell r="G102" t="str">
            <v xml:space="preserve"> </v>
          </cell>
          <cell r="H102">
            <v>42127</v>
          </cell>
          <cell r="I102">
            <v>352013.2</v>
          </cell>
          <cell r="J102">
            <v>21677</v>
          </cell>
          <cell r="K102">
            <v>181133</v>
          </cell>
          <cell r="L102">
            <v>0</v>
          </cell>
          <cell r="M102">
            <v>0</v>
          </cell>
        </row>
        <row r="103">
          <cell r="G103" t="str">
            <v xml:space="preserve"> </v>
          </cell>
          <cell r="H103">
            <v>320</v>
          </cell>
          <cell r="I103">
            <v>118154.2</v>
          </cell>
          <cell r="K103">
            <v>0</v>
          </cell>
          <cell r="M103">
            <v>0</v>
          </cell>
        </row>
        <row r="104">
          <cell r="G104" t="str">
            <v xml:space="preserve"> </v>
          </cell>
          <cell r="H104">
            <v>4</v>
          </cell>
          <cell r="I104">
            <v>1412</v>
          </cell>
          <cell r="J104">
            <v>656</v>
          </cell>
          <cell r="K104">
            <v>231568</v>
          </cell>
          <cell r="L104">
            <v>0</v>
          </cell>
          <cell r="M104">
            <v>0</v>
          </cell>
        </row>
        <row r="105">
          <cell r="G105" t="str">
            <v xml:space="preserve"> </v>
          </cell>
          <cell r="H105">
            <v>36000</v>
          </cell>
          <cell r="I105">
            <v>2736000</v>
          </cell>
          <cell r="K105">
            <v>0</v>
          </cell>
          <cell r="M105">
            <v>0</v>
          </cell>
        </row>
        <row r="106">
          <cell r="G106" t="str">
            <v xml:space="preserve"> </v>
          </cell>
          <cell r="H106">
            <v>0</v>
          </cell>
          <cell r="I106">
            <v>0</v>
          </cell>
          <cell r="J106">
            <v>792305</v>
          </cell>
          <cell r="K106">
            <v>3452072.8</v>
          </cell>
          <cell r="L106">
            <v>0</v>
          </cell>
          <cell r="M106">
            <v>0</v>
          </cell>
        </row>
        <row r="107">
          <cell r="G107" t="str">
            <v xml:space="preserve"> </v>
          </cell>
          <cell r="H107">
            <v>45177</v>
          </cell>
          <cell r="I107">
            <v>91347.8</v>
          </cell>
          <cell r="J107">
            <v>37052</v>
          </cell>
          <cell r="K107">
            <v>74919.100000000006</v>
          </cell>
          <cell r="L107">
            <v>0</v>
          </cell>
          <cell r="M107">
            <v>0</v>
          </cell>
        </row>
        <row r="108">
          <cell r="G108" t="str">
            <v xml:space="preserve"> </v>
          </cell>
          <cell r="H108">
            <v>53796</v>
          </cell>
          <cell r="I108">
            <v>8499.7000000000007</v>
          </cell>
          <cell r="J108">
            <v>37052</v>
          </cell>
          <cell r="K108">
            <v>5854.2</v>
          </cell>
          <cell r="L108">
            <v>0</v>
          </cell>
          <cell r="M108">
            <v>0</v>
          </cell>
        </row>
        <row r="109">
          <cell r="G109" t="str">
            <v xml:space="preserve"> </v>
          </cell>
          <cell r="H109">
            <v>137349</v>
          </cell>
          <cell r="I109">
            <v>137349</v>
          </cell>
          <cell r="J109">
            <v>150452</v>
          </cell>
          <cell r="K109">
            <v>150452</v>
          </cell>
          <cell r="L109">
            <v>3715</v>
          </cell>
          <cell r="M109">
            <v>3715</v>
          </cell>
        </row>
        <row r="110">
          <cell r="G110" t="str">
            <v xml:space="preserve"> </v>
          </cell>
          <cell r="H110">
            <v>100</v>
          </cell>
          <cell r="I110">
            <v>-742.6</v>
          </cell>
          <cell r="K110">
            <v>0</v>
          </cell>
          <cell r="M110">
            <v>0</v>
          </cell>
        </row>
        <row r="111">
          <cell r="G111">
            <v>8309367</v>
          </cell>
          <cell r="I111">
            <v>3585044</v>
          </cell>
          <cell r="K111">
            <v>4717646</v>
          </cell>
          <cell r="M111">
            <v>6677</v>
          </cell>
        </row>
        <row r="113">
          <cell r="G113" t="str">
            <v>개소당</v>
          </cell>
          <cell r="I113" t="str">
            <v xml:space="preserve"> </v>
          </cell>
          <cell r="J113">
            <v>0</v>
          </cell>
          <cell r="K113" t="str">
            <v xml:space="preserve"> </v>
          </cell>
          <cell r="M113" t="str">
            <v xml:space="preserve"> </v>
          </cell>
        </row>
        <row r="114">
          <cell r="G114" t="str">
            <v xml:space="preserve"> </v>
          </cell>
          <cell r="H114">
            <v>0</v>
          </cell>
          <cell r="I114">
            <v>0</v>
          </cell>
          <cell r="J114">
            <v>9263</v>
          </cell>
          <cell r="K114">
            <v>117992</v>
          </cell>
          <cell r="L114">
            <v>0</v>
          </cell>
          <cell r="M114">
            <v>0</v>
          </cell>
        </row>
        <row r="115">
          <cell r="G115" t="str">
            <v xml:space="preserve"> </v>
          </cell>
          <cell r="H115">
            <v>0</v>
          </cell>
          <cell r="I115">
            <v>0</v>
          </cell>
          <cell r="J115">
            <v>7410</v>
          </cell>
          <cell r="K115">
            <v>71914</v>
          </cell>
          <cell r="L115">
            <v>0</v>
          </cell>
          <cell r="M115">
            <v>0</v>
          </cell>
        </row>
        <row r="116">
          <cell r="G116" t="str">
            <v xml:space="preserve"> </v>
          </cell>
          <cell r="H116">
            <v>0</v>
          </cell>
          <cell r="I116">
            <v>0</v>
          </cell>
          <cell r="J116">
            <v>7780</v>
          </cell>
          <cell r="K116">
            <v>23596.7</v>
          </cell>
          <cell r="L116">
            <v>0</v>
          </cell>
          <cell r="M116">
            <v>0</v>
          </cell>
        </row>
        <row r="117">
          <cell r="H117">
            <v>13500</v>
          </cell>
          <cell r="I117">
            <v>60291</v>
          </cell>
          <cell r="J117">
            <v>40757</v>
          </cell>
          <cell r="K117">
            <v>182020.7</v>
          </cell>
          <cell r="L117">
            <v>815</v>
          </cell>
          <cell r="M117">
            <v>3639.7</v>
          </cell>
        </row>
        <row r="118">
          <cell r="G118" t="str">
            <v xml:space="preserve"> </v>
          </cell>
          <cell r="H118">
            <v>3377</v>
          </cell>
          <cell r="I118">
            <v>110147.6</v>
          </cell>
          <cell r="J118">
            <v>10908</v>
          </cell>
          <cell r="K118">
            <v>355786.2</v>
          </cell>
          <cell r="L118">
            <v>0</v>
          </cell>
          <cell r="M118">
            <v>0</v>
          </cell>
        </row>
        <row r="119">
          <cell r="G119" t="str">
            <v xml:space="preserve"> </v>
          </cell>
          <cell r="H119">
            <v>42127</v>
          </cell>
          <cell r="I119">
            <v>439005.4</v>
          </cell>
          <cell r="J119">
            <v>21677</v>
          </cell>
          <cell r="K119">
            <v>225896</v>
          </cell>
          <cell r="L119">
            <v>0</v>
          </cell>
          <cell r="M119">
            <v>0</v>
          </cell>
        </row>
        <row r="120">
          <cell r="G120" t="str">
            <v xml:space="preserve"> </v>
          </cell>
          <cell r="H120">
            <v>320</v>
          </cell>
          <cell r="I120">
            <v>113200.6</v>
          </cell>
          <cell r="K120">
            <v>0</v>
          </cell>
          <cell r="M120">
            <v>0</v>
          </cell>
        </row>
        <row r="121">
          <cell r="G121" t="str">
            <v xml:space="preserve"> </v>
          </cell>
          <cell r="H121">
            <v>4</v>
          </cell>
          <cell r="I121">
            <v>1756</v>
          </cell>
          <cell r="J121">
            <v>656</v>
          </cell>
          <cell r="K121">
            <v>287984</v>
          </cell>
          <cell r="L121">
            <v>0</v>
          </cell>
          <cell r="M121">
            <v>0</v>
          </cell>
        </row>
        <row r="122">
          <cell r="G122" t="str">
            <v xml:space="preserve"> </v>
          </cell>
          <cell r="H122">
            <v>36000</v>
          </cell>
          <cell r="I122">
            <v>3456000</v>
          </cell>
          <cell r="K122">
            <v>0</v>
          </cell>
          <cell r="M122">
            <v>0</v>
          </cell>
        </row>
        <row r="123">
          <cell r="G123" t="str">
            <v xml:space="preserve"> </v>
          </cell>
          <cell r="H123">
            <v>0</v>
          </cell>
          <cell r="I123">
            <v>0</v>
          </cell>
          <cell r="J123">
            <v>792305</v>
          </cell>
          <cell r="K123">
            <v>4406800.4000000004</v>
          </cell>
          <cell r="L123">
            <v>0</v>
          </cell>
          <cell r="M123">
            <v>0</v>
          </cell>
        </row>
        <row r="124">
          <cell r="G124" t="str">
            <v xml:space="preserve"> </v>
          </cell>
          <cell r="H124">
            <v>45177</v>
          </cell>
          <cell r="I124">
            <v>117415</v>
          </cell>
          <cell r="J124">
            <v>37052</v>
          </cell>
          <cell r="K124">
            <v>96298.1</v>
          </cell>
          <cell r="L124">
            <v>0</v>
          </cell>
          <cell r="M124">
            <v>0</v>
          </cell>
        </row>
        <row r="125">
          <cell r="G125" t="str">
            <v xml:space="preserve"> </v>
          </cell>
          <cell r="H125">
            <v>53796</v>
          </cell>
          <cell r="I125">
            <v>1560</v>
          </cell>
          <cell r="J125">
            <v>37052</v>
          </cell>
          <cell r="K125">
            <v>1074.5</v>
          </cell>
          <cell r="L125">
            <v>0</v>
          </cell>
          <cell r="M125">
            <v>0</v>
          </cell>
        </row>
        <row r="126">
          <cell r="G126" t="str">
            <v xml:space="preserve"> </v>
          </cell>
          <cell r="H126">
            <v>281902</v>
          </cell>
          <cell r="I126">
            <v>281902</v>
          </cell>
          <cell r="J126">
            <v>315520</v>
          </cell>
          <cell r="K126">
            <v>315520</v>
          </cell>
          <cell r="L126">
            <v>7636</v>
          </cell>
          <cell r="M126">
            <v>7636</v>
          </cell>
        </row>
        <row r="127">
          <cell r="G127" t="str">
            <v xml:space="preserve"> </v>
          </cell>
          <cell r="H127">
            <v>100</v>
          </cell>
          <cell r="I127">
            <v>-925.1</v>
          </cell>
          <cell r="K127">
            <v>0</v>
          </cell>
          <cell r="M127">
            <v>0</v>
          </cell>
        </row>
        <row r="128">
          <cell r="G128">
            <v>10676509</v>
          </cell>
          <cell r="I128">
            <v>4580352</v>
          </cell>
          <cell r="K128">
            <v>6084882</v>
          </cell>
          <cell r="M128">
            <v>11275</v>
          </cell>
        </row>
        <row r="131">
          <cell r="G131" t="str">
            <v>개소당</v>
          </cell>
          <cell r="H131">
            <v>0</v>
          </cell>
          <cell r="I131" t="str">
            <v xml:space="preserve"> </v>
          </cell>
          <cell r="J131">
            <v>0</v>
          </cell>
          <cell r="K131" t="str">
            <v xml:space="preserve"> </v>
          </cell>
          <cell r="M131" t="str">
            <v xml:space="preserve"> </v>
          </cell>
        </row>
        <row r="132">
          <cell r="G132" t="str">
            <v xml:space="preserve"> </v>
          </cell>
          <cell r="H132">
            <v>0</v>
          </cell>
          <cell r="I132">
            <v>0</v>
          </cell>
          <cell r="J132">
            <v>9263</v>
          </cell>
          <cell r="K132">
            <v>10207.799999999999</v>
          </cell>
          <cell r="L132">
            <v>0</v>
          </cell>
          <cell r="M132">
            <v>0</v>
          </cell>
        </row>
        <row r="133">
          <cell r="G133" t="str">
            <v xml:space="preserve"> </v>
          </cell>
          <cell r="H133">
            <v>0</v>
          </cell>
          <cell r="I133">
            <v>0</v>
          </cell>
          <cell r="J133">
            <v>7410</v>
          </cell>
          <cell r="K133">
            <v>4742.3999999999996</v>
          </cell>
          <cell r="L133">
            <v>0</v>
          </cell>
          <cell r="M133">
            <v>0</v>
          </cell>
        </row>
        <row r="134">
          <cell r="G134" t="str">
            <v xml:space="preserve"> </v>
          </cell>
          <cell r="H134">
            <v>0</v>
          </cell>
          <cell r="I134">
            <v>0</v>
          </cell>
          <cell r="J134">
            <v>7780</v>
          </cell>
          <cell r="K134">
            <v>3594.3</v>
          </cell>
          <cell r="L134">
            <v>0</v>
          </cell>
          <cell r="M134">
            <v>0</v>
          </cell>
        </row>
        <row r="135">
          <cell r="H135">
            <v>13500</v>
          </cell>
          <cell r="I135">
            <v>8248.5</v>
          </cell>
          <cell r="J135">
            <v>40757</v>
          </cell>
          <cell r="K135">
            <v>24902.5</v>
          </cell>
          <cell r="L135">
            <v>815</v>
          </cell>
          <cell r="M135">
            <v>497.9</v>
          </cell>
        </row>
        <row r="136">
          <cell r="G136" t="str">
            <v xml:space="preserve"> </v>
          </cell>
          <cell r="H136">
            <v>3377</v>
          </cell>
          <cell r="I136">
            <v>14892.5</v>
          </cell>
          <cell r="J136">
            <v>10908</v>
          </cell>
          <cell r="K136">
            <v>48104.2</v>
          </cell>
          <cell r="L136">
            <v>0</v>
          </cell>
          <cell r="M136">
            <v>0</v>
          </cell>
        </row>
        <row r="137">
          <cell r="G137" t="str">
            <v xml:space="preserve"> </v>
          </cell>
          <cell r="H137">
            <v>42127</v>
          </cell>
          <cell r="I137">
            <v>25823.8</v>
          </cell>
          <cell r="J137">
            <v>21677</v>
          </cell>
          <cell r="K137">
            <v>13288</v>
          </cell>
          <cell r="L137">
            <v>0</v>
          </cell>
          <cell r="M137">
            <v>0</v>
          </cell>
        </row>
        <row r="138">
          <cell r="G138" t="str">
            <v xml:space="preserve"> </v>
          </cell>
          <cell r="H138">
            <v>320</v>
          </cell>
          <cell r="I138">
            <v>13642.5</v>
          </cell>
          <cell r="K138">
            <v>0</v>
          </cell>
          <cell r="M138">
            <v>0</v>
          </cell>
        </row>
        <row r="139">
          <cell r="G139" t="str">
            <v xml:space="preserve"> </v>
          </cell>
          <cell r="H139">
            <v>4</v>
          </cell>
          <cell r="I139">
            <v>165.5</v>
          </cell>
          <cell r="J139">
            <v>656</v>
          </cell>
          <cell r="K139">
            <v>27153.1</v>
          </cell>
          <cell r="L139">
            <v>0</v>
          </cell>
          <cell r="M139">
            <v>0</v>
          </cell>
        </row>
        <row r="140">
          <cell r="G140" t="str">
            <v xml:space="preserve"> </v>
          </cell>
          <cell r="H140">
            <v>31653</v>
          </cell>
          <cell r="I140">
            <v>84830</v>
          </cell>
          <cell r="J140">
            <v>9466</v>
          </cell>
          <cell r="K140">
            <v>25368.799999999999</v>
          </cell>
          <cell r="L140">
            <v>0</v>
          </cell>
          <cell r="M140">
            <v>0</v>
          </cell>
        </row>
        <row r="141">
          <cell r="G141" t="str">
            <v xml:space="preserve"> </v>
          </cell>
          <cell r="H141">
            <v>42211</v>
          </cell>
          <cell r="I141">
            <v>62050.1</v>
          </cell>
          <cell r="J141">
            <v>8780</v>
          </cell>
          <cell r="K141">
            <v>12906.6</v>
          </cell>
          <cell r="L141">
            <v>0</v>
          </cell>
          <cell r="M141">
            <v>0</v>
          </cell>
        </row>
        <row r="142">
          <cell r="G142" t="str">
            <v xml:space="preserve"> </v>
          </cell>
          <cell r="H142">
            <v>100</v>
          </cell>
          <cell r="I142">
            <v>-86.8</v>
          </cell>
          <cell r="K142">
            <v>0</v>
          </cell>
          <cell r="M142">
            <v>0</v>
          </cell>
        </row>
        <row r="143">
          <cell r="G143">
            <v>380330</v>
          </cell>
          <cell r="I143">
            <v>209566</v>
          </cell>
          <cell r="K143">
            <v>170267</v>
          </cell>
          <cell r="M143">
            <v>497</v>
          </cell>
        </row>
        <row r="145">
          <cell r="G145" t="str">
            <v>개소당</v>
          </cell>
          <cell r="H145">
            <v>0</v>
          </cell>
          <cell r="I145" t="str">
            <v xml:space="preserve"> </v>
          </cell>
          <cell r="J145">
            <v>0</v>
          </cell>
          <cell r="K145" t="str">
            <v xml:space="preserve"> </v>
          </cell>
          <cell r="M145" t="str">
            <v xml:space="preserve"> </v>
          </cell>
        </row>
        <row r="146">
          <cell r="G146" t="str">
            <v xml:space="preserve"> </v>
          </cell>
          <cell r="H146">
            <v>0</v>
          </cell>
          <cell r="I146">
            <v>0</v>
          </cell>
          <cell r="J146">
            <v>9263</v>
          </cell>
          <cell r="K146">
            <v>7419.6</v>
          </cell>
          <cell r="L146">
            <v>0</v>
          </cell>
          <cell r="M146">
            <v>0</v>
          </cell>
        </row>
        <row r="147">
          <cell r="G147" t="str">
            <v xml:space="preserve"> </v>
          </cell>
          <cell r="H147">
            <v>0</v>
          </cell>
          <cell r="I147">
            <v>0</v>
          </cell>
          <cell r="J147">
            <v>7410</v>
          </cell>
          <cell r="K147">
            <v>3445.6</v>
          </cell>
          <cell r="L147">
            <v>0</v>
          </cell>
          <cell r="M147">
            <v>0</v>
          </cell>
        </row>
        <row r="148">
          <cell r="G148" t="str">
            <v xml:space="preserve"> </v>
          </cell>
          <cell r="H148">
            <v>0</v>
          </cell>
          <cell r="I148">
            <v>0</v>
          </cell>
          <cell r="J148">
            <v>7780</v>
          </cell>
          <cell r="K148">
            <v>2614</v>
          </cell>
          <cell r="L148">
            <v>0</v>
          </cell>
          <cell r="M148">
            <v>0</v>
          </cell>
        </row>
        <row r="149">
          <cell r="H149">
            <v>13500</v>
          </cell>
          <cell r="I149">
            <v>21303</v>
          </cell>
          <cell r="J149">
            <v>40757</v>
          </cell>
          <cell r="K149">
            <v>64314.5</v>
          </cell>
          <cell r="L149">
            <v>815</v>
          </cell>
          <cell r="M149">
            <v>1286</v>
          </cell>
        </row>
        <row r="150">
          <cell r="G150" t="str">
            <v xml:space="preserve"> </v>
          </cell>
          <cell r="H150">
            <v>3377</v>
          </cell>
          <cell r="I150">
            <v>23402.6</v>
          </cell>
          <cell r="J150">
            <v>10908</v>
          </cell>
          <cell r="K150">
            <v>75592.399999999994</v>
          </cell>
          <cell r="L150">
            <v>0</v>
          </cell>
          <cell r="M150">
            <v>0</v>
          </cell>
        </row>
        <row r="151">
          <cell r="G151" t="str">
            <v xml:space="preserve"> </v>
          </cell>
          <cell r="H151">
            <v>42127</v>
          </cell>
          <cell r="I151">
            <v>81094.399999999994</v>
          </cell>
          <cell r="J151">
            <v>21677</v>
          </cell>
          <cell r="K151">
            <v>41728.199999999997</v>
          </cell>
          <cell r="L151">
            <v>0</v>
          </cell>
          <cell r="M151">
            <v>0</v>
          </cell>
        </row>
        <row r="152">
          <cell r="G152" t="str">
            <v xml:space="preserve"> </v>
          </cell>
          <cell r="H152">
            <v>320</v>
          </cell>
          <cell r="I152">
            <v>32037.4</v>
          </cell>
          <cell r="K152">
            <v>0</v>
          </cell>
          <cell r="M152">
            <v>0</v>
          </cell>
        </row>
        <row r="153">
          <cell r="G153" t="str">
            <v xml:space="preserve"> </v>
          </cell>
          <cell r="H153">
            <v>4</v>
          </cell>
          <cell r="I153">
            <v>388.8</v>
          </cell>
          <cell r="J153">
            <v>656</v>
          </cell>
          <cell r="K153">
            <v>63763.8</v>
          </cell>
          <cell r="L153">
            <v>0</v>
          </cell>
          <cell r="M153">
            <v>0</v>
          </cell>
        </row>
        <row r="154">
          <cell r="G154" t="str">
            <v xml:space="preserve"> </v>
          </cell>
          <cell r="H154">
            <v>31653</v>
          </cell>
          <cell r="I154">
            <v>277913.3</v>
          </cell>
          <cell r="J154">
            <v>9466</v>
          </cell>
          <cell r="K154">
            <v>83111.399999999994</v>
          </cell>
          <cell r="L154">
            <v>0</v>
          </cell>
          <cell r="M154">
            <v>0</v>
          </cell>
        </row>
        <row r="155">
          <cell r="G155" t="str">
            <v xml:space="preserve"> </v>
          </cell>
          <cell r="H155">
            <v>42211</v>
          </cell>
          <cell r="I155">
            <v>202612.8</v>
          </cell>
          <cell r="J155">
            <v>8780</v>
          </cell>
          <cell r="K155">
            <v>42144</v>
          </cell>
          <cell r="L155">
            <v>0</v>
          </cell>
          <cell r="M155">
            <v>0</v>
          </cell>
        </row>
        <row r="156">
          <cell r="G156" t="str">
            <v xml:space="preserve"> </v>
          </cell>
          <cell r="H156">
            <v>100</v>
          </cell>
          <cell r="I156">
            <v>-204.1</v>
          </cell>
          <cell r="K156">
            <v>0</v>
          </cell>
          <cell r="M156">
            <v>0</v>
          </cell>
        </row>
        <row r="157">
          <cell r="G157">
            <v>1023967</v>
          </cell>
          <cell r="I157">
            <v>638548</v>
          </cell>
          <cell r="K157">
            <v>384133</v>
          </cell>
          <cell r="M157">
            <v>1286</v>
          </cell>
        </row>
        <row r="159">
          <cell r="G159" t="str">
            <v>개소당</v>
          </cell>
          <cell r="H159">
            <v>0</v>
          </cell>
          <cell r="I159" t="str">
            <v xml:space="preserve"> </v>
          </cell>
          <cell r="J159">
            <v>0</v>
          </cell>
          <cell r="K159" t="str">
            <v xml:space="preserve"> </v>
          </cell>
          <cell r="M159" t="str">
            <v xml:space="preserve"> </v>
          </cell>
        </row>
        <row r="160">
          <cell r="G160" t="str">
            <v xml:space="preserve"> </v>
          </cell>
          <cell r="H160">
            <v>0</v>
          </cell>
          <cell r="I160">
            <v>0</v>
          </cell>
          <cell r="J160">
            <v>9263</v>
          </cell>
          <cell r="K160">
            <v>7289.9</v>
          </cell>
          <cell r="L160">
            <v>0</v>
          </cell>
          <cell r="M160">
            <v>0</v>
          </cell>
        </row>
        <row r="161">
          <cell r="G161" t="str">
            <v xml:space="preserve"> </v>
          </cell>
          <cell r="H161">
            <v>0</v>
          </cell>
          <cell r="I161">
            <v>0</v>
          </cell>
          <cell r="J161">
            <v>7410</v>
          </cell>
          <cell r="K161">
            <v>3386.3</v>
          </cell>
          <cell r="L161">
            <v>0</v>
          </cell>
          <cell r="M161">
            <v>0</v>
          </cell>
        </row>
        <row r="162">
          <cell r="G162" t="str">
            <v xml:space="preserve"> </v>
          </cell>
          <cell r="H162">
            <v>0</v>
          </cell>
          <cell r="I162">
            <v>0</v>
          </cell>
          <cell r="J162">
            <v>7780</v>
          </cell>
          <cell r="K162">
            <v>2567.4</v>
          </cell>
          <cell r="L162">
            <v>0</v>
          </cell>
          <cell r="M162">
            <v>0</v>
          </cell>
        </row>
        <row r="163">
          <cell r="H163">
            <v>13500</v>
          </cell>
          <cell r="I163">
            <v>18522</v>
          </cell>
          <cell r="J163">
            <v>40757</v>
          </cell>
          <cell r="K163">
            <v>55918.6</v>
          </cell>
          <cell r="L163">
            <v>815</v>
          </cell>
          <cell r="M163">
            <v>1118.0999999999999</v>
          </cell>
        </row>
        <row r="164">
          <cell r="G164" t="str">
            <v xml:space="preserve"> </v>
          </cell>
          <cell r="H164">
            <v>3377</v>
          </cell>
          <cell r="I164">
            <v>26137.9</v>
          </cell>
          <cell r="J164">
            <v>10908</v>
          </cell>
          <cell r="K164">
            <v>84427.9</v>
          </cell>
          <cell r="L164">
            <v>0</v>
          </cell>
          <cell r="M164">
            <v>0</v>
          </cell>
        </row>
        <row r="165">
          <cell r="G165" t="str">
            <v xml:space="preserve"> </v>
          </cell>
          <cell r="H165">
            <v>42127</v>
          </cell>
          <cell r="I165">
            <v>63569.599999999999</v>
          </cell>
          <cell r="J165">
            <v>21677</v>
          </cell>
          <cell r="K165">
            <v>32710.5</v>
          </cell>
          <cell r="L165">
            <v>0</v>
          </cell>
          <cell r="M165">
            <v>0</v>
          </cell>
        </row>
        <row r="166">
          <cell r="G166" t="str">
            <v xml:space="preserve"> </v>
          </cell>
          <cell r="H166">
            <v>320</v>
          </cell>
          <cell r="I166">
            <v>23940.400000000001</v>
          </cell>
          <cell r="K166">
            <v>0</v>
          </cell>
          <cell r="M166">
            <v>0</v>
          </cell>
        </row>
        <row r="167">
          <cell r="G167" t="str">
            <v xml:space="preserve"> </v>
          </cell>
          <cell r="H167">
            <v>4</v>
          </cell>
          <cell r="I167">
            <v>290.5</v>
          </cell>
          <cell r="J167">
            <v>656</v>
          </cell>
          <cell r="K167">
            <v>47648.5</v>
          </cell>
          <cell r="L167">
            <v>0</v>
          </cell>
          <cell r="M167">
            <v>0</v>
          </cell>
        </row>
        <row r="168">
          <cell r="G168" t="str">
            <v xml:space="preserve"> </v>
          </cell>
          <cell r="H168">
            <v>31653</v>
          </cell>
          <cell r="I168">
            <v>212708.1</v>
          </cell>
          <cell r="J168">
            <v>9466</v>
          </cell>
          <cell r="K168">
            <v>63611.5</v>
          </cell>
          <cell r="L168">
            <v>0</v>
          </cell>
          <cell r="M168">
            <v>0</v>
          </cell>
        </row>
        <row r="169">
          <cell r="G169" t="str">
            <v xml:space="preserve"> </v>
          </cell>
          <cell r="H169">
            <v>42211</v>
          </cell>
          <cell r="I169">
            <v>154914.29999999999</v>
          </cell>
          <cell r="J169">
            <v>8780</v>
          </cell>
          <cell r="K169">
            <v>32222.6</v>
          </cell>
          <cell r="L169">
            <v>0</v>
          </cell>
          <cell r="M169">
            <v>0</v>
          </cell>
        </row>
        <row r="170">
          <cell r="G170" t="str">
            <v xml:space="preserve"> </v>
          </cell>
          <cell r="H170">
            <v>100</v>
          </cell>
          <cell r="I170">
            <v>-152.5</v>
          </cell>
          <cell r="K170">
            <v>0</v>
          </cell>
          <cell r="M170">
            <v>0</v>
          </cell>
        </row>
        <row r="171">
          <cell r="G171">
            <v>830831</v>
          </cell>
          <cell r="I171">
            <v>499930</v>
          </cell>
          <cell r="K171">
            <v>329783</v>
          </cell>
          <cell r="M171">
            <v>1118</v>
          </cell>
        </row>
        <row r="173">
          <cell r="G173" t="str">
            <v>개소당</v>
          </cell>
          <cell r="H173">
            <v>0</v>
          </cell>
          <cell r="I173" t="str">
            <v xml:space="preserve"> </v>
          </cell>
          <cell r="J173">
            <v>0</v>
          </cell>
          <cell r="K173" t="str">
            <v xml:space="preserve"> </v>
          </cell>
          <cell r="M173" t="str">
            <v xml:space="preserve"> </v>
          </cell>
        </row>
        <row r="174">
          <cell r="G174" t="str">
            <v xml:space="preserve"> </v>
          </cell>
          <cell r="H174">
            <v>0</v>
          </cell>
          <cell r="I174">
            <v>0</v>
          </cell>
          <cell r="J174">
            <v>9263</v>
          </cell>
          <cell r="K174">
            <v>4298</v>
          </cell>
          <cell r="L174">
            <v>0</v>
          </cell>
          <cell r="M174">
            <v>0</v>
          </cell>
        </row>
        <row r="175">
          <cell r="G175" t="str">
            <v xml:space="preserve"> </v>
          </cell>
          <cell r="H175">
            <v>0</v>
          </cell>
          <cell r="I175">
            <v>0</v>
          </cell>
          <cell r="J175">
            <v>7410</v>
          </cell>
          <cell r="K175">
            <v>1993.2</v>
          </cell>
          <cell r="L175">
            <v>0</v>
          </cell>
          <cell r="M175">
            <v>0</v>
          </cell>
        </row>
        <row r="176">
          <cell r="G176" t="str">
            <v xml:space="preserve"> </v>
          </cell>
          <cell r="H176">
            <v>0</v>
          </cell>
          <cell r="I176">
            <v>0</v>
          </cell>
          <cell r="J176">
            <v>7780</v>
          </cell>
          <cell r="K176">
            <v>1517.1</v>
          </cell>
          <cell r="L176">
            <v>0</v>
          </cell>
          <cell r="M176">
            <v>0</v>
          </cell>
        </row>
        <row r="177">
          <cell r="H177">
            <v>13500</v>
          </cell>
          <cell r="I177">
            <v>10921.5</v>
          </cell>
          <cell r="J177">
            <v>40757</v>
          </cell>
          <cell r="K177">
            <v>32972.400000000001</v>
          </cell>
          <cell r="L177">
            <v>815</v>
          </cell>
          <cell r="M177">
            <v>659.3</v>
          </cell>
        </row>
        <row r="178">
          <cell r="G178" t="str">
            <v xml:space="preserve"> </v>
          </cell>
          <cell r="H178">
            <v>3377</v>
          </cell>
          <cell r="I178">
            <v>21612.799999999999</v>
          </cell>
          <cell r="J178">
            <v>10908</v>
          </cell>
          <cell r="K178">
            <v>69811.199999999997</v>
          </cell>
          <cell r="L178">
            <v>0</v>
          </cell>
          <cell r="M178">
            <v>0</v>
          </cell>
        </row>
        <row r="179">
          <cell r="G179" t="str">
            <v xml:space="preserve"> </v>
          </cell>
          <cell r="H179">
            <v>42127</v>
          </cell>
          <cell r="I179">
            <v>81094.399999999994</v>
          </cell>
          <cell r="J179">
            <v>21677</v>
          </cell>
          <cell r="K179">
            <v>41728.199999999997</v>
          </cell>
          <cell r="L179">
            <v>0</v>
          </cell>
          <cell r="M179">
            <v>0</v>
          </cell>
        </row>
        <row r="180">
          <cell r="G180" t="str">
            <v xml:space="preserve"> </v>
          </cell>
          <cell r="H180">
            <v>320</v>
          </cell>
          <cell r="I180">
            <v>15856.3</v>
          </cell>
          <cell r="K180">
            <v>0</v>
          </cell>
          <cell r="M180">
            <v>0</v>
          </cell>
        </row>
        <row r="181">
          <cell r="G181" t="str">
            <v xml:space="preserve"> </v>
          </cell>
          <cell r="H181">
            <v>4</v>
          </cell>
          <cell r="I181">
            <v>196.4</v>
          </cell>
          <cell r="J181">
            <v>656</v>
          </cell>
          <cell r="K181">
            <v>32214.799999999999</v>
          </cell>
          <cell r="L181">
            <v>0</v>
          </cell>
          <cell r="M181">
            <v>0</v>
          </cell>
        </row>
        <row r="182">
          <cell r="G182" t="str">
            <v xml:space="preserve"> </v>
          </cell>
          <cell r="H182">
            <v>31653</v>
          </cell>
          <cell r="I182">
            <v>143388</v>
          </cell>
          <cell r="J182">
            <v>9466</v>
          </cell>
          <cell r="K182">
            <v>42880.9</v>
          </cell>
          <cell r="L182">
            <v>0</v>
          </cell>
          <cell r="M182">
            <v>0</v>
          </cell>
        </row>
        <row r="183">
          <cell r="G183" t="str">
            <v xml:space="preserve"> </v>
          </cell>
          <cell r="H183">
            <v>42211</v>
          </cell>
          <cell r="I183">
            <v>104261.1</v>
          </cell>
          <cell r="J183">
            <v>8780</v>
          </cell>
          <cell r="K183">
            <v>21686.6</v>
          </cell>
          <cell r="L183">
            <v>0</v>
          </cell>
          <cell r="M183">
            <v>0</v>
          </cell>
        </row>
        <row r="184">
          <cell r="G184" t="str">
            <v xml:space="preserve"> </v>
          </cell>
          <cell r="H184">
            <v>100</v>
          </cell>
          <cell r="I184">
            <v>-101</v>
          </cell>
          <cell r="K184">
            <v>0</v>
          </cell>
          <cell r="M184">
            <v>0</v>
          </cell>
        </row>
        <row r="185">
          <cell r="G185">
            <v>626990</v>
          </cell>
          <cell r="I185">
            <v>377229</v>
          </cell>
          <cell r="K185">
            <v>249102</v>
          </cell>
          <cell r="M185">
            <v>659</v>
          </cell>
        </row>
        <row r="187">
          <cell r="G187" t="str">
            <v>개소당</v>
          </cell>
          <cell r="H187">
            <v>0</v>
          </cell>
          <cell r="I187" t="str">
            <v xml:space="preserve"> </v>
          </cell>
          <cell r="J187">
            <v>0</v>
          </cell>
          <cell r="K187" t="str">
            <v xml:space="preserve"> </v>
          </cell>
          <cell r="M187" t="str">
            <v xml:space="preserve"> </v>
          </cell>
        </row>
        <row r="188">
          <cell r="G188" t="str">
            <v xml:space="preserve"> </v>
          </cell>
          <cell r="H188">
            <v>0</v>
          </cell>
          <cell r="I188">
            <v>0</v>
          </cell>
          <cell r="J188">
            <v>9263</v>
          </cell>
          <cell r="K188">
            <v>6076.5</v>
          </cell>
          <cell r="L188">
            <v>0</v>
          </cell>
          <cell r="M188">
            <v>0</v>
          </cell>
        </row>
        <row r="189">
          <cell r="G189" t="str">
            <v xml:space="preserve"> </v>
          </cell>
          <cell r="H189">
            <v>0</v>
          </cell>
          <cell r="I189">
            <v>0</v>
          </cell>
          <cell r="J189">
            <v>7410</v>
          </cell>
          <cell r="K189">
            <v>2823.2</v>
          </cell>
          <cell r="L189">
            <v>0</v>
          </cell>
          <cell r="M189">
            <v>0</v>
          </cell>
        </row>
        <row r="190">
          <cell r="G190" t="str">
            <v xml:space="preserve"> </v>
          </cell>
          <cell r="H190">
            <v>0</v>
          </cell>
          <cell r="I190">
            <v>0</v>
          </cell>
          <cell r="J190">
            <v>7780</v>
          </cell>
          <cell r="K190">
            <v>2139.5</v>
          </cell>
          <cell r="L190">
            <v>0</v>
          </cell>
          <cell r="M190">
            <v>0</v>
          </cell>
        </row>
        <row r="191">
          <cell r="H191">
            <v>13500</v>
          </cell>
          <cell r="I191">
            <v>19710</v>
          </cell>
          <cell r="J191">
            <v>40757</v>
          </cell>
          <cell r="K191">
            <v>59505.2</v>
          </cell>
          <cell r="L191">
            <v>815</v>
          </cell>
          <cell r="M191">
            <v>1189.9000000000001</v>
          </cell>
        </row>
        <row r="192">
          <cell r="G192" t="str">
            <v xml:space="preserve"> </v>
          </cell>
          <cell r="H192">
            <v>3377</v>
          </cell>
          <cell r="I192">
            <v>19586.599999999999</v>
          </cell>
          <cell r="J192">
            <v>10908</v>
          </cell>
          <cell r="K192">
            <v>63266.400000000001</v>
          </cell>
          <cell r="L192">
            <v>0</v>
          </cell>
          <cell r="M192">
            <v>0</v>
          </cell>
        </row>
        <row r="193">
          <cell r="G193" t="str">
            <v xml:space="preserve"> </v>
          </cell>
          <cell r="H193">
            <v>42127</v>
          </cell>
          <cell r="I193">
            <v>67403.199999999997</v>
          </cell>
          <cell r="J193">
            <v>21677</v>
          </cell>
          <cell r="K193">
            <v>34683.199999999997</v>
          </cell>
          <cell r="L193">
            <v>0</v>
          </cell>
          <cell r="M193">
            <v>0</v>
          </cell>
        </row>
        <row r="194">
          <cell r="G194" t="str">
            <v xml:space="preserve"> </v>
          </cell>
          <cell r="H194">
            <v>320</v>
          </cell>
          <cell r="I194">
            <v>23185.9</v>
          </cell>
          <cell r="K194">
            <v>0</v>
          </cell>
          <cell r="M194">
            <v>0</v>
          </cell>
        </row>
        <row r="195">
          <cell r="G195" t="str">
            <v xml:space="preserve"> </v>
          </cell>
          <cell r="H195">
            <v>4</v>
          </cell>
          <cell r="I195">
            <v>281.3</v>
          </cell>
          <cell r="J195">
            <v>656</v>
          </cell>
          <cell r="K195">
            <v>46146.9</v>
          </cell>
          <cell r="L195">
            <v>0</v>
          </cell>
          <cell r="M195">
            <v>0</v>
          </cell>
        </row>
        <row r="196">
          <cell r="G196" t="str">
            <v xml:space="preserve"> </v>
          </cell>
          <cell r="H196">
            <v>12480</v>
          </cell>
          <cell r="I196">
            <v>748.8</v>
          </cell>
          <cell r="J196">
            <v>9263</v>
          </cell>
          <cell r="K196">
            <v>555.70000000000005</v>
          </cell>
          <cell r="L196">
            <v>0</v>
          </cell>
          <cell r="M196">
            <v>0</v>
          </cell>
        </row>
        <row r="197">
          <cell r="G197" t="str">
            <v xml:space="preserve"> </v>
          </cell>
          <cell r="H197">
            <v>31653</v>
          </cell>
          <cell r="I197">
            <v>262719.90000000002</v>
          </cell>
          <cell r="J197">
            <v>9466</v>
          </cell>
          <cell r="K197">
            <v>78567.8</v>
          </cell>
          <cell r="L197">
            <v>0</v>
          </cell>
          <cell r="M197">
            <v>0</v>
          </cell>
        </row>
        <row r="198">
          <cell r="G198" t="str">
            <v xml:space="preserve"> </v>
          </cell>
          <cell r="H198">
            <v>42211</v>
          </cell>
          <cell r="I198">
            <v>156602.79999999999</v>
          </cell>
          <cell r="J198">
            <v>8780</v>
          </cell>
          <cell r="K198">
            <v>32573.8</v>
          </cell>
          <cell r="L198">
            <v>0</v>
          </cell>
          <cell r="M198">
            <v>0</v>
          </cell>
        </row>
        <row r="199">
          <cell r="G199" t="str">
            <v xml:space="preserve"> </v>
          </cell>
          <cell r="H199">
            <v>100</v>
          </cell>
          <cell r="I199">
            <v>-147.69999999999999</v>
          </cell>
          <cell r="K199">
            <v>0</v>
          </cell>
          <cell r="M199">
            <v>0</v>
          </cell>
        </row>
        <row r="200">
          <cell r="G200">
            <v>877617</v>
          </cell>
          <cell r="I200">
            <v>550090</v>
          </cell>
          <cell r="K200">
            <v>326338</v>
          </cell>
          <cell r="M200">
            <v>1189</v>
          </cell>
        </row>
        <row r="202">
          <cell r="G202" t="str">
            <v>개소당</v>
          </cell>
          <cell r="H202">
            <v>0</v>
          </cell>
          <cell r="I202" t="str">
            <v xml:space="preserve"> </v>
          </cell>
          <cell r="J202">
            <v>0</v>
          </cell>
          <cell r="K202" t="str">
            <v xml:space="preserve"> </v>
          </cell>
          <cell r="M202" t="str">
            <v xml:space="preserve"> </v>
          </cell>
        </row>
        <row r="203">
          <cell r="G203" t="str">
            <v xml:space="preserve"> </v>
          </cell>
          <cell r="H203">
            <v>0</v>
          </cell>
          <cell r="I203">
            <v>0</v>
          </cell>
          <cell r="J203">
            <v>9263</v>
          </cell>
          <cell r="K203">
            <v>11180.4</v>
          </cell>
          <cell r="L203">
            <v>0</v>
          </cell>
          <cell r="M203">
            <v>0</v>
          </cell>
        </row>
        <row r="204">
          <cell r="G204" t="str">
            <v xml:space="preserve"> </v>
          </cell>
          <cell r="H204">
            <v>0</v>
          </cell>
          <cell r="I204">
            <v>0</v>
          </cell>
          <cell r="J204">
            <v>7410</v>
          </cell>
          <cell r="K204">
            <v>5194.3999999999996</v>
          </cell>
          <cell r="L204">
            <v>0</v>
          </cell>
          <cell r="M204">
            <v>0</v>
          </cell>
        </row>
        <row r="205">
          <cell r="G205" t="str">
            <v xml:space="preserve"> </v>
          </cell>
          <cell r="H205">
            <v>0</v>
          </cell>
          <cell r="I205">
            <v>0</v>
          </cell>
          <cell r="J205">
            <v>7780</v>
          </cell>
          <cell r="K205">
            <v>3936.6</v>
          </cell>
          <cell r="L205">
            <v>0</v>
          </cell>
          <cell r="M205">
            <v>0</v>
          </cell>
        </row>
        <row r="206">
          <cell r="H206">
            <v>13500</v>
          </cell>
          <cell r="I206">
            <v>19710</v>
          </cell>
          <cell r="J206">
            <v>40757</v>
          </cell>
          <cell r="K206">
            <v>59505.2</v>
          </cell>
          <cell r="L206">
            <v>815</v>
          </cell>
          <cell r="M206">
            <v>1189.9000000000001</v>
          </cell>
        </row>
        <row r="207">
          <cell r="G207" t="str">
            <v xml:space="preserve"> </v>
          </cell>
          <cell r="H207">
            <v>3377</v>
          </cell>
          <cell r="I207">
            <v>37721</v>
          </cell>
          <cell r="J207">
            <v>10908</v>
          </cell>
          <cell r="K207">
            <v>121842.3</v>
          </cell>
          <cell r="L207">
            <v>0</v>
          </cell>
          <cell r="M207">
            <v>0</v>
          </cell>
        </row>
        <row r="208">
          <cell r="G208" t="str">
            <v xml:space="preserve"> </v>
          </cell>
          <cell r="H208">
            <v>42127</v>
          </cell>
          <cell r="I208">
            <v>114332.6</v>
          </cell>
          <cell r="J208">
            <v>21677</v>
          </cell>
          <cell r="K208">
            <v>58831.3</v>
          </cell>
          <cell r="L208">
            <v>0</v>
          </cell>
          <cell r="M208">
            <v>0</v>
          </cell>
        </row>
        <row r="209">
          <cell r="G209" t="str">
            <v xml:space="preserve"> </v>
          </cell>
          <cell r="H209">
            <v>320</v>
          </cell>
          <cell r="I209">
            <v>41298.800000000003</v>
          </cell>
          <cell r="K209">
            <v>0</v>
          </cell>
          <cell r="M209">
            <v>0</v>
          </cell>
        </row>
        <row r="210">
          <cell r="G210" t="str">
            <v xml:space="preserve"> </v>
          </cell>
          <cell r="H210">
            <v>4</v>
          </cell>
          <cell r="I210">
            <v>501.2</v>
          </cell>
          <cell r="J210">
            <v>656</v>
          </cell>
          <cell r="K210">
            <v>82196.800000000003</v>
          </cell>
          <cell r="L210">
            <v>0</v>
          </cell>
          <cell r="M210">
            <v>0</v>
          </cell>
        </row>
        <row r="211">
          <cell r="G211" t="str">
            <v xml:space="preserve"> </v>
          </cell>
          <cell r="H211">
            <v>12480</v>
          </cell>
          <cell r="I211">
            <v>773.7</v>
          </cell>
          <cell r="J211">
            <v>9263</v>
          </cell>
          <cell r="K211">
            <v>574.29999999999995</v>
          </cell>
          <cell r="L211">
            <v>0</v>
          </cell>
          <cell r="M211">
            <v>0</v>
          </cell>
        </row>
        <row r="212">
          <cell r="G212" t="str">
            <v xml:space="preserve"> </v>
          </cell>
          <cell r="H212">
            <v>31653</v>
          </cell>
          <cell r="I212">
            <v>422251</v>
          </cell>
          <cell r="J212">
            <v>9466</v>
          </cell>
          <cell r="K212">
            <v>126276.4</v>
          </cell>
          <cell r="L212">
            <v>0</v>
          </cell>
          <cell r="M212">
            <v>0</v>
          </cell>
        </row>
        <row r="213">
          <cell r="G213" t="str">
            <v xml:space="preserve"> </v>
          </cell>
          <cell r="H213">
            <v>42211</v>
          </cell>
          <cell r="I213">
            <v>271838.8</v>
          </cell>
          <cell r="J213">
            <v>8780</v>
          </cell>
          <cell r="K213">
            <v>56543.199999999997</v>
          </cell>
          <cell r="L213">
            <v>0</v>
          </cell>
          <cell r="M213">
            <v>0</v>
          </cell>
        </row>
        <row r="214">
          <cell r="G214" t="str">
            <v xml:space="preserve"> </v>
          </cell>
          <cell r="H214">
            <v>100</v>
          </cell>
          <cell r="I214">
            <v>-263.10000000000002</v>
          </cell>
          <cell r="K214">
            <v>0</v>
          </cell>
          <cell r="M214">
            <v>0</v>
          </cell>
        </row>
        <row r="215">
          <cell r="G215">
            <v>1435433</v>
          </cell>
          <cell r="I215">
            <v>908164</v>
          </cell>
          <cell r="K215">
            <v>526080</v>
          </cell>
          <cell r="M215">
            <v>1189</v>
          </cell>
        </row>
        <row r="217">
          <cell r="G217" t="str">
            <v>개소당</v>
          </cell>
          <cell r="H217">
            <v>0</v>
          </cell>
          <cell r="I217" t="str">
            <v xml:space="preserve"> </v>
          </cell>
          <cell r="J217">
            <v>0</v>
          </cell>
          <cell r="K217" t="str">
            <v xml:space="preserve"> </v>
          </cell>
          <cell r="M217" t="str">
            <v xml:space="preserve"> </v>
          </cell>
        </row>
        <row r="218">
          <cell r="G218" t="str">
            <v xml:space="preserve"> </v>
          </cell>
          <cell r="H218">
            <v>0</v>
          </cell>
          <cell r="I218">
            <v>0</v>
          </cell>
          <cell r="J218">
            <v>9263</v>
          </cell>
          <cell r="K218">
            <v>6317.3</v>
          </cell>
          <cell r="L218">
            <v>0</v>
          </cell>
          <cell r="M218">
            <v>0</v>
          </cell>
        </row>
        <row r="219">
          <cell r="G219" t="str">
            <v xml:space="preserve"> </v>
          </cell>
          <cell r="H219">
            <v>0</v>
          </cell>
          <cell r="I219">
            <v>0</v>
          </cell>
          <cell r="J219">
            <v>7410</v>
          </cell>
          <cell r="K219">
            <v>2934.3</v>
          </cell>
          <cell r="L219">
            <v>0</v>
          </cell>
          <cell r="M219">
            <v>0</v>
          </cell>
        </row>
        <row r="220">
          <cell r="G220" t="str">
            <v xml:space="preserve"> </v>
          </cell>
          <cell r="H220">
            <v>0</v>
          </cell>
          <cell r="I220">
            <v>0</v>
          </cell>
          <cell r="J220">
            <v>7780</v>
          </cell>
          <cell r="K220">
            <v>2225</v>
          </cell>
          <cell r="L220">
            <v>0</v>
          </cell>
          <cell r="M220">
            <v>0</v>
          </cell>
        </row>
        <row r="221">
          <cell r="H221">
            <v>13500</v>
          </cell>
          <cell r="I221">
            <v>25002</v>
          </cell>
          <cell r="J221">
            <v>40757</v>
          </cell>
          <cell r="K221">
            <v>75481.899999999994</v>
          </cell>
          <cell r="L221">
            <v>815</v>
          </cell>
          <cell r="M221">
            <v>1509.3</v>
          </cell>
        </row>
        <row r="222">
          <cell r="G222" t="str">
            <v xml:space="preserve"> </v>
          </cell>
          <cell r="H222">
            <v>3377</v>
          </cell>
          <cell r="I222">
            <v>24213</v>
          </cell>
          <cell r="J222">
            <v>10908</v>
          </cell>
          <cell r="K222">
            <v>78210.3</v>
          </cell>
          <cell r="L222">
            <v>0</v>
          </cell>
          <cell r="M222">
            <v>0</v>
          </cell>
        </row>
        <row r="223">
          <cell r="G223" t="str">
            <v xml:space="preserve"> </v>
          </cell>
          <cell r="H223">
            <v>42127</v>
          </cell>
          <cell r="I223">
            <v>84338.2</v>
          </cell>
          <cell r="J223">
            <v>21677</v>
          </cell>
          <cell r="K223">
            <v>43397.3</v>
          </cell>
          <cell r="L223">
            <v>0</v>
          </cell>
          <cell r="M223">
            <v>0</v>
          </cell>
        </row>
        <row r="224">
          <cell r="G224" t="str">
            <v xml:space="preserve"> </v>
          </cell>
          <cell r="H224">
            <v>320</v>
          </cell>
          <cell r="I224">
            <v>30072.9</v>
          </cell>
          <cell r="K224">
            <v>0</v>
          </cell>
          <cell r="M224">
            <v>0</v>
          </cell>
        </row>
        <row r="225">
          <cell r="G225" t="str">
            <v xml:space="preserve"> </v>
          </cell>
          <cell r="H225">
            <v>4</v>
          </cell>
          <cell r="I225">
            <v>364.9</v>
          </cell>
          <cell r="J225">
            <v>656</v>
          </cell>
          <cell r="K225">
            <v>59854</v>
          </cell>
          <cell r="L225">
            <v>0</v>
          </cell>
          <cell r="M225">
            <v>0</v>
          </cell>
        </row>
        <row r="226">
          <cell r="G226" t="str">
            <v xml:space="preserve"> </v>
          </cell>
          <cell r="H226">
            <v>12480</v>
          </cell>
          <cell r="I226">
            <v>773.7</v>
          </cell>
          <cell r="J226">
            <v>9263</v>
          </cell>
          <cell r="K226">
            <v>574.29999999999995</v>
          </cell>
          <cell r="L226">
            <v>0</v>
          </cell>
          <cell r="M226">
            <v>0</v>
          </cell>
        </row>
        <row r="227">
          <cell r="G227" t="str">
            <v xml:space="preserve"> </v>
          </cell>
          <cell r="H227">
            <v>31653</v>
          </cell>
          <cell r="I227">
            <v>339003.6</v>
          </cell>
          <cell r="J227">
            <v>9466</v>
          </cell>
          <cell r="K227">
            <v>101380.8</v>
          </cell>
          <cell r="L227">
            <v>0</v>
          </cell>
          <cell r="M227">
            <v>0</v>
          </cell>
        </row>
        <row r="228">
          <cell r="G228" t="str">
            <v xml:space="preserve"> </v>
          </cell>
          <cell r="H228">
            <v>42211</v>
          </cell>
          <cell r="I228">
            <v>211055</v>
          </cell>
          <cell r="J228">
            <v>8780</v>
          </cell>
          <cell r="K228">
            <v>43900</v>
          </cell>
          <cell r="L228">
            <v>0</v>
          </cell>
          <cell r="M228">
            <v>0</v>
          </cell>
        </row>
        <row r="229">
          <cell r="G229" t="str">
            <v xml:space="preserve"> </v>
          </cell>
          <cell r="H229">
            <v>100</v>
          </cell>
          <cell r="I229">
            <v>-191.5</v>
          </cell>
          <cell r="K229">
            <v>0</v>
          </cell>
          <cell r="M229">
            <v>0</v>
          </cell>
        </row>
        <row r="230">
          <cell r="G230">
            <v>1130415</v>
          </cell>
          <cell r="I230">
            <v>714631</v>
          </cell>
          <cell r="K230">
            <v>414275</v>
          </cell>
          <cell r="M230">
            <v>1509</v>
          </cell>
        </row>
        <row r="232">
          <cell r="G232" t="str">
            <v>개소당</v>
          </cell>
          <cell r="H232">
            <v>0</v>
          </cell>
          <cell r="I232" t="str">
            <v xml:space="preserve"> </v>
          </cell>
          <cell r="J232">
            <v>0</v>
          </cell>
          <cell r="K232" t="str">
            <v xml:space="preserve"> </v>
          </cell>
          <cell r="M232" t="str">
            <v xml:space="preserve"> </v>
          </cell>
        </row>
        <row r="233">
          <cell r="G233" t="str">
            <v xml:space="preserve"> </v>
          </cell>
          <cell r="H233">
            <v>0</v>
          </cell>
          <cell r="I233">
            <v>0</v>
          </cell>
          <cell r="J233">
            <v>9263</v>
          </cell>
          <cell r="K233">
            <v>6317.3</v>
          </cell>
          <cell r="L233">
            <v>0</v>
          </cell>
          <cell r="M233">
            <v>0</v>
          </cell>
        </row>
        <row r="234">
          <cell r="G234" t="str">
            <v xml:space="preserve"> </v>
          </cell>
          <cell r="H234">
            <v>0</v>
          </cell>
          <cell r="I234">
            <v>0</v>
          </cell>
          <cell r="J234">
            <v>7410</v>
          </cell>
          <cell r="K234">
            <v>2934.3</v>
          </cell>
          <cell r="L234">
            <v>0</v>
          </cell>
          <cell r="M234">
            <v>0</v>
          </cell>
        </row>
        <row r="235">
          <cell r="G235" t="str">
            <v xml:space="preserve"> </v>
          </cell>
          <cell r="H235">
            <v>0</v>
          </cell>
          <cell r="I235">
            <v>0</v>
          </cell>
          <cell r="J235">
            <v>7780</v>
          </cell>
          <cell r="K235">
            <v>2225</v>
          </cell>
          <cell r="L235">
            <v>0</v>
          </cell>
          <cell r="M235">
            <v>0</v>
          </cell>
        </row>
        <row r="236">
          <cell r="H236">
            <v>13500</v>
          </cell>
          <cell r="I236">
            <v>16132.5</v>
          </cell>
          <cell r="J236">
            <v>40757</v>
          </cell>
          <cell r="K236">
            <v>48704.6</v>
          </cell>
          <cell r="L236">
            <v>815</v>
          </cell>
          <cell r="M236">
            <v>973.9</v>
          </cell>
        </row>
        <row r="237">
          <cell r="G237" t="str">
            <v xml:space="preserve"> </v>
          </cell>
          <cell r="H237">
            <v>3377</v>
          </cell>
          <cell r="I237">
            <v>19620.3</v>
          </cell>
          <cell r="J237">
            <v>10908</v>
          </cell>
          <cell r="K237">
            <v>63375.4</v>
          </cell>
          <cell r="L237">
            <v>0</v>
          </cell>
          <cell r="M237">
            <v>0</v>
          </cell>
        </row>
        <row r="238">
          <cell r="G238" t="str">
            <v xml:space="preserve"> </v>
          </cell>
          <cell r="H238">
            <v>42127</v>
          </cell>
          <cell r="I238">
            <v>64622.8</v>
          </cell>
          <cell r="J238">
            <v>21677</v>
          </cell>
          <cell r="K238">
            <v>33252.5</v>
          </cell>
          <cell r="L238">
            <v>0</v>
          </cell>
          <cell r="M238">
            <v>0</v>
          </cell>
        </row>
        <row r="239">
          <cell r="G239" t="str">
            <v xml:space="preserve"> </v>
          </cell>
          <cell r="H239">
            <v>320</v>
          </cell>
          <cell r="I239">
            <v>22710.400000000001</v>
          </cell>
          <cell r="K239">
            <v>0</v>
          </cell>
          <cell r="M239">
            <v>0</v>
          </cell>
        </row>
        <row r="240">
          <cell r="G240" t="str">
            <v xml:space="preserve"> </v>
          </cell>
          <cell r="H240">
            <v>4</v>
          </cell>
          <cell r="I240">
            <v>275.60000000000002</v>
          </cell>
          <cell r="J240">
            <v>656</v>
          </cell>
          <cell r="K240">
            <v>45200.3</v>
          </cell>
          <cell r="L240">
            <v>0</v>
          </cell>
          <cell r="M240">
            <v>0</v>
          </cell>
        </row>
        <row r="241">
          <cell r="G241" t="str">
            <v xml:space="preserve"> </v>
          </cell>
          <cell r="H241">
            <v>31653</v>
          </cell>
          <cell r="I241">
            <v>210492.4</v>
          </cell>
          <cell r="J241">
            <v>9466</v>
          </cell>
          <cell r="K241">
            <v>62948.9</v>
          </cell>
          <cell r="L241">
            <v>0</v>
          </cell>
          <cell r="M241">
            <v>0</v>
          </cell>
        </row>
        <row r="242">
          <cell r="G242" t="str">
            <v xml:space="preserve"> </v>
          </cell>
          <cell r="H242">
            <v>42211</v>
          </cell>
          <cell r="I242">
            <v>153648</v>
          </cell>
          <cell r="J242">
            <v>8780</v>
          </cell>
          <cell r="K242">
            <v>31959.200000000001</v>
          </cell>
          <cell r="L242">
            <v>0</v>
          </cell>
          <cell r="M242">
            <v>0</v>
          </cell>
        </row>
        <row r="243">
          <cell r="G243" t="str">
            <v xml:space="preserve"> </v>
          </cell>
          <cell r="H243">
            <v>100</v>
          </cell>
          <cell r="I243">
            <v>-144.6</v>
          </cell>
          <cell r="K243">
            <v>0</v>
          </cell>
          <cell r="M243">
            <v>0</v>
          </cell>
        </row>
        <row r="244">
          <cell r="G244">
            <v>785247</v>
          </cell>
          <cell r="I244">
            <v>487357</v>
          </cell>
          <cell r="K244">
            <v>296917</v>
          </cell>
          <cell r="M244">
            <v>973</v>
          </cell>
        </row>
        <row r="246">
          <cell r="G246" t="str">
            <v>개소당</v>
          </cell>
          <cell r="H246">
            <v>0</v>
          </cell>
          <cell r="I246" t="str">
            <v xml:space="preserve"> </v>
          </cell>
          <cell r="J246">
            <v>0</v>
          </cell>
          <cell r="K246" t="str">
            <v xml:space="preserve"> </v>
          </cell>
          <cell r="M246" t="str">
            <v xml:space="preserve"> </v>
          </cell>
        </row>
        <row r="247">
          <cell r="G247" t="str">
            <v xml:space="preserve"> </v>
          </cell>
          <cell r="H247">
            <v>0</v>
          </cell>
          <cell r="I247">
            <v>0</v>
          </cell>
          <cell r="J247">
            <v>9263</v>
          </cell>
          <cell r="K247">
            <v>6317.3</v>
          </cell>
          <cell r="L247">
            <v>0</v>
          </cell>
          <cell r="M247">
            <v>0</v>
          </cell>
        </row>
        <row r="248">
          <cell r="G248" t="str">
            <v xml:space="preserve"> </v>
          </cell>
          <cell r="H248">
            <v>0</v>
          </cell>
          <cell r="I248">
            <v>0</v>
          </cell>
          <cell r="J248">
            <v>7410</v>
          </cell>
          <cell r="K248">
            <v>2934.3</v>
          </cell>
          <cell r="L248">
            <v>0</v>
          </cell>
          <cell r="M248">
            <v>0</v>
          </cell>
        </row>
        <row r="249">
          <cell r="G249" t="str">
            <v xml:space="preserve"> </v>
          </cell>
          <cell r="H249">
            <v>0</v>
          </cell>
          <cell r="I249">
            <v>0</v>
          </cell>
          <cell r="J249">
            <v>7780</v>
          </cell>
          <cell r="K249">
            <v>2225</v>
          </cell>
          <cell r="L249">
            <v>0</v>
          </cell>
          <cell r="M249">
            <v>0</v>
          </cell>
        </row>
        <row r="250">
          <cell r="H250">
            <v>13500</v>
          </cell>
          <cell r="I250">
            <v>19953</v>
          </cell>
          <cell r="J250">
            <v>40757</v>
          </cell>
          <cell r="K250">
            <v>60238.8</v>
          </cell>
          <cell r="L250">
            <v>815</v>
          </cell>
          <cell r="M250">
            <v>1204.5</v>
          </cell>
        </row>
        <row r="251">
          <cell r="G251" t="str">
            <v xml:space="preserve"> </v>
          </cell>
          <cell r="H251">
            <v>3377</v>
          </cell>
          <cell r="I251">
            <v>22693.4</v>
          </cell>
          <cell r="J251">
            <v>10908</v>
          </cell>
          <cell r="K251">
            <v>73301.7</v>
          </cell>
          <cell r="L251">
            <v>0</v>
          </cell>
          <cell r="M251">
            <v>0</v>
          </cell>
        </row>
        <row r="252">
          <cell r="G252" t="str">
            <v xml:space="preserve"> </v>
          </cell>
          <cell r="H252">
            <v>42127</v>
          </cell>
          <cell r="I252">
            <v>76671.100000000006</v>
          </cell>
          <cell r="J252">
            <v>21677</v>
          </cell>
          <cell r="K252">
            <v>39452.1</v>
          </cell>
          <cell r="L252">
            <v>0</v>
          </cell>
          <cell r="M252">
            <v>0</v>
          </cell>
        </row>
        <row r="253">
          <cell r="G253" t="str">
            <v xml:space="preserve"> </v>
          </cell>
          <cell r="H253">
            <v>320</v>
          </cell>
          <cell r="I253">
            <v>27842.799999999999</v>
          </cell>
          <cell r="K253">
            <v>0</v>
          </cell>
          <cell r="M253">
            <v>0</v>
          </cell>
        </row>
        <row r="254">
          <cell r="G254" t="str">
            <v xml:space="preserve"> </v>
          </cell>
          <cell r="H254">
            <v>4</v>
          </cell>
          <cell r="I254">
            <v>337.9</v>
          </cell>
          <cell r="J254">
            <v>656</v>
          </cell>
          <cell r="K254">
            <v>55415.6</v>
          </cell>
          <cell r="L254">
            <v>0</v>
          </cell>
          <cell r="M254">
            <v>0</v>
          </cell>
        </row>
        <row r="255">
          <cell r="G255" t="str">
            <v xml:space="preserve"> </v>
          </cell>
          <cell r="H255">
            <v>31653</v>
          </cell>
          <cell r="I255">
            <v>263352.90000000002</v>
          </cell>
          <cell r="J255">
            <v>9466</v>
          </cell>
          <cell r="K255">
            <v>78757.100000000006</v>
          </cell>
          <cell r="L255">
            <v>0</v>
          </cell>
          <cell r="M255">
            <v>0</v>
          </cell>
        </row>
        <row r="256">
          <cell r="G256" t="str">
            <v xml:space="preserve"> </v>
          </cell>
          <cell r="H256">
            <v>42211</v>
          </cell>
          <cell r="I256">
            <v>192060</v>
          </cell>
          <cell r="J256">
            <v>8780</v>
          </cell>
          <cell r="K256">
            <v>39949</v>
          </cell>
          <cell r="L256">
            <v>0</v>
          </cell>
          <cell r="M256">
            <v>0</v>
          </cell>
        </row>
        <row r="257">
          <cell r="G257" t="str">
            <v xml:space="preserve"> </v>
          </cell>
          <cell r="H257">
            <v>100</v>
          </cell>
          <cell r="I257">
            <v>-177.3</v>
          </cell>
          <cell r="K257">
            <v>0</v>
          </cell>
          <cell r="M257">
            <v>0</v>
          </cell>
        </row>
        <row r="258">
          <cell r="G258">
            <v>962527</v>
          </cell>
          <cell r="I258">
            <v>602733</v>
          </cell>
          <cell r="K258">
            <v>358590</v>
          </cell>
          <cell r="M258">
            <v>1204</v>
          </cell>
        </row>
        <row r="260">
          <cell r="G260" t="str">
            <v>개소당</v>
          </cell>
          <cell r="H260">
            <v>0</v>
          </cell>
          <cell r="I260" t="str">
            <v xml:space="preserve"> </v>
          </cell>
          <cell r="J260">
            <v>0</v>
          </cell>
          <cell r="K260" t="str">
            <v xml:space="preserve"> </v>
          </cell>
          <cell r="M260" t="str">
            <v xml:space="preserve"> </v>
          </cell>
        </row>
        <row r="261">
          <cell r="G261" t="str">
            <v xml:space="preserve"> </v>
          </cell>
          <cell r="H261">
            <v>0</v>
          </cell>
          <cell r="I261">
            <v>0</v>
          </cell>
          <cell r="J261">
            <v>9263</v>
          </cell>
          <cell r="K261">
            <v>3566.2</v>
          </cell>
          <cell r="L261">
            <v>0</v>
          </cell>
          <cell r="M261">
            <v>0</v>
          </cell>
        </row>
        <row r="262">
          <cell r="G262" t="str">
            <v xml:space="preserve"> </v>
          </cell>
          <cell r="H262">
            <v>0</v>
          </cell>
          <cell r="I262">
            <v>0</v>
          </cell>
          <cell r="J262">
            <v>7410</v>
          </cell>
          <cell r="K262">
            <v>1548.6</v>
          </cell>
          <cell r="L262">
            <v>0</v>
          </cell>
          <cell r="M262">
            <v>0</v>
          </cell>
        </row>
        <row r="263">
          <cell r="G263" t="str">
            <v xml:space="preserve"> </v>
          </cell>
          <cell r="H263">
            <v>0</v>
          </cell>
          <cell r="I263">
            <v>0</v>
          </cell>
          <cell r="J263">
            <v>7780</v>
          </cell>
          <cell r="K263">
            <v>1369.2</v>
          </cell>
          <cell r="L263">
            <v>0</v>
          </cell>
          <cell r="M263">
            <v>0</v>
          </cell>
        </row>
        <row r="264">
          <cell r="G264" t="str">
            <v xml:space="preserve"> </v>
          </cell>
          <cell r="H264">
            <v>3377</v>
          </cell>
          <cell r="I264">
            <v>4322.5</v>
          </cell>
          <cell r="J264">
            <v>10908</v>
          </cell>
          <cell r="K264">
            <v>13962.2</v>
          </cell>
          <cell r="L264">
            <v>0</v>
          </cell>
          <cell r="M264">
            <v>0</v>
          </cell>
        </row>
        <row r="265">
          <cell r="G265" t="str">
            <v xml:space="preserve"> </v>
          </cell>
          <cell r="H265">
            <v>39188</v>
          </cell>
          <cell r="I265">
            <v>8190.2</v>
          </cell>
          <cell r="J265">
            <v>19650</v>
          </cell>
          <cell r="K265">
            <v>4106.8</v>
          </cell>
          <cell r="L265">
            <v>0</v>
          </cell>
          <cell r="M265">
            <v>0</v>
          </cell>
        </row>
        <row r="266">
          <cell r="H266">
            <v>23000</v>
          </cell>
          <cell r="I266">
            <v>42780</v>
          </cell>
          <cell r="K266">
            <v>0</v>
          </cell>
          <cell r="M266">
            <v>0</v>
          </cell>
        </row>
        <row r="267">
          <cell r="H267">
            <v>133000</v>
          </cell>
          <cell r="I267">
            <v>718200</v>
          </cell>
          <cell r="K267">
            <v>0</v>
          </cell>
          <cell r="M267">
            <v>0</v>
          </cell>
        </row>
        <row r="268">
          <cell r="G268" t="str">
            <v xml:space="preserve"> </v>
          </cell>
          <cell r="H268">
            <v>75.5</v>
          </cell>
          <cell r="I268">
            <v>4530</v>
          </cell>
          <cell r="K268">
            <v>0</v>
          </cell>
          <cell r="M268">
            <v>0</v>
          </cell>
        </row>
        <row r="269">
          <cell r="H269">
            <v>0</v>
          </cell>
          <cell r="I269">
            <v>0</v>
          </cell>
          <cell r="J269">
            <v>107349</v>
          </cell>
          <cell r="K269">
            <v>499172.8</v>
          </cell>
          <cell r="L269">
            <v>0</v>
          </cell>
          <cell r="M269">
            <v>0</v>
          </cell>
        </row>
        <row r="270">
          <cell r="G270">
            <v>1301747</v>
          </cell>
          <cell r="I270">
            <v>778022</v>
          </cell>
          <cell r="K270">
            <v>523725</v>
          </cell>
          <cell r="M270">
            <v>0</v>
          </cell>
        </row>
        <row r="272">
          <cell r="G272" t="str">
            <v>개소당</v>
          </cell>
          <cell r="H272">
            <v>0</v>
          </cell>
          <cell r="I272" t="str">
            <v xml:space="preserve"> </v>
          </cell>
          <cell r="J272">
            <v>0</v>
          </cell>
          <cell r="K272" t="str">
            <v xml:space="preserve"> </v>
          </cell>
          <cell r="M272" t="str">
            <v xml:space="preserve"> </v>
          </cell>
        </row>
        <row r="273">
          <cell r="G273" t="str">
            <v xml:space="preserve"> </v>
          </cell>
          <cell r="H273">
            <v>0</v>
          </cell>
          <cell r="I273">
            <v>0</v>
          </cell>
          <cell r="J273">
            <v>9263</v>
          </cell>
          <cell r="K273">
            <v>7743.8</v>
          </cell>
          <cell r="L273">
            <v>0</v>
          </cell>
          <cell r="M273">
            <v>0</v>
          </cell>
        </row>
        <row r="274">
          <cell r="G274" t="str">
            <v xml:space="preserve"> </v>
          </cell>
          <cell r="H274">
            <v>0</v>
          </cell>
          <cell r="I274">
            <v>0</v>
          </cell>
          <cell r="J274">
            <v>7410</v>
          </cell>
          <cell r="K274">
            <v>4564.5</v>
          </cell>
          <cell r="L274">
            <v>0</v>
          </cell>
          <cell r="M274">
            <v>0</v>
          </cell>
        </row>
        <row r="275">
          <cell r="G275" t="str">
            <v xml:space="preserve"> </v>
          </cell>
          <cell r="H275">
            <v>0</v>
          </cell>
          <cell r="I275">
            <v>0</v>
          </cell>
          <cell r="J275">
            <v>7780</v>
          </cell>
          <cell r="K275">
            <v>1711.6</v>
          </cell>
          <cell r="L275">
            <v>0</v>
          </cell>
          <cell r="M275">
            <v>0</v>
          </cell>
        </row>
        <row r="276">
          <cell r="G276" t="str">
            <v xml:space="preserve"> </v>
          </cell>
          <cell r="H276">
            <v>3377</v>
          </cell>
          <cell r="I276">
            <v>9138.1</v>
          </cell>
          <cell r="J276">
            <v>10908</v>
          </cell>
          <cell r="K276">
            <v>29517</v>
          </cell>
          <cell r="L276">
            <v>0</v>
          </cell>
          <cell r="M276">
            <v>0</v>
          </cell>
        </row>
        <row r="277">
          <cell r="G277" t="str">
            <v xml:space="preserve"> </v>
          </cell>
          <cell r="H277">
            <v>42127</v>
          </cell>
          <cell r="I277">
            <v>14955</v>
          </cell>
          <cell r="J277">
            <v>21677</v>
          </cell>
          <cell r="K277">
            <v>7695.3</v>
          </cell>
          <cell r="L277">
            <v>0</v>
          </cell>
          <cell r="M277">
            <v>0</v>
          </cell>
        </row>
        <row r="278">
          <cell r="G278" t="str">
            <v xml:space="preserve"> </v>
          </cell>
          <cell r="H278">
            <v>42211</v>
          </cell>
          <cell r="I278">
            <v>104261.1</v>
          </cell>
          <cell r="J278">
            <v>8780</v>
          </cell>
          <cell r="K278">
            <v>21686.6</v>
          </cell>
          <cell r="L278">
            <v>0</v>
          </cell>
          <cell r="M278">
            <v>0</v>
          </cell>
        </row>
        <row r="279">
          <cell r="G279" t="str">
            <v xml:space="preserve"> </v>
          </cell>
          <cell r="H279">
            <v>31653</v>
          </cell>
          <cell r="I279">
            <v>61406.8</v>
          </cell>
          <cell r="J279">
            <v>9466</v>
          </cell>
          <cell r="K279">
            <v>18364</v>
          </cell>
          <cell r="L279">
            <v>0</v>
          </cell>
          <cell r="M279">
            <v>0</v>
          </cell>
        </row>
        <row r="280">
          <cell r="G280" t="str">
            <v xml:space="preserve"> </v>
          </cell>
          <cell r="H280">
            <v>10393</v>
          </cell>
          <cell r="I280">
            <v>17148.400000000001</v>
          </cell>
          <cell r="J280">
            <v>20339</v>
          </cell>
          <cell r="K280">
            <v>33559.300000000003</v>
          </cell>
          <cell r="L280">
            <v>0</v>
          </cell>
          <cell r="M280">
            <v>0</v>
          </cell>
        </row>
        <row r="281">
          <cell r="G281" t="str">
            <v xml:space="preserve"> </v>
          </cell>
          <cell r="H281">
            <v>4857</v>
          </cell>
          <cell r="I281">
            <v>3982.7</v>
          </cell>
          <cell r="J281">
            <v>11173</v>
          </cell>
          <cell r="K281">
            <v>9161.7999999999993</v>
          </cell>
          <cell r="L281">
            <v>0</v>
          </cell>
          <cell r="M281">
            <v>0</v>
          </cell>
        </row>
        <row r="282">
          <cell r="G282">
            <v>344895</v>
          </cell>
          <cell r="I282">
            <v>210892</v>
          </cell>
          <cell r="K282">
            <v>134003</v>
          </cell>
          <cell r="M282">
            <v>0</v>
          </cell>
        </row>
        <row r="284">
          <cell r="G284" t="str">
            <v>개소당</v>
          </cell>
          <cell r="H284">
            <v>0</v>
          </cell>
          <cell r="I284" t="str">
            <v xml:space="preserve"> </v>
          </cell>
          <cell r="J284">
            <v>0</v>
          </cell>
          <cell r="K284" t="str">
            <v xml:space="preserve"> </v>
          </cell>
          <cell r="M284" t="str">
            <v xml:space="preserve"> </v>
          </cell>
        </row>
        <row r="285">
          <cell r="G285" t="str">
            <v xml:space="preserve"> </v>
          </cell>
          <cell r="H285">
            <v>0</v>
          </cell>
          <cell r="I285">
            <v>0</v>
          </cell>
          <cell r="J285">
            <v>9263</v>
          </cell>
          <cell r="K285">
            <v>37283.5</v>
          </cell>
          <cell r="L285">
            <v>0</v>
          </cell>
          <cell r="M285">
            <v>0</v>
          </cell>
        </row>
        <row r="286">
          <cell r="G286" t="str">
            <v xml:space="preserve"> </v>
          </cell>
          <cell r="H286">
            <v>0</v>
          </cell>
          <cell r="I286">
            <v>0</v>
          </cell>
          <cell r="J286">
            <v>7410</v>
          </cell>
          <cell r="K286">
            <v>20095.900000000001</v>
          </cell>
          <cell r="L286">
            <v>0</v>
          </cell>
          <cell r="M286">
            <v>0</v>
          </cell>
        </row>
        <row r="287">
          <cell r="G287" t="str">
            <v xml:space="preserve"> </v>
          </cell>
          <cell r="H287">
            <v>0</v>
          </cell>
          <cell r="I287">
            <v>0</v>
          </cell>
          <cell r="J287">
            <v>7780</v>
          </cell>
          <cell r="K287">
            <v>10215.1</v>
          </cell>
          <cell r="L287">
            <v>0</v>
          </cell>
          <cell r="M287">
            <v>0</v>
          </cell>
        </row>
        <row r="288">
          <cell r="H288">
            <v>13500</v>
          </cell>
          <cell r="I288">
            <v>11434.5</v>
          </cell>
          <cell r="J288">
            <v>40757</v>
          </cell>
          <cell r="K288">
            <v>34521.1</v>
          </cell>
          <cell r="L288">
            <v>815</v>
          </cell>
          <cell r="M288">
            <v>690.3</v>
          </cell>
        </row>
        <row r="289">
          <cell r="G289" t="str">
            <v xml:space="preserve"> </v>
          </cell>
          <cell r="H289">
            <v>9734</v>
          </cell>
          <cell r="I289">
            <v>659867.80000000005</v>
          </cell>
          <cell r="J289">
            <v>34089</v>
          </cell>
          <cell r="K289">
            <v>2310893.2999999998</v>
          </cell>
          <cell r="L289">
            <v>0</v>
          </cell>
          <cell r="M289">
            <v>0</v>
          </cell>
        </row>
        <row r="290">
          <cell r="G290" t="str">
            <v xml:space="preserve"> </v>
          </cell>
          <cell r="H290">
            <v>42127</v>
          </cell>
          <cell r="I290">
            <v>337353</v>
          </cell>
          <cell r="J290">
            <v>21677</v>
          </cell>
          <cell r="K290">
            <v>173589.4</v>
          </cell>
          <cell r="L290">
            <v>0</v>
          </cell>
          <cell r="M290">
            <v>0</v>
          </cell>
        </row>
        <row r="291">
          <cell r="G291" t="str">
            <v xml:space="preserve"> </v>
          </cell>
          <cell r="H291">
            <v>320</v>
          </cell>
          <cell r="I291">
            <v>110086.7</v>
          </cell>
          <cell r="K291">
            <v>0</v>
          </cell>
          <cell r="M291">
            <v>0</v>
          </cell>
        </row>
        <row r="292">
          <cell r="G292" t="str">
            <v xml:space="preserve"> </v>
          </cell>
          <cell r="H292">
            <v>4</v>
          </cell>
          <cell r="I292">
            <v>1336</v>
          </cell>
          <cell r="J292">
            <v>656</v>
          </cell>
          <cell r="K292">
            <v>219104.6</v>
          </cell>
          <cell r="L292">
            <v>0</v>
          </cell>
          <cell r="M292">
            <v>0</v>
          </cell>
        </row>
        <row r="293">
          <cell r="G293" t="str">
            <v xml:space="preserve"> </v>
          </cell>
          <cell r="H293">
            <v>100</v>
          </cell>
          <cell r="I293">
            <v>-701.4</v>
          </cell>
          <cell r="K293">
            <v>0</v>
          </cell>
          <cell r="M293">
            <v>0</v>
          </cell>
        </row>
        <row r="294">
          <cell r="G294">
            <v>3925768</v>
          </cell>
          <cell r="I294">
            <v>1119376</v>
          </cell>
          <cell r="K294">
            <v>2805702</v>
          </cell>
          <cell r="M294">
            <v>690</v>
          </cell>
        </row>
        <row r="296">
          <cell r="G296" t="str">
            <v>개소당</v>
          </cell>
          <cell r="H296">
            <v>0</v>
          </cell>
          <cell r="I296" t="str">
            <v xml:space="preserve"> </v>
          </cell>
          <cell r="J296">
            <v>0</v>
          </cell>
          <cell r="K296" t="str">
            <v xml:space="preserve"> </v>
          </cell>
          <cell r="M296" t="str">
            <v xml:space="preserve"> </v>
          </cell>
        </row>
        <row r="297">
          <cell r="G297" t="str">
            <v xml:space="preserve"> </v>
          </cell>
          <cell r="H297">
            <v>0</v>
          </cell>
          <cell r="I297">
            <v>0</v>
          </cell>
          <cell r="J297">
            <v>9263</v>
          </cell>
          <cell r="K297">
            <v>41340.699999999997</v>
          </cell>
          <cell r="L297">
            <v>0</v>
          </cell>
          <cell r="M297">
            <v>0</v>
          </cell>
        </row>
        <row r="298">
          <cell r="G298" t="str">
            <v xml:space="preserve"> </v>
          </cell>
          <cell r="H298">
            <v>0</v>
          </cell>
          <cell r="I298">
            <v>0</v>
          </cell>
          <cell r="J298">
            <v>7410</v>
          </cell>
          <cell r="K298">
            <v>17020.7</v>
          </cell>
          <cell r="L298">
            <v>0</v>
          </cell>
          <cell r="M298">
            <v>0</v>
          </cell>
        </row>
        <row r="299">
          <cell r="G299" t="str">
            <v xml:space="preserve"> </v>
          </cell>
          <cell r="H299">
            <v>0</v>
          </cell>
          <cell r="I299">
            <v>0</v>
          </cell>
          <cell r="J299">
            <v>7780</v>
          </cell>
          <cell r="K299">
            <v>16851.400000000001</v>
          </cell>
          <cell r="L299">
            <v>0</v>
          </cell>
          <cell r="M299">
            <v>0</v>
          </cell>
        </row>
        <row r="300">
          <cell r="H300">
            <v>13500</v>
          </cell>
          <cell r="I300">
            <v>7857</v>
          </cell>
          <cell r="J300">
            <v>40757</v>
          </cell>
          <cell r="K300">
            <v>23720.5</v>
          </cell>
          <cell r="L300">
            <v>815</v>
          </cell>
          <cell r="M300">
            <v>474.3</v>
          </cell>
        </row>
        <row r="301">
          <cell r="G301" t="str">
            <v xml:space="preserve"> </v>
          </cell>
          <cell r="H301">
            <v>9734</v>
          </cell>
          <cell r="I301">
            <v>177645.5</v>
          </cell>
          <cell r="J301">
            <v>34089</v>
          </cell>
          <cell r="K301">
            <v>622124.19999999995</v>
          </cell>
          <cell r="L301">
            <v>0</v>
          </cell>
          <cell r="M301">
            <v>0</v>
          </cell>
        </row>
        <row r="302">
          <cell r="G302" t="str">
            <v xml:space="preserve"> </v>
          </cell>
          <cell r="H302">
            <v>42127</v>
          </cell>
          <cell r="I302">
            <v>100599.2</v>
          </cell>
          <cell r="J302">
            <v>21677</v>
          </cell>
          <cell r="K302">
            <v>51764.6</v>
          </cell>
          <cell r="L302">
            <v>0</v>
          </cell>
          <cell r="M302">
            <v>0</v>
          </cell>
        </row>
        <row r="303">
          <cell r="G303" t="str">
            <v xml:space="preserve"> </v>
          </cell>
          <cell r="H303">
            <v>320</v>
          </cell>
          <cell r="I303">
            <v>34664.300000000003</v>
          </cell>
          <cell r="K303">
            <v>0</v>
          </cell>
          <cell r="M303">
            <v>0</v>
          </cell>
        </row>
        <row r="304">
          <cell r="G304" t="str">
            <v xml:space="preserve"> </v>
          </cell>
          <cell r="H304">
            <v>4</v>
          </cell>
          <cell r="I304">
            <v>420.6</v>
          </cell>
          <cell r="J304">
            <v>656</v>
          </cell>
          <cell r="K304">
            <v>68992.100000000006</v>
          </cell>
          <cell r="L304">
            <v>0</v>
          </cell>
          <cell r="M304">
            <v>0</v>
          </cell>
        </row>
        <row r="305">
          <cell r="G305" t="str">
            <v xml:space="preserve"> </v>
          </cell>
          <cell r="H305">
            <v>100</v>
          </cell>
          <cell r="I305">
            <v>-220.8</v>
          </cell>
          <cell r="K305">
            <v>0</v>
          </cell>
          <cell r="M305">
            <v>0</v>
          </cell>
        </row>
        <row r="306">
          <cell r="G306">
            <v>1163253</v>
          </cell>
          <cell r="I306">
            <v>320965</v>
          </cell>
          <cell r="K306">
            <v>841814</v>
          </cell>
          <cell r="M306">
            <v>474</v>
          </cell>
        </row>
        <row r="308">
          <cell r="G308" t="str">
            <v>개소당</v>
          </cell>
          <cell r="H308">
            <v>0</v>
          </cell>
          <cell r="I308" t="str">
            <v xml:space="preserve"> </v>
          </cell>
          <cell r="J308">
            <v>0</v>
          </cell>
          <cell r="K308" t="str">
            <v xml:space="preserve"> </v>
          </cell>
          <cell r="M308" t="str">
            <v xml:space="preserve"> </v>
          </cell>
        </row>
        <row r="309">
          <cell r="G309" t="str">
            <v xml:space="preserve"> </v>
          </cell>
          <cell r="H309">
            <v>0</v>
          </cell>
          <cell r="I309">
            <v>0</v>
          </cell>
          <cell r="J309">
            <v>9263</v>
          </cell>
          <cell r="K309">
            <v>15534</v>
          </cell>
          <cell r="L309">
            <v>0</v>
          </cell>
          <cell r="M309">
            <v>0</v>
          </cell>
        </row>
        <row r="310">
          <cell r="G310" t="str">
            <v xml:space="preserve"> </v>
          </cell>
          <cell r="H310">
            <v>0</v>
          </cell>
          <cell r="I310">
            <v>0</v>
          </cell>
          <cell r="J310">
            <v>7410</v>
          </cell>
          <cell r="K310">
            <v>5861.3</v>
          </cell>
          <cell r="L310">
            <v>0</v>
          </cell>
          <cell r="M310">
            <v>0</v>
          </cell>
        </row>
        <row r="311">
          <cell r="G311" t="str">
            <v xml:space="preserve"> </v>
          </cell>
          <cell r="H311">
            <v>0</v>
          </cell>
          <cell r="I311">
            <v>0</v>
          </cell>
          <cell r="J311">
            <v>7780</v>
          </cell>
          <cell r="K311">
            <v>6893</v>
          </cell>
          <cell r="L311">
            <v>0</v>
          </cell>
          <cell r="M311">
            <v>0</v>
          </cell>
        </row>
        <row r="312">
          <cell r="H312">
            <v>13500</v>
          </cell>
          <cell r="I312">
            <v>3078</v>
          </cell>
          <cell r="J312">
            <v>40757</v>
          </cell>
          <cell r="K312">
            <v>9292.5</v>
          </cell>
          <cell r="L312">
            <v>815</v>
          </cell>
          <cell r="M312">
            <v>185.8</v>
          </cell>
        </row>
        <row r="313">
          <cell r="G313" t="str">
            <v xml:space="preserve"> </v>
          </cell>
          <cell r="H313">
            <v>3377</v>
          </cell>
          <cell r="I313">
            <v>2566.5</v>
          </cell>
          <cell r="J313">
            <v>10908</v>
          </cell>
          <cell r="K313">
            <v>8290</v>
          </cell>
          <cell r="L313">
            <v>0</v>
          </cell>
          <cell r="M313">
            <v>0</v>
          </cell>
        </row>
        <row r="314">
          <cell r="G314" t="str">
            <v xml:space="preserve"> </v>
          </cell>
          <cell r="H314">
            <v>42127</v>
          </cell>
          <cell r="I314">
            <v>14491.6</v>
          </cell>
          <cell r="J314">
            <v>21677</v>
          </cell>
          <cell r="K314">
            <v>7456.8</v>
          </cell>
          <cell r="L314">
            <v>0</v>
          </cell>
          <cell r="M314">
            <v>0</v>
          </cell>
        </row>
        <row r="315">
          <cell r="G315" t="str">
            <v xml:space="preserve"> </v>
          </cell>
          <cell r="H315">
            <v>26636</v>
          </cell>
          <cell r="I315">
            <v>159816</v>
          </cell>
          <cell r="K315">
            <v>0</v>
          </cell>
          <cell r="M315">
            <v>0</v>
          </cell>
        </row>
        <row r="316">
          <cell r="G316" t="str">
            <v xml:space="preserve"> </v>
          </cell>
          <cell r="H316">
            <v>0</v>
          </cell>
          <cell r="I316">
            <v>0</v>
          </cell>
          <cell r="J316">
            <v>792305</v>
          </cell>
          <cell r="K316">
            <v>285229.8</v>
          </cell>
          <cell r="L316">
            <v>0</v>
          </cell>
          <cell r="M316">
            <v>0</v>
          </cell>
        </row>
        <row r="317">
          <cell r="G317" t="str">
            <v xml:space="preserve"> </v>
          </cell>
          <cell r="H317">
            <v>53796</v>
          </cell>
          <cell r="I317">
            <v>64.5</v>
          </cell>
          <cell r="J317">
            <v>37052</v>
          </cell>
          <cell r="K317">
            <v>44.4</v>
          </cell>
          <cell r="L317">
            <v>0</v>
          </cell>
          <cell r="M317">
            <v>0</v>
          </cell>
        </row>
        <row r="318">
          <cell r="G318">
            <v>518802</v>
          </cell>
          <cell r="I318">
            <v>180016</v>
          </cell>
          <cell r="K318">
            <v>338601</v>
          </cell>
          <cell r="M318">
            <v>185</v>
          </cell>
        </row>
        <row r="320">
          <cell r="G320" t="str">
            <v>개소당</v>
          </cell>
          <cell r="H320">
            <v>0</v>
          </cell>
          <cell r="I320" t="str">
            <v xml:space="preserve"> </v>
          </cell>
          <cell r="J320">
            <v>0</v>
          </cell>
          <cell r="K320" t="str">
            <v xml:space="preserve"> </v>
          </cell>
          <cell r="M320" t="str">
            <v xml:space="preserve"> </v>
          </cell>
        </row>
        <row r="321">
          <cell r="G321" t="str">
            <v xml:space="preserve"> </v>
          </cell>
          <cell r="H321">
            <v>0</v>
          </cell>
          <cell r="I321">
            <v>0</v>
          </cell>
          <cell r="J321">
            <v>9263</v>
          </cell>
          <cell r="K321">
            <v>8735</v>
          </cell>
          <cell r="L321">
            <v>0</v>
          </cell>
          <cell r="M321">
            <v>0</v>
          </cell>
        </row>
        <row r="322">
          <cell r="G322" t="str">
            <v xml:space="preserve"> </v>
          </cell>
          <cell r="H322">
            <v>0</v>
          </cell>
          <cell r="I322">
            <v>0</v>
          </cell>
          <cell r="J322">
            <v>7410</v>
          </cell>
          <cell r="K322">
            <v>3423.4</v>
          </cell>
          <cell r="L322">
            <v>0</v>
          </cell>
          <cell r="M322">
            <v>0</v>
          </cell>
        </row>
        <row r="323">
          <cell r="G323" t="str">
            <v xml:space="preserve"> </v>
          </cell>
          <cell r="H323">
            <v>0</v>
          </cell>
          <cell r="I323">
            <v>0</v>
          </cell>
          <cell r="J323">
            <v>7780</v>
          </cell>
          <cell r="K323">
            <v>3742.1</v>
          </cell>
          <cell r="L323">
            <v>0</v>
          </cell>
          <cell r="M323">
            <v>0</v>
          </cell>
        </row>
        <row r="324">
          <cell r="H324">
            <v>13500</v>
          </cell>
          <cell r="I324">
            <v>3402</v>
          </cell>
          <cell r="J324">
            <v>40757</v>
          </cell>
          <cell r="K324">
            <v>10270.700000000001</v>
          </cell>
          <cell r="L324">
            <v>815</v>
          </cell>
          <cell r="M324">
            <v>205.3</v>
          </cell>
        </row>
        <row r="325">
          <cell r="G325" t="str">
            <v xml:space="preserve"> </v>
          </cell>
          <cell r="H325">
            <v>3377</v>
          </cell>
          <cell r="I325">
            <v>3005.5</v>
          </cell>
          <cell r="J325">
            <v>10908</v>
          </cell>
          <cell r="K325">
            <v>9708.1</v>
          </cell>
          <cell r="L325">
            <v>0</v>
          </cell>
          <cell r="M325">
            <v>0</v>
          </cell>
        </row>
        <row r="326">
          <cell r="G326" t="str">
            <v xml:space="preserve"> </v>
          </cell>
          <cell r="H326">
            <v>42127</v>
          </cell>
          <cell r="I326">
            <v>6445.4</v>
          </cell>
          <cell r="J326">
            <v>21677</v>
          </cell>
          <cell r="K326">
            <v>3316.5</v>
          </cell>
          <cell r="L326">
            <v>0</v>
          </cell>
          <cell r="M326">
            <v>0</v>
          </cell>
        </row>
        <row r="327">
          <cell r="G327" t="str">
            <v xml:space="preserve"> </v>
          </cell>
          <cell r="H327">
            <v>42211</v>
          </cell>
          <cell r="I327">
            <v>118190.8</v>
          </cell>
          <cell r="J327">
            <v>8780</v>
          </cell>
          <cell r="K327">
            <v>24584</v>
          </cell>
          <cell r="L327">
            <v>0</v>
          </cell>
          <cell r="M327">
            <v>0</v>
          </cell>
        </row>
        <row r="328">
          <cell r="G328" t="str">
            <v xml:space="preserve"> </v>
          </cell>
          <cell r="H328">
            <v>31653</v>
          </cell>
          <cell r="I328">
            <v>22790.1</v>
          </cell>
          <cell r="J328">
            <v>9466</v>
          </cell>
          <cell r="K328">
            <v>6815.5</v>
          </cell>
          <cell r="L328">
            <v>0</v>
          </cell>
          <cell r="M328">
            <v>0</v>
          </cell>
        </row>
        <row r="329">
          <cell r="G329" t="str">
            <v xml:space="preserve"> </v>
          </cell>
          <cell r="H329">
            <v>10393</v>
          </cell>
          <cell r="I329">
            <v>19746.7</v>
          </cell>
          <cell r="J329">
            <v>20339</v>
          </cell>
          <cell r="K329">
            <v>38644.1</v>
          </cell>
          <cell r="L329">
            <v>0</v>
          </cell>
          <cell r="M329">
            <v>0</v>
          </cell>
        </row>
        <row r="330">
          <cell r="G330" t="str">
            <v xml:space="preserve"> </v>
          </cell>
          <cell r="H330">
            <v>4857</v>
          </cell>
          <cell r="I330">
            <v>3788.4</v>
          </cell>
          <cell r="J330">
            <v>11173</v>
          </cell>
          <cell r="K330">
            <v>8714.9</v>
          </cell>
          <cell r="L330">
            <v>0</v>
          </cell>
          <cell r="M330">
            <v>0</v>
          </cell>
        </row>
        <row r="331">
          <cell r="G331">
            <v>295527</v>
          </cell>
          <cell r="I331">
            <v>177368</v>
          </cell>
          <cell r="K331">
            <v>117954</v>
          </cell>
          <cell r="M331">
            <v>205</v>
          </cell>
        </row>
        <row r="333">
          <cell r="G333" t="str">
            <v>개소당</v>
          </cell>
          <cell r="H333">
            <v>0</v>
          </cell>
          <cell r="I333" t="str">
            <v xml:space="preserve"> </v>
          </cell>
          <cell r="J333">
            <v>0</v>
          </cell>
          <cell r="K333" t="str">
            <v xml:space="preserve"> </v>
          </cell>
          <cell r="M333" t="str">
            <v xml:space="preserve"> </v>
          </cell>
        </row>
        <row r="334">
          <cell r="G334" t="str">
            <v xml:space="preserve"> </v>
          </cell>
          <cell r="H334">
            <v>0</v>
          </cell>
          <cell r="I334">
            <v>0</v>
          </cell>
          <cell r="J334">
            <v>9263</v>
          </cell>
          <cell r="K334">
            <v>36125.699999999997</v>
          </cell>
          <cell r="L334">
            <v>0</v>
          </cell>
          <cell r="M334">
            <v>0</v>
          </cell>
        </row>
        <row r="335">
          <cell r="G335" t="str">
            <v xml:space="preserve"> </v>
          </cell>
          <cell r="H335">
            <v>0</v>
          </cell>
          <cell r="I335">
            <v>0</v>
          </cell>
          <cell r="J335">
            <v>7410</v>
          </cell>
          <cell r="K335">
            <v>13626.9</v>
          </cell>
          <cell r="L335">
            <v>0</v>
          </cell>
          <cell r="M335">
            <v>0</v>
          </cell>
        </row>
        <row r="336">
          <cell r="G336" t="str">
            <v xml:space="preserve"> </v>
          </cell>
          <cell r="H336">
            <v>0</v>
          </cell>
          <cell r="I336">
            <v>0</v>
          </cell>
          <cell r="J336">
            <v>7780</v>
          </cell>
          <cell r="K336">
            <v>16034.5</v>
          </cell>
          <cell r="L336">
            <v>0</v>
          </cell>
          <cell r="M336">
            <v>0</v>
          </cell>
        </row>
        <row r="337">
          <cell r="H337">
            <v>13500</v>
          </cell>
          <cell r="I337">
            <v>10368</v>
          </cell>
          <cell r="J337">
            <v>40757</v>
          </cell>
          <cell r="K337">
            <v>31301.3</v>
          </cell>
          <cell r="L337">
            <v>815</v>
          </cell>
          <cell r="M337">
            <v>625.9</v>
          </cell>
        </row>
        <row r="338">
          <cell r="G338" t="str">
            <v xml:space="preserve"> </v>
          </cell>
          <cell r="H338">
            <v>9734</v>
          </cell>
          <cell r="I338">
            <v>247340.9</v>
          </cell>
          <cell r="J338">
            <v>34089</v>
          </cell>
          <cell r="K338">
            <v>866201.4</v>
          </cell>
          <cell r="L338">
            <v>0</v>
          </cell>
          <cell r="M338">
            <v>0</v>
          </cell>
        </row>
        <row r="339">
          <cell r="G339" t="str">
            <v xml:space="preserve"> </v>
          </cell>
          <cell r="H339">
            <v>42127</v>
          </cell>
          <cell r="I339">
            <v>132531.5</v>
          </cell>
          <cell r="J339">
            <v>21677</v>
          </cell>
          <cell r="K339">
            <v>68195.8</v>
          </cell>
          <cell r="L339">
            <v>0</v>
          </cell>
          <cell r="M339">
            <v>0</v>
          </cell>
        </row>
        <row r="340">
          <cell r="G340" t="str">
            <v xml:space="preserve"> </v>
          </cell>
          <cell r="H340">
            <v>320</v>
          </cell>
          <cell r="I340">
            <v>44074.5</v>
          </cell>
          <cell r="K340">
            <v>0</v>
          </cell>
          <cell r="M340">
            <v>0</v>
          </cell>
        </row>
        <row r="341">
          <cell r="G341" t="str">
            <v xml:space="preserve"> </v>
          </cell>
          <cell r="H341">
            <v>4</v>
          </cell>
          <cell r="I341">
            <v>534.79999999999995</v>
          </cell>
          <cell r="J341">
            <v>656</v>
          </cell>
          <cell r="K341">
            <v>87721.600000000006</v>
          </cell>
          <cell r="L341">
            <v>0</v>
          </cell>
          <cell r="M341">
            <v>0</v>
          </cell>
        </row>
        <row r="342">
          <cell r="G342" t="str">
            <v xml:space="preserve"> </v>
          </cell>
          <cell r="H342">
            <v>335065</v>
          </cell>
          <cell r="I342">
            <v>335065</v>
          </cell>
          <cell r="J342">
            <v>377947</v>
          </cell>
          <cell r="K342">
            <v>377947</v>
          </cell>
          <cell r="L342">
            <v>8840</v>
          </cell>
          <cell r="M342">
            <v>8840</v>
          </cell>
        </row>
        <row r="343">
          <cell r="G343" t="str">
            <v xml:space="preserve"> </v>
          </cell>
          <cell r="H343">
            <v>100</v>
          </cell>
          <cell r="I343">
            <v>-280.7</v>
          </cell>
          <cell r="K343">
            <v>0</v>
          </cell>
          <cell r="M343">
            <v>0</v>
          </cell>
        </row>
        <row r="344">
          <cell r="G344">
            <v>2276253</v>
          </cell>
          <cell r="I344">
            <v>769634</v>
          </cell>
          <cell r="K344">
            <v>1497154</v>
          </cell>
          <cell r="M344">
            <v>9465</v>
          </cell>
        </row>
        <row r="346">
          <cell r="G346" t="str">
            <v>개소당</v>
          </cell>
          <cell r="H346">
            <v>0</v>
          </cell>
          <cell r="I346" t="str">
            <v xml:space="preserve"> </v>
          </cell>
          <cell r="J346">
            <v>0</v>
          </cell>
          <cell r="K346" t="str">
            <v xml:space="preserve"> </v>
          </cell>
          <cell r="M346" t="str">
            <v xml:space="preserve"> </v>
          </cell>
        </row>
        <row r="347">
          <cell r="G347" t="str">
            <v xml:space="preserve"> </v>
          </cell>
          <cell r="H347">
            <v>0</v>
          </cell>
          <cell r="I347">
            <v>0</v>
          </cell>
          <cell r="J347">
            <v>9263</v>
          </cell>
          <cell r="K347">
            <v>31679.4</v>
          </cell>
          <cell r="L347">
            <v>0</v>
          </cell>
          <cell r="M347">
            <v>0</v>
          </cell>
        </row>
        <row r="348">
          <cell r="G348" t="str">
            <v xml:space="preserve"> </v>
          </cell>
          <cell r="H348">
            <v>0</v>
          </cell>
          <cell r="I348">
            <v>0</v>
          </cell>
          <cell r="J348">
            <v>7410</v>
          </cell>
          <cell r="K348">
            <v>11907.8</v>
          </cell>
          <cell r="L348">
            <v>0</v>
          </cell>
          <cell r="M348">
            <v>0</v>
          </cell>
        </row>
        <row r="349">
          <cell r="G349" t="str">
            <v xml:space="preserve"> </v>
          </cell>
          <cell r="H349">
            <v>0</v>
          </cell>
          <cell r="I349">
            <v>0</v>
          </cell>
          <cell r="J349">
            <v>7780</v>
          </cell>
          <cell r="K349">
            <v>14105.1</v>
          </cell>
          <cell r="L349">
            <v>0</v>
          </cell>
          <cell r="M349">
            <v>0</v>
          </cell>
        </row>
        <row r="350">
          <cell r="H350">
            <v>13500</v>
          </cell>
          <cell r="I350">
            <v>5670</v>
          </cell>
          <cell r="J350">
            <v>40757</v>
          </cell>
          <cell r="K350">
            <v>17117.900000000001</v>
          </cell>
          <cell r="L350">
            <v>815</v>
          </cell>
          <cell r="M350">
            <v>342.3</v>
          </cell>
        </row>
        <row r="351">
          <cell r="G351" t="str">
            <v xml:space="preserve"> </v>
          </cell>
          <cell r="H351">
            <v>9734</v>
          </cell>
          <cell r="I351">
            <v>207528.8</v>
          </cell>
          <cell r="J351">
            <v>34089</v>
          </cell>
          <cell r="K351">
            <v>726777.4</v>
          </cell>
          <cell r="L351">
            <v>0</v>
          </cell>
          <cell r="M351">
            <v>0</v>
          </cell>
        </row>
        <row r="352">
          <cell r="G352" t="str">
            <v xml:space="preserve"> </v>
          </cell>
          <cell r="H352">
            <v>42127</v>
          </cell>
          <cell r="I352">
            <v>111383.7</v>
          </cell>
          <cell r="J352">
            <v>21677</v>
          </cell>
          <cell r="K352">
            <v>57313.9</v>
          </cell>
          <cell r="L352">
            <v>0</v>
          </cell>
          <cell r="M352">
            <v>0</v>
          </cell>
        </row>
        <row r="353">
          <cell r="G353" t="str">
            <v xml:space="preserve"> </v>
          </cell>
          <cell r="H353">
            <v>320</v>
          </cell>
          <cell r="I353">
            <v>37166.400000000001</v>
          </cell>
          <cell r="K353">
            <v>0</v>
          </cell>
          <cell r="M353">
            <v>0</v>
          </cell>
        </row>
        <row r="354">
          <cell r="G354" t="str">
            <v xml:space="preserve"> </v>
          </cell>
          <cell r="H354">
            <v>4</v>
          </cell>
          <cell r="I354">
            <v>451</v>
          </cell>
          <cell r="J354">
            <v>656</v>
          </cell>
          <cell r="K354">
            <v>73972.5</v>
          </cell>
          <cell r="L354">
            <v>0</v>
          </cell>
          <cell r="M354">
            <v>0</v>
          </cell>
        </row>
        <row r="355">
          <cell r="G355" t="str">
            <v xml:space="preserve"> </v>
          </cell>
          <cell r="H355">
            <v>328252</v>
          </cell>
          <cell r="I355">
            <v>328252</v>
          </cell>
          <cell r="J355">
            <v>372443</v>
          </cell>
          <cell r="K355">
            <v>372443</v>
          </cell>
          <cell r="L355">
            <v>8668</v>
          </cell>
          <cell r="M355">
            <v>8668</v>
          </cell>
        </row>
        <row r="356">
          <cell r="G356" t="str">
            <v xml:space="preserve"> </v>
          </cell>
          <cell r="H356">
            <v>100</v>
          </cell>
          <cell r="I356">
            <v>-236.7</v>
          </cell>
          <cell r="K356">
            <v>0</v>
          </cell>
          <cell r="M356">
            <v>0</v>
          </cell>
        </row>
        <row r="357">
          <cell r="G357">
            <v>2004542</v>
          </cell>
          <cell r="I357">
            <v>690215</v>
          </cell>
          <cell r="K357">
            <v>1305317</v>
          </cell>
          <cell r="M357">
            <v>9010</v>
          </cell>
        </row>
        <row r="359">
          <cell r="G359" t="str">
            <v>개소당</v>
          </cell>
          <cell r="H359">
            <v>0</v>
          </cell>
          <cell r="I359" t="str">
            <v xml:space="preserve"> </v>
          </cell>
          <cell r="J359">
            <v>0</v>
          </cell>
          <cell r="K359" t="str">
            <v xml:space="preserve"> </v>
          </cell>
          <cell r="M359" t="str">
            <v xml:space="preserve"> </v>
          </cell>
        </row>
        <row r="360">
          <cell r="G360" t="str">
            <v xml:space="preserve"> </v>
          </cell>
          <cell r="H360">
            <v>0</v>
          </cell>
          <cell r="I360">
            <v>0</v>
          </cell>
          <cell r="J360">
            <v>9263</v>
          </cell>
          <cell r="K360">
            <v>43906.6</v>
          </cell>
          <cell r="L360">
            <v>0</v>
          </cell>
          <cell r="M360">
            <v>0</v>
          </cell>
        </row>
        <row r="361">
          <cell r="G361" t="str">
            <v xml:space="preserve"> </v>
          </cell>
          <cell r="H361">
            <v>0</v>
          </cell>
          <cell r="I361">
            <v>0</v>
          </cell>
          <cell r="J361">
            <v>7410</v>
          </cell>
          <cell r="K361">
            <v>16635.400000000001</v>
          </cell>
          <cell r="L361">
            <v>0</v>
          </cell>
          <cell r="M361">
            <v>0</v>
          </cell>
        </row>
        <row r="362">
          <cell r="G362" t="str">
            <v xml:space="preserve"> </v>
          </cell>
          <cell r="H362">
            <v>0</v>
          </cell>
          <cell r="I362">
            <v>0</v>
          </cell>
          <cell r="J362">
            <v>7780</v>
          </cell>
          <cell r="K362">
            <v>19411.099999999999</v>
          </cell>
          <cell r="L362">
            <v>0</v>
          </cell>
          <cell r="M362">
            <v>0</v>
          </cell>
        </row>
        <row r="363">
          <cell r="H363">
            <v>13500</v>
          </cell>
          <cell r="I363">
            <v>7897.5</v>
          </cell>
          <cell r="J363">
            <v>40757</v>
          </cell>
          <cell r="K363">
            <v>23842.799999999999</v>
          </cell>
          <cell r="L363">
            <v>815</v>
          </cell>
          <cell r="M363">
            <v>476.7</v>
          </cell>
        </row>
        <row r="364">
          <cell r="G364" t="str">
            <v xml:space="preserve"> </v>
          </cell>
          <cell r="H364">
            <v>9734</v>
          </cell>
          <cell r="I364">
            <v>372812.2</v>
          </cell>
          <cell r="J364">
            <v>34089</v>
          </cell>
          <cell r="K364">
            <v>1305608.7</v>
          </cell>
          <cell r="L364">
            <v>0</v>
          </cell>
          <cell r="M364">
            <v>0</v>
          </cell>
        </row>
        <row r="365">
          <cell r="G365" t="str">
            <v xml:space="preserve"> </v>
          </cell>
          <cell r="H365">
            <v>42127</v>
          </cell>
          <cell r="I365">
            <v>181314.6</v>
          </cell>
          <cell r="J365">
            <v>21677</v>
          </cell>
          <cell r="K365">
            <v>93297.8</v>
          </cell>
          <cell r="L365">
            <v>0</v>
          </cell>
          <cell r="M365">
            <v>0</v>
          </cell>
        </row>
        <row r="366">
          <cell r="G366" t="str">
            <v xml:space="preserve"> </v>
          </cell>
          <cell r="H366">
            <v>320</v>
          </cell>
          <cell r="I366">
            <v>62699.8</v>
          </cell>
          <cell r="K366">
            <v>0</v>
          </cell>
          <cell r="M366">
            <v>0</v>
          </cell>
        </row>
        <row r="367">
          <cell r="G367" t="str">
            <v xml:space="preserve"> </v>
          </cell>
          <cell r="H367">
            <v>4</v>
          </cell>
          <cell r="I367">
            <v>760.9</v>
          </cell>
          <cell r="J367">
            <v>656</v>
          </cell>
          <cell r="K367">
            <v>124791.5</v>
          </cell>
          <cell r="L367">
            <v>0</v>
          </cell>
          <cell r="M367">
            <v>0</v>
          </cell>
        </row>
        <row r="368">
          <cell r="G368" t="str">
            <v xml:space="preserve"> </v>
          </cell>
          <cell r="H368">
            <v>346575</v>
          </cell>
          <cell r="I368">
            <v>346575</v>
          </cell>
          <cell r="J368">
            <v>386472</v>
          </cell>
          <cell r="K368">
            <v>386472</v>
          </cell>
          <cell r="L368">
            <v>9098</v>
          </cell>
          <cell r="M368">
            <v>9098</v>
          </cell>
        </row>
        <row r="369">
          <cell r="G369" t="str">
            <v xml:space="preserve"> </v>
          </cell>
          <cell r="H369">
            <v>100</v>
          </cell>
          <cell r="I369">
            <v>-399.4</v>
          </cell>
          <cell r="K369">
            <v>0</v>
          </cell>
          <cell r="M369">
            <v>0</v>
          </cell>
        </row>
        <row r="370">
          <cell r="G370">
            <v>2995199</v>
          </cell>
          <cell r="I370">
            <v>971660</v>
          </cell>
          <cell r="K370">
            <v>2013965</v>
          </cell>
          <cell r="M370">
            <v>9574</v>
          </cell>
        </row>
        <row r="372">
          <cell r="G372" t="str">
            <v>개소당</v>
          </cell>
          <cell r="H372">
            <v>0</v>
          </cell>
          <cell r="I372" t="str">
            <v xml:space="preserve"> </v>
          </cell>
          <cell r="J372">
            <v>0</v>
          </cell>
          <cell r="K372" t="str">
            <v xml:space="preserve"> </v>
          </cell>
          <cell r="M372" t="str">
            <v xml:space="preserve"> </v>
          </cell>
        </row>
        <row r="373">
          <cell r="G373" t="str">
            <v xml:space="preserve"> </v>
          </cell>
          <cell r="H373">
            <v>0</v>
          </cell>
          <cell r="I373">
            <v>0</v>
          </cell>
          <cell r="J373">
            <v>9263</v>
          </cell>
          <cell r="K373">
            <v>12643.9</v>
          </cell>
          <cell r="L373">
            <v>0</v>
          </cell>
          <cell r="M373">
            <v>0</v>
          </cell>
        </row>
        <row r="374">
          <cell r="G374" t="str">
            <v xml:space="preserve"> </v>
          </cell>
          <cell r="H374">
            <v>0</v>
          </cell>
          <cell r="I374">
            <v>0</v>
          </cell>
          <cell r="J374">
            <v>7410</v>
          </cell>
          <cell r="K374">
            <v>6580</v>
          </cell>
          <cell r="L374">
            <v>0</v>
          </cell>
          <cell r="M374">
            <v>0</v>
          </cell>
        </row>
        <row r="375">
          <cell r="G375" t="str">
            <v xml:space="preserve"> </v>
          </cell>
          <cell r="H375">
            <v>0</v>
          </cell>
          <cell r="I375">
            <v>0</v>
          </cell>
          <cell r="J375">
            <v>7780</v>
          </cell>
          <cell r="K375">
            <v>3711</v>
          </cell>
          <cell r="L375">
            <v>0</v>
          </cell>
          <cell r="M375">
            <v>0</v>
          </cell>
        </row>
        <row r="376">
          <cell r="H376">
            <v>13500</v>
          </cell>
          <cell r="I376">
            <v>3739.5</v>
          </cell>
          <cell r="J376">
            <v>40757</v>
          </cell>
          <cell r="K376">
            <v>11289.6</v>
          </cell>
          <cell r="L376">
            <v>815</v>
          </cell>
          <cell r="M376">
            <v>225.7</v>
          </cell>
        </row>
        <row r="377">
          <cell r="G377" t="str">
            <v xml:space="preserve"> </v>
          </cell>
          <cell r="H377">
            <v>9734</v>
          </cell>
          <cell r="I377">
            <v>292506.7</v>
          </cell>
          <cell r="J377">
            <v>34089</v>
          </cell>
          <cell r="K377">
            <v>1024374.4</v>
          </cell>
          <cell r="L377">
            <v>0</v>
          </cell>
          <cell r="M377">
            <v>0</v>
          </cell>
        </row>
        <row r="378">
          <cell r="G378" t="str">
            <v xml:space="preserve"> </v>
          </cell>
          <cell r="H378">
            <v>42127</v>
          </cell>
          <cell r="I378">
            <v>139187.6</v>
          </cell>
          <cell r="J378">
            <v>21677</v>
          </cell>
          <cell r="K378">
            <v>71620.800000000003</v>
          </cell>
          <cell r="L378">
            <v>0</v>
          </cell>
          <cell r="M378">
            <v>0</v>
          </cell>
        </row>
        <row r="379">
          <cell r="G379" t="str">
            <v xml:space="preserve"> </v>
          </cell>
          <cell r="H379">
            <v>320</v>
          </cell>
          <cell r="I379">
            <v>44732.4</v>
          </cell>
          <cell r="K379">
            <v>0</v>
          </cell>
          <cell r="M379">
            <v>0</v>
          </cell>
        </row>
        <row r="380">
          <cell r="G380" t="str">
            <v xml:space="preserve"> </v>
          </cell>
          <cell r="H380">
            <v>4</v>
          </cell>
          <cell r="I380">
            <v>542.79999999999995</v>
          </cell>
          <cell r="J380">
            <v>656</v>
          </cell>
          <cell r="K380">
            <v>89031</v>
          </cell>
          <cell r="L380">
            <v>0</v>
          </cell>
          <cell r="M380">
            <v>0</v>
          </cell>
        </row>
        <row r="381">
          <cell r="G381" t="str">
            <v xml:space="preserve"> </v>
          </cell>
          <cell r="H381">
            <v>100</v>
          </cell>
          <cell r="I381">
            <v>-284.89999999999998</v>
          </cell>
          <cell r="K381">
            <v>0</v>
          </cell>
          <cell r="M381">
            <v>0</v>
          </cell>
        </row>
        <row r="382">
          <cell r="G382">
            <v>1699899</v>
          </cell>
          <cell r="I382">
            <v>480424</v>
          </cell>
          <cell r="K382">
            <v>1219250</v>
          </cell>
          <cell r="M382">
            <v>225</v>
          </cell>
        </row>
        <row r="384">
          <cell r="G384" t="str">
            <v>개소당</v>
          </cell>
          <cell r="H384">
            <v>0</v>
          </cell>
          <cell r="I384" t="str">
            <v xml:space="preserve"> </v>
          </cell>
          <cell r="J384">
            <v>0</v>
          </cell>
          <cell r="K384" t="str">
            <v xml:space="preserve"> </v>
          </cell>
          <cell r="M384" t="str">
            <v xml:space="preserve"> </v>
          </cell>
        </row>
        <row r="385">
          <cell r="G385" t="str">
            <v xml:space="preserve"> </v>
          </cell>
          <cell r="H385">
            <v>0</v>
          </cell>
          <cell r="I385">
            <v>0</v>
          </cell>
          <cell r="J385">
            <v>9263</v>
          </cell>
          <cell r="K385">
            <v>14589.2</v>
          </cell>
          <cell r="L385">
            <v>0</v>
          </cell>
          <cell r="M385">
            <v>0</v>
          </cell>
        </row>
        <row r="386">
          <cell r="G386" t="str">
            <v xml:space="preserve"> </v>
          </cell>
          <cell r="H386">
            <v>0</v>
          </cell>
          <cell r="I386">
            <v>0</v>
          </cell>
          <cell r="J386">
            <v>7410</v>
          </cell>
          <cell r="K386">
            <v>7647.1</v>
          </cell>
          <cell r="L386">
            <v>0</v>
          </cell>
          <cell r="M386">
            <v>0</v>
          </cell>
        </row>
        <row r="387">
          <cell r="G387" t="str">
            <v xml:space="preserve"> </v>
          </cell>
          <cell r="H387">
            <v>0</v>
          </cell>
          <cell r="I387">
            <v>0</v>
          </cell>
          <cell r="J387">
            <v>7780</v>
          </cell>
          <cell r="K387">
            <v>4224.5</v>
          </cell>
          <cell r="L387">
            <v>0</v>
          </cell>
          <cell r="M387">
            <v>0</v>
          </cell>
        </row>
        <row r="388">
          <cell r="H388">
            <v>13500</v>
          </cell>
          <cell r="I388">
            <v>6966</v>
          </cell>
          <cell r="J388">
            <v>40757</v>
          </cell>
          <cell r="K388">
            <v>21030.6</v>
          </cell>
          <cell r="L388">
            <v>815</v>
          </cell>
          <cell r="M388">
            <v>420.5</v>
          </cell>
        </row>
        <row r="389">
          <cell r="G389" t="str">
            <v xml:space="preserve"> </v>
          </cell>
          <cell r="H389">
            <v>9734</v>
          </cell>
          <cell r="I389">
            <v>404253</v>
          </cell>
          <cell r="J389">
            <v>34089</v>
          </cell>
          <cell r="K389">
            <v>1415716.1</v>
          </cell>
          <cell r="L389">
            <v>0</v>
          </cell>
          <cell r="M389">
            <v>0</v>
          </cell>
        </row>
        <row r="390">
          <cell r="G390" t="str">
            <v xml:space="preserve"> </v>
          </cell>
          <cell r="H390">
            <v>42127</v>
          </cell>
          <cell r="I390">
            <v>189402.9</v>
          </cell>
          <cell r="J390">
            <v>21677</v>
          </cell>
          <cell r="K390">
            <v>97459.7</v>
          </cell>
          <cell r="L390">
            <v>0</v>
          </cell>
          <cell r="M390">
            <v>0</v>
          </cell>
        </row>
        <row r="391">
          <cell r="G391" t="str">
            <v xml:space="preserve"> </v>
          </cell>
          <cell r="H391">
            <v>320</v>
          </cell>
          <cell r="I391">
            <v>60802.2</v>
          </cell>
          <cell r="K391">
            <v>0</v>
          </cell>
          <cell r="M391">
            <v>0</v>
          </cell>
        </row>
        <row r="392">
          <cell r="G392" t="str">
            <v xml:space="preserve"> </v>
          </cell>
          <cell r="H392">
            <v>4</v>
          </cell>
          <cell r="I392">
            <v>737.8</v>
          </cell>
          <cell r="J392">
            <v>656</v>
          </cell>
          <cell r="K392">
            <v>121014.2</v>
          </cell>
          <cell r="L392">
            <v>0</v>
          </cell>
          <cell r="M392">
            <v>0</v>
          </cell>
        </row>
        <row r="393">
          <cell r="G393" t="str">
            <v xml:space="preserve"> </v>
          </cell>
          <cell r="H393">
            <v>100</v>
          </cell>
          <cell r="I393">
            <v>-387.3</v>
          </cell>
          <cell r="K393">
            <v>0</v>
          </cell>
          <cell r="M393">
            <v>0</v>
          </cell>
        </row>
        <row r="394">
          <cell r="G394">
            <v>2343875</v>
          </cell>
          <cell r="I394">
            <v>661774</v>
          </cell>
          <cell r="K394">
            <v>1681681</v>
          </cell>
          <cell r="M394">
            <v>420</v>
          </cell>
        </row>
        <row r="396">
          <cell r="G396" t="str">
            <v>개소당</v>
          </cell>
          <cell r="H396">
            <v>0</v>
          </cell>
          <cell r="I396" t="str">
            <v xml:space="preserve"> </v>
          </cell>
          <cell r="J396">
            <v>0</v>
          </cell>
          <cell r="K396" t="str">
            <v xml:space="preserve"> </v>
          </cell>
          <cell r="M396" t="str">
            <v xml:space="preserve"> </v>
          </cell>
        </row>
        <row r="397">
          <cell r="G397" t="str">
            <v xml:space="preserve"> </v>
          </cell>
          <cell r="H397">
            <v>0</v>
          </cell>
          <cell r="I397">
            <v>0</v>
          </cell>
          <cell r="J397">
            <v>9263</v>
          </cell>
          <cell r="K397">
            <v>50900.1</v>
          </cell>
          <cell r="L397">
            <v>0</v>
          </cell>
          <cell r="M397">
            <v>0</v>
          </cell>
        </row>
        <row r="398">
          <cell r="G398" t="str">
            <v xml:space="preserve"> </v>
          </cell>
          <cell r="H398">
            <v>0</v>
          </cell>
          <cell r="I398">
            <v>0</v>
          </cell>
          <cell r="J398">
            <v>7410</v>
          </cell>
          <cell r="K398">
            <v>27387.3</v>
          </cell>
          <cell r="L398">
            <v>0</v>
          </cell>
          <cell r="M398">
            <v>0</v>
          </cell>
        </row>
        <row r="399">
          <cell r="G399" t="str">
            <v xml:space="preserve"> </v>
          </cell>
          <cell r="H399">
            <v>0</v>
          </cell>
          <cell r="I399">
            <v>0</v>
          </cell>
          <cell r="J399">
            <v>7780</v>
          </cell>
          <cell r="K399">
            <v>13996.2</v>
          </cell>
          <cell r="L399">
            <v>0</v>
          </cell>
          <cell r="M399">
            <v>0</v>
          </cell>
        </row>
        <row r="400">
          <cell r="H400">
            <v>13500</v>
          </cell>
          <cell r="I400">
            <v>25110</v>
          </cell>
          <cell r="J400">
            <v>40757</v>
          </cell>
          <cell r="K400">
            <v>75808</v>
          </cell>
          <cell r="L400">
            <v>815</v>
          </cell>
          <cell r="M400">
            <v>1515.9</v>
          </cell>
        </row>
        <row r="401">
          <cell r="G401" t="str">
            <v xml:space="preserve"> </v>
          </cell>
          <cell r="H401">
            <v>9734</v>
          </cell>
          <cell r="I401">
            <v>819992.1</v>
          </cell>
          <cell r="J401">
            <v>34089</v>
          </cell>
          <cell r="K401">
            <v>2871657.3</v>
          </cell>
          <cell r="L401">
            <v>0</v>
          </cell>
          <cell r="M401">
            <v>0</v>
          </cell>
        </row>
        <row r="402">
          <cell r="G402" t="str">
            <v xml:space="preserve"> </v>
          </cell>
          <cell r="H402">
            <v>42127</v>
          </cell>
          <cell r="I402">
            <v>402565.6</v>
          </cell>
          <cell r="J402">
            <v>21677</v>
          </cell>
          <cell r="K402">
            <v>207145.4</v>
          </cell>
          <cell r="L402">
            <v>0</v>
          </cell>
          <cell r="M402">
            <v>0</v>
          </cell>
        </row>
        <row r="403">
          <cell r="G403" t="str">
            <v xml:space="preserve"> </v>
          </cell>
          <cell r="H403">
            <v>320</v>
          </cell>
          <cell r="I403">
            <v>123129.2</v>
          </cell>
          <cell r="K403">
            <v>0</v>
          </cell>
          <cell r="M403">
            <v>0</v>
          </cell>
        </row>
        <row r="404">
          <cell r="G404" t="str">
            <v xml:space="preserve"> </v>
          </cell>
          <cell r="H404">
            <v>4</v>
          </cell>
          <cell r="I404">
            <v>1494.2</v>
          </cell>
          <cell r="J404">
            <v>656</v>
          </cell>
          <cell r="K404">
            <v>245063.2</v>
          </cell>
          <cell r="L404">
            <v>0</v>
          </cell>
          <cell r="M404">
            <v>0</v>
          </cell>
        </row>
        <row r="405">
          <cell r="G405" t="str">
            <v xml:space="preserve"> </v>
          </cell>
          <cell r="H405">
            <v>100</v>
          </cell>
          <cell r="I405">
            <v>-784.5</v>
          </cell>
          <cell r="K405">
            <v>0</v>
          </cell>
          <cell r="M405">
            <v>0</v>
          </cell>
        </row>
        <row r="406">
          <cell r="G406">
            <v>4864978</v>
          </cell>
          <cell r="I406">
            <v>1371506</v>
          </cell>
          <cell r="K406">
            <v>3491957</v>
          </cell>
          <cell r="M406">
            <v>1515</v>
          </cell>
        </row>
        <row r="408">
          <cell r="G408" t="str">
            <v>개소당</v>
          </cell>
          <cell r="H408">
            <v>0</v>
          </cell>
          <cell r="I408" t="str">
            <v xml:space="preserve"> </v>
          </cell>
          <cell r="J408">
            <v>0</v>
          </cell>
          <cell r="K408" t="str">
            <v xml:space="preserve"> </v>
          </cell>
          <cell r="M408" t="str">
            <v xml:space="preserve"> </v>
          </cell>
        </row>
        <row r="409">
          <cell r="G409" t="str">
            <v xml:space="preserve"> </v>
          </cell>
          <cell r="H409">
            <v>0</v>
          </cell>
          <cell r="I409">
            <v>0</v>
          </cell>
          <cell r="J409">
            <v>9263</v>
          </cell>
          <cell r="K409">
            <v>49927.5</v>
          </cell>
          <cell r="L409">
            <v>0</v>
          </cell>
          <cell r="M409">
            <v>0</v>
          </cell>
        </row>
        <row r="410">
          <cell r="G410" t="str">
            <v xml:space="preserve"> </v>
          </cell>
          <cell r="H410">
            <v>0</v>
          </cell>
          <cell r="I410">
            <v>0</v>
          </cell>
          <cell r="J410">
            <v>7410</v>
          </cell>
          <cell r="K410">
            <v>26853.8</v>
          </cell>
          <cell r="L410">
            <v>0</v>
          </cell>
          <cell r="M410">
            <v>0</v>
          </cell>
        </row>
        <row r="411">
          <cell r="G411" t="str">
            <v xml:space="preserve"> </v>
          </cell>
          <cell r="H411">
            <v>0</v>
          </cell>
          <cell r="I411">
            <v>0</v>
          </cell>
          <cell r="J411">
            <v>7780</v>
          </cell>
          <cell r="K411">
            <v>13739.4</v>
          </cell>
          <cell r="L411">
            <v>0</v>
          </cell>
          <cell r="M411">
            <v>0</v>
          </cell>
        </row>
        <row r="412">
          <cell r="H412">
            <v>13500</v>
          </cell>
          <cell r="I412">
            <v>25110</v>
          </cell>
          <cell r="J412">
            <v>40757</v>
          </cell>
          <cell r="K412">
            <v>75808</v>
          </cell>
          <cell r="L412">
            <v>815</v>
          </cell>
          <cell r="M412">
            <v>1515.9</v>
          </cell>
        </row>
        <row r="413">
          <cell r="G413" t="str">
            <v xml:space="preserve"> </v>
          </cell>
          <cell r="H413">
            <v>9734</v>
          </cell>
          <cell r="I413">
            <v>718271.8</v>
          </cell>
          <cell r="J413">
            <v>34089</v>
          </cell>
          <cell r="K413">
            <v>2515427.2999999998</v>
          </cell>
          <cell r="L413">
            <v>0</v>
          </cell>
          <cell r="M413">
            <v>0</v>
          </cell>
        </row>
        <row r="414">
          <cell r="G414" t="str">
            <v xml:space="preserve"> </v>
          </cell>
          <cell r="H414">
            <v>42127</v>
          </cell>
          <cell r="I414">
            <v>348558.7</v>
          </cell>
          <cell r="J414">
            <v>21677</v>
          </cell>
          <cell r="K414">
            <v>179355.4</v>
          </cell>
          <cell r="L414">
            <v>0</v>
          </cell>
          <cell r="M414">
            <v>0</v>
          </cell>
        </row>
        <row r="415">
          <cell r="G415" t="str">
            <v xml:space="preserve"> </v>
          </cell>
          <cell r="H415">
            <v>320</v>
          </cell>
          <cell r="I415">
            <v>115111</v>
          </cell>
          <cell r="K415">
            <v>0</v>
          </cell>
          <cell r="M415">
            <v>0</v>
          </cell>
        </row>
        <row r="416">
          <cell r="G416" t="str">
            <v xml:space="preserve"> </v>
          </cell>
          <cell r="H416">
            <v>4</v>
          </cell>
          <cell r="I416">
            <v>1396.9</v>
          </cell>
          <cell r="J416">
            <v>656</v>
          </cell>
          <cell r="K416">
            <v>229104.7</v>
          </cell>
          <cell r="L416">
            <v>0</v>
          </cell>
          <cell r="M416">
            <v>0</v>
          </cell>
        </row>
        <row r="417">
          <cell r="G417" t="str">
            <v xml:space="preserve"> </v>
          </cell>
          <cell r="H417">
            <v>100</v>
          </cell>
          <cell r="I417">
            <v>-733.4</v>
          </cell>
          <cell r="K417">
            <v>0</v>
          </cell>
          <cell r="M417">
            <v>0</v>
          </cell>
        </row>
        <row r="418">
          <cell r="G418">
            <v>4299446</v>
          </cell>
          <cell r="I418">
            <v>1207715</v>
          </cell>
          <cell r="K418">
            <v>3090216</v>
          </cell>
          <cell r="M418">
            <v>1515</v>
          </cell>
        </row>
        <row r="420">
          <cell r="G420" t="str">
            <v>m당</v>
          </cell>
          <cell r="H420">
            <v>0</v>
          </cell>
          <cell r="I420" t="str">
            <v xml:space="preserve"> </v>
          </cell>
          <cell r="J420">
            <v>0</v>
          </cell>
          <cell r="K420" t="str">
            <v xml:space="preserve"> </v>
          </cell>
          <cell r="M420" t="str">
            <v xml:space="preserve"> </v>
          </cell>
        </row>
        <row r="421">
          <cell r="G421" t="str">
            <v xml:space="preserve"> </v>
          </cell>
          <cell r="H421">
            <v>0</v>
          </cell>
          <cell r="I421">
            <v>0</v>
          </cell>
          <cell r="J421">
            <v>9263</v>
          </cell>
          <cell r="K421">
            <v>11458.3</v>
          </cell>
          <cell r="L421">
            <v>0</v>
          </cell>
          <cell r="M421">
            <v>0</v>
          </cell>
        </row>
        <row r="422">
          <cell r="G422" t="str">
            <v xml:space="preserve"> </v>
          </cell>
          <cell r="H422">
            <v>0</v>
          </cell>
          <cell r="I422">
            <v>0</v>
          </cell>
          <cell r="J422">
            <v>7410</v>
          </cell>
          <cell r="K422">
            <v>3075.1</v>
          </cell>
          <cell r="L422">
            <v>0</v>
          </cell>
          <cell r="M422">
            <v>0</v>
          </cell>
        </row>
        <row r="423">
          <cell r="G423" t="str">
            <v xml:space="preserve"> </v>
          </cell>
          <cell r="H423">
            <v>0</v>
          </cell>
          <cell r="I423">
            <v>0</v>
          </cell>
          <cell r="J423">
            <v>7780</v>
          </cell>
          <cell r="K423">
            <v>6395.1</v>
          </cell>
          <cell r="L423">
            <v>0</v>
          </cell>
          <cell r="M423">
            <v>0</v>
          </cell>
        </row>
        <row r="424">
          <cell r="G424" t="str">
            <v xml:space="preserve"> </v>
          </cell>
          <cell r="H424">
            <v>3377</v>
          </cell>
          <cell r="I424">
            <v>12494.9</v>
          </cell>
          <cell r="J424">
            <v>10908</v>
          </cell>
          <cell r="K424">
            <v>40359.599999999999</v>
          </cell>
          <cell r="L424">
            <v>0</v>
          </cell>
          <cell r="M424">
            <v>0</v>
          </cell>
        </row>
        <row r="425">
          <cell r="G425" t="str">
            <v xml:space="preserve"> </v>
          </cell>
          <cell r="H425">
            <v>27989</v>
          </cell>
          <cell r="I425">
            <v>1763.3</v>
          </cell>
          <cell r="J425">
            <v>133348</v>
          </cell>
          <cell r="K425">
            <v>8400.9</v>
          </cell>
          <cell r="L425">
            <v>0</v>
          </cell>
          <cell r="M425">
            <v>0</v>
          </cell>
        </row>
        <row r="426">
          <cell r="G426" t="str">
            <v xml:space="preserve"> </v>
          </cell>
          <cell r="H426">
            <v>42127</v>
          </cell>
          <cell r="I426">
            <v>17356.3</v>
          </cell>
          <cell r="J426">
            <v>21677</v>
          </cell>
          <cell r="K426">
            <v>8930.9</v>
          </cell>
          <cell r="L426">
            <v>0</v>
          </cell>
          <cell r="M426">
            <v>0</v>
          </cell>
        </row>
        <row r="427">
          <cell r="G427" t="str">
            <v xml:space="preserve"> </v>
          </cell>
          <cell r="H427">
            <v>320</v>
          </cell>
          <cell r="I427">
            <v>7149.4</v>
          </cell>
          <cell r="K427">
            <v>0</v>
          </cell>
          <cell r="M427">
            <v>0</v>
          </cell>
        </row>
        <row r="428">
          <cell r="G428" t="str">
            <v xml:space="preserve"> </v>
          </cell>
          <cell r="H428">
            <v>4</v>
          </cell>
          <cell r="I428">
            <v>86.7</v>
          </cell>
          <cell r="J428">
            <v>656</v>
          </cell>
          <cell r="K428">
            <v>14229.2</v>
          </cell>
          <cell r="L428">
            <v>0</v>
          </cell>
          <cell r="M428">
            <v>0</v>
          </cell>
        </row>
        <row r="429">
          <cell r="G429" t="str">
            <v xml:space="preserve"> </v>
          </cell>
          <cell r="H429">
            <v>2423</v>
          </cell>
          <cell r="I429">
            <v>1986.8</v>
          </cell>
          <cell r="K429">
            <v>0</v>
          </cell>
          <cell r="M429">
            <v>0</v>
          </cell>
        </row>
        <row r="430">
          <cell r="G430" t="str">
            <v xml:space="preserve"> </v>
          </cell>
          <cell r="H430">
            <v>0</v>
          </cell>
          <cell r="I430">
            <v>0</v>
          </cell>
          <cell r="J430">
            <v>54031</v>
          </cell>
          <cell r="K430">
            <v>40523.199999999997</v>
          </cell>
          <cell r="L430">
            <v>0</v>
          </cell>
          <cell r="M430">
            <v>0</v>
          </cell>
        </row>
        <row r="431">
          <cell r="G431" t="str">
            <v xml:space="preserve"> </v>
          </cell>
          <cell r="H431">
            <v>24500</v>
          </cell>
          <cell r="I431">
            <v>20090</v>
          </cell>
          <cell r="K431">
            <v>0</v>
          </cell>
          <cell r="M431">
            <v>0</v>
          </cell>
        </row>
        <row r="432">
          <cell r="G432" t="str">
            <v xml:space="preserve"> </v>
          </cell>
          <cell r="H432">
            <v>0</v>
          </cell>
          <cell r="I432">
            <v>0</v>
          </cell>
          <cell r="J432">
            <v>22887</v>
          </cell>
          <cell r="K432">
            <v>18309.599999999999</v>
          </cell>
          <cell r="L432">
            <v>686</v>
          </cell>
          <cell r="M432">
            <v>548.79999999999995</v>
          </cell>
        </row>
        <row r="433">
          <cell r="G433" t="str">
            <v xml:space="preserve"> </v>
          </cell>
          <cell r="H433">
            <v>45177</v>
          </cell>
          <cell r="I433">
            <v>7725.2</v>
          </cell>
          <cell r="J433">
            <v>37052</v>
          </cell>
          <cell r="K433">
            <v>6335.8</v>
          </cell>
          <cell r="L433">
            <v>0</v>
          </cell>
          <cell r="M433">
            <v>0</v>
          </cell>
        </row>
        <row r="434">
          <cell r="G434" t="str">
            <v xml:space="preserve"> </v>
          </cell>
          <cell r="H434">
            <v>1550</v>
          </cell>
          <cell r="I434">
            <v>30380</v>
          </cell>
          <cell r="K434">
            <v>0</v>
          </cell>
          <cell r="M434">
            <v>0</v>
          </cell>
        </row>
        <row r="435">
          <cell r="G435" t="str">
            <v xml:space="preserve"> </v>
          </cell>
          <cell r="H435">
            <v>456</v>
          </cell>
          <cell r="I435">
            <v>980.4</v>
          </cell>
          <cell r="J435">
            <v>3688</v>
          </cell>
          <cell r="K435">
            <v>7929.2</v>
          </cell>
          <cell r="L435">
            <v>0</v>
          </cell>
          <cell r="M435">
            <v>0</v>
          </cell>
        </row>
        <row r="436">
          <cell r="G436" t="str">
            <v xml:space="preserve"> </v>
          </cell>
          <cell r="H436">
            <v>6300</v>
          </cell>
          <cell r="I436">
            <v>42210</v>
          </cell>
          <cell r="K436">
            <v>0</v>
          </cell>
          <cell r="M436">
            <v>0</v>
          </cell>
        </row>
        <row r="437">
          <cell r="G437" t="str">
            <v xml:space="preserve"> </v>
          </cell>
          <cell r="H437">
            <v>5400</v>
          </cell>
          <cell r="I437">
            <v>73980</v>
          </cell>
          <cell r="K437">
            <v>0</v>
          </cell>
          <cell r="M437">
            <v>0</v>
          </cell>
        </row>
        <row r="438">
          <cell r="G438" t="str">
            <v xml:space="preserve"> </v>
          </cell>
          <cell r="H438">
            <v>1800</v>
          </cell>
          <cell r="I438">
            <v>24660</v>
          </cell>
          <cell r="K438">
            <v>0</v>
          </cell>
          <cell r="M438">
            <v>0</v>
          </cell>
        </row>
        <row r="439">
          <cell r="G439" t="str">
            <v xml:space="preserve"> </v>
          </cell>
          <cell r="H439">
            <v>3600</v>
          </cell>
          <cell r="I439">
            <v>24840</v>
          </cell>
          <cell r="K439">
            <v>0</v>
          </cell>
          <cell r="M439">
            <v>0</v>
          </cell>
        </row>
        <row r="440">
          <cell r="G440" t="str">
            <v xml:space="preserve"> </v>
          </cell>
          <cell r="H440">
            <v>1300</v>
          </cell>
          <cell r="I440">
            <v>22360</v>
          </cell>
          <cell r="K440">
            <v>0</v>
          </cell>
          <cell r="M440">
            <v>0</v>
          </cell>
        </row>
        <row r="441">
          <cell r="G441" t="str">
            <v xml:space="preserve"> </v>
          </cell>
          <cell r="H441">
            <v>1800</v>
          </cell>
          <cell r="I441">
            <v>6120</v>
          </cell>
          <cell r="K441">
            <v>0</v>
          </cell>
          <cell r="M441">
            <v>0</v>
          </cell>
        </row>
        <row r="442">
          <cell r="G442" t="str">
            <v xml:space="preserve"> </v>
          </cell>
          <cell r="H442">
            <v>363</v>
          </cell>
          <cell r="I442">
            <v>363</v>
          </cell>
          <cell r="J442">
            <v>32685</v>
          </cell>
          <cell r="K442">
            <v>32685</v>
          </cell>
          <cell r="L442">
            <v>0</v>
          </cell>
          <cell r="M442">
            <v>0</v>
          </cell>
        </row>
        <row r="443">
          <cell r="G443" t="str">
            <v xml:space="preserve"> </v>
          </cell>
          <cell r="I443">
            <v>0</v>
          </cell>
          <cell r="J443">
            <v>51490</v>
          </cell>
          <cell r="K443">
            <v>1544.7</v>
          </cell>
          <cell r="M443">
            <v>0</v>
          </cell>
        </row>
        <row r="444">
          <cell r="G444" t="str">
            <v xml:space="preserve"> </v>
          </cell>
          <cell r="I444">
            <v>0</v>
          </cell>
          <cell r="J444">
            <v>37052</v>
          </cell>
          <cell r="K444">
            <v>741</v>
          </cell>
          <cell r="M444">
            <v>0</v>
          </cell>
        </row>
        <row r="445">
          <cell r="G445" t="str">
            <v xml:space="preserve"> </v>
          </cell>
          <cell r="H445">
            <v>100</v>
          </cell>
          <cell r="I445">
            <v>-45.5</v>
          </cell>
          <cell r="K445">
            <v>0</v>
          </cell>
          <cell r="M445">
            <v>0</v>
          </cell>
        </row>
        <row r="446">
          <cell r="G446">
            <v>495965</v>
          </cell>
          <cell r="I446">
            <v>294500</v>
          </cell>
          <cell r="K446">
            <v>200917</v>
          </cell>
          <cell r="M446">
            <v>548</v>
          </cell>
        </row>
        <row r="448">
          <cell r="G448" t="str">
            <v>m당</v>
          </cell>
          <cell r="H448">
            <v>0</v>
          </cell>
          <cell r="I448" t="str">
            <v xml:space="preserve"> </v>
          </cell>
          <cell r="J448">
            <v>0</v>
          </cell>
          <cell r="K448" t="str">
            <v xml:space="preserve"> </v>
          </cell>
          <cell r="M448" t="str">
            <v xml:space="preserve"> </v>
          </cell>
        </row>
        <row r="449">
          <cell r="G449" t="str">
            <v xml:space="preserve"> </v>
          </cell>
          <cell r="H449">
            <v>0</v>
          </cell>
          <cell r="I449">
            <v>0</v>
          </cell>
          <cell r="J449">
            <v>9263</v>
          </cell>
          <cell r="K449">
            <v>2084.1</v>
          </cell>
          <cell r="L449">
            <v>0</v>
          </cell>
          <cell r="M449">
            <v>0</v>
          </cell>
        </row>
        <row r="450">
          <cell r="G450" t="str">
            <v xml:space="preserve"> </v>
          </cell>
          <cell r="H450">
            <v>0</v>
          </cell>
          <cell r="I450">
            <v>0</v>
          </cell>
          <cell r="J450">
            <v>7410</v>
          </cell>
          <cell r="K450">
            <v>1296.7</v>
          </cell>
          <cell r="L450">
            <v>0</v>
          </cell>
          <cell r="M450">
            <v>0</v>
          </cell>
        </row>
        <row r="451">
          <cell r="G451" t="str">
            <v xml:space="preserve"> </v>
          </cell>
          <cell r="H451">
            <v>0</v>
          </cell>
          <cell r="I451">
            <v>0</v>
          </cell>
          <cell r="J451">
            <v>7780</v>
          </cell>
          <cell r="K451">
            <v>389</v>
          </cell>
          <cell r="L451">
            <v>0</v>
          </cell>
          <cell r="M451">
            <v>0</v>
          </cell>
        </row>
        <row r="452">
          <cell r="G452" t="str">
            <v xml:space="preserve"> </v>
          </cell>
          <cell r="H452">
            <v>3377</v>
          </cell>
          <cell r="I452">
            <v>1350.8</v>
          </cell>
          <cell r="J452">
            <v>10908</v>
          </cell>
          <cell r="K452">
            <v>4363.2</v>
          </cell>
          <cell r="L452">
            <v>0</v>
          </cell>
          <cell r="M452">
            <v>0</v>
          </cell>
        </row>
        <row r="453">
          <cell r="G453" t="str">
            <v xml:space="preserve"> </v>
          </cell>
          <cell r="H453">
            <v>31004</v>
          </cell>
          <cell r="I453">
            <v>4340.5</v>
          </cell>
          <cell r="J453">
            <v>133348</v>
          </cell>
          <cell r="K453">
            <v>18668.7</v>
          </cell>
          <cell r="L453">
            <v>0</v>
          </cell>
          <cell r="M453">
            <v>0</v>
          </cell>
        </row>
        <row r="454">
          <cell r="G454" t="str">
            <v xml:space="preserve"> </v>
          </cell>
          <cell r="H454">
            <v>138240</v>
          </cell>
          <cell r="I454">
            <v>345600</v>
          </cell>
          <cell r="K454">
            <v>0</v>
          </cell>
          <cell r="M454">
            <v>0</v>
          </cell>
        </row>
        <row r="455">
          <cell r="G455" t="str">
            <v xml:space="preserve"> </v>
          </cell>
          <cell r="H455">
            <v>0</v>
          </cell>
          <cell r="I455">
            <v>0</v>
          </cell>
          <cell r="J455">
            <v>51490</v>
          </cell>
          <cell r="K455">
            <v>58698.6</v>
          </cell>
          <cell r="L455">
            <v>0</v>
          </cell>
          <cell r="M455">
            <v>0</v>
          </cell>
        </row>
        <row r="456">
          <cell r="G456" t="str">
            <v xml:space="preserve"> </v>
          </cell>
          <cell r="H456">
            <v>0</v>
          </cell>
          <cell r="I456">
            <v>0</v>
          </cell>
          <cell r="J456">
            <v>37052</v>
          </cell>
          <cell r="K456">
            <v>56689.5</v>
          </cell>
          <cell r="L456">
            <v>0</v>
          </cell>
          <cell r="M456">
            <v>0</v>
          </cell>
        </row>
        <row r="457">
          <cell r="G457" t="str">
            <v xml:space="preserve"> </v>
          </cell>
          <cell r="H457">
            <v>3260</v>
          </cell>
          <cell r="I457">
            <v>1186.5999999999999</v>
          </cell>
          <cell r="K457">
            <v>0</v>
          </cell>
          <cell r="M457">
            <v>0</v>
          </cell>
        </row>
        <row r="458">
          <cell r="G458" t="str">
            <v xml:space="preserve"> </v>
          </cell>
          <cell r="H458">
            <v>289</v>
          </cell>
          <cell r="I458">
            <v>80.900000000000006</v>
          </cell>
          <cell r="J458">
            <v>1851</v>
          </cell>
          <cell r="K458">
            <v>518.20000000000005</v>
          </cell>
          <cell r="L458">
            <v>62</v>
          </cell>
          <cell r="M458">
            <v>17.3</v>
          </cell>
        </row>
        <row r="459">
          <cell r="G459" t="str">
            <v xml:space="preserve"> </v>
          </cell>
          <cell r="H459">
            <v>10456</v>
          </cell>
          <cell r="I459">
            <v>8364.7999999999993</v>
          </cell>
          <cell r="J459">
            <v>6763</v>
          </cell>
          <cell r="K459">
            <v>5410.4</v>
          </cell>
          <cell r="L459">
            <v>0</v>
          </cell>
          <cell r="M459">
            <v>0</v>
          </cell>
        </row>
        <row r="460">
          <cell r="G460" t="str">
            <v xml:space="preserve"> </v>
          </cell>
          <cell r="H460">
            <v>9540</v>
          </cell>
          <cell r="I460">
            <v>2833.3</v>
          </cell>
          <cell r="J460">
            <v>4816</v>
          </cell>
          <cell r="K460">
            <v>1430.3</v>
          </cell>
          <cell r="L460">
            <v>0</v>
          </cell>
          <cell r="M460">
            <v>0</v>
          </cell>
        </row>
        <row r="461">
          <cell r="G461" t="str">
            <v xml:space="preserve"> </v>
          </cell>
          <cell r="H461">
            <v>10080</v>
          </cell>
          <cell r="I461">
            <v>10080</v>
          </cell>
          <cell r="J461">
            <v>303</v>
          </cell>
          <cell r="K461">
            <v>303</v>
          </cell>
          <cell r="L461">
            <v>0</v>
          </cell>
          <cell r="M461">
            <v>0</v>
          </cell>
        </row>
        <row r="462">
          <cell r="G462" t="str">
            <v xml:space="preserve"> </v>
          </cell>
          <cell r="H462">
            <v>53796</v>
          </cell>
          <cell r="I462">
            <v>107.5</v>
          </cell>
          <cell r="J462">
            <v>37052</v>
          </cell>
          <cell r="K462">
            <v>74.099999999999994</v>
          </cell>
          <cell r="L462">
            <v>0</v>
          </cell>
          <cell r="M462">
            <v>0</v>
          </cell>
        </row>
        <row r="463">
          <cell r="G463" t="str">
            <v xml:space="preserve"> </v>
          </cell>
          <cell r="H463">
            <v>750</v>
          </cell>
          <cell r="I463">
            <v>-44.2</v>
          </cell>
          <cell r="K463">
            <v>0</v>
          </cell>
          <cell r="M463">
            <v>0</v>
          </cell>
        </row>
        <row r="464">
          <cell r="G464">
            <v>523842</v>
          </cell>
          <cell r="I464">
            <v>373900</v>
          </cell>
          <cell r="K464">
            <v>149925</v>
          </cell>
          <cell r="M464">
            <v>17</v>
          </cell>
        </row>
        <row r="466">
          <cell r="G466" t="str">
            <v>m2당</v>
          </cell>
          <cell r="H466">
            <v>0</v>
          </cell>
          <cell r="I466" t="str">
            <v xml:space="preserve"> </v>
          </cell>
          <cell r="J466">
            <v>0</v>
          </cell>
          <cell r="K466" t="str">
            <v xml:space="preserve"> </v>
          </cell>
          <cell r="M466" t="str">
            <v xml:space="preserve"> </v>
          </cell>
        </row>
        <row r="467">
          <cell r="G467" t="str">
            <v xml:space="preserve"> </v>
          </cell>
          <cell r="H467">
            <v>0</v>
          </cell>
          <cell r="I467">
            <v>0</v>
          </cell>
          <cell r="J467">
            <v>5928</v>
          </cell>
          <cell r="K467">
            <v>148.19999999999999</v>
          </cell>
          <cell r="L467">
            <v>0</v>
          </cell>
          <cell r="M467">
            <v>0</v>
          </cell>
        </row>
        <row r="468">
          <cell r="G468" t="str">
            <v xml:space="preserve"> </v>
          </cell>
          <cell r="H468">
            <v>0</v>
          </cell>
          <cell r="I468">
            <v>0</v>
          </cell>
          <cell r="J468">
            <v>7410</v>
          </cell>
          <cell r="K468">
            <v>185.2</v>
          </cell>
          <cell r="L468">
            <v>0</v>
          </cell>
          <cell r="M468">
            <v>0</v>
          </cell>
        </row>
        <row r="469">
          <cell r="G469" t="str">
            <v xml:space="preserve"> </v>
          </cell>
          <cell r="H469">
            <v>14</v>
          </cell>
          <cell r="I469">
            <v>14</v>
          </cell>
          <cell r="J469">
            <v>120</v>
          </cell>
          <cell r="K469">
            <v>120</v>
          </cell>
          <cell r="L469">
            <v>43</v>
          </cell>
          <cell r="M469">
            <v>43</v>
          </cell>
        </row>
        <row r="470">
          <cell r="H470">
            <v>13500</v>
          </cell>
          <cell r="I470">
            <v>2227.5</v>
          </cell>
          <cell r="K470">
            <v>0</v>
          </cell>
          <cell r="M470">
            <v>0</v>
          </cell>
        </row>
        <row r="471">
          <cell r="G471" t="str">
            <v xml:space="preserve"> </v>
          </cell>
          <cell r="H471">
            <v>0</v>
          </cell>
          <cell r="I471">
            <v>0</v>
          </cell>
          <cell r="J471">
            <v>51490</v>
          </cell>
          <cell r="K471">
            <v>51.4</v>
          </cell>
          <cell r="L471">
            <v>0</v>
          </cell>
          <cell r="M471">
            <v>0</v>
          </cell>
        </row>
        <row r="472">
          <cell r="G472" t="str">
            <v xml:space="preserve"> </v>
          </cell>
          <cell r="H472">
            <v>0</v>
          </cell>
          <cell r="I472">
            <v>0</v>
          </cell>
          <cell r="J472">
            <v>37052</v>
          </cell>
          <cell r="K472">
            <v>1111.5</v>
          </cell>
          <cell r="L472">
            <v>0</v>
          </cell>
          <cell r="M472">
            <v>0</v>
          </cell>
        </row>
        <row r="473">
          <cell r="G473" t="str">
            <v xml:space="preserve"> </v>
          </cell>
          <cell r="H473">
            <v>11</v>
          </cell>
          <cell r="I473">
            <v>11</v>
          </cell>
          <cell r="J473">
            <v>90</v>
          </cell>
          <cell r="K473">
            <v>90</v>
          </cell>
          <cell r="L473">
            <v>32</v>
          </cell>
          <cell r="M473">
            <v>32</v>
          </cell>
        </row>
        <row r="474">
          <cell r="G474" t="str">
            <v xml:space="preserve"> </v>
          </cell>
          <cell r="H474">
            <v>12000</v>
          </cell>
          <cell r="I474">
            <v>528</v>
          </cell>
          <cell r="K474">
            <v>0</v>
          </cell>
          <cell r="M474">
            <v>0</v>
          </cell>
        </row>
        <row r="475">
          <cell r="G475" t="str">
            <v xml:space="preserve"> </v>
          </cell>
          <cell r="H475">
            <v>0</v>
          </cell>
          <cell r="I475">
            <v>0</v>
          </cell>
          <cell r="J475">
            <v>37052</v>
          </cell>
          <cell r="K475">
            <v>185.2</v>
          </cell>
          <cell r="L475">
            <v>0</v>
          </cell>
          <cell r="M475">
            <v>0</v>
          </cell>
        </row>
        <row r="476">
          <cell r="H476">
            <v>670</v>
          </cell>
          <cell r="I476">
            <v>27604</v>
          </cell>
          <cell r="K476">
            <v>0</v>
          </cell>
          <cell r="M476">
            <v>0</v>
          </cell>
        </row>
        <row r="477">
          <cell r="G477" t="str">
            <v xml:space="preserve"> </v>
          </cell>
          <cell r="H477">
            <v>0</v>
          </cell>
          <cell r="I477">
            <v>0</v>
          </cell>
          <cell r="J477">
            <v>51490</v>
          </cell>
          <cell r="K477">
            <v>1596.1</v>
          </cell>
          <cell r="L477">
            <v>0</v>
          </cell>
          <cell r="M477">
            <v>0</v>
          </cell>
        </row>
        <row r="478">
          <cell r="G478" t="str">
            <v xml:space="preserve"> </v>
          </cell>
          <cell r="H478">
            <v>0</v>
          </cell>
          <cell r="I478">
            <v>0</v>
          </cell>
          <cell r="J478">
            <v>37052</v>
          </cell>
          <cell r="K478">
            <v>3408.7</v>
          </cell>
          <cell r="L478">
            <v>0</v>
          </cell>
          <cell r="M478">
            <v>0</v>
          </cell>
        </row>
        <row r="479">
          <cell r="G479" t="str">
            <v xml:space="preserve"> </v>
          </cell>
          <cell r="H479">
            <v>15</v>
          </cell>
          <cell r="I479">
            <v>15</v>
          </cell>
          <cell r="J479">
            <v>109</v>
          </cell>
          <cell r="K479">
            <v>109</v>
          </cell>
          <cell r="L479">
            <v>6</v>
          </cell>
          <cell r="M479">
            <v>6</v>
          </cell>
        </row>
        <row r="480">
          <cell r="G480" t="str">
            <v xml:space="preserve"> </v>
          </cell>
          <cell r="H480">
            <v>5004.7999999999993</v>
          </cell>
          <cell r="I480">
            <v>250.2</v>
          </cell>
          <cell r="K480">
            <v>0</v>
          </cell>
          <cell r="L480">
            <v>0</v>
          </cell>
          <cell r="M480">
            <v>0</v>
          </cell>
        </row>
        <row r="481">
          <cell r="G481">
            <v>37735</v>
          </cell>
          <cell r="I481">
            <v>30649</v>
          </cell>
          <cell r="K481">
            <v>7005</v>
          </cell>
          <cell r="M481">
            <v>81</v>
          </cell>
        </row>
        <row r="483">
          <cell r="G483" t="str">
            <v>m2당</v>
          </cell>
          <cell r="H483">
            <v>0</v>
          </cell>
          <cell r="I483" t="str">
            <v xml:space="preserve"> </v>
          </cell>
          <cell r="J483">
            <v>0</v>
          </cell>
          <cell r="K483" t="str">
            <v xml:space="preserve"> </v>
          </cell>
          <cell r="M483" t="str">
            <v xml:space="preserve"> </v>
          </cell>
        </row>
        <row r="484">
          <cell r="G484" t="str">
            <v xml:space="preserve"> </v>
          </cell>
          <cell r="H484">
            <v>0</v>
          </cell>
          <cell r="I484">
            <v>0</v>
          </cell>
          <cell r="J484">
            <v>5928</v>
          </cell>
          <cell r="K484">
            <v>1570.9</v>
          </cell>
          <cell r="L484">
            <v>0</v>
          </cell>
          <cell r="M484">
            <v>0</v>
          </cell>
        </row>
        <row r="485">
          <cell r="G485" t="str">
            <v xml:space="preserve"> </v>
          </cell>
          <cell r="H485">
            <v>0</v>
          </cell>
          <cell r="I485">
            <v>0</v>
          </cell>
          <cell r="J485">
            <v>7410</v>
          </cell>
          <cell r="K485">
            <v>1963.6</v>
          </cell>
          <cell r="L485">
            <v>0</v>
          </cell>
          <cell r="M485">
            <v>0</v>
          </cell>
        </row>
        <row r="486">
          <cell r="G486" t="str">
            <v xml:space="preserve"> </v>
          </cell>
          <cell r="H486">
            <v>14</v>
          </cell>
          <cell r="I486">
            <v>14</v>
          </cell>
          <cell r="J486">
            <v>120</v>
          </cell>
          <cell r="K486">
            <v>120</v>
          </cell>
          <cell r="L486">
            <v>43</v>
          </cell>
          <cell r="M486">
            <v>43</v>
          </cell>
        </row>
        <row r="487">
          <cell r="H487">
            <v>13500</v>
          </cell>
          <cell r="I487">
            <v>405</v>
          </cell>
          <cell r="K487">
            <v>0</v>
          </cell>
          <cell r="M487">
            <v>0</v>
          </cell>
        </row>
        <row r="488">
          <cell r="G488" t="str">
            <v xml:space="preserve"> </v>
          </cell>
          <cell r="H488">
            <v>0</v>
          </cell>
          <cell r="I488">
            <v>0</v>
          </cell>
          <cell r="J488">
            <v>51490</v>
          </cell>
          <cell r="K488">
            <v>8495.7999999999993</v>
          </cell>
          <cell r="L488">
            <v>0</v>
          </cell>
          <cell r="M488">
            <v>0</v>
          </cell>
        </row>
        <row r="489">
          <cell r="G489" t="str">
            <v xml:space="preserve"> </v>
          </cell>
          <cell r="H489">
            <v>0</v>
          </cell>
          <cell r="I489">
            <v>0</v>
          </cell>
          <cell r="J489">
            <v>37052</v>
          </cell>
          <cell r="K489">
            <v>37</v>
          </cell>
          <cell r="L489">
            <v>0</v>
          </cell>
          <cell r="M489">
            <v>0</v>
          </cell>
        </row>
        <row r="490">
          <cell r="G490" t="str">
            <v xml:space="preserve"> </v>
          </cell>
          <cell r="H490">
            <v>11</v>
          </cell>
          <cell r="I490">
            <v>11</v>
          </cell>
          <cell r="J490">
            <v>90</v>
          </cell>
          <cell r="K490">
            <v>90</v>
          </cell>
          <cell r="L490">
            <v>32</v>
          </cell>
          <cell r="M490">
            <v>32</v>
          </cell>
        </row>
        <row r="491">
          <cell r="G491" t="str">
            <v xml:space="preserve"> </v>
          </cell>
          <cell r="H491">
            <v>12000</v>
          </cell>
          <cell r="I491">
            <v>528</v>
          </cell>
          <cell r="K491">
            <v>0</v>
          </cell>
          <cell r="M491">
            <v>0</v>
          </cell>
        </row>
        <row r="492">
          <cell r="G492" t="str">
            <v xml:space="preserve"> </v>
          </cell>
          <cell r="H492">
            <v>0</v>
          </cell>
          <cell r="I492">
            <v>0</v>
          </cell>
          <cell r="J492">
            <v>37052</v>
          </cell>
          <cell r="K492">
            <v>185.2</v>
          </cell>
          <cell r="L492">
            <v>0</v>
          </cell>
          <cell r="M492">
            <v>0</v>
          </cell>
        </row>
        <row r="493">
          <cell r="H493">
            <v>800</v>
          </cell>
          <cell r="I493">
            <v>32960</v>
          </cell>
          <cell r="K493">
            <v>0</v>
          </cell>
          <cell r="M493">
            <v>0</v>
          </cell>
        </row>
        <row r="494">
          <cell r="G494" t="str">
            <v xml:space="preserve"> </v>
          </cell>
          <cell r="H494">
            <v>0</v>
          </cell>
          <cell r="I494">
            <v>0</v>
          </cell>
          <cell r="J494">
            <v>51490</v>
          </cell>
          <cell r="K494">
            <v>1596.1</v>
          </cell>
          <cell r="L494">
            <v>0</v>
          </cell>
          <cell r="M494">
            <v>0</v>
          </cell>
        </row>
        <row r="495">
          <cell r="G495" t="str">
            <v xml:space="preserve"> </v>
          </cell>
          <cell r="H495">
            <v>0</v>
          </cell>
          <cell r="I495">
            <v>0</v>
          </cell>
          <cell r="J495">
            <v>37052</v>
          </cell>
          <cell r="K495">
            <v>3408.7</v>
          </cell>
          <cell r="L495">
            <v>0</v>
          </cell>
          <cell r="M495">
            <v>0</v>
          </cell>
        </row>
        <row r="496">
          <cell r="G496" t="str">
            <v xml:space="preserve"> </v>
          </cell>
          <cell r="H496">
            <v>15</v>
          </cell>
          <cell r="I496">
            <v>15</v>
          </cell>
          <cell r="J496">
            <v>109</v>
          </cell>
          <cell r="K496">
            <v>109</v>
          </cell>
          <cell r="L496">
            <v>6</v>
          </cell>
          <cell r="M496">
            <v>6</v>
          </cell>
        </row>
        <row r="497">
          <cell r="G497" t="str">
            <v xml:space="preserve"> </v>
          </cell>
          <cell r="H497">
            <v>5004.7999999999993</v>
          </cell>
          <cell r="I497">
            <v>250.2</v>
          </cell>
          <cell r="K497">
            <v>0</v>
          </cell>
          <cell r="L497">
            <v>0</v>
          </cell>
          <cell r="M497">
            <v>0</v>
          </cell>
        </row>
        <row r="498">
          <cell r="G498">
            <v>51840</v>
          </cell>
          <cell r="I498">
            <v>34183</v>
          </cell>
          <cell r="K498">
            <v>17576</v>
          </cell>
          <cell r="M498">
            <v>81</v>
          </cell>
        </row>
        <row r="500">
          <cell r="G500" t="str">
            <v>m2당</v>
          </cell>
          <cell r="H500">
            <v>0</v>
          </cell>
          <cell r="I500" t="str">
            <v xml:space="preserve"> </v>
          </cell>
          <cell r="J500">
            <v>0</v>
          </cell>
          <cell r="K500" t="str">
            <v xml:space="preserve"> </v>
          </cell>
          <cell r="M500" t="str">
            <v xml:space="preserve"> </v>
          </cell>
        </row>
        <row r="501">
          <cell r="G501" t="str">
            <v xml:space="preserve"> </v>
          </cell>
          <cell r="H501">
            <v>12000</v>
          </cell>
          <cell r="I501">
            <v>528</v>
          </cell>
          <cell r="K501">
            <v>0</v>
          </cell>
          <cell r="M501">
            <v>0</v>
          </cell>
        </row>
        <row r="502">
          <cell r="G502" t="str">
            <v xml:space="preserve"> </v>
          </cell>
          <cell r="H502">
            <v>0</v>
          </cell>
          <cell r="I502">
            <v>0</v>
          </cell>
          <cell r="J502">
            <v>37052</v>
          </cell>
          <cell r="K502">
            <v>185.2</v>
          </cell>
          <cell r="L502">
            <v>0</v>
          </cell>
          <cell r="M502">
            <v>0</v>
          </cell>
        </row>
        <row r="503">
          <cell r="H503">
            <v>800</v>
          </cell>
          <cell r="I503">
            <v>32960</v>
          </cell>
          <cell r="K503">
            <v>0</v>
          </cell>
          <cell r="M503">
            <v>0</v>
          </cell>
        </row>
        <row r="504">
          <cell r="G504" t="str">
            <v xml:space="preserve"> </v>
          </cell>
          <cell r="H504">
            <v>0</v>
          </cell>
          <cell r="I504">
            <v>0</v>
          </cell>
          <cell r="J504">
            <v>51490</v>
          </cell>
          <cell r="K504">
            <v>1596.1</v>
          </cell>
          <cell r="L504">
            <v>0</v>
          </cell>
          <cell r="M504">
            <v>0</v>
          </cell>
        </row>
        <row r="505">
          <cell r="G505" t="str">
            <v xml:space="preserve"> </v>
          </cell>
          <cell r="H505">
            <v>0</v>
          </cell>
          <cell r="I505">
            <v>0</v>
          </cell>
          <cell r="J505">
            <v>37052</v>
          </cell>
          <cell r="K505">
            <v>3408.7</v>
          </cell>
          <cell r="L505">
            <v>0</v>
          </cell>
          <cell r="M505">
            <v>0</v>
          </cell>
        </row>
        <row r="506">
          <cell r="G506" t="str">
            <v xml:space="preserve"> </v>
          </cell>
          <cell r="H506">
            <v>15</v>
          </cell>
          <cell r="I506">
            <v>15</v>
          </cell>
          <cell r="J506">
            <v>109</v>
          </cell>
          <cell r="K506">
            <v>109</v>
          </cell>
          <cell r="L506">
            <v>6</v>
          </cell>
          <cell r="M506">
            <v>6</v>
          </cell>
        </row>
        <row r="507">
          <cell r="G507" t="str">
            <v xml:space="preserve"> </v>
          </cell>
          <cell r="H507">
            <v>5004.7999999999993</v>
          </cell>
          <cell r="I507">
            <v>250.2</v>
          </cell>
          <cell r="K507">
            <v>0</v>
          </cell>
          <cell r="L507">
            <v>0</v>
          </cell>
          <cell r="M507">
            <v>0</v>
          </cell>
        </row>
        <row r="508">
          <cell r="G508">
            <v>39058</v>
          </cell>
          <cell r="I508">
            <v>33753</v>
          </cell>
          <cell r="K508">
            <v>5299</v>
          </cell>
          <cell r="M508">
            <v>6</v>
          </cell>
        </row>
        <row r="510">
          <cell r="G510" t="str">
            <v>m2당</v>
          </cell>
          <cell r="H510">
            <v>0</v>
          </cell>
          <cell r="I510" t="str">
            <v xml:space="preserve"> </v>
          </cell>
          <cell r="J510">
            <v>0</v>
          </cell>
          <cell r="K510" t="str">
            <v xml:space="preserve"> </v>
          </cell>
          <cell r="M510" t="str">
            <v xml:space="preserve"> </v>
          </cell>
        </row>
        <row r="511">
          <cell r="G511" t="str">
            <v xml:space="preserve"> </v>
          </cell>
          <cell r="H511">
            <v>0</v>
          </cell>
          <cell r="I511">
            <v>0</v>
          </cell>
          <cell r="J511">
            <v>5928</v>
          </cell>
          <cell r="K511">
            <v>1541.2</v>
          </cell>
          <cell r="L511">
            <v>0</v>
          </cell>
          <cell r="M511">
            <v>0</v>
          </cell>
        </row>
        <row r="512">
          <cell r="G512" t="str">
            <v xml:space="preserve"> </v>
          </cell>
          <cell r="H512">
            <v>0</v>
          </cell>
          <cell r="I512">
            <v>0</v>
          </cell>
          <cell r="J512">
            <v>7410</v>
          </cell>
          <cell r="K512">
            <v>1926.6</v>
          </cell>
          <cell r="L512">
            <v>0</v>
          </cell>
          <cell r="M512">
            <v>0</v>
          </cell>
        </row>
        <row r="513">
          <cell r="G513" t="str">
            <v xml:space="preserve"> </v>
          </cell>
          <cell r="H513">
            <v>14</v>
          </cell>
          <cell r="I513">
            <v>14</v>
          </cell>
          <cell r="J513">
            <v>120</v>
          </cell>
          <cell r="K513">
            <v>120</v>
          </cell>
          <cell r="L513">
            <v>43</v>
          </cell>
          <cell r="M513">
            <v>43</v>
          </cell>
        </row>
        <row r="514">
          <cell r="H514">
            <v>13500</v>
          </cell>
          <cell r="I514">
            <v>1485</v>
          </cell>
          <cell r="K514">
            <v>0</v>
          </cell>
          <cell r="M514">
            <v>0</v>
          </cell>
        </row>
        <row r="515">
          <cell r="G515" t="str">
            <v xml:space="preserve"> </v>
          </cell>
          <cell r="H515">
            <v>0</v>
          </cell>
          <cell r="I515">
            <v>0</v>
          </cell>
          <cell r="J515">
            <v>51490</v>
          </cell>
          <cell r="K515">
            <v>51.4</v>
          </cell>
          <cell r="L515">
            <v>0</v>
          </cell>
          <cell r="M515">
            <v>0</v>
          </cell>
        </row>
        <row r="516">
          <cell r="G516" t="str">
            <v xml:space="preserve"> </v>
          </cell>
          <cell r="H516">
            <v>0</v>
          </cell>
          <cell r="I516">
            <v>0</v>
          </cell>
          <cell r="J516">
            <v>37052</v>
          </cell>
          <cell r="K516">
            <v>741</v>
          </cell>
          <cell r="L516">
            <v>0</v>
          </cell>
          <cell r="M516">
            <v>0</v>
          </cell>
        </row>
        <row r="517">
          <cell r="G517" t="str">
            <v xml:space="preserve"> </v>
          </cell>
          <cell r="H517">
            <v>11</v>
          </cell>
          <cell r="I517">
            <v>11</v>
          </cell>
          <cell r="J517">
            <v>90</v>
          </cell>
          <cell r="K517">
            <v>90</v>
          </cell>
          <cell r="L517">
            <v>32</v>
          </cell>
          <cell r="M517">
            <v>32</v>
          </cell>
        </row>
        <row r="518">
          <cell r="G518" t="str">
            <v xml:space="preserve"> </v>
          </cell>
          <cell r="H518">
            <v>42127</v>
          </cell>
          <cell r="I518">
            <v>4212.7</v>
          </cell>
          <cell r="J518">
            <v>21677</v>
          </cell>
          <cell r="K518">
            <v>2167.6999999999998</v>
          </cell>
          <cell r="L518">
            <v>0</v>
          </cell>
          <cell r="M518">
            <v>0</v>
          </cell>
        </row>
        <row r="519">
          <cell r="G519" t="str">
            <v xml:space="preserve"> </v>
          </cell>
          <cell r="H519">
            <v>847</v>
          </cell>
          <cell r="I519">
            <v>847</v>
          </cell>
          <cell r="J519">
            <v>800</v>
          </cell>
          <cell r="K519">
            <v>800</v>
          </cell>
          <cell r="L519">
            <v>0</v>
          </cell>
          <cell r="M519">
            <v>0</v>
          </cell>
        </row>
        <row r="520">
          <cell r="G520" t="str">
            <v xml:space="preserve"> </v>
          </cell>
          <cell r="H520">
            <v>45177</v>
          </cell>
          <cell r="I520">
            <v>1084.2</v>
          </cell>
          <cell r="J520">
            <v>37052</v>
          </cell>
          <cell r="K520">
            <v>889.2</v>
          </cell>
          <cell r="L520">
            <v>0</v>
          </cell>
          <cell r="M520">
            <v>0</v>
          </cell>
        </row>
        <row r="521">
          <cell r="G521" t="str">
            <v xml:space="preserve"> </v>
          </cell>
          <cell r="H521">
            <v>10456</v>
          </cell>
          <cell r="I521">
            <v>62.7</v>
          </cell>
          <cell r="J521">
            <v>6763</v>
          </cell>
          <cell r="K521">
            <v>40.5</v>
          </cell>
          <cell r="L521">
            <v>135</v>
          </cell>
          <cell r="M521">
            <v>0.8</v>
          </cell>
        </row>
        <row r="522">
          <cell r="G522" t="str">
            <v xml:space="preserve"> </v>
          </cell>
          <cell r="H522">
            <v>35000</v>
          </cell>
          <cell r="I522">
            <v>38500</v>
          </cell>
          <cell r="K522">
            <v>0</v>
          </cell>
          <cell r="M522">
            <v>0</v>
          </cell>
        </row>
        <row r="523">
          <cell r="G523" t="str">
            <v xml:space="preserve"> </v>
          </cell>
          <cell r="H523">
            <v>0</v>
          </cell>
          <cell r="I523">
            <v>0</v>
          </cell>
          <cell r="J523">
            <v>41059</v>
          </cell>
          <cell r="K523">
            <v>41059</v>
          </cell>
          <cell r="L523">
            <v>0</v>
          </cell>
          <cell r="M523">
            <v>0</v>
          </cell>
        </row>
        <row r="524">
          <cell r="G524">
            <v>95717</v>
          </cell>
          <cell r="I524">
            <v>46216</v>
          </cell>
          <cell r="K524">
            <v>49426</v>
          </cell>
          <cell r="M524">
            <v>75</v>
          </cell>
        </row>
        <row r="526">
          <cell r="G526" t="str">
            <v>m2당</v>
          </cell>
          <cell r="H526">
            <v>0</v>
          </cell>
          <cell r="I526" t="str">
            <v xml:space="preserve"> </v>
          </cell>
          <cell r="J526">
            <v>0</v>
          </cell>
          <cell r="K526" t="str">
            <v xml:space="preserve"> </v>
          </cell>
          <cell r="M526" t="str">
            <v xml:space="preserve"> </v>
          </cell>
        </row>
        <row r="527">
          <cell r="G527" t="str">
            <v xml:space="preserve"> </v>
          </cell>
          <cell r="H527">
            <v>0</v>
          </cell>
          <cell r="I527">
            <v>0</v>
          </cell>
          <cell r="J527">
            <v>5928</v>
          </cell>
          <cell r="K527">
            <v>1482</v>
          </cell>
          <cell r="L527">
            <v>0</v>
          </cell>
          <cell r="M527">
            <v>0</v>
          </cell>
        </row>
        <row r="528">
          <cell r="G528" t="str">
            <v xml:space="preserve"> </v>
          </cell>
          <cell r="H528">
            <v>0</v>
          </cell>
          <cell r="I528">
            <v>0</v>
          </cell>
          <cell r="J528">
            <v>7410</v>
          </cell>
          <cell r="K528">
            <v>1852.5</v>
          </cell>
          <cell r="L528">
            <v>0</v>
          </cell>
          <cell r="M528">
            <v>0</v>
          </cell>
        </row>
        <row r="529">
          <cell r="G529" t="str">
            <v xml:space="preserve"> </v>
          </cell>
          <cell r="H529">
            <v>14</v>
          </cell>
          <cell r="I529">
            <v>14</v>
          </cell>
          <cell r="J529">
            <v>120</v>
          </cell>
          <cell r="K529">
            <v>120</v>
          </cell>
          <cell r="L529">
            <v>43</v>
          </cell>
          <cell r="M529">
            <v>43</v>
          </cell>
        </row>
        <row r="530">
          <cell r="H530">
            <v>13500</v>
          </cell>
          <cell r="I530">
            <v>1485</v>
          </cell>
          <cell r="K530">
            <v>0</v>
          </cell>
          <cell r="M530">
            <v>0</v>
          </cell>
        </row>
        <row r="531">
          <cell r="G531" t="str">
            <v xml:space="preserve"> </v>
          </cell>
          <cell r="H531">
            <v>0</v>
          </cell>
          <cell r="I531">
            <v>0</v>
          </cell>
          <cell r="J531">
            <v>51490</v>
          </cell>
          <cell r="K531">
            <v>51.4</v>
          </cell>
          <cell r="L531">
            <v>0</v>
          </cell>
          <cell r="M531">
            <v>0</v>
          </cell>
        </row>
        <row r="532">
          <cell r="G532" t="str">
            <v xml:space="preserve"> </v>
          </cell>
          <cell r="H532">
            <v>0</v>
          </cell>
          <cell r="I532">
            <v>0</v>
          </cell>
          <cell r="J532">
            <v>37052</v>
          </cell>
          <cell r="K532">
            <v>741</v>
          </cell>
          <cell r="L532">
            <v>0</v>
          </cell>
          <cell r="M532">
            <v>0</v>
          </cell>
        </row>
        <row r="533">
          <cell r="G533" t="str">
            <v xml:space="preserve"> </v>
          </cell>
          <cell r="H533">
            <v>11</v>
          </cell>
          <cell r="I533">
            <v>11</v>
          </cell>
          <cell r="J533">
            <v>90</v>
          </cell>
          <cell r="K533">
            <v>90</v>
          </cell>
          <cell r="L533">
            <v>32</v>
          </cell>
          <cell r="M533">
            <v>32</v>
          </cell>
        </row>
        <row r="534">
          <cell r="G534" t="str">
            <v xml:space="preserve"> </v>
          </cell>
          <cell r="H534">
            <v>12000</v>
          </cell>
          <cell r="I534">
            <v>660</v>
          </cell>
          <cell r="K534">
            <v>0</v>
          </cell>
          <cell r="M534">
            <v>0</v>
          </cell>
        </row>
        <row r="535">
          <cell r="G535" t="str">
            <v xml:space="preserve"> </v>
          </cell>
          <cell r="H535">
            <v>0</v>
          </cell>
          <cell r="I535">
            <v>0</v>
          </cell>
          <cell r="J535">
            <v>37052</v>
          </cell>
          <cell r="K535">
            <v>259.3</v>
          </cell>
          <cell r="L535">
            <v>0</v>
          </cell>
          <cell r="M535">
            <v>0</v>
          </cell>
        </row>
        <row r="536">
          <cell r="H536">
            <v>1998</v>
          </cell>
          <cell r="I536">
            <v>11588.4</v>
          </cell>
          <cell r="K536">
            <v>0</v>
          </cell>
          <cell r="M536">
            <v>0</v>
          </cell>
        </row>
        <row r="537">
          <cell r="G537" t="str">
            <v xml:space="preserve"> </v>
          </cell>
          <cell r="H537">
            <v>0</v>
          </cell>
          <cell r="I537">
            <v>0</v>
          </cell>
          <cell r="J537">
            <v>51490</v>
          </cell>
          <cell r="K537">
            <v>1596.1</v>
          </cell>
          <cell r="L537">
            <v>0</v>
          </cell>
          <cell r="M537">
            <v>0</v>
          </cell>
        </row>
        <row r="538">
          <cell r="G538" t="str">
            <v xml:space="preserve"> </v>
          </cell>
          <cell r="H538">
            <v>0</v>
          </cell>
          <cell r="I538">
            <v>0</v>
          </cell>
          <cell r="J538">
            <v>37052</v>
          </cell>
          <cell r="K538">
            <v>3408.7</v>
          </cell>
          <cell r="L538">
            <v>0</v>
          </cell>
          <cell r="M538">
            <v>0</v>
          </cell>
        </row>
        <row r="539">
          <cell r="G539" t="str">
            <v xml:space="preserve"> </v>
          </cell>
          <cell r="H539">
            <v>15</v>
          </cell>
          <cell r="I539">
            <v>15</v>
          </cell>
          <cell r="J539">
            <v>109</v>
          </cell>
          <cell r="K539">
            <v>109</v>
          </cell>
          <cell r="L539">
            <v>6</v>
          </cell>
          <cell r="M539">
            <v>6</v>
          </cell>
        </row>
        <row r="540">
          <cell r="G540" t="str">
            <v xml:space="preserve"> </v>
          </cell>
          <cell r="I540">
            <v>0</v>
          </cell>
          <cell r="K540">
            <v>0</v>
          </cell>
          <cell r="M540">
            <v>0</v>
          </cell>
        </row>
        <row r="541">
          <cell r="G541" t="str">
            <v xml:space="preserve"> </v>
          </cell>
          <cell r="H541">
            <v>5004.7999999999993</v>
          </cell>
          <cell r="I541">
            <v>250.2</v>
          </cell>
          <cell r="K541">
            <v>0</v>
          </cell>
          <cell r="L541">
            <v>0</v>
          </cell>
          <cell r="M541">
            <v>0</v>
          </cell>
        </row>
        <row r="542">
          <cell r="G542">
            <v>23814</v>
          </cell>
          <cell r="I542">
            <v>14023</v>
          </cell>
          <cell r="K542">
            <v>9710</v>
          </cell>
          <cell r="M542">
            <v>81</v>
          </cell>
        </row>
        <row r="544">
          <cell r="G544" t="str">
            <v>m2당</v>
          </cell>
          <cell r="H544">
            <v>0</v>
          </cell>
          <cell r="I544" t="str">
            <v xml:space="preserve"> </v>
          </cell>
          <cell r="J544">
            <v>0</v>
          </cell>
          <cell r="K544" t="str">
            <v xml:space="preserve"> </v>
          </cell>
          <cell r="M544" t="str">
            <v xml:space="preserve"> </v>
          </cell>
        </row>
        <row r="545">
          <cell r="G545" t="str">
            <v xml:space="preserve"> </v>
          </cell>
          <cell r="H545">
            <v>0</v>
          </cell>
          <cell r="I545">
            <v>0</v>
          </cell>
          <cell r="J545">
            <v>5928</v>
          </cell>
          <cell r="K545">
            <v>1600.5</v>
          </cell>
          <cell r="L545">
            <v>0</v>
          </cell>
          <cell r="M545">
            <v>0</v>
          </cell>
        </row>
        <row r="546">
          <cell r="G546" t="str">
            <v xml:space="preserve"> </v>
          </cell>
          <cell r="H546">
            <v>0</v>
          </cell>
          <cell r="I546">
            <v>0</v>
          </cell>
          <cell r="J546">
            <v>7410</v>
          </cell>
          <cell r="K546">
            <v>2000.7</v>
          </cell>
          <cell r="L546">
            <v>0</v>
          </cell>
          <cell r="M546">
            <v>0</v>
          </cell>
        </row>
        <row r="547">
          <cell r="G547" t="str">
            <v xml:space="preserve"> </v>
          </cell>
          <cell r="H547">
            <v>14</v>
          </cell>
          <cell r="I547">
            <v>14</v>
          </cell>
          <cell r="J547">
            <v>120</v>
          </cell>
          <cell r="K547">
            <v>120</v>
          </cell>
          <cell r="L547">
            <v>43</v>
          </cell>
          <cell r="M547">
            <v>43</v>
          </cell>
        </row>
        <row r="548">
          <cell r="H548">
            <v>13500</v>
          </cell>
          <cell r="I548">
            <v>1485</v>
          </cell>
          <cell r="K548">
            <v>0</v>
          </cell>
          <cell r="M548">
            <v>0</v>
          </cell>
        </row>
        <row r="549">
          <cell r="G549" t="str">
            <v xml:space="preserve"> </v>
          </cell>
          <cell r="H549">
            <v>0</v>
          </cell>
          <cell r="I549">
            <v>0</v>
          </cell>
          <cell r="J549">
            <v>51490</v>
          </cell>
          <cell r="K549">
            <v>51.4</v>
          </cell>
          <cell r="L549">
            <v>0</v>
          </cell>
          <cell r="M549">
            <v>0</v>
          </cell>
        </row>
        <row r="550">
          <cell r="G550" t="str">
            <v xml:space="preserve"> </v>
          </cell>
          <cell r="H550">
            <v>0</v>
          </cell>
          <cell r="I550">
            <v>0</v>
          </cell>
          <cell r="J550">
            <v>37052</v>
          </cell>
          <cell r="K550">
            <v>741</v>
          </cell>
          <cell r="L550">
            <v>0</v>
          </cell>
          <cell r="M550">
            <v>0</v>
          </cell>
        </row>
        <row r="551">
          <cell r="G551" t="str">
            <v xml:space="preserve"> </v>
          </cell>
          <cell r="H551">
            <v>11</v>
          </cell>
          <cell r="I551">
            <v>11</v>
          </cell>
          <cell r="J551">
            <v>90</v>
          </cell>
          <cell r="K551">
            <v>90</v>
          </cell>
          <cell r="L551">
            <v>32</v>
          </cell>
          <cell r="M551">
            <v>32</v>
          </cell>
        </row>
        <row r="552">
          <cell r="G552" t="str">
            <v xml:space="preserve"> </v>
          </cell>
          <cell r="H552">
            <v>42127</v>
          </cell>
          <cell r="I552">
            <v>4212.7</v>
          </cell>
          <cell r="J552">
            <v>21677</v>
          </cell>
          <cell r="K552">
            <v>2167.6999999999998</v>
          </cell>
          <cell r="L552">
            <v>0</v>
          </cell>
          <cell r="M552">
            <v>0</v>
          </cell>
        </row>
        <row r="553">
          <cell r="G553" t="str">
            <v xml:space="preserve"> </v>
          </cell>
          <cell r="H553">
            <v>847</v>
          </cell>
          <cell r="I553">
            <v>847</v>
          </cell>
          <cell r="J553">
            <v>800</v>
          </cell>
          <cell r="K553">
            <v>800</v>
          </cell>
          <cell r="L553">
            <v>0</v>
          </cell>
          <cell r="M553">
            <v>0</v>
          </cell>
        </row>
        <row r="554">
          <cell r="G554" t="str">
            <v xml:space="preserve"> </v>
          </cell>
          <cell r="H554">
            <v>45177</v>
          </cell>
          <cell r="I554">
            <v>1355.3</v>
          </cell>
          <cell r="J554">
            <v>37052</v>
          </cell>
          <cell r="K554">
            <v>1111.5</v>
          </cell>
          <cell r="L554">
            <v>0</v>
          </cell>
          <cell r="M554">
            <v>0</v>
          </cell>
        </row>
        <row r="555">
          <cell r="G555" t="str">
            <v xml:space="preserve"> </v>
          </cell>
          <cell r="H555">
            <v>53796</v>
          </cell>
          <cell r="I555">
            <v>1075.9000000000001</v>
          </cell>
          <cell r="J555">
            <v>37052</v>
          </cell>
          <cell r="K555">
            <v>741</v>
          </cell>
          <cell r="L555">
            <v>0</v>
          </cell>
          <cell r="M555">
            <v>0</v>
          </cell>
        </row>
        <row r="556">
          <cell r="G556" t="str">
            <v xml:space="preserve"> </v>
          </cell>
          <cell r="H556">
            <v>35000</v>
          </cell>
          <cell r="I556">
            <v>38500</v>
          </cell>
          <cell r="K556">
            <v>0</v>
          </cell>
          <cell r="M556">
            <v>0</v>
          </cell>
        </row>
        <row r="557">
          <cell r="G557" t="str">
            <v xml:space="preserve"> </v>
          </cell>
          <cell r="H557">
            <v>0</v>
          </cell>
          <cell r="I557">
            <v>0</v>
          </cell>
          <cell r="J557">
            <v>41059</v>
          </cell>
          <cell r="K557">
            <v>41059</v>
          </cell>
          <cell r="L557">
            <v>0</v>
          </cell>
          <cell r="M557">
            <v>0</v>
          </cell>
        </row>
        <row r="558">
          <cell r="G558">
            <v>98057</v>
          </cell>
          <cell r="I558">
            <v>47500</v>
          </cell>
          <cell r="K558">
            <v>50482</v>
          </cell>
          <cell r="M558">
            <v>75</v>
          </cell>
        </row>
        <row r="560">
          <cell r="G560" t="str">
            <v>m당</v>
          </cell>
          <cell r="H560">
            <v>0</v>
          </cell>
          <cell r="I560" t="str">
            <v xml:space="preserve"> </v>
          </cell>
          <cell r="J560">
            <v>0</v>
          </cell>
          <cell r="K560" t="str">
            <v xml:space="preserve"> </v>
          </cell>
          <cell r="M560" t="str">
            <v xml:space="preserve"> </v>
          </cell>
        </row>
        <row r="561">
          <cell r="G561" t="str">
            <v xml:space="preserve"> </v>
          </cell>
          <cell r="H561">
            <v>0</v>
          </cell>
          <cell r="I561">
            <v>0</v>
          </cell>
          <cell r="J561">
            <v>5928</v>
          </cell>
          <cell r="K561">
            <v>1404.9</v>
          </cell>
          <cell r="L561">
            <v>0</v>
          </cell>
          <cell r="M561">
            <v>0</v>
          </cell>
        </row>
        <row r="562">
          <cell r="G562" t="str">
            <v xml:space="preserve"> </v>
          </cell>
          <cell r="H562">
            <v>0</v>
          </cell>
          <cell r="I562">
            <v>0</v>
          </cell>
          <cell r="J562">
            <v>7410</v>
          </cell>
          <cell r="K562">
            <v>1756.1</v>
          </cell>
          <cell r="L562">
            <v>0</v>
          </cell>
          <cell r="M562">
            <v>0</v>
          </cell>
        </row>
        <row r="563">
          <cell r="G563" t="str">
            <v xml:space="preserve"> </v>
          </cell>
          <cell r="H563">
            <v>15</v>
          </cell>
          <cell r="I563">
            <v>18.7</v>
          </cell>
          <cell r="J563">
            <v>109</v>
          </cell>
          <cell r="K563">
            <v>136.19999999999999</v>
          </cell>
          <cell r="L563">
            <v>6</v>
          </cell>
          <cell r="M563">
            <v>7.5</v>
          </cell>
        </row>
        <row r="564">
          <cell r="G564" t="str">
            <v xml:space="preserve"> </v>
          </cell>
          <cell r="H564">
            <v>12000</v>
          </cell>
          <cell r="I564">
            <v>660</v>
          </cell>
          <cell r="K564">
            <v>0</v>
          </cell>
          <cell r="M564">
            <v>0</v>
          </cell>
        </row>
        <row r="565">
          <cell r="G565" t="str">
            <v xml:space="preserve"> </v>
          </cell>
          <cell r="H565">
            <v>0</v>
          </cell>
          <cell r="I565">
            <v>0</v>
          </cell>
          <cell r="J565">
            <v>37052</v>
          </cell>
          <cell r="K565">
            <v>259.3</v>
          </cell>
          <cell r="L565">
            <v>0</v>
          </cell>
          <cell r="M565">
            <v>0</v>
          </cell>
        </row>
        <row r="566">
          <cell r="G566" t="str">
            <v xml:space="preserve"> </v>
          </cell>
          <cell r="H566">
            <v>45864</v>
          </cell>
          <cell r="I566">
            <v>96314.4</v>
          </cell>
          <cell r="K566">
            <v>0</v>
          </cell>
          <cell r="M566">
            <v>0</v>
          </cell>
        </row>
        <row r="567">
          <cell r="G567" t="str">
            <v xml:space="preserve"> </v>
          </cell>
          <cell r="H567">
            <v>800</v>
          </cell>
          <cell r="I567">
            <v>6640</v>
          </cell>
          <cell r="K567">
            <v>0</v>
          </cell>
          <cell r="M567">
            <v>0</v>
          </cell>
        </row>
        <row r="568">
          <cell r="G568" t="str">
            <v xml:space="preserve"> </v>
          </cell>
          <cell r="H568">
            <v>320</v>
          </cell>
          <cell r="I568">
            <v>492.1</v>
          </cell>
          <cell r="K568">
            <v>0</v>
          </cell>
          <cell r="M568">
            <v>0</v>
          </cell>
        </row>
        <row r="569">
          <cell r="H569">
            <v>0</v>
          </cell>
          <cell r="I569">
            <v>0</v>
          </cell>
          <cell r="J569">
            <v>107349</v>
          </cell>
          <cell r="K569">
            <v>134186.20000000001</v>
          </cell>
          <cell r="L569">
            <v>0</v>
          </cell>
          <cell r="M569">
            <v>0</v>
          </cell>
        </row>
        <row r="570">
          <cell r="G570">
            <v>241874</v>
          </cell>
          <cell r="I570">
            <v>104125</v>
          </cell>
          <cell r="K570">
            <v>137742</v>
          </cell>
          <cell r="M570">
            <v>7</v>
          </cell>
        </row>
        <row r="572">
          <cell r="G572" t="str">
            <v>m당</v>
          </cell>
          <cell r="H572">
            <v>0</v>
          </cell>
          <cell r="I572" t="str">
            <v xml:space="preserve"> </v>
          </cell>
          <cell r="J572">
            <v>0</v>
          </cell>
          <cell r="K572" t="str">
            <v xml:space="preserve"> </v>
          </cell>
          <cell r="M572" t="str">
            <v xml:space="preserve"> </v>
          </cell>
        </row>
        <row r="573">
          <cell r="G573" t="str">
            <v xml:space="preserve"> </v>
          </cell>
          <cell r="H573">
            <v>0</v>
          </cell>
          <cell r="I573">
            <v>0</v>
          </cell>
          <cell r="J573">
            <v>9263</v>
          </cell>
          <cell r="K573">
            <v>1509.8</v>
          </cell>
          <cell r="L573">
            <v>0</v>
          </cell>
          <cell r="M573">
            <v>0</v>
          </cell>
        </row>
        <row r="574">
          <cell r="G574" t="str">
            <v xml:space="preserve"> </v>
          </cell>
          <cell r="H574">
            <v>0</v>
          </cell>
          <cell r="I574">
            <v>0</v>
          </cell>
          <cell r="J574">
            <v>7410</v>
          </cell>
          <cell r="K574">
            <v>355.6</v>
          </cell>
          <cell r="L574">
            <v>0</v>
          </cell>
          <cell r="M574">
            <v>0</v>
          </cell>
        </row>
        <row r="575">
          <cell r="G575" t="str">
            <v xml:space="preserve"> </v>
          </cell>
          <cell r="H575">
            <v>0</v>
          </cell>
          <cell r="I575">
            <v>0</v>
          </cell>
          <cell r="J575">
            <v>7780</v>
          </cell>
          <cell r="K575">
            <v>894.7</v>
          </cell>
          <cell r="L575">
            <v>0</v>
          </cell>
          <cell r="M575">
            <v>0</v>
          </cell>
        </row>
        <row r="576">
          <cell r="G576" t="str">
            <v xml:space="preserve"> </v>
          </cell>
          <cell r="H576">
            <v>3377</v>
          </cell>
          <cell r="I576">
            <v>675.4</v>
          </cell>
          <cell r="J576">
            <v>10908</v>
          </cell>
          <cell r="K576">
            <v>2181.6</v>
          </cell>
          <cell r="L576">
            <v>0</v>
          </cell>
          <cell r="M576">
            <v>0</v>
          </cell>
        </row>
        <row r="577">
          <cell r="G577" t="str">
            <v xml:space="preserve"> </v>
          </cell>
          <cell r="H577">
            <v>39188</v>
          </cell>
          <cell r="I577">
            <v>979.7</v>
          </cell>
          <cell r="J577">
            <v>19650</v>
          </cell>
          <cell r="K577">
            <v>491.2</v>
          </cell>
          <cell r="L577">
            <v>0</v>
          </cell>
          <cell r="M577">
            <v>0</v>
          </cell>
        </row>
        <row r="578">
          <cell r="G578" t="str">
            <v xml:space="preserve"> </v>
          </cell>
          <cell r="H578">
            <v>45177</v>
          </cell>
          <cell r="I578">
            <v>9</v>
          </cell>
          <cell r="J578">
            <v>37052</v>
          </cell>
          <cell r="K578">
            <v>7.4</v>
          </cell>
          <cell r="L578">
            <v>0</v>
          </cell>
          <cell r="M578">
            <v>0</v>
          </cell>
        </row>
        <row r="579">
          <cell r="G579" t="str">
            <v xml:space="preserve"> </v>
          </cell>
          <cell r="H579">
            <v>6164</v>
          </cell>
          <cell r="I579">
            <v>6287.2</v>
          </cell>
          <cell r="K579">
            <v>0</v>
          </cell>
          <cell r="M579">
            <v>0</v>
          </cell>
        </row>
        <row r="580">
          <cell r="G580" t="str">
            <v xml:space="preserve"> </v>
          </cell>
          <cell r="H580">
            <v>0</v>
          </cell>
          <cell r="I580">
            <v>0</v>
          </cell>
          <cell r="J580">
            <v>51490</v>
          </cell>
          <cell r="K580">
            <v>2574.5</v>
          </cell>
          <cell r="L580">
            <v>0</v>
          </cell>
          <cell r="M580">
            <v>0</v>
          </cell>
        </row>
        <row r="581">
          <cell r="G581" t="str">
            <v xml:space="preserve"> </v>
          </cell>
          <cell r="H581">
            <v>0</v>
          </cell>
          <cell r="I581">
            <v>0</v>
          </cell>
          <cell r="J581">
            <v>37052</v>
          </cell>
          <cell r="K581">
            <v>2593.6</v>
          </cell>
          <cell r="L581">
            <v>0</v>
          </cell>
          <cell r="M581">
            <v>0</v>
          </cell>
        </row>
        <row r="582">
          <cell r="G582">
            <v>18559</v>
          </cell>
          <cell r="I582">
            <v>7951</v>
          </cell>
          <cell r="K582">
            <v>10608</v>
          </cell>
          <cell r="M582">
            <v>0</v>
          </cell>
        </row>
        <row r="584">
          <cell r="G584" t="str">
            <v>m당</v>
          </cell>
          <cell r="H584">
            <v>0</v>
          </cell>
          <cell r="I584" t="str">
            <v xml:space="preserve"> </v>
          </cell>
          <cell r="J584">
            <v>0</v>
          </cell>
          <cell r="K584" t="str">
            <v xml:space="preserve"> </v>
          </cell>
          <cell r="M584" t="str">
            <v xml:space="preserve"> </v>
          </cell>
        </row>
        <row r="585">
          <cell r="G585" t="str">
            <v xml:space="preserve"> </v>
          </cell>
          <cell r="H585">
            <v>0</v>
          </cell>
          <cell r="I585">
            <v>0</v>
          </cell>
          <cell r="J585">
            <v>5928</v>
          </cell>
          <cell r="K585">
            <v>355.6</v>
          </cell>
          <cell r="L585">
            <v>0</v>
          </cell>
          <cell r="M585">
            <v>0</v>
          </cell>
        </row>
        <row r="586">
          <cell r="G586" t="str">
            <v xml:space="preserve"> </v>
          </cell>
          <cell r="H586">
            <v>0</v>
          </cell>
          <cell r="I586">
            <v>0</v>
          </cell>
          <cell r="J586">
            <v>7410</v>
          </cell>
          <cell r="K586">
            <v>148.19999999999999</v>
          </cell>
          <cell r="L586">
            <v>0</v>
          </cell>
          <cell r="M586">
            <v>0</v>
          </cell>
        </row>
        <row r="587">
          <cell r="G587" t="str">
            <v xml:space="preserve"> </v>
          </cell>
          <cell r="H587">
            <v>0</v>
          </cell>
          <cell r="I587">
            <v>0</v>
          </cell>
          <cell r="J587">
            <v>7780</v>
          </cell>
          <cell r="K587">
            <v>311.2</v>
          </cell>
          <cell r="L587">
            <v>0</v>
          </cell>
          <cell r="M587">
            <v>0</v>
          </cell>
        </row>
        <row r="588">
          <cell r="G588" t="str">
            <v xml:space="preserve"> </v>
          </cell>
          <cell r="H588">
            <v>3377</v>
          </cell>
          <cell r="I588">
            <v>506.5</v>
          </cell>
          <cell r="J588">
            <v>10908</v>
          </cell>
          <cell r="K588">
            <v>1636.2</v>
          </cell>
          <cell r="L588">
            <v>0</v>
          </cell>
          <cell r="M588">
            <v>0</v>
          </cell>
        </row>
        <row r="589">
          <cell r="G589" t="str">
            <v xml:space="preserve"> </v>
          </cell>
          <cell r="H589">
            <v>39188</v>
          </cell>
          <cell r="I589">
            <v>470.2</v>
          </cell>
          <cell r="J589">
            <v>19650</v>
          </cell>
          <cell r="K589">
            <v>235.8</v>
          </cell>
          <cell r="L589">
            <v>0</v>
          </cell>
          <cell r="M589">
            <v>0</v>
          </cell>
        </row>
        <row r="590">
          <cell r="G590" t="str">
            <v xml:space="preserve"> </v>
          </cell>
          <cell r="H590">
            <v>45177</v>
          </cell>
          <cell r="I590">
            <v>9</v>
          </cell>
          <cell r="J590">
            <v>37052</v>
          </cell>
          <cell r="K590">
            <v>7.4</v>
          </cell>
          <cell r="L590">
            <v>0</v>
          </cell>
          <cell r="M590">
            <v>0</v>
          </cell>
        </row>
        <row r="591">
          <cell r="G591" t="str">
            <v xml:space="preserve"> </v>
          </cell>
          <cell r="H591">
            <v>11655</v>
          </cell>
          <cell r="I591">
            <v>11888.1</v>
          </cell>
          <cell r="K591">
            <v>0</v>
          </cell>
          <cell r="M591">
            <v>0</v>
          </cell>
        </row>
        <row r="592">
          <cell r="G592" t="str">
            <v xml:space="preserve"> </v>
          </cell>
          <cell r="H592">
            <v>0</v>
          </cell>
          <cell r="I592">
            <v>0</v>
          </cell>
          <cell r="J592">
            <v>51490</v>
          </cell>
          <cell r="K592">
            <v>2574.5</v>
          </cell>
          <cell r="L592">
            <v>0</v>
          </cell>
          <cell r="M592">
            <v>0</v>
          </cell>
        </row>
        <row r="593">
          <cell r="G593" t="str">
            <v xml:space="preserve"> </v>
          </cell>
          <cell r="H593">
            <v>0</v>
          </cell>
          <cell r="I593">
            <v>0</v>
          </cell>
          <cell r="J593">
            <v>37052</v>
          </cell>
          <cell r="K593">
            <v>2593.6</v>
          </cell>
          <cell r="L593">
            <v>0</v>
          </cell>
          <cell r="M593">
            <v>0</v>
          </cell>
        </row>
        <row r="594">
          <cell r="G594">
            <v>20735</v>
          </cell>
          <cell r="I594">
            <v>12873</v>
          </cell>
          <cell r="K594">
            <v>7862</v>
          </cell>
          <cell r="M594">
            <v>0</v>
          </cell>
        </row>
        <row r="596">
          <cell r="G596" t="str">
            <v>개소당</v>
          </cell>
          <cell r="H596">
            <v>0</v>
          </cell>
          <cell r="I596" t="str">
            <v xml:space="preserve"> </v>
          </cell>
          <cell r="J596">
            <v>0</v>
          </cell>
          <cell r="K596" t="str">
            <v xml:space="preserve"> </v>
          </cell>
          <cell r="M596" t="str">
            <v xml:space="preserve"> </v>
          </cell>
        </row>
        <row r="597">
          <cell r="G597" t="str">
            <v xml:space="preserve"> </v>
          </cell>
          <cell r="H597">
            <v>0</v>
          </cell>
          <cell r="I597">
            <v>0</v>
          </cell>
          <cell r="J597">
            <v>5928</v>
          </cell>
          <cell r="K597">
            <v>8536.2999999999993</v>
          </cell>
          <cell r="L597">
            <v>0</v>
          </cell>
          <cell r="M597">
            <v>0</v>
          </cell>
        </row>
        <row r="598">
          <cell r="G598" t="str">
            <v xml:space="preserve"> </v>
          </cell>
          <cell r="H598">
            <v>0</v>
          </cell>
          <cell r="I598">
            <v>0</v>
          </cell>
          <cell r="J598">
            <v>7410</v>
          </cell>
          <cell r="K598">
            <v>7039.5</v>
          </cell>
          <cell r="L598">
            <v>0</v>
          </cell>
          <cell r="M598">
            <v>0</v>
          </cell>
        </row>
        <row r="599">
          <cell r="G599" t="str">
            <v xml:space="preserve"> </v>
          </cell>
          <cell r="H599">
            <v>0</v>
          </cell>
          <cell r="I599">
            <v>0</v>
          </cell>
          <cell r="J599">
            <v>7780</v>
          </cell>
          <cell r="K599">
            <v>3812.2</v>
          </cell>
          <cell r="L599">
            <v>0</v>
          </cell>
          <cell r="M599">
            <v>0</v>
          </cell>
        </row>
        <row r="600">
          <cell r="G600" t="str">
            <v xml:space="preserve"> </v>
          </cell>
          <cell r="H600">
            <v>3377</v>
          </cell>
          <cell r="I600">
            <v>10266</v>
          </cell>
          <cell r="J600">
            <v>10908</v>
          </cell>
          <cell r="K600">
            <v>33160.300000000003</v>
          </cell>
          <cell r="L600">
            <v>0</v>
          </cell>
          <cell r="M600">
            <v>0</v>
          </cell>
        </row>
        <row r="601">
          <cell r="G601" t="str">
            <v xml:space="preserve"> </v>
          </cell>
          <cell r="H601">
            <v>31004</v>
          </cell>
          <cell r="I601">
            <v>23563</v>
          </cell>
          <cell r="J601">
            <v>133348</v>
          </cell>
          <cell r="K601">
            <v>101344.4</v>
          </cell>
          <cell r="L601">
            <v>0</v>
          </cell>
          <cell r="M601">
            <v>0</v>
          </cell>
        </row>
        <row r="602">
          <cell r="G602" t="str">
            <v xml:space="preserve"> </v>
          </cell>
          <cell r="H602">
            <v>138240</v>
          </cell>
          <cell r="I602">
            <v>1105920</v>
          </cell>
          <cell r="K602">
            <v>0</v>
          </cell>
          <cell r="M602">
            <v>0</v>
          </cell>
        </row>
        <row r="603">
          <cell r="G603" t="str">
            <v xml:space="preserve"> </v>
          </cell>
          <cell r="H603">
            <v>0</v>
          </cell>
          <cell r="I603">
            <v>0</v>
          </cell>
          <cell r="J603">
            <v>51490</v>
          </cell>
          <cell r="K603">
            <v>94123.7</v>
          </cell>
          <cell r="L603">
            <v>0</v>
          </cell>
          <cell r="M603">
            <v>0</v>
          </cell>
        </row>
        <row r="604">
          <cell r="G604" t="str">
            <v xml:space="preserve"> </v>
          </cell>
          <cell r="H604">
            <v>0</v>
          </cell>
          <cell r="I604">
            <v>0</v>
          </cell>
          <cell r="J604">
            <v>37052</v>
          </cell>
          <cell r="K604">
            <v>90332.7</v>
          </cell>
          <cell r="L604">
            <v>0</v>
          </cell>
          <cell r="M604">
            <v>0</v>
          </cell>
        </row>
        <row r="605">
          <cell r="G605" t="str">
            <v xml:space="preserve"> </v>
          </cell>
          <cell r="H605">
            <v>53796</v>
          </cell>
          <cell r="I605">
            <v>344.2</v>
          </cell>
          <cell r="J605">
            <v>37052</v>
          </cell>
          <cell r="K605">
            <v>237.1</v>
          </cell>
          <cell r="L605">
            <v>0</v>
          </cell>
          <cell r="M605">
            <v>0</v>
          </cell>
        </row>
        <row r="606">
          <cell r="G606">
            <v>1478679</v>
          </cell>
          <cell r="I606">
            <v>1140093</v>
          </cell>
          <cell r="K606">
            <v>338586</v>
          </cell>
          <cell r="M606">
            <v>0</v>
          </cell>
        </row>
        <row r="607">
          <cell r="G607">
            <v>0</v>
          </cell>
          <cell r="I607">
            <v>0</v>
          </cell>
          <cell r="K607">
            <v>0</v>
          </cell>
          <cell r="M607">
            <v>0</v>
          </cell>
        </row>
        <row r="608">
          <cell r="G608" t="str">
            <v>m당</v>
          </cell>
          <cell r="H608">
            <v>0</v>
          </cell>
          <cell r="I608" t="str">
            <v xml:space="preserve"> </v>
          </cell>
          <cell r="J608">
            <v>0</v>
          </cell>
          <cell r="K608" t="str">
            <v xml:space="preserve"> </v>
          </cell>
          <cell r="M608" t="str">
            <v xml:space="preserve"> </v>
          </cell>
        </row>
        <row r="609">
          <cell r="G609" t="str">
            <v xml:space="preserve"> </v>
          </cell>
          <cell r="H609">
            <v>0</v>
          </cell>
          <cell r="I609">
            <v>0</v>
          </cell>
          <cell r="J609">
            <v>5928</v>
          </cell>
          <cell r="K609">
            <v>711.3</v>
          </cell>
          <cell r="L609">
            <v>0</v>
          </cell>
          <cell r="M609">
            <v>0</v>
          </cell>
        </row>
        <row r="610">
          <cell r="G610" t="str">
            <v xml:space="preserve"> </v>
          </cell>
          <cell r="H610">
            <v>0</v>
          </cell>
          <cell r="I610">
            <v>0</v>
          </cell>
          <cell r="J610">
            <v>7410</v>
          </cell>
          <cell r="K610">
            <v>889.2</v>
          </cell>
          <cell r="L610">
            <v>0</v>
          </cell>
          <cell r="M610">
            <v>0</v>
          </cell>
        </row>
        <row r="611">
          <cell r="G611" t="str">
            <v xml:space="preserve"> </v>
          </cell>
          <cell r="H611">
            <v>95000</v>
          </cell>
          <cell r="I611">
            <v>137370</v>
          </cell>
          <cell r="K611">
            <v>0</v>
          </cell>
          <cell r="M611">
            <v>0</v>
          </cell>
        </row>
        <row r="612">
          <cell r="G612" t="str">
            <v xml:space="preserve"> </v>
          </cell>
          <cell r="H612">
            <v>0</v>
          </cell>
          <cell r="I612">
            <v>0</v>
          </cell>
          <cell r="J612">
            <v>53468</v>
          </cell>
          <cell r="K612">
            <v>193286.8</v>
          </cell>
          <cell r="L612">
            <v>0</v>
          </cell>
          <cell r="M612">
            <v>0</v>
          </cell>
        </row>
        <row r="613">
          <cell r="G613" t="str">
            <v xml:space="preserve"> </v>
          </cell>
          <cell r="H613">
            <v>0</v>
          </cell>
          <cell r="I613">
            <v>0</v>
          </cell>
          <cell r="J613">
            <v>37052</v>
          </cell>
          <cell r="K613">
            <v>133942.9</v>
          </cell>
          <cell r="L613">
            <v>0</v>
          </cell>
          <cell r="M613">
            <v>0</v>
          </cell>
        </row>
        <row r="614">
          <cell r="G614" t="str">
            <v xml:space="preserve"> </v>
          </cell>
          <cell r="I614">
            <v>0</v>
          </cell>
          <cell r="K614">
            <v>0</v>
          </cell>
          <cell r="M614">
            <v>0</v>
          </cell>
        </row>
        <row r="615">
          <cell r="G615">
            <v>466200</v>
          </cell>
          <cell r="I615">
            <v>137370</v>
          </cell>
          <cell r="K615">
            <v>328830</v>
          </cell>
          <cell r="M615">
            <v>0</v>
          </cell>
        </row>
        <row r="616">
          <cell r="G616">
            <v>0</v>
          </cell>
          <cell r="I616">
            <v>0</v>
          </cell>
          <cell r="K616">
            <v>0</v>
          </cell>
          <cell r="M616">
            <v>0</v>
          </cell>
        </row>
        <row r="617">
          <cell r="G617" t="str">
            <v>개소당</v>
          </cell>
        </row>
        <row r="618">
          <cell r="G618" t="str">
            <v xml:space="preserve"> </v>
          </cell>
          <cell r="H618">
            <v>2054</v>
          </cell>
          <cell r="I618">
            <v>72300.800000000003</v>
          </cell>
          <cell r="K618">
            <v>0</v>
          </cell>
          <cell r="M618">
            <v>0</v>
          </cell>
        </row>
        <row r="619">
          <cell r="G619" t="str">
            <v xml:space="preserve"> </v>
          </cell>
          <cell r="H619">
            <v>2232</v>
          </cell>
          <cell r="I619">
            <v>27498.2</v>
          </cell>
          <cell r="K619">
            <v>0</v>
          </cell>
          <cell r="M619">
            <v>0</v>
          </cell>
        </row>
        <row r="620">
          <cell r="G620" t="str">
            <v xml:space="preserve"> </v>
          </cell>
          <cell r="H620">
            <v>1610</v>
          </cell>
          <cell r="I620">
            <v>12880</v>
          </cell>
          <cell r="K620">
            <v>0</v>
          </cell>
          <cell r="M620">
            <v>0</v>
          </cell>
        </row>
        <row r="621">
          <cell r="G621" t="str">
            <v xml:space="preserve"> </v>
          </cell>
          <cell r="H621">
            <v>0</v>
          </cell>
          <cell r="I621">
            <v>0</v>
          </cell>
          <cell r="J621">
            <v>4520</v>
          </cell>
          <cell r="K621">
            <v>36160</v>
          </cell>
          <cell r="L621">
            <v>0</v>
          </cell>
          <cell r="M621">
            <v>0</v>
          </cell>
        </row>
        <row r="622">
          <cell r="G622" t="str">
            <v xml:space="preserve"> </v>
          </cell>
          <cell r="H622">
            <v>404</v>
          </cell>
          <cell r="I622">
            <v>17452.8</v>
          </cell>
          <cell r="J622">
            <v>2591</v>
          </cell>
          <cell r="K622">
            <v>111931.2</v>
          </cell>
          <cell r="L622">
            <v>86</v>
          </cell>
          <cell r="M622">
            <v>3715.2</v>
          </cell>
        </row>
        <row r="623">
          <cell r="G623" t="str">
            <v xml:space="preserve"> </v>
          </cell>
          <cell r="H623">
            <v>269461</v>
          </cell>
          <cell r="I623">
            <v>6467</v>
          </cell>
          <cell r="K623">
            <v>0</v>
          </cell>
          <cell r="M623">
            <v>0</v>
          </cell>
        </row>
        <row r="624">
          <cell r="H624">
            <v>0</v>
          </cell>
          <cell r="I624">
            <v>0</v>
          </cell>
          <cell r="J624">
            <v>107349</v>
          </cell>
          <cell r="K624">
            <v>2361.6</v>
          </cell>
          <cell r="L624">
            <v>0</v>
          </cell>
          <cell r="M624">
            <v>0</v>
          </cell>
        </row>
        <row r="625">
          <cell r="G625" t="str">
            <v xml:space="preserve"> </v>
          </cell>
          <cell r="H625">
            <v>119760</v>
          </cell>
          <cell r="I625">
            <v>2634.7</v>
          </cell>
          <cell r="K625">
            <v>0</v>
          </cell>
          <cell r="M625">
            <v>0</v>
          </cell>
        </row>
        <row r="626">
          <cell r="G626" t="str">
            <v xml:space="preserve"> </v>
          </cell>
          <cell r="H626">
            <v>32</v>
          </cell>
          <cell r="I626">
            <v>384</v>
          </cell>
          <cell r="K626">
            <v>0</v>
          </cell>
          <cell r="M626">
            <v>0</v>
          </cell>
        </row>
        <row r="627">
          <cell r="G627" t="str">
            <v xml:space="preserve"> </v>
          </cell>
          <cell r="H627">
            <v>750</v>
          </cell>
          <cell r="I627">
            <v>-2268</v>
          </cell>
          <cell r="K627">
            <v>0</v>
          </cell>
          <cell r="M627">
            <v>0</v>
          </cell>
        </row>
        <row r="628">
          <cell r="G628">
            <v>291516</v>
          </cell>
          <cell r="H628">
            <v>0</v>
          </cell>
          <cell r="I628">
            <v>137349</v>
          </cell>
          <cell r="J628">
            <v>0</v>
          </cell>
          <cell r="K628">
            <v>150452</v>
          </cell>
          <cell r="M628">
            <v>3715</v>
          </cell>
        </row>
        <row r="629">
          <cell r="M629" t="str">
            <v xml:space="preserve"> </v>
          </cell>
        </row>
        <row r="630">
          <cell r="G630" t="str">
            <v>개소당</v>
          </cell>
        </row>
        <row r="631">
          <cell r="G631" t="str">
            <v xml:space="preserve"> </v>
          </cell>
          <cell r="H631">
            <v>2054</v>
          </cell>
          <cell r="I631">
            <v>162676.79999999999</v>
          </cell>
          <cell r="K631">
            <v>0</v>
          </cell>
          <cell r="M631">
            <v>0</v>
          </cell>
        </row>
        <row r="632">
          <cell r="G632" t="str">
            <v xml:space="preserve"> </v>
          </cell>
          <cell r="H632">
            <v>2232</v>
          </cell>
          <cell r="I632">
            <v>41247.300000000003</v>
          </cell>
          <cell r="K632">
            <v>0</v>
          </cell>
          <cell r="M632">
            <v>0</v>
          </cell>
        </row>
        <row r="633">
          <cell r="G633" t="str">
            <v xml:space="preserve"> </v>
          </cell>
          <cell r="H633">
            <v>1610</v>
          </cell>
          <cell r="I633">
            <v>30590</v>
          </cell>
          <cell r="K633">
            <v>0</v>
          </cell>
          <cell r="M633">
            <v>0</v>
          </cell>
        </row>
        <row r="634">
          <cell r="G634" t="str">
            <v xml:space="preserve"> </v>
          </cell>
          <cell r="H634">
            <v>0</v>
          </cell>
          <cell r="I634">
            <v>0</v>
          </cell>
          <cell r="J634">
            <v>4520</v>
          </cell>
          <cell r="K634">
            <v>81360</v>
          </cell>
          <cell r="L634">
            <v>0</v>
          </cell>
          <cell r="M634">
            <v>0</v>
          </cell>
        </row>
        <row r="635">
          <cell r="G635" t="str">
            <v xml:space="preserve"> </v>
          </cell>
          <cell r="H635">
            <v>404</v>
          </cell>
          <cell r="I635">
            <v>35875.199999999997</v>
          </cell>
          <cell r="J635">
            <v>2591</v>
          </cell>
          <cell r="K635">
            <v>230080.8</v>
          </cell>
          <cell r="L635">
            <v>86</v>
          </cell>
          <cell r="M635">
            <v>7636.8</v>
          </cell>
        </row>
        <row r="636">
          <cell r="G636" t="str">
            <v xml:space="preserve"> </v>
          </cell>
          <cell r="H636">
            <v>269461</v>
          </cell>
          <cell r="I636">
            <v>11047.9</v>
          </cell>
          <cell r="K636">
            <v>0</v>
          </cell>
          <cell r="M636">
            <v>0</v>
          </cell>
        </row>
        <row r="637">
          <cell r="H637">
            <v>0</v>
          </cell>
          <cell r="I637">
            <v>0</v>
          </cell>
          <cell r="J637">
            <v>107349</v>
          </cell>
          <cell r="K637">
            <v>4079.2</v>
          </cell>
          <cell r="L637">
            <v>0</v>
          </cell>
          <cell r="M637">
            <v>0</v>
          </cell>
        </row>
        <row r="638">
          <cell r="G638" t="str">
            <v xml:space="preserve"> </v>
          </cell>
          <cell r="H638">
            <v>119760</v>
          </cell>
          <cell r="I638">
            <v>4550.8</v>
          </cell>
          <cell r="K638">
            <v>0</v>
          </cell>
          <cell r="M638">
            <v>0</v>
          </cell>
        </row>
        <row r="639">
          <cell r="G639" t="str">
            <v xml:space="preserve"> </v>
          </cell>
          <cell r="H639">
            <v>32</v>
          </cell>
          <cell r="I639">
            <v>576</v>
          </cell>
          <cell r="K639">
            <v>0</v>
          </cell>
          <cell r="M639">
            <v>0</v>
          </cell>
        </row>
        <row r="640">
          <cell r="G640" t="str">
            <v xml:space="preserve"> </v>
          </cell>
          <cell r="H640">
            <v>750</v>
          </cell>
          <cell r="I640">
            <v>-4662</v>
          </cell>
          <cell r="K640">
            <v>0</v>
          </cell>
          <cell r="M640">
            <v>0</v>
          </cell>
        </row>
        <row r="641">
          <cell r="G641">
            <v>605058</v>
          </cell>
          <cell r="H641">
            <v>0</v>
          </cell>
          <cell r="I641">
            <v>281902</v>
          </cell>
          <cell r="J641">
            <v>0</v>
          </cell>
          <cell r="K641">
            <v>315520</v>
          </cell>
          <cell r="M641">
            <v>7636</v>
          </cell>
        </row>
        <row r="642">
          <cell r="M642" t="str">
            <v xml:space="preserve"> </v>
          </cell>
        </row>
        <row r="643">
          <cell r="G643" t="str">
            <v>개소당</v>
          </cell>
        </row>
        <row r="644">
          <cell r="G644" t="str">
            <v xml:space="preserve"> </v>
          </cell>
          <cell r="H644">
            <v>2054</v>
          </cell>
          <cell r="I644">
            <v>196567.8</v>
          </cell>
          <cell r="K644">
            <v>0</v>
          </cell>
          <cell r="M644">
            <v>0</v>
          </cell>
        </row>
        <row r="645">
          <cell r="G645" t="str">
            <v xml:space="preserve"> </v>
          </cell>
          <cell r="H645">
            <v>2232</v>
          </cell>
          <cell r="I645">
            <v>38792.1</v>
          </cell>
          <cell r="K645">
            <v>0</v>
          </cell>
          <cell r="M645">
            <v>0</v>
          </cell>
        </row>
        <row r="646">
          <cell r="G646" t="str">
            <v xml:space="preserve"> </v>
          </cell>
          <cell r="H646">
            <v>1610</v>
          </cell>
          <cell r="I646">
            <v>41860</v>
          </cell>
          <cell r="K646">
            <v>0</v>
          </cell>
          <cell r="M646">
            <v>0</v>
          </cell>
        </row>
        <row r="647">
          <cell r="G647" t="str">
            <v xml:space="preserve"> </v>
          </cell>
          <cell r="H647">
            <v>0</v>
          </cell>
          <cell r="I647">
            <v>0</v>
          </cell>
          <cell r="J647">
            <v>4520</v>
          </cell>
          <cell r="K647">
            <v>108480</v>
          </cell>
          <cell r="L647">
            <v>0</v>
          </cell>
          <cell r="M647">
            <v>0</v>
          </cell>
        </row>
        <row r="648">
          <cell r="G648" t="str">
            <v xml:space="preserve"> </v>
          </cell>
          <cell r="H648">
            <v>495</v>
          </cell>
          <cell r="I648">
            <v>9405</v>
          </cell>
          <cell r="K648">
            <v>0</v>
          </cell>
          <cell r="M648">
            <v>0</v>
          </cell>
        </row>
        <row r="649">
          <cell r="G649" t="str">
            <v xml:space="preserve"> </v>
          </cell>
          <cell r="H649">
            <v>404</v>
          </cell>
          <cell r="I649">
            <v>41531.199999999997</v>
          </cell>
          <cell r="J649">
            <v>2591</v>
          </cell>
          <cell r="K649">
            <v>266354.8</v>
          </cell>
          <cell r="L649">
            <v>86</v>
          </cell>
          <cell r="M649">
            <v>8840.7999999999993</v>
          </cell>
        </row>
        <row r="650">
          <cell r="G650" t="str">
            <v xml:space="preserve"> </v>
          </cell>
          <cell r="H650">
            <v>269461</v>
          </cell>
          <cell r="I650">
            <v>8353.2000000000007</v>
          </cell>
          <cell r="K650">
            <v>0</v>
          </cell>
          <cell r="M650">
            <v>0</v>
          </cell>
        </row>
        <row r="651">
          <cell r="H651">
            <v>0</v>
          </cell>
          <cell r="I651">
            <v>0</v>
          </cell>
          <cell r="J651">
            <v>107349</v>
          </cell>
          <cell r="K651">
            <v>3113.1</v>
          </cell>
          <cell r="L651">
            <v>0</v>
          </cell>
          <cell r="M651">
            <v>0</v>
          </cell>
        </row>
        <row r="652">
          <cell r="G652" t="str">
            <v xml:space="preserve"> </v>
          </cell>
          <cell r="H652">
            <v>119760</v>
          </cell>
          <cell r="I652">
            <v>3473</v>
          </cell>
          <cell r="K652">
            <v>0</v>
          </cell>
          <cell r="M652">
            <v>0</v>
          </cell>
        </row>
        <row r="653">
          <cell r="G653" t="str">
            <v xml:space="preserve"> </v>
          </cell>
          <cell r="H653">
            <v>32</v>
          </cell>
          <cell r="I653">
            <v>480</v>
          </cell>
          <cell r="K653">
            <v>0</v>
          </cell>
          <cell r="M653">
            <v>0</v>
          </cell>
        </row>
        <row r="654">
          <cell r="G654" t="str">
            <v xml:space="preserve"> </v>
          </cell>
          <cell r="H654">
            <v>750</v>
          </cell>
          <cell r="I654">
            <v>-5397</v>
          </cell>
          <cell r="K654">
            <v>0</v>
          </cell>
          <cell r="M654">
            <v>0</v>
          </cell>
        </row>
        <row r="655">
          <cell r="G655">
            <v>721852</v>
          </cell>
          <cell r="H655">
            <v>0</v>
          </cell>
          <cell r="I655">
            <v>335065</v>
          </cell>
          <cell r="J655">
            <v>0</v>
          </cell>
          <cell r="K655">
            <v>377947</v>
          </cell>
          <cell r="M655">
            <v>8840</v>
          </cell>
        </row>
        <row r="656">
          <cell r="M656" t="str">
            <v xml:space="preserve"> </v>
          </cell>
        </row>
        <row r="657">
          <cell r="G657" t="str">
            <v>개소당</v>
          </cell>
        </row>
        <row r="658">
          <cell r="G658" t="str">
            <v xml:space="preserve"> </v>
          </cell>
          <cell r="H658">
            <v>2054</v>
          </cell>
          <cell r="I658">
            <v>196567.8</v>
          </cell>
          <cell r="K658">
            <v>0</v>
          </cell>
          <cell r="M658">
            <v>0</v>
          </cell>
        </row>
        <row r="659">
          <cell r="G659" t="str">
            <v xml:space="preserve"> </v>
          </cell>
          <cell r="H659">
            <v>2232</v>
          </cell>
          <cell r="I659">
            <v>33881.699999999997</v>
          </cell>
          <cell r="K659">
            <v>0</v>
          </cell>
          <cell r="M659">
            <v>0</v>
          </cell>
        </row>
        <row r="660">
          <cell r="G660" t="str">
            <v xml:space="preserve"> </v>
          </cell>
          <cell r="H660">
            <v>1610</v>
          </cell>
          <cell r="I660">
            <v>41860</v>
          </cell>
          <cell r="K660">
            <v>0</v>
          </cell>
          <cell r="M660">
            <v>0</v>
          </cell>
        </row>
        <row r="661">
          <cell r="G661" t="str">
            <v xml:space="preserve"> </v>
          </cell>
          <cell r="H661">
            <v>0</v>
          </cell>
          <cell r="I661">
            <v>0</v>
          </cell>
          <cell r="J661">
            <v>4520</v>
          </cell>
          <cell r="K661">
            <v>108480</v>
          </cell>
          <cell r="L661">
            <v>0</v>
          </cell>
          <cell r="M661">
            <v>0</v>
          </cell>
        </row>
        <row r="662">
          <cell r="G662" t="str">
            <v xml:space="preserve"> </v>
          </cell>
          <cell r="H662">
            <v>495</v>
          </cell>
          <cell r="I662">
            <v>9405</v>
          </cell>
          <cell r="K662">
            <v>0</v>
          </cell>
          <cell r="M662">
            <v>0</v>
          </cell>
        </row>
        <row r="663">
          <cell r="G663" t="str">
            <v xml:space="preserve"> </v>
          </cell>
          <cell r="H663">
            <v>404</v>
          </cell>
          <cell r="I663">
            <v>40723.199999999997</v>
          </cell>
          <cell r="J663">
            <v>2591</v>
          </cell>
          <cell r="K663">
            <v>261172.8</v>
          </cell>
          <cell r="L663">
            <v>86</v>
          </cell>
          <cell r="M663">
            <v>8668.7999999999993</v>
          </cell>
        </row>
        <row r="664">
          <cell r="G664" t="str">
            <v xml:space="preserve"> </v>
          </cell>
          <cell r="H664">
            <v>269461</v>
          </cell>
          <cell r="I664">
            <v>7544.9</v>
          </cell>
          <cell r="K664">
            <v>0</v>
          </cell>
          <cell r="M664">
            <v>0</v>
          </cell>
        </row>
        <row r="665">
          <cell r="H665">
            <v>0</v>
          </cell>
          <cell r="I665">
            <v>0</v>
          </cell>
          <cell r="J665">
            <v>107349</v>
          </cell>
          <cell r="K665">
            <v>2791</v>
          </cell>
          <cell r="L665">
            <v>0</v>
          </cell>
          <cell r="M665">
            <v>0</v>
          </cell>
        </row>
        <row r="666">
          <cell r="G666" t="str">
            <v xml:space="preserve"> </v>
          </cell>
          <cell r="H666">
            <v>119760</v>
          </cell>
          <cell r="I666">
            <v>3113.7</v>
          </cell>
          <cell r="K666">
            <v>0</v>
          </cell>
          <cell r="M666">
            <v>0</v>
          </cell>
        </row>
        <row r="667">
          <cell r="G667" t="str">
            <v xml:space="preserve"> </v>
          </cell>
          <cell r="H667">
            <v>32</v>
          </cell>
          <cell r="I667">
            <v>448</v>
          </cell>
          <cell r="K667">
            <v>0</v>
          </cell>
          <cell r="M667">
            <v>0</v>
          </cell>
        </row>
        <row r="668">
          <cell r="G668" t="str">
            <v xml:space="preserve"> </v>
          </cell>
          <cell r="H668">
            <v>750</v>
          </cell>
          <cell r="I668">
            <v>-5292</v>
          </cell>
          <cell r="K668">
            <v>0</v>
          </cell>
          <cell r="M668">
            <v>0</v>
          </cell>
        </row>
        <row r="669">
          <cell r="G669">
            <v>709363</v>
          </cell>
          <cell r="H669">
            <v>0</v>
          </cell>
          <cell r="I669">
            <v>328252</v>
          </cell>
          <cell r="J669">
            <v>0</v>
          </cell>
          <cell r="K669">
            <v>372443</v>
          </cell>
          <cell r="M669">
            <v>8668</v>
          </cell>
        </row>
        <row r="670">
          <cell r="M670" t="str">
            <v xml:space="preserve"> </v>
          </cell>
        </row>
        <row r="671">
          <cell r="G671" t="str">
            <v>개소당</v>
          </cell>
        </row>
        <row r="672">
          <cell r="G672" t="str">
            <v xml:space="preserve"> </v>
          </cell>
          <cell r="H672">
            <v>2054</v>
          </cell>
          <cell r="I672">
            <v>196567.8</v>
          </cell>
          <cell r="K672">
            <v>0</v>
          </cell>
          <cell r="M672">
            <v>0</v>
          </cell>
        </row>
        <row r="673">
          <cell r="G673" t="str">
            <v xml:space="preserve"> </v>
          </cell>
          <cell r="H673">
            <v>2232</v>
          </cell>
          <cell r="I673">
            <v>46157.7</v>
          </cell>
          <cell r="K673">
            <v>0</v>
          </cell>
          <cell r="M673">
            <v>0</v>
          </cell>
        </row>
        <row r="674">
          <cell r="G674" t="str">
            <v xml:space="preserve"> </v>
          </cell>
          <cell r="H674">
            <v>1610</v>
          </cell>
          <cell r="I674">
            <v>41860</v>
          </cell>
          <cell r="K674">
            <v>0</v>
          </cell>
          <cell r="M674">
            <v>0</v>
          </cell>
        </row>
        <row r="675">
          <cell r="G675" t="str">
            <v xml:space="preserve"> </v>
          </cell>
          <cell r="H675">
            <v>0</v>
          </cell>
          <cell r="I675">
            <v>0</v>
          </cell>
          <cell r="J675">
            <v>4520</v>
          </cell>
          <cell r="K675">
            <v>108480</v>
          </cell>
          <cell r="L675">
            <v>0</v>
          </cell>
          <cell r="M675">
            <v>0</v>
          </cell>
        </row>
        <row r="676">
          <cell r="G676" t="str">
            <v xml:space="preserve"> </v>
          </cell>
          <cell r="H676">
            <v>495</v>
          </cell>
          <cell r="I676">
            <v>9405</v>
          </cell>
          <cell r="K676">
            <v>0</v>
          </cell>
          <cell r="M676">
            <v>0</v>
          </cell>
        </row>
        <row r="677">
          <cell r="G677" t="str">
            <v xml:space="preserve"> </v>
          </cell>
          <cell r="H677">
            <v>404</v>
          </cell>
          <cell r="I677">
            <v>42743.199999999997</v>
          </cell>
          <cell r="J677">
            <v>2591</v>
          </cell>
          <cell r="K677">
            <v>274127.8</v>
          </cell>
          <cell r="L677">
            <v>86</v>
          </cell>
          <cell r="M677">
            <v>9098.7999999999993</v>
          </cell>
        </row>
        <row r="678">
          <cell r="G678" t="str">
            <v xml:space="preserve"> </v>
          </cell>
          <cell r="H678">
            <v>269461</v>
          </cell>
          <cell r="I678">
            <v>10508.9</v>
          </cell>
          <cell r="K678">
            <v>0</v>
          </cell>
          <cell r="M678">
            <v>0</v>
          </cell>
        </row>
        <row r="679">
          <cell r="H679">
            <v>0</v>
          </cell>
          <cell r="I679">
            <v>0</v>
          </cell>
          <cell r="J679">
            <v>107349</v>
          </cell>
          <cell r="K679">
            <v>3864.5</v>
          </cell>
          <cell r="L679">
            <v>0</v>
          </cell>
          <cell r="M679">
            <v>0</v>
          </cell>
        </row>
        <row r="680">
          <cell r="G680" t="str">
            <v xml:space="preserve"> </v>
          </cell>
          <cell r="H680">
            <v>119760</v>
          </cell>
          <cell r="I680">
            <v>4311.3</v>
          </cell>
          <cell r="K680">
            <v>0</v>
          </cell>
          <cell r="M680">
            <v>0</v>
          </cell>
        </row>
        <row r="681">
          <cell r="G681" t="str">
            <v xml:space="preserve"> </v>
          </cell>
          <cell r="H681">
            <v>32</v>
          </cell>
          <cell r="I681">
            <v>576</v>
          </cell>
          <cell r="K681">
            <v>0</v>
          </cell>
          <cell r="M681">
            <v>0</v>
          </cell>
        </row>
        <row r="682">
          <cell r="G682" t="str">
            <v xml:space="preserve"> </v>
          </cell>
          <cell r="H682">
            <v>750</v>
          </cell>
          <cell r="I682">
            <v>-5554.5</v>
          </cell>
          <cell r="K682">
            <v>0</v>
          </cell>
          <cell r="M682">
            <v>0</v>
          </cell>
        </row>
        <row r="683">
          <cell r="G683">
            <v>742145</v>
          </cell>
          <cell r="H683">
            <v>0</v>
          </cell>
          <cell r="I683">
            <v>346575</v>
          </cell>
          <cell r="J683">
            <v>0</v>
          </cell>
          <cell r="K683">
            <v>386472</v>
          </cell>
          <cell r="M683">
            <v>9098</v>
          </cell>
        </row>
        <row r="684">
          <cell r="M684" t="str">
            <v xml:space="preserve"> </v>
          </cell>
        </row>
        <row r="685">
          <cell r="G685">
            <v>0</v>
          </cell>
          <cell r="I685">
            <v>0</v>
          </cell>
          <cell r="K685">
            <v>0</v>
          </cell>
          <cell r="M685">
            <v>0</v>
          </cell>
        </row>
        <row r="686">
          <cell r="G686">
            <v>0</v>
          </cell>
          <cell r="I686">
            <v>0</v>
          </cell>
          <cell r="K686">
            <v>0</v>
          </cell>
          <cell r="M686">
            <v>0</v>
          </cell>
        </row>
      </sheetData>
      <sheetData sheetId="11" refreshError="1">
        <row r="1">
          <cell r="B1" t="str">
            <v>공   종</v>
          </cell>
          <cell r="C1" t="str">
            <v>규  격</v>
          </cell>
          <cell r="D1" t="str">
            <v>수 량</v>
          </cell>
          <cell r="E1" t="str">
            <v>단</v>
          </cell>
          <cell r="F1" t="str">
            <v>총     액</v>
          </cell>
          <cell r="H1" t="str">
            <v>재  료  비</v>
          </cell>
          <cell r="J1" t="str">
            <v>노  무  비</v>
          </cell>
          <cell r="L1" t="str">
            <v>경     비</v>
          </cell>
        </row>
        <row r="2">
          <cell r="E2" t="str">
            <v>위</v>
          </cell>
          <cell r="F2" t="str">
            <v>단 가</v>
          </cell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B3">
            <v>146</v>
          </cell>
          <cell r="C3" t="str">
            <v>광섬유조명</v>
          </cell>
          <cell r="G3" t="str">
            <v>식당</v>
          </cell>
          <cell r="M3" t="str">
            <v xml:space="preserve"> </v>
          </cell>
        </row>
        <row r="4">
          <cell r="B4" t="str">
            <v>광섬유설치(측면)</v>
          </cell>
          <cell r="C4" t="str">
            <v>0.75mmx105C</v>
          </cell>
          <cell r="D4">
            <v>365.65000000000003</v>
          </cell>
          <cell r="E4" t="str">
            <v>M</v>
          </cell>
          <cell r="H4">
            <v>70000</v>
          </cell>
          <cell r="I4">
            <v>25595500</v>
          </cell>
          <cell r="J4">
            <v>4859</v>
          </cell>
          <cell r="K4">
            <v>1776693.3</v>
          </cell>
          <cell r="M4">
            <v>0</v>
          </cell>
        </row>
        <row r="5">
          <cell r="B5" t="str">
            <v>트랙설치</v>
          </cell>
          <cell r="C5" t="str">
            <v>TRK125</v>
          </cell>
          <cell r="D5">
            <v>186</v>
          </cell>
          <cell r="E5" t="str">
            <v>M</v>
          </cell>
          <cell r="H5">
            <v>12000</v>
          </cell>
          <cell r="I5">
            <v>2232000</v>
          </cell>
          <cell r="J5">
            <v>7995</v>
          </cell>
          <cell r="K5">
            <v>1487070</v>
          </cell>
          <cell r="M5">
            <v>0</v>
          </cell>
        </row>
        <row r="6">
          <cell r="B6" t="str">
            <v>아크릴트랙설치</v>
          </cell>
          <cell r="C6" t="str">
            <v>30x20</v>
          </cell>
          <cell r="D6">
            <v>90</v>
          </cell>
          <cell r="E6" t="str">
            <v>M</v>
          </cell>
          <cell r="H6">
            <v>25000</v>
          </cell>
          <cell r="I6">
            <v>2250000</v>
          </cell>
          <cell r="J6">
            <v>7995</v>
          </cell>
          <cell r="K6">
            <v>719550</v>
          </cell>
          <cell r="M6">
            <v>0</v>
          </cell>
        </row>
        <row r="7">
          <cell r="B7" t="str">
            <v>조광기설치</v>
          </cell>
          <cell r="C7" t="str">
            <v>HQI-150W</v>
          </cell>
          <cell r="D7">
            <v>4</v>
          </cell>
          <cell r="E7" t="str">
            <v>식</v>
          </cell>
          <cell r="H7">
            <v>1465000</v>
          </cell>
          <cell r="I7">
            <v>5860000</v>
          </cell>
          <cell r="J7">
            <v>105810</v>
          </cell>
          <cell r="K7">
            <v>423240</v>
          </cell>
          <cell r="M7">
            <v>0</v>
          </cell>
        </row>
        <row r="8">
          <cell r="B8" t="str">
            <v>1등용외함설치</v>
          </cell>
          <cell r="C8" t="str">
            <v>500x600x200</v>
          </cell>
          <cell r="D8">
            <v>4</v>
          </cell>
          <cell r="E8" t="str">
            <v>면</v>
          </cell>
          <cell r="H8">
            <v>450000</v>
          </cell>
          <cell r="I8">
            <v>1800000</v>
          </cell>
          <cell r="J8">
            <v>149907</v>
          </cell>
          <cell r="K8">
            <v>599628</v>
          </cell>
          <cell r="M8">
            <v>0</v>
          </cell>
        </row>
        <row r="9">
          <cell r="B9" t="str">
            <v>제어선</v>
          </cell>
          <cell r="D9">
            <v>49.500000000000007</v>
          </cell>
          <cell r="E9" t="str">
            <v>M</v>
          </cell>
          <cell r="H9">
            <v>801</v>
          </cell>
          <cell r="I9">
            <v>39649.5</v>
          </cell>
          <cell r="J9">
            <v>1475</v>
          </cell>
          <cell r="K9">
            <v>73012.5</v>
          </cell>
          <cell r="M9">
            <v>0</v>
          </cell>
        </row>
        <row r="10">
          <cell r="B10" t="str">
            <v>CD 전선관</v>
          </cell>
          <cell r="C10" t="str">
            <v>16mm</v>
          </cell>
          <cell r="D10">
            <v>45.1</v>
          </cell>
          <cell r="E10" t="str">
            <v>M</v>
          </cell>
          <cell r="H10">
            <v>290</v>
          </cell>
          <cell r="I10">
            <v>13079</v>
          </cell>
          <cell r="J10">
            <v>2464</v>
          </cell>
          <cell r="K10">
            <v>111126.39999999999</v>
          </cell>
          <cell r="M10">
            <v>0</v>
          </cell>
        </row>
        <row r="11">
          <cell r="B11" t="str">
            <v>잡자재</v>
          </cell>
          <cell r="C11" t="str">
            <v>재료비의 2.3%</v>
          </cell>
          <cell r="D11">
            <v>1</v>
          </cell>
          <cell r="E11" t="str">
            <v>식</v>
          </cell>
          <cell r="H11">
            <v>37737500</v>
          </cell>
          <cell r="I11">
            <v>867962.5</v>
          </cell>
          <cell r="K11">
            <v>0</v>
          </cell>
          <cell r="M11">
            <v>0</v>
          </cell>
        </row>
        <row r="12">
          <cell r="B12" t="str">
            <v>공구손료</v>
          </cell>
          <cell r="C12" t="str">
            <v>노무비의 3%</v>
          </cell>
          <cell r="D12">
            <v>1</v>
          </cell>
          <cell r="E12" t="str">
            <v>식</v>
          </cell>
          <cell r="J12">
            <v>5190320.2</v>
          </cell>
          <cell r="K12">
            <v>155709.6</v>
          </cell>
          <cell r="M12">
            <v>0</v>
          </cell>
        </row>
        <row r="13">
          <cell r="B13" t="str">
            <v>소계</v>
          </cell>
          <cell r="G13">
            <v>44004220</v>
          </cell>
          <cell r="I13">
            <v>38658191</v>
          </cell>
          <cell r="K13">
            <v>5346029</v>
          </cell>
          <cell r="M13">
            <v>0</v>
          </cell>
        </row>
        <row r="14">
          <cell r="M14">
            <v>0</v>
          </cell>
        </row>
        <row r="15">
          <cell r="B15">
            <v>147</v>
          </cell>
          <cell r="C15" t="str">
            <v>광섬유설치(Line)</v>
          </cell>
          <cell r="G15" t="str">
            <v>m당</v>
          </cell>
          <cell r="M15">
            <v>0</v>
          </cell>
        </row>
        <row r="16">
          <cell r="B16" t="str">
            <v>광섬유(측면)</v>
          </cell>
          <cell r="C16" t="str">
            <v>0.75mmx105C</v>
          </cell>
          <cell r="D16">
            <v>1</v>
          </cell>
          <cell r="E16" t="str">
            <v>M</v>
          </cell>
          <cell r="H16">
            <v>70000</v>
          </cell>
          <cell r="I16">
            <v>70000</v>
          </cell>
          <cell r="K16">
            <v>0</v>
          </cell>
          <cell r="M16">
            <v>0</v>
          </cell>
        </row>
        <row r="17">
          <cell r="B17" t="str">
            <v>광케이블기사</v>
          </cell>
          <cell r="D17">
            <v>0.05</v>
          </cell>
          <cell r="E17" t="str">
            <v>인</v>
          </cell>
          <cell r="I17">
            <v>0</v>
          </cell>
          <cell r="J17">
            <v>97185</v>
          </cell>
          <cell r="K17">
            <v>4859.2</v>
          </cell>
          <cell r="M17">
            <v>0</v>
          </cell>
        </row>
        <row r="18">
          <cell r="B18" t="str">
            <v>소계</v>
          </cell>
          <cell r="G18">
            <v>74859</v>
          </cell>
          <cell r="I18">
            <v>70000</v>
          </cell>
          <cell r="K18">
            <v>4859</v>
          </cell>
          <cell r="M18">
            <v>0</v>
          </cell>
        </row>
        <row r="19">
          <cell r="M19">
            <v>0</v>
          </cell>
        </row>
        <row r="20">
          <cell r="B20">
            <v>148</v>
          </cell>
          <cell r="C20" t="str">
            <v>트랙설치</v>
          </cell>
          <cell r="G20" t="str">
            <v>m당</v>
          </cell>
          <cell r="M20">
            <v>0</v>
          </cell>
        </row>
        <row r="21">
          <cell r="B21" t="str">
            <v>트랙</v>
          </cell>
          <cell r="C21" t="str">
            <v>TRK125</v>
          </cell>
          <cell r="D21">
            <v>1</v>
          </cell>
          <cell r="E21" t="str">
            <v>M</v>
          </cell>
          <cell r="H21">
            <v>12000</v>
          </cell>
          <cell r="I21">
            <v>12000</v>
          </cell>
          <cell r="K21">
            <v>0</v>
          </cell>
          <cell r="M21">
            <v>0</v>
          </cell>
        </row>
        <row r="22">
          <cell r="B22" t="str">
            <v>내선전공</v>
          </cell>
          <cell r="C22" t="str">
            <v>몰딩신설품</v>
          </cell>
          <cell r="D22">
            <v>0.16</v>
          </cell>
          <cell r="E22" t="str">
            <v>인</v>
          </cell>
          <cell r="I22">
            <v>0</v>
          </cell>
          <cell r="J22">
            <v>49969</v>
          </cell>
          <cell r="K22">
            <v>7995</v>
          </cell>
          <cell r="M22">
            <v>0</v>
          </cell>
        </row>
        <row r="23">
          <cell r="B23" t="str">
            <v>내선전공</v>
          </cell>
          <cell r="C23" t="str">
            <v>칼블럭설치</v>
          </cell>
          <cell r="D23">
            <v>2.8000000000000001E-2</v>
          </cell>
          <cell r="E23" t="str">
            <v>인</v>
          </cell>
          <cell r="I23">
            <v>0</v>
          </cell>
          <cell r="J23">
            <v>49969</v>
          </cell>
          <cell r="K23">
            <v>1399.1</v>
          </cell>
          <cell r="M23">
            <v>0</v>
          </cell>
        </row>
        <row r="24">
          <cell r="B24" t="str">
            <v>소계</v>
          </cell>
          <cell r="G24">
            <v>19995</v>
          </cell>
          <cell r="I24">
            <v>12000</v>
          </cell>
          <cell r="K24">
            <v>7995</v>
          </cell>
          <cell r="M24">
            <v>0</v>
          </cell>
        </row>
        <row r="25">
          <cell r="M25">
            <v>0</v>
          </cell>
        </row>
        <row r="26">
          <cell r="B26">
            <v>149</v>
          </cell>
          <cell r="C26" t="str">
            <v>아크릴트랙설치</v>
          </cell>
          <cell r="G26" t="str">
            <v>m당</v>
          </cell>
          <cell r="M26">
            <v>0</v>
          </cell>
        </row>
        <row r="27">
          <cell r="B27" t="str">
            <v>아크릴트랙</v>
          </cell>
          <cell r="C27" t="str">
            <v>30x20</v>
          </cell>
          <cell r="D27">
            <v>1</v>
          </cell>
          <cell r="E27" t="str">
            <v>M</v>
          </cell>
          <cell r="H27">
            <v>25000</v>
          </cell>
          <cell r="I27">
            <v>25000</v>
          </cell>
          <cell r="K27">
            <v>0</v>
          </cell>
          <cell r="M27">
            <v>0</v>
          </cell>
        </row>
        <row r="28">
          <cell r="B28" t="str">
            <v>내선전공</v>
          </cell>
          <cell r="C28" t="str">
            <v>몰딩신설품</v>
          </cell>
          <cell r="D28">
            <v>0.16</v>
          </cell>
          <cell r="E28" t="str">
            <v>인</v>
          </cell>
          <cell r="I28">
            <v>0</v>
          </cell>
          <cell r="J28">
            <v>49969</v>
          </cell>
          <cell r="K28">
            <v>7995</v>
          </cell>
          <cell r="M28">
            <v>0</v>
          </cell>
        </row>
        <row r="29">
          <cell r="B29" t="str">
            <v>소계</v>
          </cell>
          <cell r="G29">
            <v>32995</v>
          </cell>
          <cell r="I29">
            <v>25000</v>
          </cell>
          <cell r="K29">
            <v>7995</v>
          </cell>
          <cell r="M29">
            <v>0</v>
          </cell>
        </row>
        <row r="30">
          <cell r="M30">
            <v>0</v>
          </cell>
        </row>
        <row r="31">
          <cell r="B31">
            <v>150</v>
          </cell>
          <cell r="C31" t="str">
            <v>조광기설치 PL150-SM-4C</v>
          </cell>
          <cell r="G31" t="str">
            <v>식당</v>
          </cell>
          <cell r="M31">
            <v>0</v>
          </cell>
        </row>
        <row r="32">
          <cell r="B32" t="str">
            <v>입광부(COMMON END)</v>
          </cell>
          <cell r="D32">
            <v>1</v>
          </cell>
          <cell r="E32" t="str">
            <v>EA</v>
          </cell>
          <cell r="H32">
            <v>35000</v>
          </cell>
          <cell r="I32">
            <v>35000</v>
          </cell>
          <cell r="K32">
            <v>0</v>
          </cell>
          <cell r="M32">
            <v>0</v>
          </cell>
        </row>
        <row r="33">
          <cell r="B33" t="str">
            <v>조광기</v>
          </cell>
          <cell r="C33" t="str">
            <v>HQI-150W</v>
          </cell>
          <cell r="D33">
            <v>1</v>
          </cell>
          <cell r="E33" t="str">
            <v>EA</v>
          </cell>
          <cell r="H33">
            <v>1280000</v>
          </cell>
          <cell r="I33">
            <v>1280000</v>
          </cell>
          <cell r="K33">
            <v>0</v>
          </cell>
          <cell r="M33">
            <v>0</v>
          </cell>
        </row>
        <row r="34">
          <cell r="B34" t="str">
            <v>동기제어</v>
          </cell>
          <cell r="C34" t="str">
            <v>SM,SY(내장형)</v>
          </cell>
          <cell r="D34">
            <v>1</v>
          </cell>
          <cell r="E34" t="str">
            <v>SET</v>
          </cell>
          <cell r="H34">
            <v>100000</v>
          </cell>
          <cell r="I34">
            <v>100000</v>
          </cell>
          <cell r="K34">
            <v>0</v>
          </cell>
          <cell r="M34">
            <v>0</v>
          </cell>
        </row>
        <row r="35">
          <cell r="B35" t="str">
            <v>Color Wheel</v>
          </cell>
          <cell r="C35" t="str">
            <v>4C</v>
          </cell>
          <cell r="D35">
            <v>1</v>
          </cell>
          <cell r="E35" t="str">
            <v>SET</v>
          </cell>
          <cell r="H35">
            <v>50000</v>
          </cell>
          <cell r="I35">
            <v>50000</v>
          </cell>
          <cell r="K35">
            <v>0</v>
          </cell>
          <cell r="M35">
            <v>0</v>
          </cell>
        </row>
        <row r="36">
          <cell r="B36" t="str">
            <v>광케이블기사</v>
          </cell>
          <cell r="C36" t="str">
            <v>외피접속품</v>
          </cell>
          <cell r="D36">
            <v>0.67</v>
          </cell>
          <cell r="E36" t="str">
            <v>인</v>
          </cell>
          <cell r="I36">
            <v>0</v>
          </cell>
          <cell r="J36">
            <v>97185</v>
          </cell>
          <cell r="K36">
            <v>65113.9</v>
          </cell>
          <cell r="M36">
            <v>0</v>
          </cell>
        </row>
        <row r="37">
          <cell r="B37" t="str">
            <v>특별인부</v>
          </cell>
          <cell r="C37" t="str">
            <v>외피접속품</v>
          </cell>
          <cell r="D37">
            <v>0.31</v>
          </cell>
          <cell r="E37" t="str">
            <v>인</v>
          </cell>
          <cell r="I37">
            <v>0</v>
          </cell>
          <cell r="J37">
            <v>51490</v>
          </cell>
          <cell r="K37">
            <v>15961.9</v>
          </cell>
          <cell r="M37">
            <v>0</v>
          </cell>
        </row>
        <row r="38">
          <cell r="B38" t="str">
            <v>내선전공</v>
          </cell>
          <cell r="C38" t="str">
            <v>투광기부설품</v>
          </cell>
          <cell r="D38">
            <v>0.495</v>
          </cell>
          <cell r="E38" t="str">
            <v>인</v>
          </cell>
          <cell r="I38">
            <v>0</v>
          </cell>
          <cell r="J38">
            <v>49969</v>
          </cell>
          <cell r="K38">
            <v>24734.6</v>
          </cell>
          <cell r="M38">
            <v>0</v>
          </cell>
        </row>
        <row r="39">
          <cell r="B39" t="str">
            <v>소계</v>
          </cell>
          <cell r="G39">
            <v>1570810</v>
          </cell>
          <cell r="I39">
            <v>1465000</v>
          </cell>
          <cell r="K39">
            <v>105810</v>
          </cell>
          <cell r="M39">
            <v>0</v>
          </cell>
        </row>
        <row r="40">
          <cell r="M40">
            <v>0</v>
          </cell>
        </row>
        <row r="41">
          <cell r="B41">
            <v>151</v>
          </cell>
          <cell r="C41" t="str">
            <v>1등용외함설치</v>
          </cell>
          <cell r="G41" t="str">
            <v>면당</v>
          </cell>
          <cell r="M41">
            <v>0</v>
          </cell>
        </row>
        <row r="42">
          <cell r="B42" t="str">
            <v>광원외함(1등용)</v>
          </cell>
          <cell r="C42" t="str">
            <v>500x600x200</v>
          </cell>
          <cell r="D42">
            <v>1</v>
          </cell>
          <cell r="E42" t="str">
            <v>EA</v>
          </cell>
          <cell r="H42">
            <v>450000</v>
          </cell>
          <cell r="I42">
            <v>450000</v>
          </cell>
          <cell r="K42">
            <v>0</v>
          </cell>
          <cell r="M42">
            <v>0</v>
          </cell>
        </row>
        <row r="43">
          <cell r="B43" t="str">
            <v>내선전공</v>
          </cell>
          <cell r="C43" t="str">
            <v>풀박스설치품</v>
          </cell>
          <cell r="D43">
            <v>3</v>
          </cell>
          <cell r="E43" t="str">
            <v>인</v>
          </cell>
          <cell r="I43">
            <v>0</v>
          </cell>
          <cell r="J43">
            <v>49969</v>
          </cell>
          <cell r="K43">
            <v>149907</v>
          </cell>
          <cell r="M43">
            <v>0</v>
          </cell>
        </row>
        <row r="44">
          <cell r="B44" t="str">
            <v>내선전공</v>
          </cell>
          <cell r="C44" t="str">
            <v>앙카볼트설치</v>
          </cell>
          <cell r="D44">
            <v>0.08</v>
          </cell>
          <cell r="E44" t="str">
            <v>인</v>
          </cell>
          <cell r="I44">
            <v>0</v>
          </cell>
          <cell r="J44">
            <v>49969</v>
          </cell>
          <cell r="K44">
            <v>3997.5</v>
          </cell>
          <cell r="M44">
            <v>0</v>
          </cell>
        </row>
        <row r="45">
          <cell r="B45" t="str">
            <v>소계</v>
          </cell>
          <cell r="G45">
            <v>603904</v>
          </cell>
          <cell r="I45">
            <v>450000</v>
          </cell>
          <cell r="K45">
            <v>153904</v>
          </cell>
          <cell r="M45">
            <v>0</v>
          </cell>
        </row>
        <row r="46">
          <cell r="M46">
            <v>0</v>
          </cell>
        </row>
        <row r="47">
          <cell r="B47">
            <v>152</v>
          </cell>
          <cell r="C47" t="str">
            <v>제어케이블신설</v>
          </cell>
          <cell r="G47" t="str">
            <v>m당</v>
          </cell>
          <cell r="M47">
            <v>0</v>
          </cell>
        </row>
        <row r="48">
          <cell r="B48" t="str">
            <v>제어용비닐절연전선(CVV)</v>
          </cell>
          <cell r="C48" t="str">
            <v>3.5㎟,3심</v>
          </cell>
          <cell r="D48">
            <v>1</v>
          </cell>
          <cell r="E48" t="str">
            <v>M</v>
          </cell>
          <cell r="H48">
            <v>801</v>
          </cell>
          <cell r="I48">
            <v>801</v>
          </cell>
          <cell r="K48">
            <v>0</v>
          </cell>
          <cell r="M48">
            <v>0</v>
          </cell>
        </row>
        <row r="49">
          <cell r="B49" t="str">
            <v>저압케이블전공</v>
          </cell>
          <cell r="D49">
            <v>2.1999999999999999E-2</v>
          </cell>
          <cell r="E49" t="str">
            <v>인</v>
          </cell>
          <cell r="I49">
            <v>0</v>
          </cell>
          <cell r="J49">
            <v>67062</v>
          </cell>
          <cell r="K49">
            <v>1475.3</v>
          </cell>
          <cell r="M49">
            <v>0</v>
          </cell>
        </row>
        <row r="50">
          <cell r="B50" t="str">
            <v>소계</v>
          </cell>
          <cell r="G50">
            <v>2276</v>
          </cell>
          <cell r="I50">
            <v>801</v>
          </cell>
          <cell r="K50">
            <v>1475</v>
          </cell>
          <cell r="M50">
            <v>0</v>
          </cell>
        </row>
        <row r="51">
          <cell r="M51">
            <v>0</v>
          </cell>
        </row>
        <row r="52">
          <cell r="B52">
            <v>153</v>
          </cell>
          <cell r="C52" t="str">
            <v>전선관부설</v>
          </cell>
          <cell r="G52" t="str">
            <v>m당</v>
          </cell>
          <cell r="M52">
            <v>0</v>
          </cell>
        </row>
        <row r="53">
          <cell r="B53" t="str">
            <v>합성수지가요관(CD)</v>
          </cell>
          <cell r="C53" t="str">
            <v>16mm</v>
          </cell>
          <cell r="D53">
            <v>1</v>
          </cell>
          <cell r="E53" t="str">
            <v>M</v>
          </cell>
          <cell r="H53">
            <v>242</v>
          </cell>
          <cell r="I53">
            <v>242</v>
          </cell>
          <cell r="K53">
            <v>0</v>
          </cell>
          <cell r="M53">
            <v>0</v>
          </cell>
        </row>
        <row r="54">
          <cell r="B54" t="str">
            <v>전선관 부속품</v>
          </cell>
          <cell r="C54" t="str">
            <v>부속품율 20%</v>
          </cell>
          <cell r="D54">
            <v>0.2</v>
          </cell>
          <cell r="E54" t="str">
            <v>식</v>
          </cell>
          <cell r="H54">
            <v>242</v>
          </cell>
          <cell r="I54">
            <v>48.4</v>
          </cell>
          <cell r="K54">
            <v>0</v>
          </cell>
          <cell r="M54">
            <v>0</v>
          </cell>
        </row>
        <row r="55">
          <cell r="B55" t="str">
            <v>내선전공</v>
          </cell>
          <cell r="D55">
            <v>0.05</v>
          </cell>
          <cell r="E55" t="str">
            <v>인</v>
          </cell>
          <cell r="I55">
            <v>0</v>
          </cell>
          <cell r="J55">
            <v>49296</v>
          </cell>
          <cell r="K55">
            <v>2464.8000000000002</v>
          </cell>
          <cell r="M55">
            <v>0</v>
          </cell>
        </row>
        <row r="56">
          <cell r="B56" t="str">
            <v>소계</v>
          </cell>
          <cell r="G56">
            <v>2754</v>
          </cell>
          <cell r="I56">
            <v>290</v>
          </cell>
          <cell r="K56">
            <v>2464</v>
          </cell>
          <cell r="M56">
            <v>0</v>
          </cell>
        </row>
        <row r="57">
          <cell r="M57">
            <v>0</v>
          </cell>
        </row>
        <row r="58">
          <cell r="G58">
            <v>0</v>
          </cell>
          <cell r="I58">
            <v>0</v>
          </cell>
          <cell r="K58">
            <v>0</v>
          </cell>
          <cell r="M58">
            <v>0</v>
          </cell>
        </row>
        <row r="59">
          <cell r="M59">
            <v>0</v>
          </cell>
        </row>
        <row r="72">
          <cell r="G72">
            <v>0</v>
          </cell>
          <cell r="I72">
            <v>0</v>
          </cell>
          <cell r="K72">
            <v>0</v>
          </cell>
          <cell r="M72">
            <v>0</v>
          </cell>
        </row>
        <row r="73">
          <cell r="G73">
            <v>0</v>
          </cell>
          <cell r="I73">
            <v>0</v>
          </cell>
          <cell r="K73">
            <v>0</v>
          </cell>
          <cell r="M73">
            <v>0</v>
          </cell>
        </row>
      </sheetData>
      <sheetData sheetId="12" refreshError="1">
        <row r="1">
          <cell r="B1" t="str">
            <v>공   종</v>
          </cell>
          <cell r="C1" t="str">
            <v>규  격</v>
          </cell>
          <cell r="D1" t="str">
            <v>수 량</v>
          </cell>
          <cell r="E1" t="str">
            <v>단</v>
          </cell>
          <cell r="F1" t="str">
            <v>총     액</v>
          </cell>
          <cell r="H1" t="str">
            <v>재  료  비</v>
          </cell>
          <cell r="J1" t="str">
            <v>노  무  비</v>
          </cell>
          <cell r="L1" t="str">
            <v>경     비</v>
          </cell>
        </row>
        <row r="2">
          <cell r="E2" t="str">
            <v>위</v>
          </cell>
          <cell r="F2" t="str">
            <v>단 가</v>
          </cell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B3">
            <v>93</v>
          </cell>
          <cell r="C3" t="str">
            <v>터파기 (인력,보통토사,0~1M)</v>
          </cell>
          <cell r="G3" t="str">
            <v>m3당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M3">
            <v>0</v>
          </cell>
        </row>
        <row r="4">
          <cell r="B4" t="str">
            <v>보통인부</v>
          </cell>
          <cell r="D4">
            <v>0.2</v>
          </cell>
          <cell r="E4" t="str">
            <v>인</v>
          </cell>
          <cell r="G4" t="str">
            <v xml:space="preserve"> </v>
          </cell>
          <cell r="I4">
            <v>0</v>
          </cell>
          <cell r="J4">
            <v>37052</v>
          </cell>
          <cell r="K4">
            <v>7410.4</v>
          </cell>
          <cell r="M4">
            <v>0</v>
          </cell>
        </row>
        <row r="5">
          <cell r="B5" t="str">
            <v>소   계</v>
          </cell>
          <cell r="G5">
            <v>7410</v>
          </cell>
          <cell r="I5">
            <v>0</v>
          </cell>
          <cell r="K5">
            <v>7410</v>
          </cell>
          <cell r="M5">
            <v>0</v>
          </cell>
        </row>
        <row r="6">
          <cell r="G6">
            <v>0</v>
          </cell>
          <cell r="I6">
            <v>0</v>
          </cell>
          <cell r="K6">
            <v>0</v>
          </cell>
          <cell r="M6">
            <v>0</v>
          </cell>
        </row>
        <row r="7">
          <cell r="B7">
            <v>94</v>
          </cell>
          <cell r="C7" t="str">
            <v>터파기 (인력,보통토사,0~1M,협소)</v>
          </cell>
          <cell r="G7" t="str">
            <v>m3당</v>
          </cell>
          <cell r="H7">
            <v>0</v>
          </cell>
          <cell r="I7">
            <v>0</v>
          </cell>
          <cell r="K7">
            <v>0</v>
          </cell>
          <cell r="M7">
            <v>0</v>
          </cell>
        </row>
        <row r="8">
          <cell r="B8" t="str">
            <v>보통인부</v>
          </cell>
          <cell r="D8">
            <v>0.25</v>
          </cell>
          <cell r="E8" t="str">
            <v>인</v>
          </cell>
          <cell r="G8" t="str">
            <v xml:space="preserve"> </v>
          </cell>
          <cell r="I8">
            <v>0</v>
          </cell>
          <cell r="J8">
            <v>37052</v>
          </cell>
          <cell r="K8">
            <v>9263</v>
          </cell>
          <cell r="M8">
            <v>0</v>
          </cell>
        </row>
        <row r="9">
          <cell r="B9" t="str">
            <v>소   계</v>
          </cell>
          <cell r="G9">
            <v>9263</v>
          </cell>
          <cell r="I9">
            <v>0</v>
          </cell>
          <cell r="K9">
            <v>9263</v>
          </cell>
          <cell r="M9">
            <v>0</v>
          </cell>
        </row>
        <row r="10">
          <cell r="G10">
            <v>0</v>
          </cell>
          <cell r="I10">
            <v>0</v>
          </cell>
          <cell r="K10">
            <v>0</v>
          </cell>
          <cell r="M10">
            <v>0</v>
          </cell>
        </row>
        <row r="11">
          <cell r="B11">
            <v>95</v>
          </cell>
          <cell r="C11" t="str">
            <v>절취 (인력,보통토사)</v>
          </cell>
          <cell r="G11" t="str">
            <v>m3당</v>
          </cell>
          <cell r="H11">
            <v>0</v>
          </cell>
          <cell r="I11">
            <v>0</v>
          </cell>
          <cell r="K11">
            <v>0</v>
          </cell>
          <cell r="M11">
            <v>0</v>
          </cell>
        </row>
        <row r="12">
          <cell r="B12" t="str">
            <v>보통인부</v>
          </cell>
          <cell r="D12">
            <v>0.16</v>
          </cell>
          <cell r="E12" t="str">
            <v>인</v>
          </cell>
          <cell r="G12" t="str">
            <v xml:space="preserve"> </v>
          </cell>
          <cell r="I12">
            <v>0</v>
          </cell>
          <cell r="J12">
            <v>37052</v>
          </cell>
          <cell r="K12">
            <v>5928.3</v>
          </cell>
          <cell r="M12">
            <v>0</v>
          </cell>
        </row>
        <row r="13">
          <cell r="B13" t="str">
            <v>소   계</v>
          </cell>
          <cell r="G13">
            <v>5928</v>
          </cell>
          <cell r="I13">
            <v>0</v>
          </cell>
          <cell r="K13">
            <v>5928</v>
          </cell>
          <cell r="M13">
            <v>0</v>
          </cell>
        </row>
        <row r="15">
          <cell r="B15">
            <v>96</v>
          </cell>
          <cell r="C15" t="str">
            <v>잔토처리 (인력,현장내)</v>
          </cell>
          <cell r="G15" t="str">
            <v>m3당</v>
          </cell>
          <cell r="H15">
            <v>0</v>
          </cell>
          <cell r="I15">
            <v>0</v>
          </cell>
          <cell r="K15">
            <v>0</v>
          </cell>
          <cell r="M15">
            <v>0</v>
          </cell>
        </row>
        <row r="16">
          <cell r="B16" t="str">
            <v>보통인부</v>
          </cell>
          <cell r="D16">
            <v>0.2</v>
          </cell>
          <cell r="E16" t="str">
            <v>인</v>
          </cell>
          <cell r="G16" t="str">
            <v xml:space="preserve"> </v>
          </cell>
          <cell r="I16">
            <v>0</v>
          </cell>
          <cell r="J16">
            <v>37052</v>
          </cell>
          <cell r="K16">
            <v>7410.4</v>
          </cell>
          <cell r="M16">
            <v>0</v>
          </cell>
        </row>
        <row r="17">
          <cell r="B17" t="str">
            <v>소   계</v>
          </cell>
          <cell r="G17">
            <v>7410</v>
          </cell>
          <cell r="I17">
            <v>0</v>
          </cell>
          <cell r="K17">
            <v>7410</v>
          </cell>
          <cell r="M17">
            <v>0</v>
          </cell>
        </row>
        <row r="19">
          <cell r="B19">
            <v>97</v>
          </cell>
          <cell r="C19" t="str">
            <v>되메우기 및 다짐 (인력)</v>
          </cell>
          <cell r="G19" t="str">
            <v>m3당</v>
          </cell>
          <cell r="H19">
            <v>0</v>
          </cell>
          <cell r="I19">
            <v>0</v>
          </cell>
          <cell r="K19">
            <v>0</v>
          </cell>
          <cell r="M19">
            <v>0</v>
          </cell>
        </row>
        <row r="20">
          <cell r="B20" t="str">
            <v>보통인부</v>
          </cell>
          <cell r="C20" t="str">
            <v>되메우기</v>
          </cell>
          <cell r="D20">
            <v>0.1</v>
          </cell>
          <cell r="E20" t="str">
            <v>인</v>
          </cell>
          <cell r="G20" t="str">
            <v xml:space="preserve"> </v>
          </cell>
          <cell r="I20">
            <v>0</v>
          </cell>
          <cell r="J20">
            <v>37052</v>
          </cell>
          <cell r="K20">
            <v>3705</v>
          </cell>
          <cell r="M20">
            <v>0</v>
          </cell>
        </row>
        <row r="21">
          <cell r="B21" t="str">
            <v>보통인부</v>
          </cell>
          <cell r="C21" t="str">
            <v>다지기</v>
          </cell>
          <cell r="D21">
            <v>0.11</v>
          </cell>
          <cell r="E21" t="str">
            <v>인</v>
          </cell>
          <cell r="G21" t="str">
            <v xml:space="preserve"> </v>
          </cell>
          <cell r="I21">
            <v>0</v>
          </cell>
          <cell r="J21">
            <v>37052</v>
          </cell>
          <cell r="K21">
            <v>4075.7</v>
          </cell>
          <cell r="M21">
            <v>0</v>
          </cell>
        </row>
        <row r="22">
          <cell r="B22" t="str">
            <v>소   계</v>
          </cell>
          <cell r="G22">
            <v>7780</v>
          </cell>
          <cell r="I22">
            <v>0</v>
          </cell>
          <cell r="K22">
            <v>7780</v>
          </cell>
          <cell r="M22">
            <v>0</v>
          </cell>
        </row>
        <row r="24">
          <cell r="B24">
            <v>98</v>
          </cell>
          <cell r="C24" t="str">
            <v>흙다짐 (인력)</v>
          </cell>
          <cell r="G24" t="str">
            <v>m3당</v>
          </cell>
          <cell r="H24">
            <v>0</v>
          </cell>
          <cell r="I24">
            <v>0</v>
          </cell>
          <cell r="K24">
            <v>0</v>
          </cell>
          <cell r="M24">
            <v>0</v>
          </cell>
        </row>
        <row r="25">
          <cell r="B25" t="str">
            <v>보통인부</v>
          </cell>
          <cell r="C25" t="str">
            <v>다지기</v>
          </cell>
          <cell r="D25">
            <v>0.11</v>
          </cell>
          <cell r="E25" t="str">
            <v>인</v>
          </cell>
          <cell r="G25" t="str">
            <v xml:space="preserve"> </v>
          </cell>
          <cell r="I25">
            <v>0</v>
          </cell>
          <cell r="J25">
            <v>37052</v>
          </cell>
          <cell r="K25">
            <v>4075.7</v>
          </cell>
          <cell r="M25">
            <v>0</v>
          </cell>
        </row>
        <row r="26">
          <cell r="B26" t="str">
            <v>소   계</v>
          </cell>
          <cell r="G26">
            <v>4075</v>
          </cell>
          <cell r="I26">
            <v>0</v>
          </cell>
          <cell r="K26">
            <v>4075</v>
          </cell>
          <cell r="M26">
            <v>0</v>
          </cell>
        </row>
        <row r="28">
          <cell r="B28">
            <v>99</v>
          </cell>
          <cell r="C28" t="str">
            <v>바닥면고르기  (성토면)</v>
          </cell>
          <cell r="G28" t="str">
            <v>m2당</v>
          </cell>
          <cell r="H28">
            <v>0</v>
          </cell>
          <cell r="I28">
            <v>0</v>
          </cell>
          <cell r="K28">
            <v>0</v>
          </cell>
          <cell r="M28">
            <v>0</v>
          </cell>
        </row>
        <row r="29">
          <cell r="B29" t="str">
            <v>보통인부</v>
          </cell>
          <cell r="C29" t="str">
            <v>성토면,사질토</v>
          </cell>
          <cell r="D29">
            <v>1.9E-2</v>
          </cell>
          <cell r="E29" t="str">
            <v>인</v>
          </cell>
          <cell r="G29" t="str">
            <v xml:space="preserve"> </v>
          </cell>
          <cell r="I29">
            <v>0</v>
          </cell>
          <cell r="J29">
            <v>37052</v>
          </cell>
          <cell r="K29">
            <v>703.9</v>
          </cell>
          <cell r="M29">
            <v>0</v>
          </cell>
        </row>
        <row r="30">
          <cell r="B30" t="str">
            <v>소   계</v>
          </cell>
          <cell r="G30">
            <v>703</v>
          </cell>
          <cell r="I30">
            <v>0</v>
          </cell>
          <cell r="K30">
            <v>703</v>
          </cell>
          <cell r="M30">
            <v>0</v>
          </cell>
        </row>
        <row r="31">
          <cell r="G31">
            <v>0</v>
          </cell>
          <cell r="I31">
            <v>0</v>
          </cell>
          <cell r="K31">
            <v>0</v>
          </cell>
          <cell r="M31">
            <v>0</v>
          </cell>
        </row>
        <row r="32">
          <cell r="B32">
            <v>100</v>
          </cell>
          <cell r="C32" t="str">
            <v xml:space="preserve">잡석지정(다짐) </v>
          </cell>
          <cell r="G32" t="str">
            <v>m3당</v>
          </cell>
          <cell r="I32">
            <v>0</v>
          </cell>
          <cell r="K32">
            <v>0</v>
          </cell>
          <cell r="M32">
            <v>0</v>
          </cell>
        </row>
        <row r="33">
          <cell r="B33" t="str">
            <v>자     갈</v>
          </cell>
          <cell r="C33" t="str">
            <v>#467(Φ40mm)</v>
          </cell>
          <cell r="D33">
            <v>0.3</v>
          </cell>
          <cell r="E33" t="str">
            <v>M3</v>
          </cell>
          <cell r="G33" t="str">
            <v xml:space="preserve"> </v>
          </cell>
          <cell r="H33">
            <v>12000</v>
          </cell>
          <cell r="I33">
            <v>3600</v>
          </cell>
          <cell r="K33">
            <v>0</v>
          </cell>
          <cell r="M33">
            <v>0</v>
          </cell>
        </row>
        <row r="34">
          <cell r="B34" t="str">
            <v>잡     석</v>
          </cell>
          <cell r="C34" t="str">
            <v>#467(Φ40mm)</v>
          </cell>
          <cell r="D34">
            <v>1.1000000000000001</v>
          </cell>
          <cell r="E34" t="str">
            <v>M3</v>
          </cell>
          <cell r="G34" t="str">
            <v xml:space="preserve"> </v>
          </cell>
          <cell r="H34">
            <v>9000</v>
          </cell>
          <cell r="I34">
            <v>9900</v>
          </cell>
          <cell r="K34">
            <v>0</v>
          </cell>
          <cell r="M34">
            <v>0</v>
          </cell>
        </row>
        <row r="35">
          <cell r="B35" t="str">
            <v>보통인부</v>
          </cell>
          <cell r="C35" t="str">
            <v>떨공이 다지기</v>
          </cell>
          <cell r="D35">
            <v>1.1000000000000001</v>
          </cell>
          <cell r="E35" t="str">
            <v>인</v>
          </cell>
          <cell r="G35" t="str">
            <v xml:space="preserve"> </v>
          </cell>
          <cell r="I35">
            <v>0</v>
          </cell>
          <cell r="J35">
            <v>37052</v>
          </cell>
          <cell r="K35">
            <v>40757.199999999997</v>
          </cell>
          <cell r="M35">
            <v>0</v>
          </cell>
        </row>
        <row r="36">
          <cell r="B36" t="str">
            <v>기구손료</v>
          </cell>
          <cell r="C36" t="str">
            <v>품의 2%</v>
          </cell>
          <cell r="D36">
            <v>1</v>
          </cell>
          <cell r="E36" t="str">
            <v>식</v>
          </cell>
          <cell r="G36" t="str">
            <v xml:space="preserve"> </v>
          </cell>
          <cell r="I36">
            <v>0</v>
          </cell>
          <cell r="K36">
            <v>0</v>
          </cell>
          <cell r="L36">
            <v>40757</v>
          </cell>
          <cell r="M36">
            <v>815.1</v>
          </cell>
        </row>
        <row r="37">
          <cell r="B37" t="str">
            <v>소   계</v>
          </cell>
          <cell r="G37">
            <v>55072</v>
          </cell>
          <cell r="I37">
            <v>13500</v>
          </cell>
          <cell r="K37">
            <v>40757</v>
          </cell>
          <cell r="M37">
            <v>815</v>
          </cell>
        </row>
        <row r="38">
          <cell r="G38">
            <v>0</v>
          </cell>
          <cell r="I38">
            <v>0</v>
          </cell>
          <cell r="K38">
            <v>0</v>
          </cell>
          <cell r="M38">
            <v>0</v>
          </cell>
        </row>
        <row r="39">
          <cell r="B39">
            <v>101</v>
          </cell>
          <cell r="C39" t="str">
            <v>모래깔기</v>
          </cell>
          <cell r="G39" t="str">
            <v>m3당</v>
          </cell>
          <cell r="I39">
            <v>0</v>
          </cell>
          <cell r="K39">
            <v>0</v>
          </cell>
          <cell r="M39">
            <v>0</v>
          </cell>
        </row>
        <row r="40">
          <cell r="B40" t="str">
            <v>모     래</v>
          </cell>
          <cell r="C40">
            <v>0</v>
          </cell>
          <cell r="D40">
            <v>1.04</v>
          </cell>
          <cell r="E40" t="str">
            <v>M3</v>
          </cell>
          <cell r="G40" t="str">
            <v xml:space="preserve"> </v>
          </cell>
          <cell r="H40">
            <v>12000</v>
          </cell>
          <cell r="I40">
            <v>12480</v>
          </cell>
          <cell r="K40">
            <v>0</v>
          </cell>
          <cell r="M40">
            <v>0</v>
          </cell>
        </row>
        <row r="41">
          <cell r="B41" t="str">
            <v>보통인부</v>
          </cell>
          <cell r="C41" t="str">
            <v xml:space="preserve"> </v>
          </cell>
          <cell r="D41">
            <v>0.25</v>
          </cell>
          <cell r="E41" t="str">
            <v>인</v>
          </cell>
          <cell r="G41" t="str">
            <v xml:space="preserve"> </v>
          </cell>
          <cell r="I41">
            <v>0</v>
          </cell>
          <cell r="J41">
            <v>37052</v>
          </cell>
          <cell r="K41">
            <v>9263</v>
          </cell>
          <cell r="M41">
            <v>0</v>
          </cell>
        </row>
        <row r="42">
          <cell r="B42" t="str">
            <v>소   계</v>
          </cell>
          <cell r="G42">
            <v>21743</v>
          </cell>
          <cell r="I42">
            <v>12480</v>
          </cell>
          <cell r="K42">
            <v>9263</v>
          </cell>
          <cell r="M42">
            <v>0</v>
          </cell>
        </row>
        <row r="44">
          <cell r="G44">
            <v>0</v>
          </cell>
          <cell r="I44">
            <v>0</v>
          </cell>
          <cell r="K44">
            <v>0</v>
          </cell>
          <cell r="M44">
            <v>0</v>
          </cell>
        </row>
        <row r="45">
          <cell r="B45">
            <v>102</v>
          </cell>
          <cell r="C45" t="str">
            <v>몰     탈 (1:1)</v>
          </cell>
          <cell r="G45" t="str">
            <v>m3당</v>
          </cell>
          <cell r="I45">
            <v>0</v>
          </cell>
          <cell r="K45">
            <v>0</v>
          </cell>
          <cell r="M45">
            <v>0</v>
          </cell>
        </row>
        <row r="46">
          <cell r="B46" t="str">
            <v>시 멘 트</v>
          </cell>
          <cell r="C46" t="str">
            <v>40KG/포</v>
          </cell>
          <cell r="D46">
            <v>1093</v>
          </cell>
          <cell r="E46" t="str">
            <v>Kg</v>
          </cell>
          <cell r="G46" t="str">
            <v xml:space="preserve"> </v>
          </cell>
          <cell r="H46">
            <v>62.7</v>
          </cell>
          <cell r="I46">
            <v>68531</v>
          </cell>
          <cell r="J46">
            <v>0</v>
          </cell>
          <cell r="K46">
            <v>0</v>
          </cell>
          <cell r="M46">
            <v>0</v>
          </cell>
        </row>
        <row r="47">
          <cell r="B47" t="str">
            <v>모     래</v>
          </cell>
          <cell r="C47">
            <v>0</v>
          </cell>
          <cell r="D47">
            <v>0.78</v>
          </cell>
          <cell r="E47" t="str">
            <v>M3</v>
          </cell>
          <cell r="G47" t="str">
            <v xml:space="preserve"> </v>
          </cell>
          <cell r="H47">
            <v>12000</v>
          </cell>
          <cell r="I47">
            <v>9360</v>
          </cell>
          <cell r="K47">
            <v>0</v>
          </cell>
          <cell r="M47">
            <v>0</v>
          </cell>
        </row>
        <row r="48">
          <cell r="B48" t="str">
            <v>보통인부</v>
          </cell>
          <cell r="C48" t="str">
            <v xml:space="preserve"> </v>
          </cell>
          <cell r="D48">
            <v>1</v>
          </cell>
          <cell r="E48" t="str">
            <v>인</v>
          </cell>
          <cell r="G48" t="str">
            <v xml:space="preserve"> </v>
          </cell>
          <cell r="I48">
            <v>0</v>
          </cell>
          <cell r="J48">
            <v>37052</v>
          </cell>
          <cell r="K48">
            <v>37052</v>
          </cell>
          <cell r="M48">
            <v>0</v>
          </cell>
        </row>
        <row r="49">
          <cell r="B49" t="str">
            <v>소   계</v>
          </cell>
          <cell r="G49">
            <v>114943</v>
          </cell>
          <cell r="I49">
            <v>77891</v>
          </cell>
          <cell r="K49">
            <v>37052</v>
          </cell>
          <cell r="M49">
            <v>0</v>
          </cell>
        </row>
        <row r="50">
          <cell r="G50">
            <v>0</v>
          </cell>
          <cell r="I50">
            <v>0</v>
          </cell>
          <cell r="K50">
            <v>0</v>
          </cell>
          <cell r="M50">
            <v>0</v>
          </cell>
        </row>
        <row r="51">
          <cell r="B51">
            <v>103</v>
          </cell>
          <cell r="C51" t="str">
            <v>몰     탈 (1:2)</v>
          </cell>
          <cell r="G51" t="str">
            <v>m3당</v>
          </cell>
          <cell r="I51">
            <v>0</v>
          </cell>
          <cell r="K51">
            <v>0</v>
          </cell>
          <cell r="M51">
            <v>0</v>
          </cell>
        </row>
        <row r="52">
          <cell r="B52" t="str">
            <v>시 멘 트</v>
          </cell>
          <cell r="C52" t="str">
            <v>40KG/포</v>
          </cell>
          <cell r="D52">
            <v>680</v>
          </cell>
          <cell r="E52" t="str">
            <v>Kg</v>
          </cell>
          <cell r="G52" t="str">
            <v xml:space="preserve"> </v>
          </cell>
          <cell r="H52">
            <v>62.7</v>
          </cell>
          <cell r="I52">
            <v>42636</v>
          </cell>
          <cell r="K52">
            <v>0</v>
          </cell>
          <cell r="M52">
            <v>0</v>
          </cell>
        </row>
        <row r="53">
          <cell r="B53" t="str">
            <v>모     래</v>
          </cell>
          <cell r="C53">
            <v>0</v>
          </cell>
          <cell r="D53">
            <v>0.93</v>
          </cell>
          <cell r="E53" t="str">
            <v>M3</v>
          </cell>
          <cell r="G53" t="str">
            <v xml:space="preserve"> </v>
          </cell>
          <cell r="H53">
            <v>12000</v>
          </cell>
          <cell r="I53">
            <v>11160</v>
          </cell>
          <cell r="K53">
            <v>0</v>
          </cell>
          <cell r="M53">
            <v>0</v>
          </cell>
        </row>
        <row r="54">
          <cell r="B54" t="str">
            <v>보통인부</v>
          </cell>
          <cell r="C54" t="str">
            <v xml:space="preserve"> </v>
          </cell>
          <cell r="D54">
            <v>1</v>
          </cell>
          <cell r="E54" t="str">
            <v>인</v>
          </cell>
          <cell r="G54" t="str">
            <v xml:space="preserve"> </v>
          </cell>
          <cell r="I54">
            <v>0</v>
          </cell>
          <cell r="J54">
            <v>37052</v>
          </cell>
          <cell r="K54">
            <v>37052</v>
          </cell>
          <cell r="M54">
            <v>0</v>
          </cell>
        </row>
        <row r="55">
          <cell r="B55" t="str">
            <v>소   계</v>
          </cell>
          <cell r="G55">
            <v>90848</v>
          </cell>
          <cell r="I55">
            <v>53796</v>
          </cell>
          <cell r="K55">
            <v>37052</v>
          </cell>
          <cell r="M55">
            <v>0</v>
          </cell>
        </row>
        <row r="56">
          <cell r="G56">
            <v>0</v>
          </cell>
          <cell r="I56">
            <v>0</v>
          </cell>
          <cell r="K56">
            <v>0</v>
          </cell>
          <cell r="M56">
            <v>0</v>
          </cell>
        </row>
        <row r="57">
          <cell r="B57">
            <v>104</v>
          </cell>
          <cell r="C57" t="str">
            <v>몰     탈 (1:3)</v>
          </cell>
          <cell r="G57" t="str">
            <v>m3당</v>
          </cell>
          <cell r="I57">
            <v>0</v>
          </cell>
          <cell r="K57">
            <v>0</v>
          </cell>
          <cell r="M57">
            <v>0</v>
          </cell>
        </row>
        <row r="58">
          <cell r="B58" t="str">
            <v>시 멘 트</v>
          </cell>
          <cell r="C58" t="str">
            <v>40KG/포</v>
          </cell>
          <cell r="D58">
            <v>510</v>
          </cell>
          <cell r="E58" t="str">
            <v>Kg</v>
          </cell>
          <cell r="G58" t="str">
            <v xml:space="preserve"> </v>
          </cell>
          <cell r="H58">
            <v>62.7</v>
          </cell>
          <cell r="I58">
            <v>31977</v>
          </cell>
          <cell r="K58">
            <v>0</v>
          </cell>
          <cell r="M58">
            <v>0</v>
          </cell>
        </row>
        <row r="59">
          <cell r="B59" t="str">
            <v>모     래</v>
          </cell>
          <cell r="C59">
            <v>0</v>
          </cell>
          <cell r="D59">
            <v>1.1000000000000001</v>
          </cell>
          <cell r="E59" t="str">
            <v>M3</v>
          </cell>
          <cell r="G59" t="str">
            <v xml:space="preserve"> </v>
          </cell>
          <cell r="H59">
            <v>12000</v>
          </cell>
          <cell r="I59">
            <v>13200</v>
          </cell>
          <cell r="K59">
            <v>0</v>
          </cell>
          <cell r="M59">
            <v>0</v>
          </cell>
        </row>
        <row r="60">
          <cell r="B60" t="str">
            <v>보통인부</v>
          </cell>
          <cell r="C60" t="str">
            <v xml:space="preserve"> </v>
          </cell>
          <cell r="D60">
            <v>1</v>
          </cell>
          <cell r="E60" t="str">
            <v>인</v>
          </cell>
          <cell r="G60" t="str">
            <v xml:space="preserve"> </v>
          </cell>
          <cell r="I60">
            <v>0</v>
          </cell>
          <cell r="J60">
            <v>37052</v>
          </cell>
          <cell r="K60">
            <v>37052</v>
          </cell>
          <cell r="M60">
            <v>0</v>
          </cell>
        </row>
        <row r="61">
          <cell r="B61" t="str">
            <v>소   계</v>
          </cell>
          <cell r="G61">
            <v>82229</v>
          </cell>
          <cell r="I61">
            <v>45177</v>
          </cell>
          <cell r="K61">
            <v>37052</v>
          </cell>
          <cell r="M61">
            <v>0</v>
          </cell>
        </row>
        <row r="62">
          <cell r="G62">
            <v>0</v>
          </cell>
          <cell r="I62">
            <v>0</v>
          </cell>
          <cell r="K62">
            <v>0</v>
          </cell>
          <cell r="M62">
            <v>0</v>
          </cell>
        </row>
        <row r="63">
          <cell r="B63">
            <v>105</v>
          </cell>
          <cell r="C63" t="str">
            <v>에폭시접합</v>
          </cell>
          <cell r="G63" t="str">
            <v>m2당</v>
          </cell>
          <cell r="I63">
            <v>0</v>
          </cell>
          <cell r="K63">
            <v>0</v>
          </cell>
          <cell r="M63">
            <v>0</v>
          </cell>
        </row>
        <row r="64">
          <cell r="B64" t="str">
            <v>에폭시접착제</v>
          </cell>
          <cell r="C64" t="str">
            <v xml:space="preserve"> </v>
          </cell>
          <cell r="D64">
            <v>1.2</v>
          </cell>
          <cell r="E64" t="str">
            <v>Kg</v>
          </cell>
          <cell r="G64" t="str">
            <v xml:space="preserve"> </v>
          </cell>
          <cell r="H64">
            <v>8500</v>
          </cell>
          <cell r="I64">
            <v>10200</v>
          </cell>
          <cell r="K64">
            <v>0</v>
          </cell>
          <cell r="M64">
            <v>0</v>
          </cell>
        </row>
        <row r="65">
          <cell r="B65" t="str">
            <v>신      너</v>
          </cell>
          <cell r="C65" t="str">
            <v>KSM5319 2종</v>
          </cell>
          <cell r="D65">
            <v>0.2</v>
          </cell>
          <cell r="E65" t="str">
            <v>L</v>
          </cell>
          <cell r="G65" t="str">
            <v xml:space="preserve"> </v>
          </cell>
          <cell r="H65">
            <v>1283</v>
          </cell>
          <cell r="I65">
            <v>256</v>
          </cell>
          <cell r="K65">
            <v>0</v>
          </cell>
          <cell r="M65">
            <v>0</v>
          </cell>
        </row>
        <row r="66">
          <cell r="B66" t="str">
            <v>도장공</v>
          </cell>
          <cell r="C66" t="str">
            <v xml:space="preserve"> </v>
          </cell>
          <cell r="D66">
            <v>0.12</v>
          </cell>
          <cell r="E66" t="str">
            <v>인</v>
          </cell>
          <cell r="G66" t="str">
            <v xml:space="preserve"> </v>
          </cell>
          <cell r="I66">
            <v>0</v>
          </cell>
          <cell r="J66">
            <v>56361</v>
          </cell>
          <cell r="K66">
            <v>6763.3</v>
          </cell>
          <cell r="M66">
            <v>0</v>
          </cell>
        </row>
        <row r="67">
          <cell r="B67" t="str">
            <v>기구손료</v>
          </cell>
          <cell r="C67" t="str">
            <v>노무비의 2%</v>
          </cell>
          <cell r="D67">
            <v>1</v>
          </cell>
          <cell r="E67" t="str">
            <v>식</v>
          </cell>
          <cell r="G67" t="str">
            <v xml:space="preserve"> </v>
          </cell>
          <cell r="I67">
            <v>0</v>
          </cell>
          <cell r="K67">
            <v>0</v>
          </cell>
          <cell r="L67">
            <v>6763</v>
          </cell>
          <cell r="M67">
            <v>135.19999999999999</v>
          </cell>
        </row>
        <row r="68">
          <cell r="B68" t="str">
            <v>소   계</v>
          </cell>
          <cell r="G68">
            <v>17354</v>
          </cell>
          <cell r="I68">
            <v>10456</v>
          </cell>
          <cell r="K68">
            <v>6763</v>
          </cell>
          <cell r="M68">
            <v>135</v>
          </cell>
        </row>
        <row r="69">
          <cell r="G69">
            <v>0</v>
          </cell>
          <cell r="I69">
            <v>0</v>
          </cell>
          <cell r="K69">
            <v>0</v>
          </cell>
          <cell r="M69">
            <v>0</v>
          </cell>
        </row>
        <row r="70">
          <cell r="B70">
            <v>106</v>
          </cell>
          <cell r="C70" t="str">
            <v>에폭시모르터바르기</v>
          </cell>
          <cell r="G70" t="str">
            <v>m2당</v>
          </cell>
          <cell r="I70">
            <v>0</v>
          </cell>
          <cell r="K70">
            <v>0</v>
          </cell>
          <cell r="M70">
            <v>0</v>
          </cell>
        </row>
        <row r="71">
          <cell r="B71" t="str">
            <v>에폭시접착제</v>
          </cell>
          <cell r="C71" t="str">
            <v xml:space="preserve"> </v>
          </cell>
          <cell r="D71">
            <v>1.2</v>
          </cell>
          <cell r="E71" t="str">
            <v>Kg</v>
          </cell>
          <cell r="G71" t="str">
            <v xml:space="preserve"> </v>
          </cell>
          <cell r="H71">
            <v>8500</v>
          </cell>
          <cell r="I71">
            <v>10200</v>
          </cell>
          <cell r="K71">
            <v>0</v>
          </cell>
          <cell r="M71">
            <v>0</v>
          </cell>
        </row>
        <row r="72">
          <cell r="B72" t="str">
            <v>신      너</v>
          </cell>
          <cell r="C72" t="str">
            <v>KSM5319 2종</v>
          </cell>
          <cell r="D72">
            <v>0.2</v>
          </cell>
          <cell r="E72" t="str">
            <v>L</v>
          </cell>
          <cell r="G72" t="str">
            <v xml:space="preserve"> </v>
          </cell>
          <cell r="H72">
            <v>1283</v>
          </cell>
          <cell r="I72">
            <v>256</v>
          </cell>
          <cell r="K72">
            <v>0</v>
          </cell>
          <cell r="M72">
            <v>0</v>
          </cell>
        </row>
        <row r="73">
          <cell r="B73" t="str">
            <v>도장공</v>
          </cell>
          <cell r="C73" t="str">
            <v xml:space="preserve"> </v>
          </cell>
          <cell r="D73">
            <v>0.12</v>
          </cell>
          <cell r="E73" t="str">
            <v>인</v>
          </cell>
          <cell r="G73" t="str">
            <v xml:space="preserve"> </v>
          </cell>
          <cell r="I73">
            <v>0</v>
          </cell>
          <cell r="J73">
            <v>56361</v>
          </cell>
          <cell r="K73">
            <v>6763.3</v>
          </cell>
          <cell r="M73">
            <v>0</v>
          </cell>
        </row>
        <row r="74">
          <cell r="B74" t="str">
            <v>소   계</v>
          </cell>
          <cell r="G74">
            <v>17219</v>
          </cell>
          <cell r="I74">
            <v>10456</v>
          </cell>
          <cell r="K74">
            <v>6763</v>
          </cell>
          <cell r="M74">
            <v>0</v>
          </cell>
        </row>
        <row r="75">
          <cell r="G75">
            <v>0</v>
          </cell>
          <cell r="I75">
            <v>0</v>
          </cell>
          <cell r="K75">
            <v>0</v>
          </cell>
          <cell r="M75">
            <v>0</v>
          </cell>
        </row>
        <row r="76">
          <cell r="B76">
            <v>107</v>
          </cell>
          <cell r="C76" t="str">
            <v>레미콘타설 (25-180-8 철근구조물)</v>
          </cell>
          <cell r="G76" t="str">
            <v>m3당</v>
          </cell>
          <cell r="I76">
            <v>0</v>
          </cell>
          <cell r="K76">
            <v>0</v>
          </cell>
          <cell r="M76">
            <v>0</v>
          </cell>
        </row>
        <row r="77">
          <cell r="B77" t="str">
            <v>레 미 콘</v>
          </cell>
          <cell r="C77" t="str">
            <v>25-180-8</v>
          </cell>
          <cell r="D77">
            <v>1.01</v>
          </cell>
          <cell r="E77" t="str">
            <v>M3</v>
          </cell>
          <cell r="G77" t="str">
            <v xml:space="preserve"> </v>
          </cell>
          <cell r="H77">
            <v>41710</v>
          </cell>
          <cell r="I77">
            <v>42127</v>
          </cell>
          <cell r="K77">
            <v>0</v>
          </cell>
          <cell r="M77">
            <v>0</v>
          </cell>
        </row>
        <row r="78">
          <cell r="B78" t="str">
            <v>콘크리트공</v>
          </cell>
          <cell r="C78" t="str">
            <v xml:space="preserve"> </v>
          </cell>
          <cell r="D78">
            <v>0.17</v>
          </cell>
          <cell r="E78" t="str">
            <v>인</v>
          </cell>
          <cell r="G78" t="str">
            <v xml:space="preserve"> </v>
          </cell>
          <cell r="I78">
            <v>0</v>
          </cell>
          <cell r="J78">
            <v>64308</v>
          </cell>
          <cell r="K78">
            <v>10932.3</v>
          </cell>
          <cell r="M78">
            <v>0</v>
          </cell>
        </row>
        <row r="79">
          <cell r="B79" t="str">
            <v>보통인부</v>
          </cell>
          <cell r="C79" t="str">
            <v xml:space="preserve"> </v>
          </cell>
          <cell r="D79">
            <v>0.28999999999999998</v>
          </cell>
          <cell r="E79" t="str">
            <v>인</v>
          </cell>
          <cell r="G79" t="str">
            <v xml:space="preserve"> </v>
          </cell>
          <cell r="I79">
            <v>0</v>
          </cell>
          <cell r="J79">
            <v>37052</v>
          </cell>
          <cell r="K79">
            <v>10745</v>
          </cell>
          <cell r="M79">
            <v>0</v>
          </cell>
        </row>
        <row r="80">
          <cell r="B80" t="str">
            <v>소   계</v>
          </cell>
          <cell r="G80">
            <v>63804</v>
          </cell>
          <cell r="I80">
            <v>42127</v>
          </cell>
          <cell r="K80">
            <v>21677</v>
          </cell>
          <cell r="M80">
            <v>0</v>
          </cell>
        </row>
        <row r="82">
          <cell r="B82">
            <v>108</v>
          </cell>
          <cell r="C82" t="str">
            <v>레미콘타설 (40-160-8 철근구조물)</v>
          </cell>
          <cell r="G82" t="str">
            <v>m3당</v>
          </cell>
          <cell r="I82">
            <v>0</v>
          </cell>
          <cell r="K82">
            <v>0</v>
          </cell>
          <cell r="M82">
            <v>0</v>
          </cell>
        </row>
        <row r="83">
          <cell r="B83" t="str">
            <v>레 미 콘</v>
          </cell>
          <cell r="C83" t="str">
            <v>40-160-8</v>
          </cell>
          <cell r="D83">
            <v>1.01</v>
          </cell>
          <cell r="E83" t="str">
            <v>M3</v>
          </cell>
          <cell r="G83" t="str">
            <v xml:space="preserve"> </v>
          </cell>
          <cell r="H83">
            <v>38800</v>
          </cell>
          <cell r="I83">
            <v>39188</v>
          </cell>
          <cell r="K83">
            <v>0</v>
          </cell>
          <cell r="M83">
            <v>0</v>
          </cell>
        </row>
        <row r="84">
          <cell r="B84" t="str">
            <v>콘크리트공</v>
          </cell>
          <cell r="C84" t="str">
            <v xml:space="preserve"> </v>
          </cell>
          <cell r="D84">
            <v>0.17</v>
          </cell>
          <cell r="E84" t="str">
            <v>인</v>
          </cell>
          <cell r="G84" t="str">
            <v xml:space="preserve"> </v>
          </cell>
          <cell r="I84">
            <v>0</v>
          </cell>
          <cell r="J84">
            <v>64308</v>
          </cell>
          <cell r="K84">
            <v>10932.3</v>
          </cell>
          <cell r="M84">
            <v>0</v>
          </cell>
        </row>
        <row r="85">
          <cell r="B85" t="str">
            <v>보통인부</v>
          </cell>
          <cell r="C85" t="str">
            <v xml:space="preserve"> </v>
          </cell>
          <cell r="D85">
            <v>0.28999999999999998</v>
          </cell>
          <cell r="E85" t="str">
            <v>인</v>
          </cell>
          <cell r="G85" t="str">
            <v xml:space="preserve"> </v>
          </cell>
          <cell r="I85">
            <v>0</v>
          </cell>
          <cell r="J85">
            <v>37052</v>
          </cell>
          <cell r="K85">
            <v>10745</v>
          </cell>
          <cell r="M85">
            <v>0</v>
          </cell>
        </row>
        <row r="86">
          <cell r="B86" t="str">
            <v>소   계</v>
          </cell>
          <cell r="G86">
            <v>60865</v>
          </cell>
          <cell r="I86">
            <v>39188</v>
          </cell>
          <cell r="K86">
            <v>21677</v>
          </cell>
          <cell r="M86">
            <v>0</v>
          </cell>
        </row>
        <row r="87">
          <cell r="B87">
            <v>109</v>
          </cell>
          <cell r="C87" t="str">
            <v>레미콘타설 (40-160-8 무근구조물)</v>
          </cell>
          <cell r="G87" t="str">
            <v>m3당</v>
          </cell>
          <cell r="I87">
            <v>0</v>
          </cell>
          <cell r="K87">
            <v>0</v>
          </cell>
          <cell r="M87">
            <v>0</v>
          </cell>
        </row>
        <row r="88">
          <cell r="B88" t="str">
            <v>레 미 콘</v>
          </cell>
          <cell r="C88" t="str">
            <v>40-160-8</v>
          </cell>
          <cell r="D88">
            <v>1.01</v>
          </cell>
          <cell r="E88" t="str">
            <v>M3</v>
          </cell>
          <cell r="G88" t="str">
            <v xml:space="preserve"> </v>
          </cell>
          <cell r="H88">
            <v>38800</v>
          </cell>
          <cell r="I88">
            <v>39188</v>
          </cell>
          <cell r="K88">
            <v>0</v>
          </cell>
          <cell r="M88">
            <v>0</v>
          </cell>
        </row>
        <row r="89">
          <cell r="B89" t="str">
            <v>콘크리트공</v>
          </cell>
          <cell r="C89" t="str">
            <v xml:space="preserve"> </v>
          </cell>
          <cell r="D89">
            <v>0.15</v>
          </cell>
          <cell r="E89" t="str">
            <v>인</v>
          </cell>
          <cell r="G89" t="str">
            <v xml:space="preserve"> </v>
          </cell>
          <cell r="I89">
            <v>0</v>
          </cell>
          <cell r="J89">
            <v>64308</v>
          </cell>
          <cell r="K89">
            <v>9646.2000000000007</v>
          </cell>
          <cell r="M89">
            <v>0</v>
          </cell>
        </row>
        <row r="90">
          <cell r="B90" t="str">
            <v>보통인부</v>
          </cell>
          <cell r="C90" t="str">
            <v xml:space="preserve"> </v>
          </cell>
          <cell r="D90">
            <v>0.27</v>
          </cell>
          <cell r="E90" t="str">
            <v>인</v>
          </cell>
          <cell r="G90" t="str">
            <v xml:space="preserve"> </v>
          </cell>
          <cell r="I90">
            <v>0</v>
          </cell>
          <cell r="J90">
            <v>37052</v>
          </cell>
          <cell r="K90">
            <v>10004</v>
          </cell>
          <cell r="M90">
            <v>0</v>
          </cell>
        </row>
        <row r="91">
          <cell r="B91" t="str">
            <v>소   계</v>
          </cell>
          <cell r="G91">
            <v>58838</v>
          </cell>
          <cell r="I91">
            <v>39188</v>
          </cell>
          <cell r="K91">
            <v>19650</v>
          </cell>
          <cell r="M91">
            <v>0</v>
          </cell>
        </row>
        <row r="92">
          <cell r="G92">
            <v>0</v>
          </cell>
          <cell r="I92">
            <v>0</v>
          </cell>
          <cell r="K92">
            <v>0</v>
          </cell>
          <cell r="M92">
            <v>0</v>
          </cell>
        </row>
        <row r="93">
          <cell r="B93">
            <v>110</v>
          </cell>
          <cell r="C93" t="str">
            <v>콘크리트 (인력비빔,5종,소형)</v>
          </cell>
          <cell r="G93" t="str">
            <v>m3당</v>
          </cell>
          <cell r="I93">
            <v>0</v>
          </cell>
          <cell r="K93">
            <v>0</v>
          </cell>
          <cell r="M93">
            <v>0</v>
          </cell>
        </row>
        <row r="94">
          <cell r="B94" t="str">
            <v>시 멘 트</v>
          </cell>
          <cell r="C94" t="str">
            <v>40KG/포</v>
          </cell>
          <cell r="D94">
            <v>211</v>
          </cell>
          <cell r="E94" t="str">
            <v>KG</v>
          </cell>
          <cell r="G94" t="str">
            <v xml:space="preserve"> </v>
          </cell>
          <cell r="H94">
            <v>62.7</v>
          </cell>
          <cell r="I94">
            <v>13229</v>
          </cell>
          <cell r="K94">
            <v>0</v>
          </cell>
          <cell r="M94">
            <v>0</v>
          </cell>
        </row>
        <row r="95">
          <cell r="B95" t="str">
            <v>모     래</v>
          </cell>
          <cell r="C95">
            <v>0</v>
          </cell>
          <cell r="D95">
            <v>0.5</v>
          </cell>
          <cell r="E95" t="str">
            <v>M3</v>
          </cell>
          <cell r="G95" t="str">
            <v xml:space="preserve"> </v>
          </cell>
          <cell r="H95">
            <v>12000</v>
          </cell>
          <cell r="I95">
            <v>6000</v>
          </cell>
          <cell r="K95">
            <v>0</v>
          </cell>
          <cell r="M95">
            <v>0</v>
          </cell>
        </row>
        <row r="96">
          <cell r="B96" t="str">
            <v>자     갈</v>
          </cell>
          <cell r="C96" t="str">
            <v>#467(Φ40mm)</v>
          </cell>
          <cell r="D96">
            <v>0.73</v>
          </cell>
          <cell r="E96" t="str">
            <v>M3</v>
          </cell>
          <cell r="G96" t="str">
            <v xml:space="preserve"> </v>
          </cell>
          <cell r="H96">
            <v>12000</v>
          </cell>
          <cell r="I96">
            <v>8760</v>
          </cell>
          <cell r="K96">
            <v>0</v>
          </cell>
          <cell r="M96">
            <v>0</v>
          </cell>
        </row>
        <row r="97">
          <cell r="B97" t="str">
            <v>콘크리트공</v>
          </cell>
          <cell r="C97" t="str">
            <v xml:space="preserve"> </v>
          </cell>
          <cell r="D97">
            <v>1.29</v>
          </cell>
          <cell r="E97" t="str">
            <v>인</v>
          </cell>
          <cell r="G97" t="str">
            <v xml:space="preserve"> </v>
          </cell>
          <cell r="H97">
            <v>0</v>
          </cell>
          <cell r="I97">
            <v>0</v>
          </cell>
          <cell r="J97">
            <v>64308</v>
          </cell>
          <cell r="K97">
            <v>82957.3</v>
          </cell>
          <cell r="M97">
            <v>0</v>
          </cell>
        </row>
        <row r="98">
          <cell r="B98" t="str">
            <v>보통인부</v>
          </cell>
          <cell r="C98" t="str">
            <v xml:space="preserve"> </v>
          </cell>
          <cell r="D98">
            <v>1.36</v>
          </cell>
          <cell r="E98" t="str">
            <v>인</v>
          </cell>
          <cell r="G98" t="str">
            <v xml:space="preserve"> </v>
          </cell>
          <cell r="I98">
            <v>0</v>
          </cell>
          <cell r="J98">
            <v>37052</v>
          </cell>
          <cell r="K98">
            <v>50390.7</v>
          </cell>
          <cell r="M98">
            <v>0</v>
          </cell>
        </row>
        <row r="99">
          <cell r="B99" t="str">
            <v>소   계</v>
          </cell>
          <cell r="G99">
            <v>161337</v>
          </cell>
          <cell r="I99">
            <v>27989</v>
          </cell>
          <cell r="K99">
            <v>133348</v>
          </cell>
          <cell r="M99">
            <v>0</v>
          </cell>
        </row>
        <row r="101">
          <cell r="B101">
            <v>111</v>
          </cell>
          <cell r="C101" t="str">
            <v>콘크리트 (인력비빔,4종,소형)</v>
          </cell>
          <cell r="G101" t="str">
            <v>m3당</v>
          </cell>
          <cell r="I101">
            <v>0</v>
          </cell>
          <cell r="K101">
            <v>0</v>
          </cell>
          <cell r="M101">
            <v>0</v>
          </cell>
        </row>
        <row r="102">
          <cell r="B102" t="str">
            <v>시 멘 트</v>
          </cell>
          <cell r="C102" t="str">
            <v>40KG/포</v>
          </cell>
          <cell r="D102">
            <v>261</v>
          </cell>
          <cell r="E102" t="str">
            <v>KG</v>
          </cell>
          <cell r="G102" t="str">
            <v xml:space="preserve"> </v>
          </cell>
          <cell r="H102">
            <v>62.7</v>
          </cell>
          <cell r="I102">
            <v>16364</v>
          </cell>
          <cell r="K102">
            <v>0</v>
          </cell>
          <cell r="M102">
            <v>0</v>
          </cell>
        </row>
        <row r="103">
          <cell r="B103" t="str">
            <v>모     래</v>
          </cell>
          <cell r="C103">
            <v>0</v>
          </cell>
          <cell r="D103">
            <v>0.48</v>
          </cell>
          <cell r="E103" t="str">
            <v>M3</v>
          </cell>
          <cell r="G103" t="str">
            <v xml:space="preserve"> </v>
          </cell>
          <cell r="H103">
            <v>12000</v>
          </cell>
          <cell r="I103">
            <v>5760</v>
          </cell>
          <cell r="K103">
            <v>0</v>
          </cell>
          <cell r="M103">
            <v>0</v>
          </cell>
        </row>
        <row r="104">
          <cell r="B104" t="str">
            <v>자     갈</v>
          </cell>
          <cell r="C104" t="str">
            <v>#467(Φ40mm)</v>
          </cell>
          <cell r="D104">
            <v>0.74</v>
          </cell>
          <cell r="E104" t="str">
            <v>M3</v>
          </cell>
          <cell r="G104" t="str">
            <v xml:space="preserve"> </v>
          </cell>
          <cell r="H104">
            <v>12000</v>
          </cell>
          <cell r="I104">
            <v>8880</v>
          </cell>
          <cell r="K104">
            <v>0</v>
          </cell>
          <cell r="M104">
            <v>0</v>
          </cell>
        </row>
        <row r="105">
          <cell r="B105" t="str">
            <v>콘크리트공</v>
          </cell>
          <cell r="C105" t="str">
            <v xml:space="preserve"> </v>
          </cell>
          <cell r="D105">
            <v>1.29</v>
          </cell>
          <cell r="E105" t="str">
            <v>인</v>
          </cell>
          <cell r="G105" t="str">
            <v xml:space="preserve"> </v>
          </cell>
          <cell r="H105">
            <v>0</v>
          </cell>
          <cell r="I105">
            <v>0</v>
          </cell>
          <cell r="J105">
            <v>64308</v>
          </cell>
          <cell r="K105">
            <v>82957.3</v>
          </cell>
          <cell r="M105">
            <v>0</v>
          </cell>
        </row>
        <row r="106">
          <cell r="B106" t="str">
            <v>보통인부</v>
          </cell>
          <cell r="C106" t="str">
            <v xml:space="preserve"> </v>
          </cell>
          <cell r="D106">
            <v>1.36</v>
          </cell>
          <cell r="E106" t="str">
            <v>인</v>
          </cell>
          <cell r="G106" t="str">
            <v xml:space="preserve"> </v>
          </cell>
          <cell r="I106">
            <v>0</v>
          </cell>
          <cell r="J106">
            <v>37052</v>
          </cell>
          <cell r="K106">
            <v>50390.7</v>
          </cell>
          <cell r="M106">
            <v>0</v>
          </cell>
        </row>
        <row r="107">
          <cell r="B107" t="str">
            <v>소   계</v>
          </cell>
          <cell r="G107">
            <v>164352</v>
          </cell>
          <cell r="I107">
            <v>31004</v>
          </cell>
          <cell r="K107">
            <v>133348</v>
          </cell>
          <cell r="M107">
            <v>0</v>
          </cell>
        </row>
        <row r="108">
          <cell r="B108">
            <v>112</v>
          </cell>
          <cell r="C108" t="str">
            <v>거푸집 ( 합판1회 일반구조물)</v>
          </cell>
          <cell r="G108" t="str">
            <v>m2당</v>
          </cell>
          <cell r="I108">
            <v>0</v>
          </cell>
          <cell r="K108">
            <v>0</v>
          </cell>
          <cell r="M108">
            <v>0</v>
          </cell>
        </row>
        <row r="109">
          <cell r="B109" t="str">
            <v>합      판</v>
          </cell>
          <cell r="C109" t="str">
            <v>내수 12MM</v>
          </cell>
          <cell r="D109">
            <v>1.03</v>
          </cell>
          <cell r="E109" t="str">
            <v>M2</v>
          </cell>
          <cell r="G109" t="str">
            <v xml:space="preserve"> </v>
          </cell>
          <cell r="H109">
            <v>5542</v>
          </cell>
          <cell r="I109">
            <v>5708</v>
          </cell>
          <cell r="K109">
            <v>0</v>
          </cell>
          <cell r="M109">
            <v>0</v>
          </cell>
        </row>
        <row r="110">
          <cell r="B110" t="str">
            <v>육송각재</v>
          </cell>
          <cell r="C110" t="str">
            <v>거푸집용</v>
          </cell>
          <cell r="D110">
            <v>3.7999999999999999E-2</v>
          </cell>
          <cell r="E110" t="str">
            <v>M3</v>
          </cell>
          <cell r="G110" t="str">
            <v xml:space="preserve"> </v>
          </cell>
          <cell r="H110">
            <v>204137</v>
          </cell>
          <cell r="I110">
            <v>7757.2</v>
          </cell>
          <cell r="K110">
            <v>0</v>
          </cell>
          <cell r="M110">
            <v>0</v>
          </cell>
        </row>
        <row r="111">
          <cell r="B111" t="str">
            <v>철      선</v>
          </cell>
          <cell r="C111" t="str">
            <v># 8(Φ4.0mm)</v>
          </cell>
          <cell r="D111">
            <v>0.28999999999999998</v>
          </cell>
          <cell r="E111" t="str">
            <v>Kg</v>
          </cell>
          <cell r="G111" t="str">
            <v xml:space="preserve"> </v>
          </cell>
          <cell r="H111">
            <v>503</v>
          </cell>
          <cell r="I111">
            <v>145</v>
          </cell>
          <cell r="K111">
            <v>0</v>
          </cell>
          <cell r="M111">
            <v>0</v>
          </cell>
        </row>
        <row r="112">
          <cell r="B112" t="str">
            <v>철      못</v>
          </cell>
          <cell r="C112" t="str">
            <v>N 75</v>
          </cell>
          <cell r="D112">
            <v>0.2</v>
          </cell>
          <cell r="E112" t="str">
            <v>Kg</v>
          </cell>
          <cell r="G112" t="str">
            <v xml:space="preserve"> </v>
          </cell>
          <cell r="H112">
            <v>552</v>
          </cell>
          <cell r="I112">
            <v>110.4</v>
          </cell>
          <cell r="K112">
            <v>0</v>
          </cell>
          <cell r="M112">
            <v>0</v>
          </cell>
        </row>
        <row r="113">
          <cell r="B113" t="str">
            <v>중      유</v>
          </cell>
          <cell r="C113" t="str">
            <v xml:space="preserve"> </v>
          </cell>
          <cell r="D113">
            <v>0.19</v>
          </cell>
          <cell r="E113" t="str">
            <v>L</v>
          </cell>
          <cell r="G113" t="str">
            <v xml:space="preserve"> </v>
          </cell>
          <cell r="H113">
            <v>278.5</v>
          </cell>
          <cell r="I113">
            <v>52.9</v>
          </cell>
          <cell r="K113">
            <v>0</v>
          </cell>
          <cell r="M113">
            <v>0</v>
          </cell>
        </row>
        <row r="114">
          <cell r="B114" t="str">
            <v>형틀목공</v>
          </cell>
          <cell r="C114" t="str">
            <v xml:space="preserve"> </v>
          </cell>
          <cell r="D114">
            <v>0.28000000000000003</v>
          </cell>
          <cell r="E114" t="str">
            <v>인</v>
          </cell>
          <cell r="G114" t="str">
            <v xml:space="preserve"> </v>
          </cell>
          <cell r="H114">
            <v>0</v>
          </cell>
          <cell r="I114">
            <v>0</v>
          </cell>
          <cell r="J114">
            <v>63219</v>
          </cell>
          <cell r="K114">
            <v>17701.3</v>
          </cell>
          <cell r="M114">
            <v>0</v>
          </cell>
        </row>
        <row r="115">
          <cell r="B115" t="str">
            <v>보통인부</v>
          </cell>
          <cell r="C115" t="str">
            <v xml:space="preserve"> </v>
          </cell>
          <cell r="D115">
            <v>0.23</v>
          </cell>
          <cell r="E115" t="str">
            <v>인</v>
          </cell>
          <cell r="G115" t="str">
            <v xml:space="preserve"> </v>
          </cell>
          <cell r="I115">
            <v>0</v>
          </cell>
          <cell r="J115">
            <v>37052</v>
          </cell>
          <cell r="K115">
            <v>8521.9</v>
          </cell>
          <cell r="M115">
            <v>0</v>
          </cell>
        </row>
        <row r="116">
          <cell r="B116" t="str">
            <v>사 용 고 재</v>
          </cell>
          <cell r="C116" t="str">
            <v>(합판+각재)30%</v>
          </cell>
          <cell r="D116">
            <v>1</v>
          </cell>
          <cell r="E116" t="str">
            <v>식</v>
          </cell>
          <cell r="G116" t="str">
            <v xml:space="preserve"> </v>
          </cell>
          <cell r="H116">
            <v>13465</v>
          </cell>
          <cell r="I116">
            <v>-4039</v>
          </cell>
          <cell r="J116">
            <v>0</v>
          </cell>
          <cell r="K116">
            <v>0</v>
          </cell>
          <cell r="M116">
            <v>0</v>
          </cell>
        </row>
        <row r="117">
          <cell r="B117" t="str">
            <v>소   계</v>
          </cell>
          <cell r="G117">
            <v>35957</v>
          </cell>
          <cell r="I117">
            <v>9734</v>
          </cell>
          <cell r="K117">
            <v>26223</v>
          </cell>
          <cell r="M117">
            <v>0</v>
          </cell>
        </row>
        <row r="119">
          <cell r="B119">
            <v>113</v>
          </cell>
          <cell r="C119" t="str">
            <v>거푸집 ( 합판4회 일반구조물)</v>
          </cell>
          <cell r="G119" t="str">
            <v>m2당</v>
          </cell>
          <cell r="I119">
            <v>0</v>
          </cell>
          <cell r="K119">
            <v>0</v>
          </cell>
          <cell r="M119">
            <v>0</v>
          </cell>
        </row>
        <row r="120">
          <cell r="B120" t="str">
            <v>재   료   비</v>
          </cell>
          <cell r="C120" t="str">
            <v>1회의 40.1%</v>
          </cell>
          <cell r="D120">
            <v>1</v>
          </cell>
          <cell r="E120" t="str">
            <v>식</v>
          </cell>
          <cell r="G120" t="str">
            <v xml:space="preserve"> </v>
          </cell>
          <cell r="H120">
            <v>9734</v>
          </cell>
          <cell r="I120">
            <v>3903.3</v>
          </cell>
          <cell r="J120">
            <v>0</v>
          </cell>
          <cell r="K120">
            <v>0</v>
          </cell>
          <cell r="M120">
            <v>0</v>
          </cell>
        </row>
        <row r="121">
          <cell r="B121" t="str">
            <v>노   무   비</v>
          </cell>
          <cell r="C121" t="str">
            <v>1회의 40%</v>
          </cell>
          <cell r="D121">
            <v>1</v>
          </cell>
          <cell r="E121" t="str">
            <v>식</v>
          </cell>
          <cell r="G121" t="str">
            <v xml:space="preserve"> </v>
          </cell>
          <cell r="H121">
            <v>0</v>
          </cell>
          <cell r="I121">
            <v>0</v>
          </cell>
          <cell r="J121">
            <v>26223</v>
          </cell>
          <cell r="K121">
            <v>10489.2</v>
          </cell>
          <cell r="M121">
            <v>0</v>
          </cell>
        </row>
        <row r="122">
          <cell r="B122" t="str">
            <v>소   계</v>
          </cell>
          <cell r="G122">
            <v>14392</v>
          </cell>
          <cell r="I122">
            <v>3903</v>
          </cell>
          <cell r="K122">
            <v>10489</v>
          </cell>
          <cell r="M122">
            <v>0</v>
          </cell>
        </row>
        <row r="123">
          <cell r="G123">
            <v>0</v>
          </cell>
          <cell r="I123">
            <v>0</v>
          </cell>
          <cell r="K123">
            <v>0</v>
          </cell>
          <cell r="M123">
            <v>0</v>
          </cell>
        </row>
        <row r="124">
          <cell r="B124">
            <v>114</v>
          </cell>
          <cell r="C124" t="str">
            <v>거푸집 ( 합판6회 일반구조물)</v>
          </cell>
          <cell r="G124" t="str">
            <v>m2당</v>
          </cell>
          <cell r="I124">
            <v>0</v>
          </cell>
          <cell r="K124">
            <v>0</v>
          </cell>
          <cell r="M124">
            <v>0</v>
          </cell>
        </row>
        <row r="125">
          <cell r="B125" t="str">
            <v>재   료   비</v>
          </cell>
          <cell r="C125" t="str">
            <v>1회의 34.7%</v>
          </cell>
          <cell r="D125">
            <v>1</v>
          </cell>
          <cell r="E125" t="str">
            <v>식</v>
          </cell>
          <cell r="G125" t="str">
            <v xml:space="preserve"> </v>
          </cell>
          <cell r="H125">
            <v>9734</v>
          </cell>
          <cell r="I125">
            <v>3377.6</v>
          </cell>
          <cell r="J125">
            <v>0</v>
          </cell>
          <cell r="K125">
            <v>0</v>
          </cell>
          <cell r="M125">
            <v>0</v>
          </cell>
        </row>
        <row r="126">
          <cell r="B126" t="str">
            <v>노   무   비</v>
          </cell>
          <cell r="C126" t="str">
            <v>1회의 32%</v>
          </cell>
          <cell r="D126">
            <v>1</v>
          </cell>
          <cell r="E126" t="str">
            <v>식</v>
          </cell>
          <cell r="G126" t="str">
            <v xml:space="preserve"> </v>
          </cell>
          <cell r="H126">
            <v>0</v>
          </cell>
          <cell r="I126">
            <v>0</v>
          </cell>
          <cell r="J126">
            <v>26223</v>
          </cell>
          <cell r="K126">
            <v>8391.2999999999993</v>
          </cell>
          <cell r="M126">
            <v>0</v>
          </cell>
        </row>
        <row r="127">
          <cell r="B127" t="str">
            <v>소   계</v>
          </cell>
          <cell r="G127">
            <v>11768</v>
          </cell>
          <cell r="I127">
            <v>3377</v>
          </cell>
          <cell r="K127">
            <v>8391</v>
          </cell>
          <cell r="M127">
            <v>0</v>
          </cell>
        </row>
        <row r="129">
          <cell r="B129">
            <v>115</v>
          </cell>
          <cell r="C129" t="str">
            <v>거푸집 ( 합판1회 소형구조물)</v>
          </cell>
          <cell r="G129" t="str">
            <v>m2당</v>
          </cell>
          <cell r="I129">
            <v>0</v>
          </cell>
          <cell r="K129">
            <v>0</v>
          </cell>
          <cell r="M129">
            <v>0</v>
          </cell>
        </row>
        <row r="130">
          <cell r="B130" t="str">
            <v>재   료   비</v>
          </cell>
          <cell r="C130" t="str">
            <v>1회일반의 100%</v>
          </cell>
          <cell r="D130">
            <v>1</v>
          </cell>
          <cell r="E130" t="str">
            <v>식</v>
          </cell>
          <cell r="G130" t="str">
            <v xml:space="preserve"> </v>
          </cell>
          <cell r="H130">
            <v>9734</v>
          </cell>
          <cell r="I130">
            <v>9734</v>
          </cell>
          <cell r="J130">
            <v>0</v>
          </cell>
          <cell r="K130">
            <v>0</v>
          </cell>
          <cell r="M130">
            <v>0</v>
          </cell>
        </row>
        <row r="131">
          <cell r="B131" t="str">
            <v>노   무   비</v>
          </cell>
          <cell r="C131" t="str">
            <v>1회일반의 130%</v>
          </cell>
          <cell r="D131">
            <v>1</v>
          </cell>
          <cell r="E131" t="str">
            <v>식</v>
          </cell>
          <cell r="G131" t="str">
            <v xml:space="preserve"> </v>
          </cell>
          <cell r="H131">
            <v>0</v>
          </cell>
          <cell r="I131">
            <v>0</v>
          </cell>
          <cell r="J131">
            <v>26223</v>
          </cell>
          <cell r="K131">
            <v>34089.9</v>
          </cell>
          <cell r="M131">
            <v>0</v>
          </cell>
        </row>
        <row r="132">
          <cell r="B132" t="str">
            <v>소   계</v>
          </cell>
          <cell r="G132">
            <v>43823</v>
          </cell>
          <cell r="I132">
            <v>9734</v>
          </cell>
          <cell r="K132">
            <v>34089</v>
          </cell>
          <cell r="M132">
            <v>0</v>
          </cell>
        </row>
        <row r="133">
          <cell r="G133">
            <v>0</v>
          </cell>
          <cell r="I133">
            <v>0</v>
          </cell>
          <cell r="K133">
            <v>0</v>
          </cell>
          <cell r="M133">
            <v>0</v>
          </cell>
        </row>
        <row r="134">
          <cell r="B134">
            <v>116</v>
          </cell>
          <cell r="C134" t="str">
            <v>거푸집 ( 합판4회 소형구조물)</v>
          </cell>
          <cell r="G134" t="str">
            <v>m2당</v>
          </cell>
          <cell r="I134">
            <v>0</v>
          </cell>
          <cell r="K134">
            <v>0</v>
          </cell>
          <cell r="M134">
            <v>0</v>
          </cell>
        </row>
        <row r="135">
          <cell r="B135" t="str">
            <v>재   료   비</v>
          </cell>
          <cell r="C135" t="str">
            <v>4회일반의 100%</v>
          </cell>
          <cell r="D135">
            <v>1</v>
          </cell>
          <cell r="E135" t="str">
            <v>식</v>
          </cell>
          <cell r="G135" t="str">
            <v xml:space="preserve"> </v>
          </cell>
          <cell r="H135">
            <v>3903</v>
          </cell>
          <cell r="I135">
            <v>3903</v>
          </cell>
          <cell r="J135">
            <v>0</v>
          </cell>
          <cell r="K135">
            <v>0</v>
          </cell>
          <cell r="M135">
            <v>0</v>
          </cell>
        </row>
        <row r="136">
          <cell r="B136" t="str">
            <v>노   무   비</v>
          </cell>
          <cell r="C136" t="str">
            <v>4회일반의 130%</v>
          </cell>
          <cell r="D136">
            <v>1</v>
          </cell>
          <cell r="E136" t="str">
            <v>식</v>
          </cell>
          <cell r="G136" t="str">
            <v xml:space="preserve"> </v>
          </cell>
          <cell r="H136">
            <v>0</v>
          </cell>
          <cell r="I136">
            <v>0</v>
          </cell>
          <cell r="J136">
            <v>10489</v>
          </cell>
          <cell r="K136">
            <v>13635.7</v>
          </cell>
          <cell r="M136">
            <v>0</v>
          </cell>
        </row>
        <row r="137">
          <cell r="B137" t="str">
            <v>소   계</v>
          </cell>
          <cell r="G137">
            <v>17538</v>
          </cell>
          <cell r="I137">
            <v>3903</v>
          </cell>
          <cell r="K137">
            <v>13635</v>
          </cell>
          <cell r="M137">
            <v>0</v>
          </cell>
        </row>
        <row r="138">
          <cell r="G138">
            <v>0</v>
          </cell>
          <cell r="I138">
            <v>0</v>
          </cell>
          <cell r="K138">
            <v>0</v>
          </cell>
          <cell r="M138">
            <v>0</v>
          </cell>
        </row>
        <row r="139">
          <cell r="B139">
            <v>117</v>
          </cell>
          <cell r="C139" t="str">
            <v>거푸집 ( 합판6회 소형구조물)</v>
          </cell>
          <cell r="G139" t="str">
            <v>m2당</v>
          </cell>
          <cell r="I139">
            <v>0</v>
          </cell>
          <cell r="K139">
            <v>0</v>
          </cell>
          <cell r="M139">
            <v>0</v>
          </cell>
        </row>
        <row r="140">
          <cell r="B140" t="str">
            <v>재   료   비</v>
          </cell>
          <cell r="C140" t="str">
            <v>6회일반의 100%</v>
          </cell>
          <cell r="D140">
            <v>1</v>
          </cell>
          <cell r="E140" t="str">
            <v>식</v>
          </cell>
          <cell r="G140" t="str">
            <v xml:space="preserve"> </v>
          </cell>
          <cell r="H140">
            <v>3377</v>
          </cell>
          <cell r="I140">
            <v>3377</v>
          </cell>
          <cell r="J140">
            <v>0</v>
          </cell>
          <cell r="K140">
            <v>0</v>
          </cell>
          <cell r="M140">
            <v>0</v>
          </cell>
        </row>
        <row r="141">
          <cell r="B141" t="str">
            <v>노   무   비</v>
          </cell>
          <cell r="C141" t="str">
            <v>6회일반의 130%</v>
          </cell>
          <cell r="D141">
            <v>1</v>
          </cell>
          <cell r="E141" t="str">
            <v>식</v>
          </cell>
          <cell r="G141" t="str">
            <v xml:space="preserve"> </v>
          </cell>
          <cell r="H141">
            <v>0</v>
          </cell>
          <cell r="I141">
            <v>0</v>
          </cell>
          <cell r="J141">
            <v>8391</v>
          </cell>
          <cell r="K141">
            <v>10908.3</v>
          </cell>
          <cell r="M141">
            <v>0</v>
          </cell>
        </row>
        <row r="142">
          <cell r="B142" t="str">
            <v>소   계</v>
          </cell>
          <cell r="G142">
            <v>14285</v>
          </cell>
          <cell r="I142">
            <v>3377</v>
          </cell>
          <cell r="K142">
            <v>10908</v>
          </cell>
          <cell r="M142">
            <v>0</v>
          </cell>
        </row>
        <row r="143">
          <cell r="G143">
            <v>0</v>
          </cell>
          <cell r="I143">
            <v>0</v>
          </cell>
          <cell r="K143">
            <v>0</v>
          </cell>
          <cell r="M143">
            <v>0</v>
          </cell>
        </row>
        <row r="144">
          <cell r="B144">
            <v>118</v>
          </cell>
          <cell r="C144" t="str">
            <v>철근가공조립 (간단 소형구조물)</v>
          </cell>
          <cell r="G144" t="str">
            <v>kg당</v>
          </cell>
          <cell r="I144">
            <v>0</v>
          </cell>
          <cell r="K144">
            <v>0</v>
          </cell>
          <cell r="M144">
            <v>0</v>
          </cell>
        </row>
        <row r="145">
          <cell r="B145" t="str">
            <v>철      선</v>
          </cell>
          <cell r="C145" t="str">
            <v>#20(Φ0.9mm)</v>
          </cell>
          <cell r="D145">
            <v>5</v>
          </cell>
          <cell r="E145" t="str">
            <v>Kg</v>
          </cell>
          <cell r="G145" t="str">
            <v xml:space="preserve"> </v>
          </cell>
          <cell r="H145">
            <v>616</v>
          </cell>
          <cell r="I145">
            <v>3080</v>
          </cell>
          <cell r="J145">
            <v>0</v>
          </cell>
          <cell r="K145">
            <v>0</v>
          </cell>
          <cell r="M145">
            <v>0</v>
          </cell>
        </row>
        <row r="146">
          <cell r="B146" t="str">
            <v>철근공</v>
          </cell>
          <cell r="C146" t="str">
            <v>2.9*1.5</v>
          </cell>
          <cell r="D146">
            <v>4.3499999999999996</v>
          </cell>
          <cell r="E146" t="str">
            <v>인</v>
          </cell>
          <cell r="G146" t="str">
            <v xml:space="preserve"> </v>
          </cell>
          <cell r="I146">
            <v>0</v>
          </cell>
          <cell r="J146">
            <v>66745</v>
          </cell>
          <cell r="K146">
            <v>290340.7</v>
          </cell>
          <cell r="M146">
            <v>0</v>
          </cell>
        </row>
        <row r="147">
          <cell r="B147" t="str">
            <v>보통인부</v>
          </cell>
          <cell r="C147" t="str">
            <v>1.6*1.5</v>
          </cell>
          <cell r="D147">
            <v>2.4</v>
          </cell>
          <cell r="E147" t="str">
            <v>인</v>
          </cell>
          <cell r="G147" t="str">
            <v xml:space="preserve"> </v>
          </cell>
          <cell r="I147">
            <v>0</v>
          </cell>
          <cell r="J147">
            <v>37052</v>
          </cell>
          <cell r="K147">
            <v>88924.800000000003</v>
          </cell>
          <cell r="M147">
            <v>0</v>
          </cell>
        </row>
        <row r="148">
          <cell r="B148" t="str">
            <v>소   계</v>
          </cell>
          <cell r="G148">
            <v>382345</v>
          </cell>
          <cell r="I148">
            <v>3080</v>
          </cell>
          <cell r="K148">
            <v>379265</v>
          </cell>
          <cell r="M148">
            <v>0</v>
          </cell>
        </row>
        <row r="149">
          <cell r="B149" t="str">
            <v>Kg당</v>
          </cell>
          <cell r="G149">
            <v>382</v>
          </cell>
          <cell r="H149">
            <v>0</v>
          </cell>
          <cell r="I149">
            <v>3</v>
          </cell>
          <cell r="J149">
            <v>0</v>
          </cell>
          <cell r="K149">
            <v>379</v>
          </cell>
          <cell r="M149">
            <v>0</v>
          </cell>
        </row>
        <row r="150">
          <cell r="B150">
            <v>119</v>
          </cell>
          <cell r="C150" t="str">
            <v>철근가공조립 (보통 일반구조물)</v>
          </cell>
          <cell r="G150" t="str">
            <v>kg당</v>
          </cell>
          <cell r="I150">
            <v>0</v>
          </cell>
          <cell r="K150">
            <v>0</v>
          </cell>
          <cell r="M150">
            <v>0</v>
          </cell>
        </row>
        <row r="151">
          <cell r="B151" t="str">
            <v>철      선</v>
          </cell>
          <cell r="C151" t="str">
            <v>#20(Φ0.9mm)</v>
          </cell>
          <cell r="D151">
            <v>6.5</v>
          </cell>
          <cell r="E151" t="str">
            <v>Kg</v>
          </cell>
          <cell r="G151" t="str">
            <v xml:space="preserve"> </v>
          </cell>
          <cell r="H151">
            <v>616</v>
          </cell>
          <cell r="I151">
            <v>4004</v>
          </cell>
          <cell r="J151">
            <v>0</v>
          </cell>
          <cell r="K151">
            <v>0</v>
          </cell>
          <cell r="M151">
            <v>0</v>
          </cell>
        </row>
        <row r="152">
          <cell r="B152" t="str">
            <v>철근공</v>
          </cell>
          <cell r="D152">
            <v>4</v>
          </cell>
          <cell r="E152" t="str">
            <v>인</v>
          </cell>
          <cell r="G152" t="str">
            <v xml:space="preserve"> </v>
          </cell>
          <cell r="I152">
            <v>0</v>
          </cell>
          <cell r="J152">
            <v>66745</v>
          </cell>
          <cell r="K152">
            <v>266980</v>
          </cell>
          <cell r="M152">
            <v>0</v>
          </cell>
        </row>
        <row r="153">
          <cell r="B153" t="str">
            <v>보통인부</v>
          </cell>
          <cell r="D153">
            <v>2.2000000000000002</v>
          </cell>
          <cell r="E153" t="str">
            <v>인</v>
          </cell>
          <cell r="G153" t="str">
            <v xml:space="preserve"> </v>
          </cell>
          <cell r="I153">
            <v>0</v>
          </cell>
          <cell r="J153">
            <v>37052</v>
          </cell>
          <cell r="K153">
            <v>81514.399999999994</v>
          </cell>
          <cell r="M153">
            <v>0</v>
          </cell>
        </row>
        <row r="154">
          <cell r="B154" t="str">
            <v>소   계</v>
          </cell>
          <cell r="G154">
            <v>352498</v>
          </cell>
          <cell r="I154">
            <v>4004</v>
          </cell>
          <cell r="K154">
            <v>348494</v>
          </cell>
          <cell r="M154">
            <v>0</v>
          </cell>
        </row>
        <row r="155">
          <cell r="B155" t="str">
            <v>Kg당</v>
          </cell>
          <cell r="G155">
            <v>352</v>
          </cell>
          <cell r="H155">
            <v>0</v>
          </cell>
          <cell r="I155">
            <v>4</v>
          </cell>
          <cell r="J155">
            <v>0</v>
          </cell>
          <cell r="K155">
            <v>348</v>
          </cell>
          <cell r="M155">
            <v>0</v>
          </cell>
        </row>
        <row r="157">
          <cell r="B157">
            <v>120</v>
          </cell>
          <cell r="C157" t="str">
            <v>철근가공조립 (복잡 소형구조물)</v>
          </cell>
          <cell r="G157" t="str">
            <v>kg당</v>
          </cell>
          <cell r="I157">
            <v>0</v>
          </cell>
          <cell r="K157">
            <v>0</v>
          </cell>
          <cell r="M157">
            <v>0</v>
          </cell>
        </row>
        <row r="158">
          <cell r="B158" t="str">
            <v>철      선</v>
          </cell>
          <cell r="C158" t="str">
            <v>#20(Φ0.9mm)</v>
          </cell>
          <cell r="D158">
            <v>8</v>
          </cell>
          <cell r="E158" t="str">
            <v>Kg</v>
          </cell>
          <cell r="G158" t="str">
            <v xml:space="preserve"> </v>
          </cell>
          <cell r="H158">
            <v>616</v>
          </cell>
          <cell r="I158">
            <v>4928</v>
          </cell>
          <cell r="J158">
            <v>0</v>
          </cell>
          <cell r="K158">
            <v>0</v>
          </cell>
          <cell r="M158">
            <v>0</v>
          </cell>
        </row>
        <row r="159">
          <cell r="B159" t="str">
            <v>철근공</v>
          </cell>
          <cell r="C159" t="str">
            <v>5.0*1.5</v>
          </cell>
          <cell r="D159">
            <v>7.5</v>
          </cell>
          <cell r="E159" t="str">
            <v>인</v>
          </cell>
          <cell r="G159" t="str">
            <v xml:space="preserve"> </v>
          </cell>
          <cell r="I159">
            <v>0</v>
          </cell>
          <cell r="J159">
            <v>66745</v>
          </cell>
          <cell r="K159">
            <v>500587.5</v>
          </cell>
          <cell r="M159">
            <v>0</v>
          </cell>
        </row>
        <row r="160">
          <cell r="B160" t="str">
            <v>보통인부</v>
          </cell>
          <cell r="C160" t="str">
            <v>2.8*1.5</v>
          </cell>
          <cell r="D160">
            <v>4.2</v>
          </cell>
          <cell r="E160" t="str">
            <v>인</v>
          </cell>
          <cell r="G160" t="str">
            <v xml:space="preserve"> </v>
          </cell>
          <cell r="I160">
            <v>0</v>
          </cell>
          <cell r="J160">
            <v>37052</v>
          </cell>
          <cell r="K160">
            <v>155618.4</v>
          </cell>
          <cell r="M160">
            <v>0</v>
          </cell>
        </row>
        <row r="161">
          <cell r="B161" t="str">
            <v>소   계</v>
          </cell>
          <cell r="G161">
            <v>661133</v>
          </cell>
          <cell r="I161">
            <v>4928</v>
          </cell>
          <cell r="K161">
            <v>656205</v>
          </cell>
          <cell r="M161">
            <v>0</v>
          </cell>
        </row>
        <row r="162">
          <cell r="B162" t="str">
            <v>Kg당</v>
          </cell>
          <cell r="G162">
            <v>660</v>
          </cell>
          <cell r="H162">
            <v>0</v>
          </cell>
          <cell r="I162">
            <v>4</v>
          </cell>
          <cell r="J162">
            <v>0</v>
          </cell>
          <cell r="K162">
            <v>656</v>
          </cell>
          <cell r="M162">
            <v>0</v>
          </cell>
        </row>
        <row r="164">
          <cell r="B164">
            <v>121</v>
          </cell>
          <cell r="C164" t="str">
            <v>잡철물 제작설치 ( 철제,간단 )</v>
          </cell>
          <cell r="G164" t="str">
            <v>kg당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M164">
            <v>0</v>
          </cell>
        </row>
        <row r="165">
          <cell r="B165" t="str">
            <v>용  접  봉</v>
          </cell>
          <cell r="C165" t="str">
            <v>KSE5016 Φ4</v>
          </cell>
          <cell r="D165">
            <v>18.48</v>
          </cell>
          <cell r="E165" t="str">
            <v>Kg</v>
          </cell>
          <cell r="G165" t="str">
            <v xml:space="preserve"> </v>
          </cell>
          <cell r="H165">
            <v>1410</v>
          </cell>
          <cell r="I165">
            <v>26056.799999999999</v>
          </cell>
          <cell r="K165">
            <v>0</v>
          </cell>
          <cell r="M165">
            <v>0</v>
          </cell>
        </row>
        <row r="166">
          <cell r="B166" t="str">
            <v>산      소</v>
          </cell>
          <cell r="C166" t="str">
            <v>공업용 6000L</v>
          </cell>
          <cell r="D166">
            <v>6300</v>
          </cell>
          <cell r="E166" t="str">
            <v>L</v>
          </cell>
          <cell r="G166" t="str">
            <v xml:space="preserve"> </v>
          </cell>
          <cell r="H166">
            <v>1.3</v>
          </cell>
          <cell r="I166">
            <v>8190</v>
          </cell>
          <cell r="K166">
            <v>0</v>
          </cell>
          <cell r="M166">
            <v>0</v>
          </cell>
        </row>
        <row r="167">
          <cell r="B167" t="str">
            <v>아세틸렌</v>
          </cell>
          <cell r="C167" t="str">
            <v>용접용 98%</v>
          </cell>
          <cell r="D167">
            <v>2.8</v>
          </cell>
          <cell r="E167" t="str">
            <v>Kg</v>
          </cell>
          <cell r="G167" t="str">
            <v xml:space="preserve"> </v>
          </cell>
          <cell r="H167">
            <v>10000</v>
          </cell>
          <cell r="I167">
            <v>28000</v>
          </cell>
          <cell r="K167">
            <v>0</v>
          </cell>
          <cell r="M167">
            <v>0</v>
          </cell>
        </row>
        <row r="168">
          <cell r="B168" t="str">
            <v>철공</v>
          </cell>
          <cell r="C168" t="str">
            <v xml:space="preserve"> </v>
          </cell>
          <cell r="D168">
            <v>27.65</v>
          </cell>
          <cell r="E168" t="str">
            <v>인</v>
          </cell>
          <cell r="G168" t="str">
            <v xml:space="preserve"> </v>
          </cell>
          <cell r="I168">
            <v>0</v>
          </cell>
          <cell r="J168">
            <v>68851</v>
          </cell>
          <cell r="K168">
            <v>1903730.1</v>
          </cell>
          <cell r="M168">
            <v>0</v>
          </cell>
        </row>
        <row r="169">
          <cell r="B169" t="str">
            <v>보통인부</v>
          </cell>
          <cell r="C169" t="str">
            <v xml:space="preserve"> </v>
          </cell>
          <cell r="D169">
            <v>0.66</v>
          </cell>
          <cell r="E169" t="str">
            <v>인</v>
          </cell>
          <cell r="G169" t="str">
            <v xml:space="preserve"> </v>
          </cell>
          <cell r="I169">
            <v>0</v>
          </cell>
          <cell r="J169">
            <v>37052</v>
          </cell>
          <cell r="K169">
            <v>24454.3</v>
          </cell>
          <cell r="M169">
            <v>0</v>
          </cell>
        </row>
        <row r="170">
          <cell r="B170" t="str">
            <v>용접공</v>
          </cell>
          <cell r="C170" t="str">
            <v xml:space="preserve"> </v>
          </cell>
          <cell r="D170">
            <v>2.6</v>
          </cell>
          <cell r="E170" t="str">
            <v>인</v>
          </cell>
          <cell r="G170" t="str">
            <v xml:space="preserve"> </v>
          </cell>
          <cell r="I170">
            <v>0</v>
          </cell>
          <cell r="J170">
            <v>60370</v>
          </cell>
          <cell r="K170">
            <v>156962</v>
          </cell>
          <cell r="M170">
            <v>0</v>
          </cell>
        </row>
        <row r="171">
          <cell r="B171" t="str">
            <v>특별인부</v>
          </cell>
          <cell r="C171" t="str">
            <v xml:space="preserve"> </v>
          </cell>
          <cell r="D171">
            <v>0.74</v>
          </cell>
          <cell r="E171" t="str">
            <v>인</v>
          </cell>
          <cell r="G171" t="str">
            <v xml:space="preserve"> </v>
          </cell>
          <cell r="I171">
            <v>0</v>
          </cell>
          <cell r="J171">
            <v>51490</v>
          </cell>
          <cell r="K171">
            <v>38102.6</v>
          </cell>
          <cell r="M171">
            <v>0</v>
          </cell>
        </row>
        <row r="172">
          <cell r="B172" t="str">
            <v>용접기손료</v>
          </cell>
          <cell r="C172" t="str">
            <v>교류200Amp</v>
          </cell>
          <cell r="D172">
            <v>20.83</v>
          </cell>
          <cell r="E172" t="str">
            <v>HR</v>
          </cell>
          <cell r="G172" t="str">
            <v xml:space="preserve"> </v>
          </cell>
          <cell r="I172">
            <v>0</v>
          </cell>
          <cell r="K172">
            <v>0</v>
          </cell>
          <cell r="L172">
            <v>71</v>
          </cell>
          <cell r="M172">
            <v>1478.9</v>
          </cell>
        </row>
        <row r="173">
          <cell r="B173" t="str">
            <v>전기료</v>
          </cell>
          <cell r="C173" t="str">
            <v>임시,저압,을</v>
          </cell>
          <cell r="D173">
            <v>126</v>
          </cell>
          <cell r="E173" t="str">
            <v>KW/H</v>
          </cell>
          <cell r="G173" t="str">
            <v xml:space="preserve"> </v>
          </cell>
          <cell r="I173">
            <v>0</v>
          </cell>
          <cell r="K173">
            <v>0</v>
          </cell>
          <cell r="L173">
            <v>42.3</v>
          </cell>
          <cell r="M173">
            <v>5329.8</v>
          </cell>
        </row>
        <row r="174">
          <cell r="B174" t="str">
            <v>기구손료</v>
          </cell>
          <cell r="C174" t="str">
            <v>품의 3%</v>
          </cell>
          <cell r="D174">
            <v>1</v>
          </cell>
          <cell r="E174" t="str">
            <v>식</v>
          </cell>
          <cell r="G174" t="str">
            <v xml:space="preserve"> </v>
          </cell>
          <cell r="H174">
            <v>0</v>
          </cell>
          <cell r="I174">
            <v>0</v>
          </cell>
          <cell r="K174">
            <v>0</v>
          </cell>
          <cell r="L174">
            <v>2123249</v>
          </cell>
          <cell r="M174">
            <v>63697.4</v>
          </cell>
        </row>
        <row r="175">
          <cell r="B175" t="str">
            <v>소   계</v>
          </cell>
          <cell r="G175">
            <v>2256001</v>
          </cell>
          <cell r="H175">
            <v>0</v>
          </cell>
          <cell r="I175">
            <v>62246</v>
          </cell>
          <cell r="J175">
            <v>0</v>
          </cell>
          <cell r="K175">
            <v>2123249</v>
          </cell>
          <cell r="M175">
            <v>70506</v>
          </cell>
        </row>
        <row r="176">
          <cell r="B176" t="str">
            <v>Kg당</v>
          </cell>
          <cell r="G176">
            <v>2255</v>
          </cell>
          <cell r="H176">
            <v>0</v>
          </cell>
          <cell r="I176">
            <v>62</v>
          </cell>
          <cell r="J176">
            <v>0</v>
          </cell>
          <cell r="K176">
            <v>2123</v>
          </cell>
          <cell r="M176">
            <v>70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M177">
            <v>0</v>
          </cell>
        </row>
        <row r="178">
          <cell r="B178">
            <v>122</v>
          </cell>
          <cell r="C178" t="str">
            <v>잡철물 제작설치 ( 철제,보통 )</v>
          </cell>
          <cell r="G178" t="str">
            <v>kg당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M178">
            <v>0</v>
          </cell>
        </row>
        <row r="179">
          <cell r="B179" t="str">
            <v>재   료   비</v>
          </cell>
          <cell r="C179" t="str">
            <v>간단의120%</v>
          </cell>
          <cell r="D179">
            <v>1</v>
          </cell>
          <cell r="E179" t="str">
            <v>식</v>
          </cell>
          <cell r="G179" t="str">
            <v xml:space="preserve"> </v>
          </cell>
          <cell r="H179">
            <v>62</v>
          </cell>
          <cell r="I179">
            <v>74.400000000000006</v>
          </cell>
          <cell r="M179">
            <v>0</v>
          </cell>
        </row>
        <row r="180">
          <cell r="B180" t="str">
            <v>노   무   비</v>
          </cell>
          <cell r="C180" t="str">
            <v>간단의120%</v>
          </cell>
          <cell r="D180">
            <v>1</v>
          </cell>
          <cell r="E180" t="str">
            <v>식</v>
          </cell>
          <cell r="G180" t="str">
            <v xml:space="preserve"> </v>
          </cell>
          <cell r="J180">
            <v>2123</v>
          </cell>
          <cell r="K180">
            <v>2547.6</v>
          </cell>
          <cell r="M180">
            <v>0</v>
          </cell>
        </row>
        <row r="181">
          <cell r="B181" t="str">
            <v>경        비</v>
          </cell>
          <cell r="C181" t="str">
            <v>간단의120%</v>
          </cell>
          <cell r="D181">
            <v>1</v>
          </cell>
          <cell r="E181" t="str">
            <v>식</v>
          </cell>
          <cell r="G181" t="str">
            <v xml:space="preserve"> </v>
          </cell>
          <cell r="H181">
            <v>0</v>
          </cell>
          <cell r="I181">
            <v>0</v>
          </cell>
          <cell r="K181">
            <v>0</v>
          </cell>
          <cell r="L181">
            <v>70</v>
          </cell>
          <cell r="M181">
            <v>84</v>
          </cell>
        </row>
        <row r="182">
          <cell r="B182" t="str">
            <v>소   계</v>
          </cell>
          <cell r="G182">
            <v>2705</v>
          </cell>
          <cell r="H182">
            <v>0</v>
          </cell>
          <cell r="I182">
            <v>74</v>
          </cell>
          <cell r="J182">
            <v>0</v>
          </cell>
          <cell r="K182">
            <v>2547</v>
          </cell>
          <cell r="M182">
            <v>84</v>
          </cell>
        </row>
        <row r="184">
          <cell r="B184">
            <v>123</v>
          </cell>
          <cell r="C184" t="str">
            <v>잡철물 제작설치 ( 철제,복잡 )</v>
          </cell>
          <cell r="G184" t="str">
            <v>kg당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M184">
            <v>0</v>
          </cell>
        </row>
        <row r="185">
          <cell r="B185" t="str">
            <v>재   료   비</v>
          </cell>
          <cell r="C185" t="str">
            <v>간단의140%</v>
          </cell>
          <cell r="D185">
            <v>1</v>
          </cell>
          <cell r="E185" t="str">
            <v>식</v>
          </cell>
          <cell r="G185" t="str">
            <v xml:space="preserve"> </v>
          </cell>
          <cell r="H185">
            <v>62</v>
          </cell>
          <cell r="I185">
            <v>86.8</v>
          </cell>
          <cell r="M185">
            <v>0</v>
          </cell>
        </row>
        <row r="186">
          <cell r="B186" t="str">
            <v>노   무   비</v>
          </cell>
          <cell r="C186" t="str">
            <v>간단의140%</v>
          </cell>
          <cell r="D186">
            <v>1</v>
          </cell>
          <cell r="E186" t="str">
            <v>식</v>
          </cell>
          <cell r="G186" t="str">
            <v xml:space="preserve"> </v>
          </cell>
          <cell r="J186">
            <v>2123</v>
          </cell>
          <cell r="K186">
            <v>2972.2</v>
          </cell>
          <cell r="M186">
            <v>0</v>
          </cell>
        </row>
        <row r="187">
          <cell r="B187" t="str">
            <v>경        비</v>
          </cell>
          <cell r="C187" t="str">
            <v>간단의140%</v>
          </cell>
          <cell r="D187">
            <v>1</v>
          </cell>
          <cell r="E187" t="str">
            <v>식</v>
          </cell>
          <cell r="G187" t="str">
            <v xml:space="preserve"> </v>
          </cell>
          <cell r="H187">
            <v>0</v>
          </cell>
          <cell r="I187">
            <v>0</v>
          </cell>
          <cell r="K187">
            <v>0</v>
          </cell>
          <cell r="L187">
            <v>70</v>
          </cell>
          <cell r="M187">
            <v>98</v>
          </cell>
        </row>
        <row r="188">
          <cell r="B188" t="str">
            <v>소   계</v>
          </cell>
          <cell r="G188">
            <v>3156</v>
          </cell>
          <cell r="H188">
            <v>0</v>
          </cell>
          <cell r="I188">
            <v>86</v>
          </cell>
          <cell r="J188">
            <v>0</v>
          </cell>
          <cell r="K188">
            <v>2972</v>
          </cell>
          <cell r="M188">
            <v>98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0</v>
          </cell>
        </row>
        <row r="190">
          <cell r="B190">
            <v>124</v>
          </cell>
          <cell r="C190" t="str">
            <v>잡철물 제작설치 ( 스텐,간단 )</v>
          </cell>
          <cell r="G190" t="str">
            <v>kg당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M190">
            <v>0</v>
          </cell>
        </row>
        <row r="191">
          <cell r="B191" t="str">
            <v>용  접  봉</v>
          </cell>
          <cell r="C191" t="str">
            <v>AWSE309-16 Φ3.2</v>
          </cell>
          <cell r="D191">
            <v>18.48</v>
          </cell>
          <cell r="E191" t="str">
            <v>Kg</v>
          </cell>
          <cell r="G191" t="str">
            <v xml:space="preserve"> </v>
          </cell>
          <cell r="H191">
            <v>8650</v>
          </cell>
          <cell r="I191">
            <v>159852</v>
          </cell>
          <cell r="K191">
            <v>0</v>
          </cell>
          <cell r="M191">
            <v>0</v>
          </cell>
        </row>
        <row r="192">
          <cell r="B192" t="str">
            <v>아세틸렌</v>
          </cell>
          <cell r="C192" t="str">
            <v>용접용 98%</v>
          </cell>
          <cell r="D192">
            <v>2.8</v>
          </cell>
          <cell r="E192" t="str">
            <v>Kg</v>
          </cell>
          <cell r="G192" t="str">
            <v xml:space="preserve"> </v>
          </cell>
          <cell r="H192">
            <v>10000</v>
          </cell>
          <cell r="I192">
            <v>28000</v>
          </cell>
          <cell r="K192">
            <v>0</v>
          </cell>
          <cell r="M192">
            <v>0</v>
          </cell>
        </row>
        <row r="193">
          <cell r="B193" t="str">
            <v>아  르  곤</v>
          </cell>
          <cell r="C193" t="str">
            <v>99% 공업용</v>
          </cell>
          <cell r="D193">
            <v>23537</v>
          </cell>
          <cell r="E193" t="str">
            <v>L</v>
          </cell>
          <cell r="G193" t="str">
            <v xml:space="preserve"> </v>
          </cell>
          <cell r="H193">
            <v>4.3</v>
          </cell>
          <cell r="I193">
            <v>101209.1</v>
          </cell>
          <cell r="K193">
            <v>0</v>
          </cell>
          <cell r="M193">
            <v>0</v>
          </cell>
        </row>
        <row r="194">
          <cell r="B194" t="str">
            <v>철판공</v>
          </cell>
          <cell r="C194" t="str">
            <v xml:space="preserve"> </v>
          </cell>
          <cell r="D194">
            <v>27.65</v>
          </cell>
          <cell r="E194" t="str">
            <v>인</v>
          </cell>
          <cell r="G194" t="str">
            <v xml:space="preserve"> </v>
          </cell>
          <cell r="I194">
            <v>0</v>
          </cell>
          <cell r="J194">
            <v>59039</v>
          </cell>
          <cell r="K194">
            <v>1632428.3</v>
          </cell>
          <cell r="M194">
            <v>0</v>
          </cell>
        </row>
        <row r="195">
          <cell r="B195" t="str">
            <v>보통인부</v>
          </cell>
          <cell r="C195" t="str">
            <v xml:space="preserve"> </v>
          </cell>
          <cell r="D195">
            <v>0.66</v>
          </cell>
          <cell r="E195" t="str">
            <v>인</v>
          </cell>
          <cell r="G195" t="str">
            <v xml:space="preserve"> </v>
          </cell>
          <cell r="I195">
            <v>0</v>
          </cell>
          <cell r="J195">
            <v>37052</v>
          </cell>
          <cell r="K195">
            <v>24454.3</v>
          </cell>
          <cell r="M195">
            <v>0</v>
          </cell>
        </row>
        <row r="196">
          <cell r="B196" t="str">
            <v>용접공</v>
          </cell>
          <cell r="C196" t="str">
            <v xml:space="preserve"> </v>
          </cell>
          <cell r="D196">
            <v>2.6</v>
          </cell>
          <cell r="E196" t="str">
            <v>인</v>
          </cell>
          <cell r="G196" t="str">
            <v xml:space="preserve"> </v>
          </cell>
          <cell r="I196">
            <v>0</v>
          </cell>
          <cell r="J196">
            <v>60370</v>
          </cell>
          <cell r="K196">
            <v>156962</v>
          </cell>
          <cell r="M196">
            <v>0</v>
          </cell>
        </row>
        <row r="197">
          <cell r="B197" t="str">
            <v>특별인부</v>
          </cell>
          <cell r="C197" t="str">
            <v xml:space="preserve"> </v>
          </cell>
          <cell r="D197">
            <v>0.74</v>
          </cell>
          <cell r="E197" t="str">
            <v>인</v>
          </cell>
          <cell r="G197" t="str">
            <v xml:space="preserve"> </v>
          </cell>
          <cell r="I197">
            <v>0</v>
          </cell>
          <cell r="J197">
            <v>51490</v>
          </cell>
          <cell r="K197">
            <v>38102.6</v>
          </cell>
          <cell r="M197">
            <v>0</v>
          </cell>
        </row>
        <row r="198">
          <cell r="B198" t="str">
            <v>용접기손료</v>
          </cell>
          <cell r="C198" t="str">
            <v>교류200Amp</v>
          </cell>
          <cell r="D198">
            <v>20.83</v>
          </cell>
          <cell r="E198" t="str">
            <v>HR</v>
          </cell>
          <cell r="G198" t="str">
            <v xml:space="preserve"> </v>
          </cell>
          <cell r="I198">
            <v>0</v>
          </cell>
          <cell r="K198">
            <v>0</v>
          </cell>
          <cell r="L198">
            <v>71</v>
          </cell>
          <cell r="M198">
            <v>1478.9</v>
          </cell>
        </row>
        <row r="199">
          <cell r="B199" t="str">
            <v>전기료</v>
          </cell>
          <cell r="C199" t="str">
            <v>임시,저압,을</v>
          </cell>
          <cell r="D199">
            <v>126</v>
          </cell>
          <cell r="E199" t="str">
            <v>KW/H</v>
          </cell>
          <cell r="G199" t="str">
            <v xml:space="preserve"> </v>
          </cell>
          <cell r="I199">
            <v>0</v>
          </cell>
          <cell r="K199">
            <v>0</v>
          </cell>
          <cell r="L199">
            <v>42.3</v>
          </cell>
          <cell r="M199">
            <v>5329.8</v>
          </cell>
        </row>
        <row r="200">
          <cell r="B200" t="str">
            <v>기구손료</v>
          </cell>
          <cell r="C200" t="str">
            <v>품의 3%</v>
          </cell>
          <cell r="D200">
            <v>1</v>
          </cell>
          <cell r="E200" t="str">
            <v>식</v>
          </cell>
          <cell r="G200" t="str">
            <v xml:space="preserve"> </v>
          </cell>
          <cell r="H200">
            <v>0</v>
          </cell>
          <cell r="I200">
            <v>0</v>
          </cell>
          <cell r="K200">
            <v>0</v>
          </cell>
          <cell r="L200">
            <v>1851947</v>
          </cell>
          <cell r="M200">
            <v>55558.400000000001</v>
          </cell>
        </row>
        <row r="201">
          <cell r="B201" t="str">
            <v>소   계</v>
          </cell>
          <cell r="G201">
            <v>2203375</v>
          </cell>
          <cell r="H201">
            <v>0</v>
          </cell>
          <cell r="I201">
            <v>289061</v>
          </cell>
          <cell r="J201">
            <v>0</v>
          </cell>
          <cell r="K201">
            <v>1851947</v>
          </cell>
          <cell r="M201">
            <v>62367</v>
          </cell>
        </row>
        <row r="202">
          <cell r="B202" t="str">
            <v>Kg당</v>
          </cell>
          <cell r="G202">
            <v>2202</v>
          </cell>
          <cell r="H202">
            <v>0</v>
          </cell>
          <cell r="I202">
            <v>289</v>
          </cell>
          <cell r="J202">
            <v>0</v>
          </cell>
          <cell r="K202">
            <v>1851</v>
          </cell>
          <cell r="M202">
            <v>62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M203">
            <v>0</v>
          </cell>
        </row>
        <row r="204">
          <cell r="B204">
            <v>125</v>
          </cell>
          <cell r="C204" t="str">
            <v>잡철물 제작설치 ( 스텐,보통 )</v>
          </cell>
          <cell r="G204" t="str">
            <v>kg당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M204">
            <v>0</v>
          </cell>
        </row>
        <row r="205">
          <cell r="B205" t="str">
            <v>재   료   비</v>
          </cell>
          <cell r="C205" t="str">
            <v>간단의120%</v>
          </cell>
          <cell r="D205">
            <v>1</v>
          </cell>
          <cell r="E205" t="str">
            <v>식</v>
          </cell>
          <cell r="G205" t="str">
            <v xml:space="preserve"> </v>
          </cell>
          <cell r="H205">
            <v>289</v>
          </cell>
          <cell r="I205">
            <v>346.8</v>
          </cell>
          <cell r="M205">
            <v>0</v>
          </cell>
        </row>
        <row r="206">
          <cell r="B206" t="str">
            <v>노   무   비</v>
          </cell>
          <cell r="C206" t="str">
            <v>간단의120%</v>
          </cell>
          <cell r="D206">
            <v>1</v>
          </cell>
          <cell r="E206" t="str">
            <v>식</v>
          </cell>
          <cell r="G206" t="str">
            <v xml:space="preserve"> </v>
          </cell>
          <cell r="J206">
            <v>1851</v>
          </cell>
          <cell r="K206">
            <v>2221.1999999999998</v>
          </cell>
          <cell r="M206">
            <v>0</v>
          </cell>
        </row>
        <row r="207">
          <cell r="B207" t="str">
            <v>경        비</v>
          </cell>
          <cell r="C207" t="str">
            <v>간단의120%</v>
          </cell>
          <cell r="D207">
            <v>1</v>
          </cell>
          <cell r="E207" t="str">
            <v>식</v>
          </cell>
          <cell r="G207" t="str">
            <v xml:space="preserve"> </v>
          </cell>
          <cell r="H207">
            <v>0</v>
          </cell>
          <cell r="I207">
            <v>0</v>
          </cell>
          <cell r="K207">
            <v>0</v>
          </cell>
          <cell r="L207">
            <v>62</v>
          </cell>
          <cell r="M207">
            <v>74.400000000000006</v>
          </cell>
        </row>
        <row r="208">
          <cell r="B208" t="str">
            <v>소   계</v>
          </cell>
          <cell r="G208">
            <v>2641</v>
          </cell>
          <cell r="H208">
            <v>0</v>
          </cell>
          <cell r="I208">
            <v>346</v>
          </cell>
          <cell r="J208">
            <v>0</v>
          </cell>
          <cell r="K208">
            <v>2221</v>
          </cell>
          <cell r="M208">
            <v>74</v>
          </cell>
        </row>
        <row r="209"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M209">
            <v>0</v>
          </cell>
        </row>
        <row r="210">
          <cell r="B210">
            <v>126</v>
          </cell>
          <cell r="C210" t="str">
            <v>잡철물 제작설치 ( 스텐,복잡 )</v>
          </cell>
          <cell r="G210" t="str">
            <v>kg당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</row>
        <row r="211">
          <cell r="B211" t="str">
            <v>재   료   비</v>
          </cell>
          <cell r="C211" t="str">
            <v>간단의140%</v>
          </cell>
          <cell r="D211">
            <v>1</v>
          </cell>
          <cell r="E211" t="str">
            <v>식</v>
          </cell>
          <cell r="G211" t="str">
            <v xml:space="preserve"> </v>
          </cell>
          <cell r="H211">
            <v>289</v>
          </cell>
          <cell r="I211">
            <v>404.6</v>
          </cell>
          <cell r="M211">
            <v>0</v>
          </cell>
        </row>
        <row r="212">
          <cell r="B212" t="str">
            <v>노   무   비</v>
          </cell>
          <cell r="C212" t="str">
            <v>간단의140%</v>
          </cell>
          <cell r="D212">
            <v>1</v>
          </cell>
          <cell r="E212" t="str">
            <v>식</v>
          </cell>
          <cell r="G212" t="str">
            <v xml:space="preserve"> </v>
          </cell>
          <cell r="J212">
            <v>1851</v>
          </cell>
          <cell r="K212">
            <v>2591.4</v>
          </cell>
          <cell r="M212">
            <v>0</v>
          </cell>
        </row>
        <row r="213">
          <cell r="B213" t="str">
            <v>경        비</v>
          </cell>
          <cell r="C213" t="str">
            <v>간단의140%</v>
          </cell>
          <cell r="D213">
            <v>1</v>
          </cell>
          <cell r="E213" t="str">
            <v>식</v>
          </cell>
          <cell r="G213" t="str">
            <v xml:space="preserve"> </v>
          </cell>
          <cell r="H213">
            <v>0</v>
          </cell>
          <cell r="I213">
            <v>0</v>
          </cell>
          <cell r="K213">
            <v>0</v>
          </cell>
          <cell r="L213">
            <v>62</v>
          </cell>
          <cell r="M213">
            <v>86.8</v>
          </cell>
        </row>
        <row r="214">
          <cell r="B214" t="str">
            <v>소   계</v>
          </cell>
          <cell r="G214">
            <v>3081</v>
          </cell>
          <cell r="H214">
            <v>0</v>
          </cell>
          <cell r="I214">
            <v>404</v>
          </cell>
          <cell r="J214">
            <v>0</v>
          </cell>
          <cell r="K214">
            <v>2591</v>
          </cell>
          <cell r="M214">
            <v>86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M215">
            <v>0</v>
          </cell>
        </row>
        <row r="216">
          <cell r="B216">
            <v>127</v>
          </cell>
          <cell r="C216" t="str">
            <v>와이어메쉬 바닥깔기 (#8*150*150)</v>
          </cell>
          <cell r="G216" t="str">
            <v>m2당</v>
          </cell>
          <cell r="I216" t="str">
            <v xml:space="preserve"> </v>
          </cell>
          <cell r="J216">
            <v>0</v>
          </cell>
          <cell r="K216">
            <v>0</v>
          </cell>
          <cell r="M216">
            <v>0</v>
          </cell>
        </row>
        <row r="217">
          <cell r="B217" t="str">
            <v>와이어메쉬</v>
          </cell>
          <cell r="C217" t="str">
            <v>#8x150x150</v>
          </cell>
          <cell r="D217">
            <v>1.1659999999999999</v>
          </cell>
          <cell r="E217" t="str">
            <v>M2</v>
          </cell>
          <cell r="G217" t="str">
            <v xml:space="preserve"> </v>
          </cell>
          <cell r="H217">
            <v>700</v>
          </cell>
          <cell r="I217">
            <v>816.2</v>
          </cell>
          <cell r="K217">
            <v>0</v>
          </cell>
          <cell r="M217">
            <v>0</v>
          </cell>
        </row>
        <row r="218">
          <cell r="B218" t="str">
            <v>철      선</v>
          </cell>
          <cell r="C218" t="str">
            <v>#20(Φ0.9mm)</v>
          </cell>
          <cell r="D218">
            <v>0.05</v>
          </cell>
          <cell r="E218" t="str">
            <v>kg</v>
          </cell>
          <cell r="G218" t="str">
            <v xml:space="preserve"> </v>
          </cell>
          <cell r="H218">
            <v>616</v>
          </cell>
          <cell r="I218">
            <v>30.8</v>
          </cell>
          <cell r="J218">
            <v>0</v>
          </cell>
          <cell r="K218">
            <v>0</v>
          </cell>
          <cell r="M218">
            <v>0</v>
          </cell>
        </row>
        <row r="219">
          <cell r="B219" t="str">
            <v>철근공</v>
          </cell>
          <cell r="D219">
            <v>1.2E-2</v>
          </cell>
          <cell r="E219" t="str">
            <v>인</v>
          </cell>
          <cell r="G219" t="str">
            <v xml:space="preserve"> </v>
          </cell>
          <cell r="I219">
            <v>0</v>
          </cell>
          <cell r="J219">
            <v>66745</v>
          </cell>
          <cell r="K219">
            <v>800.9</v>
          </cell>
          <cell r="M219">
            <v>0</v>
          </cell>
        </row>
        <row r="220">
          <cell r="B220" t="str">
            <v>소    계</v>
          </cell>
          <cell r="G220">
            <v>1647</v>
          </cell>
          <cell r="I220">
            <v>847</v>
          </cell>
          <cell r="K220">
            <v>800</v>
          </cell>
          <cell r="M220">
            <v>0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M221">
            <v>0</v>
          </cell>
        </row>
        <row r="222">
          <cell r="B222">
            <v>128</v>
          </cell>
          <cell r="C222" t="str">
            <v>시멘트액체방수(C종)</v>
          </cell>
          <cell r="G222" t="str">
            <v>m2당</v>
          </cell>
          <cell r="J222">
            <v>0</v>
          </cell>
        </row>
        <row r="223">
          <cell r="B223" t="str">
            <v>시 멘 트</v>
          </cell>
          <cell r="C223" t="str">
            <v>40KG/포</v>
          </cell>
          <cell r="D223">
            <v>13.05</v>
          </cell>
          <cell r="E223" t="str">
            <v>kg</v>
          </cell>
          <cell r="G223" t="str">
            <v xml:space="preserve"> </v>
          </cell>
          <cell r="H223">
            <v>62.7</v>
          </cell>
          <cell r="I223">
            <v>818</v>
          </cell>
          <cell r="K223">
            <v>0</v>
          </cell>
          <cell r="M223">
            <v>0</v>
          </cell>
        </row>
        <row r="224">
          <cell r="B224" t="str">
            <v>모     래</v>
          </cell>
          <cell r="C224">
            <v>0</v>
          </cell>
          <cell r="D224">
            <v>1.7000000000000001E-2</v>
          </cell>
          <cell r="E224" t="str">
            <v>m3</v>
          </cell>
          <cell r="G224" t="str">
            <v xml:space="preserve"> </v>
          </cell>
          <cell r="H224">
            <v>12000</v>
          </cell>
          <cell r="I224">
            <v>204</v>
          </cell>
          <cell r="K224">
            <v>0</v>
          </cell>
          <cell r="M224">
            <v>0</v>
          </cell>
        </row>
        <row r="225">
          <cell r="B225" t="str">
            <v>방  수  액</v>
          </cell>
          <cell r="C225" t="str">
            <v>Prolapin 031</v>
          </cell>
          <cell r="D225">
            <v>0.65500000000000003</v>
          </cell>
          <cell r="E225" t="str">
            <v>ℓ</v>
          </cell>
          <cell r="H225">
            <v>2100</v>
          </cell>
          <cell r="I225">
            <v>1375</v>
          </cell>
        </row>
        <row r="226">
          <cell r="B226" t="str">
            <v>방수공</v>
          </cell>
          <cell r="C226" t="str">
            <v xml:space="preserve"> </v>
          </cell>
          <cell r="D226">
            <v>0.1</v>
          </cell>
          <cell r="E226" t="str">
            <v>인</v>
          </cell>
          <cell r="G226" t="str">
            <v xml:space="preserve"> </v>
          </cell>
          <cell r="I226">
            <v>0</v>
          </cell>
          <cell r="J226">
            <v>48704</v>
          </cell>
          <cell r="K226">
            <v>4870.3999999999996</v>
          </cell>
          <cell r="M226">
            <v>0</v>
          </cell>
        </row>
        <row r="227">
          <cell r="B227" t="str">
            <v>미장공</v>
          </cell>
          <cell r="C227" t="str">
            <v xml:space="preserve"> </v>
          </cell>
          <cell r="D227">
            <v>6.7000000000000004E-2</v>
          </cell>
          <cell r="E227" t="str">
            <v>인</v>
          </cell>
          <cell r="G227" t="str">
            <v xml:space="preserve"> </v>
          </cell>
          <cell r="I227">
            <v>0</v>
          </cell>
          <cell r="J227">
            <v>58263</v>
          </cell>
          <cell r="K227">
            <v>3903.6</v>
          </cell>
          <cell r="M227">
            <v>0</v>
          </cell>
        </row>
        <row r="228">
          <cell r="B228" t="str">
            <v>보통인부</v>
          </cell>
          <cell r="C228" t="str">
            <v xml:space="preserve"> </v>
          </cell>
          <cell r="D228">
            <v>0.17499999999999999</v>
          </cell>
          <cell r="E228" t="str">
            <v>인</v>
          </cell>
          <cell r="G228" t="str">
            <v xml:space="preserve"> </v>
          </cell>
          <cell r="I228">
            <v>0</v>
          </cell>
          <cell r="J228">
            <v>37052</v>
          </cell>
          <cell r="K228">
            <v>6484.1</v>
          </cell>
          <cell r="M228">
            <v>0</v>
          </cell>
        </row>
        <row r="229">
          <cell r="B229" t="str">
            <v>소   계</v>
          </cell>
          <cell r="G229">
            <v>17655</v>
          </cell>
          <cell r="H229">
            <v>0</v>
          </cell>
          <cell r="I229">
            <v>2397</v>
          </cell>
          <cell r="J229">
            <v>0</v>
          </cell>
          <cell r="K229">
            <v>15258</v>
          </cell>
          <cell r="M229">
            <v>0</v>
          </cell>
        </row>
        <row r="231">
          <cell r="B231">
            <v>129</v>
          </cell>
          <cell r="C231" t="str">
            <v>점토벽돌바닥깔기(평깔기,기존형)</v>
          </cell>
          <cell r="G231" t="str">
            <v>m2당</v>
          </cell>
          <cell r="J231">
            <v>0</v>
          </cell>
        </row>
        <row r="232">
          <cell r="B232" t="str">
            <v>점토벽돌</v>
          </cell>
          <cell r="C232" t="str">
            <v>230x114x60</v>
          </cell>
          <cell r="D232">
            <v>43</v>
          </cell>
          <cell r="E232" t="str">
            <v>매</v>
          </cell>
          <cell r="G232" t="str">
            <v xml:space="preserve"> </v>
          </cell>
          <cell r="H232">
            <v>670</v>
          </cell>
          <cell r="I232">
            <v>28810</v>
          </cell>
          <cell r="J232">
            <v>0</v>
          </cell>
          <cell r="K232">
            <v>0</v>
          </cell>
          <cell r="M232">
            <v>0</v>
          </cell>
        </row>
        <row r="233">
          <cell r="B233" t="str">
            <v>몰탈</v>
          </cell>
          <cell r="C233" t="str">
            <v>1:3</v>
          </cell>
          <cell r="D233">
            <v>3.1E-2</v>
          </cell>
          <cell r="E233" t="str">
            <v>M3</v>
          </cell>
          <cell r="G233" t="str">
            <v xml:space="preserve"> </v>
          </cell>
          <cell r="H233">
            <v>45177</v>
          </cell>
          <cell r="I233">
            <v>1400.4</v>
          </cell>
          <cell r="J233">
            <v>37052</v>
          </cell>
          <cell r="K233">
            <v>1148.5999999999999</v>
          </cell>
          <cell r="L233">
            <v>0</v>
          </cell>
          <cell r="M233">
            <v>0</v>
          </cell>
        </row>
        <row r="234">
          <cell r="B234" t="str">
            <v>시 멘 트</v>
          </cell>
          <cell r="C234" t="str">
            <v>40KG/포</v>
          </cell>
          <cell r="D234">
            <v>16.32</v>
          </cell>
          <cell r="E234" t="str">
            <v>kg</v>
          </cell>
          <cell r="G234" t="str">
            <v xml:space="preserve"> </v>
          </cell>
          <cell r="H234">
            <v>62.7</v>
          </cell>
          <cell r="I234">
            <v>1023.2</v>
          </cell>
          <cell r="K234">
            <v>0</v>
          </cell>
          <cell r="M234">
            <v>0</v>
          </cell>
        </row>
        <row r="235">
          <cell r="B235" t="str">
            <v>모     래</v>
          </cell>
          <cell r="C235">
            <v>0</v>
          </cell>
          <cell r="D235">
            <v>3.5000000000000003E-2</v>
          </cell>
          <cell r="E235" t="str">
            <v>m3</v>
          </cell>
          <cell r="G235" t="str">
            <v xml:space="preserve"> </v>
          </cell>
          <cell r="H235">
            <v>12000</v>
          </cell>
          <cell r="I235">
            <v>420</v>
          </cell>
          <cell r="K235">
            <v>0</v>
          </cell>
          <cell r="M235">
            <v>0</v>
          </cell>
        </row>
        <row r="236">
          <cell r="B236" t="str">
            <v>조적공</v>
          </cell>
          <cell r="C236" t="str">
            <v>모로세워깔기</v>
          </cell>
          <cell r="D236">
            <v>0.12</v>
          </cell>
          <cell r="E236" t="str">
            <v>인</v>
          </cell>
          <cell r="G236" t="str">
            <v xml:space="preserve"> </v>
          </cell>
          <cell r="I236">
            <v>0</v>
          </cell>
          <cell r="J236">
            <v>56969</v>
          </cell>
          <cell r="K236">
            <v>6836.2</v>
          </cell>
          <cell r="M236">
            <v>0</v>
          </cell>
        </row>
        <row r="237">
          <cell r="B237" t="str">
            <v>보통인부</v>
          </cell>
          <cell r="C237" t="str">
            <v>"</v>
          </cell>
          <cell r="D237">
            <v>0.04</v>
          </cell>
          <cell r="E237" t="str">
            <v>인</v>
          </cell>
          <cell r="G237" t="str">
            <v xml:space="preserve"> </v>
          </cell>
          <cell r="I237">
            <v>0</v>
          </cell>
          <cell r="J237">
            <v>37052</v>
          </cell>
          <cell r="K237">
            <v>1482</v>
          </cell>
          <cell r="M237">
            <v>0</v>
          </cell>
        </row>
        <row r="238">
          <cell r="B238" t="str">
            <v>소   계</v>
          </cell>
          <cell r="G238">
            <v>41119</v>
          </cell>
          <cell r="H238">
            <v>0</v>
          </cell>
          <cell r="I238">
            <v>31653</v>
          </cell>
          <cell r="J238">
            <v>0</v>
          </cell>
          <cell r="K238">
            <v>9466</v>
          </cell>
          <cell r="M238">
            <v>0</v>
          </cell>
        </row>
        <row r="240">
          <cell r="B240">
            <v>130</v>
          </cell>
          <cell r="C240" t="str">
            <v>벽돌바닥깔기(무늬깔기)</v>
          </cell>
          <cell r="G240" t="str">
            <v>m2당</v>
          </cell>
          <cell r="J240">
            <v>0</v>
          </cell>
        </row>
        <row r="241">
          <cell r="B241" t="str">
            <v>몰탈</v>
          </cell>
          <cell r="C241" t="str">
            <v>1:3</v>
          </cell>
          <cell r="D241">
            <v>4.1000000000000002E-2</v>
          </cell>
          <cell r="E241" t="str">
            <v>M3</v>
          </cell>
          <cell r="G241" t="str">
            <v xml:space="preserve"> </v>
          </cell>
          <cell r="H241">
            <v>45177</v>
          </cell>
          <cell r="I241">
            <v>1852.2</v>
          </cell>
          <cell r="J241">
            <v>37052</v>
          </cell>
          <cell r="K241">
            <v>1519.1</v>
          </cell>
          <cell r="L241">
            <v>0</v>
          </cell>
          <cell r="M241">
            <v>0</v>
          </cell>
        </row>
        <row r="242">
          <cell r="B242" t="str">
            <v>조적공</v>
          </cell>
          <cell r="C242" t="str">
            <v>모로세워깔기</v>
          </cell>
          <cell r="D242">
            <v>0.2</v>
          </cell>
          <cell r="E242" t="str">
            <v>인</v>
          </cell>
          <cell r="G242" t="str">
            <v xml:space="preserve"> </v>
          </cell>
          <cell r="I242">
            <v>0</v>
          </cell>
          <cell r="J242">
            <v>56969</v>
          </cell>
          <cell r="K242">
            <v>11393.8</v>
          </cell>
          <cell r="M242">
            <v>0</v>
          </cell>
        </row>
        <row r="243">
          <cell r="B243" t="str">
            <v>보통인부</v>
          </cell>
          <cell r="C243" t="str">
            <v>"</v>
          </cell>
          <cell r="D243">
            <v>7.0000000000000007E-2</v>
          </cell>
          <cell r="E243" t="str">
            <v>인</v>
          </cell>
          <cell r="G243" t="str">
            <v xml:space="preserve"> </v>
          </cell>
          <cell r="I243">
            <v>0</v>
          </cell>
          <cell r="J243">
            <v>37052</v>
          </cell>
          <cell r="K243">
            <v>2593.6</v>
          </cell>
          <cell r="M243">
            <v>0</v>
          </cell>
        </row>
        <row r="244">
          <cell r="B244" t="str">
            <v>소   계</v>
          </cell>
          <cell r="G244">
            <v>17358</v>
          </cell>
          <cell r="H244">
            <v>0</v>
          </cell>
          <cell r="I244">
            <v>1852</v>
          </cell>
          <cell r="J244">
            <v>0</v>
          </cell>
          <cell r="K244">
            <v>15506</v>
          </cell>
          <cell r="M244">
            <v>0</v>
          </cell>
        </row>
        <row r="246">
          <cell r="B246">
            <v>131</v>
          </cell>
          <cell r="C246" t="str">
            <v>점토벽돌쌓기(0.5B)</v>
          </cell>
          <cell r="G246" t="str">
            <v>m2당</v>
          </cell>
          <cell r="J246">
            <v>0</v>
          </cell>
        </row>
        <row r="247">
          <cell r="B247" t="str">
            <v>점토벽돌</v>
          </cell>
          <cell r="C247" t="str">
            <v>230x114x60</v>
          </cell>
          <cell r="D247">
            <v>61</v>
          </cell>
          <cell r="E247" t="str">
            <v>매</v>
          </cell>
          <cell r="G247" t="str">
            <v xml:space="preserve"> </v>
          </cell>
          <cell r="H247">
            <v>670</v>
          </cell>
          <cell r="I247">
            <v>40870</v>
          </cell>
          <cell r="J247">
            <v>0</v>
          </cell>
          <cell r="K247">
            <v>0</v>
          </cell>
          <cell r="M247">
            <v>0</v>
          </cell>
        </row>
        <row r="248">
          <cell r="B248" t="str">
            <v>몰탈</v>
          </cell>
          <cell r="C248" t="str">
            <v>1:3</v>
          </cell>
          <cell r="D248">
            <v>1.4999999999999999E-2</v>
          </cell>
          <cell r="E248" t="str">
            <v>M3</v>
          </cell>
          <cell r="G248" t="str">
            <v xml:space="preserve"> </v>
          </cell>
          <cell r="H248">
            <v>45177</v>
          </cell>
          <cell r="I248">
            <v>677.6</v>
          </cell>
          <cell r="J248">
            <v>37052</v>
          </cell>
          <cell r="K248">
            <v>555.70000000000005</v>
          </cell>
          <cell r="L248">
            <v>0</v>
          </cell>
          <cell r="M248">
            <v>0</v>
          </cell>
        </row>
        <row r="249">
          <cell r="B249" t="str">
            <v>시 멘 트</v>
          </cell>
          <cell r="C249" t="str">
            <v>40KG/포</v>
          </cell>
          <cell r="D249">
            <v>7.5220000000000002</v>
          </cell>
          <cell r="E249" t="str">
            <v>kg</v>
          </cell>
          <cell r="G249" t="str">
            <v xml:space="preserve"> </v>
          </cell>
          <cell r="H249">
            <v>62.7</v>
          </cell>
          <cell r="I249">
            <v>471.6</v>
          </cell>
          <cell r="K249">
            <v>0</v>
          </cell>
          <cell r="M249">
            <v>0</v>
          </cell>
        </row>
        <row r="250">
          <cell r="B250" t="str">
            <v>모     래</v>
          </cell>
          <cell r="C250">
            <v>0</v>
          </cell>
          <cell r="D250">
            <v>1.6E-2</v>
          </cell>
          <cell r="E250" t="str">
            <v>m3</v>
          </cell>
          <cell r="G250" t="str">
            <v xml:space="preserve"> </v>
          </cell>
          <cell r="H250">
            <v>12000</v>
          </cell>
          <cell r="I250">
            <v>192</v>
          </cell>
          <cell r="K250">
            <v>0</v>
          </cell>
          <cell r="M250">
            <v>0</v>
          </cell>
        </row>
        <row r="251">
          <cell r="B251" t="str">
            <v>조적공</v>
          </cell>
          <cell r="C251" t="str">
            <v>모로세워깔기</v>
          </cell>
          <cell r="D251">
            <v>0.106</v>
          </cell>
          <cell r="E251" t="str">
            <v>인</v>
          </cell>
          <cell r="G251" t="str">
            <v xml:space="preserve"> </v>
          </cell>
          <cell r="I251">
            <v>0</v>
          </cell>
          <cell r="J251">
            <v>56969</v>
          </cell>
          <cell r="K251">
            <v>6038.7</v>
          </cell>
          <cell r="M251">
            <v>0</v>
          </cell>
        </row>
        <row r="252">
          <cell r="B252" t="str">
            <v>보통인부</v>
          </cell>
          <cell r="C252" t="str">
            <v>"</v>
          </cell>
          <cell r="D252">
            <v>5.8999999999999997E-2</v>
          </cell>
          <cell r="E252" t="str">
            <v>인</v>
          </cell>
          <cell r="G252" t="str">
            <v xml:space="preserve"> </v>
          </cell>
          <cell r="I252">
            <v>0</v>
          </cell>
          <cell r="J252">
            <v>37052</v>
          </cell>
          <cell r="K252">
            <v>2186</v>
          </cell>
          <cell r="M252">
            <v>0</v>
          </cell>
        </row>
        <row r="253">
          <cell r="B253" t="str">
            <v>소   계</v>
          </cell>
          <cell r="G253">
            <v>50991</v>
          </cell>
          <cell r="H253">
            <v>0</v>
          </cell>
          <cell r="I253">
            <v>42211</v>
          </cell>
          <cell r="J253">
            <v>0</v>
          </cell>
          <cell r="K253">
            <v>8780</v>
          </cell>
          <cell r="M253">
            <v>0</v>
          </cell>
        </row>
        <row r="255">
          <cell r="B255">
            <v>132</v>
          </cell>
          <cell r="C255" t="str">
            <v>시멘트벽돌쌓기(0.5B,표준형)</v>
          </cell>
          <cell r="G255" t="str">
            <v>m2당</v>
          </cell>
          <cell r="J255">
            <v>0</v>
          </cell>
        </row>
        <row r="256">
          <cell r="B256" t="str">
            <v>시멘트벽돌</v>
          </cell>
          <cell r="C256" t="str">
            <v>190x90x57</v>
          </cell>
          <cell r="D256">
            <v>79</v>
          </cell>
          <cell r="E256" t="str">
            <v>매</v>
          </cell>
          <cell r="G256" t="str">
            <v xml:space="preserve"> </v>
          </cell>
          <cell r="H256">
            <v>40</v>
          </cell>
          <cell r="I256">
            <v>3160</v>
          </cell>
          <cell r="J256">
            <v>0</v>
          </cell>
          <cell r="K256">
            <v>0</v>
          </cell>
          <cell r="M256">
            <v>0</v>
          </cell>
        </row>
        <row r="257">
          <cell r="B257" t="str">
            <v>몰탈</v>
          </cell>
          <cell r="C257" t="str">
            <v>1:3</v>
          </cell>
          <cell r="D257">
            <v>1.9E-2</v>
          </cell>
          <cell r="E257" t="str">
            <v>M3</v>
          </cell>
          <cell r="G257" t="str">
            <v xml:space="preserve"> </v>
          </cell>
          <cell r="H257">
            <v>45177</v>
          </cell>
          <cell r="I257">
            <v>858.3</v>
          </cell>
          <cell r="J257">
            <v>37052</v>
          </cell>
          <cell r="K257">
            <v>703.9</v>
          </cell>
          <cell r="L257">
            <v>0</v>
          </cell>
          <cell r="M257">
            <v>0</v>
          </cell>
        </row>
        <row r="258">
          <cell r="B258" t="str">
            <v>시 멘 트</v>
          </cell>
          <cell r="C258" t="str">
            <v>40KG/포</v>
          </cell>
          <cell r="D258">
            <v>9.5619999999999994</v>
          </cell>
          <cell r="E258" t="str">
            <v>kg</v>
          </cell>
          <cell r="G258" t="str">
            <v xml:space="preserve"> </v>
          </cell>
          <cell r="H258">
            <v>62.7</v>
          </cell>
          <cell r="I258">
            <v>599.5</v>
          </cell>
          <cell r="K258">
            <v>0</v>
          </cell>
          <cell r="M258">
            <v>0</v>
          </cell>
        </row>
        <row r="259">
          <cell r="B259" t="str">
            <v>모     래</v>
          </cell>
          <cell r="C259">
            <v>0</v>
          </cell>
          <cell r="D259">
            <v>0.02</v>
          </cell>
          <cell r="E259" t="str">
            <v>m3</v>
          </cell>
          <cell r="G259" t="str">
            <v xml:space="preserve"> </v>
          </cell>
          <cell r="H259">
            <v>12000</v>
          </cell>
          <cell r="I259">
            <v>240</v>
          </cell>
          <cell r="K259">
            <v>0</v>
          </cell>
          <cell r="M259">
            <v>0</v>
          </cell>
        </row>
        <row r="260">
          <cell r="B260" t="str">
            <v>조적공</v>
          </cell>
          <cell r="C260" t="str">
            <v>모로세워깔기</v>
          </cell>
          <cell r="D260">
            <v>0.13500000000000001</v>
          </cell>
          <cell r="E260" t="str">
            <v>인</v>
          </cell>
          <cell r="G260" t="str">
            <v xml:space="preserve"> </v>
          </cell>
          <cell r="I260">
            <v>0</v>
          </cell>
          <cell r="J260">
            <v>56969</v>
          </cell>
          <cell r="K260">
            <v>7690.8</v>
          </cell>
          <cell r="M260">
            <v>0</v>
          </cell>
        </row>
        <row r="261">
          <cell r="B261" t="str">
            <v>보통인부</v>
          </cell>
          <cell r="C261" t="str">
            <v>"</v>
          </cell>
          <cell r="D261">
            <v>7.4999999999999997E-2</v>
          </cell>
          <cell r="E261" t="str">
            <v>인</v>
          </cell>
          <cell r="G261" t="str">
            <v xml:space="preserve"> </v>
          </cell>
          <cell r="I261">
            <v>0</v>
          </cell>
          <cell r="J261">
            <v>37052</v>
          </cell>
          <cell r="K261">
            <v>2778.9</v>
          </cell>
          <cell r="M261">
            <v>0</v>
          </cell>
        </row>
        <row r="262">
          <cell r="B262" t="str">
            <v>소   계</v>
          </cell>
          <cell r="G262">
            <v>16030</v>
          </cell>
          <cell r="H262">
            <v>0</v>
          </cell>
          <cell r="I262">
            <v>4857</v>
          </cell>
          <cell r="J262">
            <v>0</v>
          </cell>
          <cell r="K262">
            <v>11173</v>
          </cell>
          <cell r="M262">
            <v>0</v>
          </cell>
        </row>
        <row r="264">
          <cell r="B264">
            <v>133</v>
          </cell>
          <cell r="C264" t="str">
            <v>시멘트벽돌쌓기(1.0B,표준형)</v>
          </cell>
          <cell r="G264" t="str">
            <v>m2당</v>
          </cell>
          <cell r="J264">
            <v>0</v>
          </cell>
        </row>
        <row r="265">
          <cell r="B265" t="str">
            <v>시멘트벽돌</v>
          </cell>
          <cell r="C265" t="str">
            <v>190x90x57</v>
          </cell>
          <cell r="D265">
            <v>149</v>
          </cell>
          <cell r="E265" t="str">
            <v>매</v>
          </cell>
          <cell r="G265" t="str">
            <v xml:space="preserve"> </v>
          </cell>
          <cell r="H265">
            <v>40</v>
          </cell>
          <cell r="I265">
            <v>5960</v>
          </cell>
          <cell r="J265">
            <v>0</v>
          </cell>
          <cell r="K265">
            <v>0</v>
          </cell>
          <cell r="M265">
            <v>0</v>
          </cell>
        </row>
        <row r="266">
          <cell r="B266" t="str">
            <v>몰탈</v>
          </cell>
          <cell r="C266" t="str">
            <v>1:3</v>
          </cell>
          <cell r="D266">
            <v>4.9000000000000002E-2</v>
          </cell>
          <cell r="E266" t="str">
            <v>M3</v>
          </cell>
          <cell r="G266" t="str">
            <v xml:space="preserve"> </v>
          </cell>
          <cell r="H266">
            <v>45177</v>
          </cell>
          <cell r="I266">
            <v>2213.6</v>
          </cell>
          <cell r="J266">
            <v>37052</v>
          </cell>
          <cell r="K266">
            <v>1815.5</v>
          </cell>
          <cell r="L266">
            <v>0</v>
          </cell>
          <cell r="M266">
            <v>0</v>
          </cell>
        </row>
        <row r="267">
          <cell r="B267" t="str">
            <v>시 멘 트</v>
          </cell>
          <cell r="C267" t="str">
            <v>40KG/포</v>
          </cell>
          <cell r="D267">
            <v>25.077000000000002</v>
          </cell>
          <cell r="E267" t="str">
            <v>kg</v>
          </cell>
          <cell r="G267" t="str">
            <v xml:space="preserve"> </v>
          </cell>
          <cell r="H267">
            <v>62.7</v>
          </cell>
          <cell r="I267">
            <v>1572.3</v>
          </cell>
          <cell r="K267">
            <v>0</v>
          </cell>
          <cell r="M267">
            <v>0</v>
          </cell>
        </row>
        <row r="268">
          <cell r="B268" t="str">
            <v>모     래</v>
          </cell>
          <cell r="C268">
            <v>0</v>
          </cell>
          <cell r="D268">
            <v>5.3999999999999999E-2</v>
          </cell>
          <cell r="E268" t="str">
            <v>m3</v>
          </cell>
          <cell r="G268" t="str">
            <v xml:space="preserve"> </v>
          </cell>
          <cell r="H268">
            <v>12000</v>
          </cell>
          <cell r="I268">
            <v>648</v>
          </cell>
          <cell r="K268">
            <v>0</v>
          </cell>
          <cell r="M268">
            <v>0</v>
          </cell>
        </row>
        <row r="269">
          <cell r="B269" t="str">
            <v>조적공</v>
          </cell>
          <cell r="C269" t="str">
            <v>모로세워깔기</v>
          </cell>
          <cell r="D269">
            <v>0.23799999999999999</v>
          </cell>
          <cell r="E269" t="str">
            <v>인</v>
          </cell>
          <cell r="G269" t="str">
            <v xml:space="preserve"> </v>
          </cell>
          <cell r="I269">
            <v>0</v>
          </cell>
          <cell r="J269">
            <v>56969</v>
          </cell>
          <cell r="K269">
            <v>13558.6</v>
          </cell>
          <cell r="M269">
            <v>0</v>
          </cell>
        </row>
        <row r="270">
          <cell r="B270" t="str">
            <v>보통인부</v>
          </cell>
          <cell r="C270" t="str">
            <v>"</v>
          </cell>
          <cell r="D270">
            <v>0.13400000000000001</v>
          </cell>
          <cell r="E270" t="str">
            <v>인</v>
          </cell>
          <cell r="G270" t="str">
            <v xml:space="preserve"> </v>
          </cell>
          <cell r="I270">
            <v>0</v>
          </cell>
          <cell r="J270">
            <v>37052</v>
          </cell>
          <cell r="K270">
            <v>4964.8999999999996</v>
          </cell>
          <cell r="M270">
            <v>0</v>
          </cell>
        </row>
        <row r="271">
          <cell r="B271" t="str">
            <v>소   계</v>
          </cell>
          <cell r="G271">
            <v>30732</v>
          </cell>
          <cell r="H271">
            <v>0</v>
          </cell>
          <cell r="I271">
            <v>10393</v>
          </cell>
          <cell r="J271">
            <v>0</v>
          </cell>
          <cell r="K271">
            <v>20339</v>
          </cell>
          <cell r="M271">
            <v>0</v>
          </cell>
        </row>
        <row r="273">
          <cell r="B273">
            <v>134</v>
          </cell>
          <cell r="C273" t="str">
            <v>치장줄눈(1.5B)</v>
          </cell>
          <cell r="G273" t="str">
            <v>m2당</v>
          </cell>
          <cell r="J273">
            <v>0</v>
          </cell>
        </row>
        <row r="274">
          <cell r="B274" t="str">
            <v>몰탈</v>
          </cell>
          <cell r="C274" t="str">
            <v>1:1</v>
          </cell>
          <cell r="D274">
            <v>3.0000000000000001E-3</v>
          </cell>
          <cell r="E274" t="str">
            <v>M3</v>
          </cell>
          <cell r="H274">
            <v>77891</v>
          </cell>
          <cell r="I274">
            <v>233.6</v>
          </cell>
          <cell r="J274">
            <v>37052</v>
          </cell>
          <cell r="K274">
            <v>111.1</v>
          </cell>
          <cell r="L274">
            <v>0</v>
          </cell>
          <cell r="M274">
            <v>0</v>
          </cell>
        </row>
        <row r="275">
          <cell r="B275" t="str">
            <v>시 멘 트</v>
          </cell>
          <cell r="C275" t="str">
            <v>40KG/포</v>
          </cell>
          <cell r="D275">
            <v>3.1789999999999998</v>
          </cell>
          <cell r="E275" t="str">
            <v>kg</v>
          </cell>
          <cell r="G275" t="str">
            <v xml:space="preserve"> </v>
          </cell>
          <cell r="H275">
            <v>62.7</v>
          </cell>
          <cell r="I275">
            <v>199.3</v>
          </cell>
          <cell r="K275">
            <v>0</v>
          </cell>
          <cell r="M275">
            <v>0</v>
          </cell>
        </row>
        <row r="276">
          <cell r="B276" t="str">
            <v>모     래</v>
          </cell>
          <cell r="C276">
            <v>0</v>
          </cell>
          <cell r="D276">
            <v>2E-3</v>
          </cell>
          <cell r="E276" t="str">
            <v>M3</v>
          </cell>
          <cell r="G276" t="str">
            <v xml:space="preserve"> </v>
          </cell>
          <cell r="H276">
            <v>12000</v>
          </cell>
          <cell r="I276">
            <v>24</v>
          </cell>
          <cell r="K276">
            <v>0</v>
          </cell>
          <cell r="M276">
            <v>0</v>
          </cell>
        </row>
        <row r="277">
          <cell r="B277" t="str">
            <v>줄눈공</v>
          </cell>
          <cell r="C277" t="str">
            <v xml:space="preserve"> </v>
          </cell>
          <cell r="D277">
            <v>6.7000000000000004E-2</v>
          </cell>
          <cell r="E277" t="str">
            <v>인</v>
          </cell>
          <cell r="G277" t="str">
            <v xml:space="preserve"> </v>
          </cell>
          <cell r="I277">
            <v>0</v>
          </cell>
          <cell r="J277">
            <v>53392</v>
          </cell>
          <cell r="K277">
            <v>3577.2</v>
          </cell>
          <cell r="M277">
            <v>0</v>
          </cell>
        </row>
        <row r="278">
          <cell r="B278" t="str">
            <v>소   계</v>
          </cell>
          <cell r="G278">
            <v>4144</v>
          </cell>
          <cell r="H278" t="str">
            <v/>
          </cell>
          <cell r="I278">
            <v>456</v>
          </cell>
          <cell r="K278">
            <v>3688</v>
          </cell>
          <cell r="M278">
            <v>0</v>
          </cell>
        </row>
        <row r="279">
          <cell r="H279" t="str">
            <v/>
          </cell>
          <cell r="J279" t="str">
            <v/>
          </cell>
        </row>
        <row r="280">
          <cell r="B280">
            <v>135</v>
          </cell>
          <cell r="C280" t="str">
            <v>타일붙임(바닥,24mm,정사각형,100X100)</v>
          </cell>
          <cell r="G280" t="str">
            <v>m2당</v>
          </cell>
          <cell r="H280" t="str">
            <v/>
          </cell>
        </row>
        <row r="281">
          <cell r="B281" t="str">
            <v>타일공</v>
          </cell>
          <cell r="C281" t="str">
            <v>0.25*80%</v>
          </cell>
          <cell r="D281">
            <v>0.2</v>
          </cell>
          <cell r="E281" t="str">
            <v>인</v>
          </cell>
          <cell r="G281" t="str">
            <v xml:space="preserve"> </v>
          </cell>
          <cell r="J281">
            <v>56154</v>
          </cell>
          <cell r="K281">
            <v>11230.8</v>
          </cell>
          <cell r="M281">
            <v>0</v>
          </cell>
        </row>
        <row r="282">
          <cell r="B282" t="str">
            <v>줄눈공</v>
          </cell>
          <cell r="C282" t="str">
            <v>0.02*80%</v>
          </cell>
          <cell r="D282">
            <v>1.6E-2</v>
          </cell>
          <cell r="E282" t="str">
            <v>인</v>
          </cell>
          <cell r="G282" t="str">
            <v xml:space="preserve"> </v>
          </cell>
          <cell r="J282">
            <v>53392</v>
          </cell>
          <cell r="K282">
            <v>854.2</v>
          </cell>
          <cell r="M282">
            <v>0</v>
          </cell>
        </row>
        <row r="283">
          <cell r="B283" t="str">
            <v>보통인부</v>
          </cell>
          <cell r="C283" t="str">
            <v>붙임,0.12*80%</v>
          </cell>
          <cell r="D283">
            <v>9.6000000000000002E-2</v>
          </cell>
          <cell r="E283" t="str">
            <v>인</v>
          </cell>
          <cell r="G283" t="str">
            <v xml:space="preserve"> </v>
          </cell>
          <cell r="J283">
            <v>37052</v>
          </cell>
          <cell r="K283">
            <v>3556.9</v>
          </cell>
          <cell r="M283">
            <v>0</v>
          </cell>
        </row>
        <row r="284">
          <cell r="B284" t="str">
            <v>보통인부</v>
          </cell>
          <cell r="C284" t="str">
            <v>청소+소운반 0.03*80%+0.06</v>
          </cell>
          <cell r="D284">
            <v>8.4000000000000005E-2</v>
          </cell>
          <cell r="E284" t="str">
            <v>인</v>
          </cell>
          <cell r="G284" t="str">
            <v xml:space="preserve"> </v>
          </cell>
          <cell r="J284">
            <v>37052</v>
          </cell>
          <cell r="K284">
            <v>3112.3</v>
          </cell>
          <cell r="M284">
            <v>0</v>
          </cell>
        </row>
        <row r="285">
          <cell r="B285" t="str">
            <v>공구손료</v>
          </cell>
          <cell r="C285" t="str">
            <v>품의 3%</v>
          </cell>
          <cell r="D285">
            <v>1</v>
          </cell>
          <cell r="E285" t="str">
            <v>식</v>
          </cell>
          <cell r="G285" t="str">
            <v xml:space="preserve"> </v>
          </cell>
          <cell r="I285">
            <v>0</v>
          </cell>
          <cell r="K285">
            <v>0</v>
          </cell>
          <cell r="L285">
            <v>18754</v>
          </cell>
          <cell r="M285">
            <v>562.6</v>
          </cell>
        </row>
        <row r="286">
          <cell r="B286" t="str">
            <v>소   계</v>
          </cell>
          <cell r="G286">
            <v>19316</v>
          </cell>
          <cell r="H286" t="str">
            <v/>
          </cell>
          <cell r="I286">
            <v>0</v>
          </cell>
          <cell r="K286">
            <v>18754</v>
          </cell>
          <cell r="M286">
            <v>562</v>
          </cell>
        </row>
        <row r="287">
          <cell r="H287" t="str">
            <v/>
          </cell>
          <cell r="J287" t="str">
            <v/>
          </cell>
        </row>
        <row r="288">
          <cell r="B288">
            <v>136</v>
          </cell>
          <cell r="C288" t="str">
            <v>타일붙임(벽,24mm,정사각형,100X100)</v>
          </cell>
          <cell r="G288" t="str">
            <v>m2당</v>
          </cell>
          <cell r="H288" t="str">
            <v/>
          </cell>
        </row>
        <row r="289">
          <cell r="B289" t="str">
            <v>타일공</v>
          </cell>
          <cell r="D289">
            <v>0.25</v>
          </cell>
          <cell r="E289" t="str">
            <v>인</v>
          </cell>
          <cell r="G289" t="str">
            <v xml:space="preserve"> </v>
          </cell>
          <cell r="I289">
            <v>0</v>
          </cell>
          <cell r="J289">
            <v>56154</v>
          </cell>
          <cell r="K289">
            <v>14038.5</v>
          </cell>
          <cell r="M289">
            <v>0</v>
          </cell>
        </row>
        <row r="290">
          <cell r="B290" t="str">
            <v>줄눈공</v>
          </cell>
          <cell r="D290">
            <v>0.02</v>
          </cell>
          <cell r="E290" t="str">
            <v>인</v>
          </cell>
          <cell r="G290" t="str">
            <v xml:space="preserve"> </v>
          </cell>
          <cell r="I290">
            <v>0</v>
          </cell>
          <cell r="J290">
            <v>53392</v>
          </cell>
          <cell r="K290">
            <v>1067.8</v>
          </cell>
          <cell r="M290">
            <v>0</v>
          </cell>
        </row>
        <row r="291">
          <cell r="B291" t="str">
            <v>보통인부</v>
          </cell>
          <cell r="C291" t="str">
            <v>붙임</v>
          </cell>
          <cell r="D291">
            <v>0.12</v>
          </cell>
          <cell r="E291" t="str">
            <v>인</v>
          </cell>
          <cell r="G291" t="str">
            <v xml:space="preserve"> </v>
          </cell>
          <cell r="I291">
            <v>0</v>
          </cell>
          <cell r="J291">
            <v>37052</v>
          </cell>
          <cell r="K291">
            <v>4446.2</v>
          </cell>
          <cell r="M291">
            <v>0</v>
          </cell>
        </row>
        <row r="292">
          <cell r="B292" t="str">
            <v>보통인부</v>
          </cell>
          <cell r="C292" t="str">
            <v>청소+소운반</v>
          </cell>
          <cell r="D292">
            <v>0.09</v>
          </cell>
          <cell r="E292" t="str">
            <v>인</v>
          </cell>
          <cell r="G292" t="str">
            <v xml:space="preserve"> </v>
          </cell>
          <cell r="I292">
            <v>0</v>
          </cell>
          <cell r="J292">
            <v>37052</v>
          </cell>
          <cell r="K292">
            <v>3334.6</v>
          </cell>
          <cell r="M292">
            <v>0</v>
          </cell>
        </row>
        <row r="293">
          <cell r="B293" t="str">
            <v>공구손료</v>
          </cell>
          <cell r="C293" t="str">
            <v>품의 3%</v>
          </cell>
          <cell r="D293">
            <v>1</v>
          </cell>
          <cell r="E293" t="str">
            <v>식</v>
          </cell>
          <cell r="G293" t="str">
            <v xml:space="preserve"> </v>
          </cell>
          <cell r="I293">
            <v>0</v>
          </cell>
          <cell r="K293">
            <v>0</v>
          </cell>
          <cell r="L293">
            <v>22887</v>
          </cell>
          <cell r="M293">
            <v>686.6</v>
          </cell>
        </row>
        <row r="294">
          <cell r="B294" t="str">
            <v>소   계</v>
          </cell>
          <cell r="G294">
            <v>23573</v>
          </cell>
          <cell r="H294" t="str">
            <v/>
          </cell>
          <cell r="I294">
            <v>0</v>
          </cell>
          <cell r="K294">
            <v>22887</v>
          </cell>
          <cell r="M294">
            <v>686</v>
          </cell>
        </row>
        <row r="295">
          <cell r="H295" t="str">
            <v/>
          </cell>
          <cell r="J295" t="str">
            <v/>
          </cell>
        </row>
        <row r="296">
          <cell r="B296">
            <v>137</v>
          </cell>
          <cell r="C296" t="str">
            <v>석재판붙임(습식,화강석,바닥)</v>
          </cell>
          <cell r="G296" t="str">
            <v>m2당</v>
          </cell>
          <cell r="J296">
            <v>0</v>
          </cell>
        </row>
        <row r="297">
          <cell r="B297" t="str">
            <v>석공</v>
          </cell>
          <cell r="C297" t="str">
            <v xml:space="preserve"> </v>
          </cell>
          <cell r="D297">
            <v>0.49</v>
          </cell>
          <cell r="E297" t="str">
            <v>인</v>
          </cell>
          <cell r="G297" t="str">
            <v xml:space="preserve"> </v>
          </cell>
          <cell r="I297">
            <v>0</v>
          </cell>
          <cell r="J297">
            <v>64890</v>
          </cell>
          <cell r="K297">
            <v>31796.1</v>
          </cell>
          <cell r="M297">
            <v>0</v>
          </cell>
        </row>
        <row r="298">
          <cell r="B298" t="str">
            <v>보통인부</v>
          </cell>
          <cell r="C298" t="str">
            <v xml:space="preserve"> </v>
          </cell>
          <cell r="D298">
            <v>0.25</v>
          </cell>
          <cell r="E298" t="str">
            <v>인</v>
          </cell>
          <cell r="G298" t="str">
            <v xml:space="preserve"> </v>
          </cell>
          <cell r="I298">
            <v>0</v>
          </cell>
          <cell r="J298">
            <v>37052</v>
          </cell>
          <cell r="K298">
            <v>9263</v>
          </cell>
          <cell r="M298">
            <v>0</v>
          </cell>
        </row>
        <row r="299">
          <cell r="B299" t="str">
            <v>소   계</v>
          </cell>
          <cell r="G299">
            <v>41059</v>
          </cell>
          <cell r="H299">
            <v>0</v>
          </cell>
          <cell r="I299">
            <v>0</v>
          </cell>
          <cell r="J299">
            <v>0</v>
          </cell>
          <cell r="K299">
            <v>41059</v>
          </cell>
          <cell r="M299">
            <v>0</v>
          </cell>
        </row>
        <row r="301">
          <cell r="B301">
            <v>138</v>
          </cell>
          <cell r="C301" t="str">
            <v>석재판붙임(습식,화강석,평벽)</v>
          </cell>
          <cell r="G301" t="str">
            <v>m2당</v>
          </cell>
          <cell r="J301">
            <v>0</v>
          </cell>
        </row>
        <row r="302">
          <cell r="B302" t="str">
            <v>석공</v>
          </cell>
          <cell r="C302" t="str">
            <v xml:space="preserve"> </v>
          </cell>
          <cell r="D302">
            <v>0.56999999999999995</v>
          </cell>
          <cell r="E302" t="str">
            <v>인</v>
          </cell>
          <cell r="G302" t="str">
            <v xml:space="preserve"> </v>
          </cell>
          <cell r="I302">
            <v>0</v>
          </cell>
          <cell r="J302">
            <v>64890</v>
          </cell>
          <cell r="K302">
            <v>36987.300000000003</v>
          </cell>
          <cell r="M302">
            <v>0</v>
          </cell>
        </row>
        <row r="303">
          <cell r="B303" t="str">
            <v>보통인부</v>
          </cell>
          <cell r="C303" t="str">
            <v xml:space="preserve"> </v>
          </cell>
          <cell r="D303">
            <v>0.46</v>
          </cell>
          <cell r="E303" t="str">
            <v>인</v>
          </cell>
          <cell r="G303" t="str">
            <v xml:space="preserve"> </v>
          </cell>
          <cell r="I303">
            <v>0</v>
          </cell>
          <cell r="J303">
            <v>37052</v>
          </cell>
          <cell r="K303">
            <v>17043.900000000001</v>
          </cell>
          <cell r="M303">
            <v>0</v>
          </cell>
        </row>
        <row r="304">
          <cell r="B304" t="str">
            <v>소   계</v>
          </cell>
          <cell r="G304">
            <v>54031</v>
          </cell>
          <cell r="H304">
            <v>0</v>
          </cell>
          <cell r="I304">
            <v>0</v>
          </cell>
          <cell r="J304">
            <v>0</v>
          </cell>
          <cell r="K304">
            <v>54031</v>
          </cell>
          <cell r="M304">
            <v>0</v>
          </cell>
        </row>
        <row r="306">
          <cell r="B306">
            <v>139</v>
          </cell>
          <cell r="C306" t="str">
            <v>화강석설치 (마름돌설치 준용)</v>
          </cell>
          <cell r="G306" t="str">
            <v>M3당</v>
          </cell>
          <cell r="I306" t="str">
            <v xml:space="preserve"> </v>
          </cell>
          <cell r="J306">
            <v>0</v>
          </cell>
          <cell r="K306">
            <v>0</v>
          </cell>
          <cell r="M306">
            <v>0</v>
          </cell>
        </row>
        <row r="307">
          <cell r="B307" t="str">
            <v>석공</v>
          </cell>
          <cell r="C307" t="str">
            <v xml:space="preserve"> </v>
          </cell>
          <cell r="D307">
            <v>6.5</v>
          </cell>
          <cell r="E307" t="str">
            <v>인</v>
          </cell>
          <cell r="G307" t="str">
            <v xml:space="preserve"> </v>
          </cell>
          <cell r="I307">
            <v>0</v>
          </cell>
          <cell r="J307">
            <v>64890</v>
          </cell>
          <cell r="K307">
            <v>421785</v>
          </cell>
          <cell r="M307">
            <v>0</v>
          </cell>
        </row>
        <row r="308">
          <cell r="B308" t="str">
            <v>보통인부</v>
          </cell>
          <cell r="C308" t="str">
            <v xml:space="preserve"> </v>
          </cell>
          <cell r="D308">
            <v>10</v>
          </cell>
          <cell r="E308" t="str">
            <v>인</v>
          </cell>
          <cell r="G308" t="str">
            <v xml:space="preserve"> </v>
          </cell>
          <cell r="I308">
            <v>0</v>
          </cell>
          <cell r="J308">
            <v>37052</v>
          </cell>
          <cell r="K308">
            <v>370520</v>
          </cell>
          <cell r="M308">
            <v>0</v>
          </cell>
        </row>
        <row r="309">
          <cell r="B309" t="str">
            <v>소    계</v>
          </cell>
          <cell r="G309">
            <v>792305</v>
          </cell>
          <cell r="I309">
            <v>0</v>
          </cell>
          <cell r="K309">
            <v>792305</v>
          </cell>
          <cell r="M309">
            <v>0</v>
          </cell>
        </row>
        <row r="310">
          <cell r="B310">
            <v>140</v>
          </cell>
          <cell r="C310" t="str">
            <v>목재가공조립및설치 (보통구조,하)</v>
          </cell>
          <cell r="G310" t="str">
            <v>M2당</v>
          </cell>
          <cell r="I310" t="str">
            <v xml:space="preserve"> </v>
          </cell>
          <cell r="J310">
            <v>0</v>
          </cell>
          <cell r="K310">
            <v>0</v>
          </cell>
          <cell r="M310">
            <v>0</v>
          </cell>
        </row>
        <row r="311">
          <cell r="B311" t="str">
            <v>건축목공</v>
          </cell>
          <cell r="C311" t="str">
            <v xml:space="preserve"> </v>
          </cell>
          <cell r="D311">
            <v>1.65</v>
          </cell>
          <cell r="E311" t="str">
            <v>인</v>
          </cell>
          <cell r="G311" t="str">
            <v xml:space="preserve"> </v>
          </cell>
          <cell r="I311">
            <v>0</v>
          </cell>
          <cell r="J311">
            <v>61692</v>
          </cell>
          <cell r="K311">
            <v>101791.8</v>
          </cell>
          <cell r="M311">
            <v>0</v>
          </cell>
        </row>
        <row r="312">
          <cell r="B312" t="str">
            <v>보통인부</v>
          </cell>
          <cell r="C312" t="str">
            <v xml:space="preserve"> </v>
          </cell>
          <cell r="D312">
            <v>0.15</v>
          </cell>
          <cell r="E312" t="str">
            <v>인</v>
          </cell>
          <cell r="G312" t="str">
            <v xml:space="preserve"> </v>
          </cell>
          <cell r="I312">
            <v>0</v>
          </cell>
          <cell r="J312">
            <v>37052</v>
          </cell>
          <cell r="K312">
            <v>5557.8</v>
          </cell>
          <cell r="M312">
            <v>0</v>
          </cell>
        </row>
        <row r="313">
          <cell r="B313" t="str">
            <v>소    계</v>
          </cell>
          <cell r="G313">
            <v>107349</v>
          </cell>
          <cell r="I313">
            <v>0</v>
          </cell>
          <cell r="K313">
            <v>107349</v>
          </cell>
          <cell r="M313">
            <v>0</v>
          </cell>
        </row>
        <row r="315">
          <cell r="B315">
            <v>141</v>
          </cell>
          <cell r="C315" t="str">
            <v>유공관 접합&amp;부설 (Φ150 소케트접합)</v>
          </cell>
          <cell r="G315" t="str">
            <v>m당</v>
          </cell>
        </row>
        <row r="316">
          <cell r="B316" t="str">
            <v>HDPE유공관</v>
          </cell>
          <cell r="C316" t="str">
            <v>Φ150 x 4M</v>
          </cell>
          <cell r="D316">
            <v>1.05</v>
          </cell>
          <cell r="E316" t="str">
            <v>M</v>
          </cell>
          <cell r="G316" t="str">
            <v xml:space="preserve"> </v>
          </cell>
          <cell r="H316">
            <v>9600</v>
          </cell>
          <cell r="I316">
            <v>10080</v>
          </cell>
          <cell r="K316">
            <v>0</v>
          </cell>
          <cell r="M316">
            <v>0</v>
          </cell>
        </row>
        <row r="317">
          <cell r="B317" t="str">
            <v>배관공</v>
          </cell>
          <cell r="C317" t="str">
            <v xml:space="preserve"> </v>
          </cell>
          <cell r="D317">
            <v>3.0000000000000001E-3</v>
          </cell>
          <cell r="E317" t="str">
            <v>인</v>
          </cell>
          <cell r="G317" t="str">
            <v xml:space="preserve"> </v>
          </cell>
          <cell r="I317">
            <v>0</v>
          </cell>
          <cell r="J317">
            <v>49542</v>
          </cell>
          <cell r="K317">
            <v>148.6</v>
          </cell>
          <cell r="M317">
            <v>0</v>
          </cell>
        </row>
        <row r="318">
          <cell r="B318" t="str">
            <v>특별인부</v>
          </cell>
          <cell r="C318" t="str">
            <v xml:space="preserve"> </v>
          </cell>
          <cell r="D318">
            <v>3.0000000000000001E-3</v>
          </cell>
          <cell r="E318" t="str">
            <v>인</v>
          </cell>
          <cell r="G318" t="str">
            <v xml:space="preserve"> </v>
          </cell>
          <cell r="I318">
            <v>0</v>
          </cell>
          <cell r="J318">
            <v>51490</v>
          </cell>
          <cell r="K318">
            <v>154.4</v>
          </cell>
          <cell r="M318">
            <v>0</v>
          </cell>
        </row>
        <row r="319">
          <cell r="B319" t="str">
            <v>소   계</v>
          </cell>
          <cell r="G319">
            <v>10383</v>
          </cell>
          <cell r="H319">
            <v>0</v>
          </cell>
          <cell r="I319">
            <v>10080</v>
          </cell>
          <cell r="J319">
            <v>0</v>
          </cell>
          <cell r="K319">
            <v>303</v>
          </cell>
          <cell r="M319">
            <v>0</v>
          </cell>
        </row>
        <row r="321">
          <cell r="B321">
            <v>142</v>
          </cell>
          <cell r="C321" t="str">
            <v>유공관 접합&amp;부설 (Φ200 소케트접합)</v>
          </cell>
          <cell r="G321" t="str">
            <v>m당</v>
          </cell>
        </row>
        <row r="322">
          <cell r="B322" t="str">
            <v>HDPE유공관</v>
          </cell>
          <cell r="C322" t="str">
            <v>Φ200 x 4M</v>
          </cell>
          <cell r="D322">
            <v>1.05</v>
          </cell>
          <cell r="E322" t="str">
            <v>M</v>
          </cell>
          <cell r="G322" t="str">
            <v xml:space="preserve"> </v>
          </cell>
          <cell r="H322">
            <v>14400</v>
          </cell>
          <cell r="I322">
            <v>15120</v>
          </cell>
          <cell r="K322">
            <v>0</v>
          </cell>
          <cell r="M322">
            <v>0</v>
          </cell>
        </row>
        <row r="323">
          <cell r="B323" t="str">
            <v>배관공</v>
          </cell>
          <cell r="C323" t="str">
            <v xml:space="preserve"> </v>
          </cell>
          <cell r="D323">
            <v>4.0000000000000001E-3</v>
          </cell>
          <cell r="E323" t="str">
            <v>인</v>
          </cell>
          <cell r="G323" t="str">
            <v xml:space="preserve"> </v>
          </cell>
          <cell r="I323">
            <v>0</v>
          </cell>
          <cell r="J323">
            <v>49542</v>
          </cell>
          <cell r="K323">
            <v>198.1</v>
          </cell>
          <cell r="M323">
            <v>0</v>
          </cell>
        </row>
        <row r="324">
          <cell r="B324" t="str">
            <v>특별인부</v>
          </cell>
          <cell r="C324" t="str">
            <v xml:space="preserve"> </v>
          </cell>
          <cell r="D324">
            <v>4.0000000000000001E-3</v>
          </cell>
          <cell r="E324" t="str">
            <v>인</v>
          </cell>
          <cell r="G324" t="str">
            <v xml:space="preserve"> </v>
          </cell>
          <cell r="I324">
            <v>0</v>
          </cell>
          <cell r="J324">
            <v>51490</v>
          </cell>
          <cell r="K324">
            <v>205.9</v>
          </cell>
          <cell r="M324">
            <v>0</v>
          </cell>
        </row>
        <row r="325">
          <cell r="B325" t="str">
            <v>소   계</v>
          </cell>
          <cell r="G325">
            <v>15524</v>
          </cell>
          <cell r="H325">
            <v>0</v>
          </cell>
          <cell r="I325">
            <v>15120</v>
          </cell>
          <cell r="J325">
            <v>0</v>
          </cell>
          <cell r="K325">
            <v>404</v>
          </cell>
          <cell r="M325">
            <v>0</v>
          </cell>
        </row>
        <row r="327">
          <cell r="B327">
            <v>143</v>
          </cell>
          <cell r="C327" t="str">
            <v>토목섬유부설</v>
          </cell>
          <cell r="G327" t="str">
            <v>M2 당</v>
          </cell>
        </row>
        <row r="328">
          <cell r="B328" t="str">
            <v>토 목  섬 유</v>
          </cell>
          <cell r="C328" t="str">
            <v>TG200</v>
          </cell>
          <cell r="D328">
            <v>1.1000000000000001</v>
          </cell>
          <cell r="E328" t="str">
            <v>M2</v>
          </cell>
          <cell r="G328" t="str">
            <v xml:space="preserve"> </v>
          </cell>
          <cell r="H328">
            <v>800</v>
          </cell>
          <cell r="I328">
            <v>880</v>
          </cell>
          <cell r="K328">
            <v>0</v>
          </cell>
          <cell r="M328">
            <v>0</v>
          </cell>
        </row>
        <row r="329">
          <cell r="B329" t="str">
            <v>보통인부</v>
          </cell>
          <cell r="C329" t="str">
            <v xml:space="preserve"> </v>
          </cell>
          <cell r="D329">
            <v>3.0000000000000001E-3</v>
          </cell>
          <cell r="E329" t="str">
            <v>인</v>
          </cell>
          <cell r="G329" t="str">
            <v xml:space="preserve"> </v>
          </cell>
          <cell r="I329">
            <v>0</v>
          </cell>
          <cell r="J329">
            <v>37052</v>
          </cell>
          <cell r="K329">
            <v>111.1</v>
          </cell>
          <cell r="M329">
            <v>0</v>
          </cell>
        </row>
        <row r="330">
          <cell r="B330" t="str">
            <v>소   계</v>
          </cell>
          <cell r="G330">
            <v>991</v>
          </cell>
          <cell r="H330">
            <v>0</v>
          </cell>
          <cell r="I330">
            <v>880</v>
          </cell>
          <cell r="J330">
            <v>0</v>
          </cell>
          <cell r="K330">
            <v>111</v>
          </cell>
          <cell r="M330">
            <v>0</v>
          </cell>
        </row>
        <row r="331">
          <cell r="B331">
            <v>1</v>
          </cell>
          <cell r="C331" t="str">
            <v>자연석쌓기</v>
          </cell>
          <cell r="G331" t="str">
            <v>ton당</v>
          </cell>
        </row>
        <row r="332">
          <cell r="B332" t="str">
            <v>자   연   석</v>
          </cell>
          <cell r="C332" t="str">
            <v>500x600x700</v>
          </cell>
          <cell r="D332">
            <v>1</v>
          </cell>
          <cell r="E332" t="str">
            <v>ton</v>
          </cell>
          <cell r="G332" t="str">
            <v xml:space="preserve"> </v>
          </cell>
          <cell r="H332">
            <v>95000</v>
          </cell>
          <cell r="I332">
            <v>95000</v>
          </cell>
          <cell r="K332">
            <v>0</v>
          </cell>
          <cell r="M332">
            <v>0</v>
          </cell>
        </row>
        <row r="333">
          <cell r="B333" t="str">
            <v>조경공</v>
          </cell>
          <cell r="C333" t="str">
            <v xml:space="preserve"> </v>
          </cell>
          <cell r="D333">
            <v>2.5</v>
          </cell>
          <cell r="E333" t="str">
            <v>인</v>
          </cell>
          <cell r="G333" t="str">
            <v xml:space="preserve"> </v>
          </cell>
          <cell r="I333">
            <v>0</v>
          </cell>
          <cell r="J333">
            <v>53468</v>
          </cell>
          <cell r="K333">
            <v>133670</v>
          </cell>
          <cell r="M333">
            <v>0</v>
          </cell>
        </row>
        <row r="334">
          <cell r="B334" t="str">
            <v>보통인부</v>
          </cell>
          <cell r="C334" t="str">
            <v xml:space="preserve"> </v>
          </cell>
          <cell r="D334">
            <v>2.5</v>
          </cell>
          <cell r="E334" t="str">
            <v>인</v>
          </cell>
          <cell r="G334" t="str">
            <v xml:space="preserve"> </v>
          </cell>
          <cell r="I334">
            <v>0</v>
          </cell>
          <cell r="J334">
            <v>37052</v>
          </cell>
          <cell r="K334">
            <v>92630</v>
          </cell>
          <cell r="M334">
            <v>0</v>
          </cell>
        </row>
        <row r="335">
          <cell r="B335" t="str">
            <v>소   계</v>
          </cell>
          <cell r="G335">
            <v>321300</v>
          </cell>
          <cell r="H335">
            <v>0</v>
          </cell>
          <cell r="I335">
            <v>95000</v>
          </cell>
          <cell r="J335">
            <v>0</v>
          </cell>
          <cell r="K335">
            <v>226300</v>
          </cell>
          <cell r="M335">
            <v>0</v>
          </cell>
        </row>
        <row r="337">
          <cell r="B337">
            <v>1</v>
          </cell>
          <cell r="C337" t="str">
            <v>자연석놓기</v>
          </cell>
          <cell r="G337" t="str">
            <v>ton당</v>
          </cell>
        </row>
        <row r="338">
          <cell r="B338" t="str">
            <v>자   연   석</v>
          </cell>
          <cell r="C338" t="str">
            <v>500x600x700</v>
          </cell>
          <cell r="D338">
            <v>1</v>
          </cell>
          <cell r="E338" t="str">
            <v>ton</v>
          </cell>
          <cell r="G338" t="str">
            <v xml:space="preserve"> </v>
          </cell>
          <cell r="H338">
            <v>95000</v>
          </cell>
          <cell r="I338">
            <v>95000</v>
          </cell>
          <cell r="K338">
            <v>0</v>
          </cell>
          <cell r="M338">
            <v>0</v>
          </cell>
        </row>
        <row r="339">
          <cell r="B339" t="str">
            <v>조경공</v>
          </cell>
          <cell r="C339" t="str">
            <v xml:space="preserve"> </v>
          </cell>
          <cell r="D339">
            <v>2</v>
          </cell>
          <cell r="E339" t="str">
            <v>인</v>
          </cell>
          <cell r="G339" t="str">
            <v xml:space="preserve"> </v>
          </cell>
          <cell r="I339">
            <v>0</v>
          </cell>
          <cell r="J339">
            <v>53468</v>
          </cell>
          <cell r="K339">
            <v>106936</v>
          </cell>
          <cell r="M339">
            <v>0</v>
          </cell>
        </row>
        <row r="340">
          <cell r="B340" t="str">
            <v>보통인부</v>
          </cell>
          <cell r="C340" t="str">
            <v xml:space="preserve"> </v>
          </cell>
          <cell r="D340">
            <v>2</v>
          </cell>
          <cell r="E340" t="str">
            <v>인</v>
          </cell>
          <cell r="G340" t="str">
            <v xml:space="preserve"> </v>
          </cell>
          <cell r="I340">
            <v>0</v>
          </cell>
          <cell r="J340">
            <v>37052</v>
          </cell>
          <cell r="K340">
            <v>74104</v>
          </cell>
          <cell r="M340">
            <v>0</v>
          </cell>
        </row>
        <row r="341">
          <cell r="B341" t="str">
            <v>소   계</v>
          </cell>
          <cell r="G341">
            <v>276040</v>
          </cell>
          <cell r="H341">
            <v>0</v>
          </cell>
          <cell r="I341">
            <v>95000</v>
          </cell>
          <cell r="J341">
            <v>0</v>
          </cell>
          <cell r="K341">
            <v>181040</v>
          </cell>
          <cell r="M341">
            <v>0</v>
          </cell>
        </row>
        <row r="343">
          <cell r="B343">
            <v>144</v>
          </cell>
          <cell r="C343" t="str">
            <v>잡석뒷채움</v>
          </cell>
          <cell r="G343" t="str">
            <v>m3당</v>
          </cell>
        </row>
        <row r="344">
          <cell r="B344" t="str">
            <v>잡     석</v>
          </cell>
          <cell r="C344" t="str">
            <v>#467(Φ40mm)</v>
          </cell>
          <cell r="D344">
            <v>1.06</v>
          </cell>
          <cell r="E344" t="str">
            <v>m3</v>
          </cell>
          <cell r="G344" t="str">
            <v xml:space="preserve"> </v>
          </cell>
          <cell r="H344">
            <v>9000</v>
          </cell>
          <cell r="I344">
            <v>9540</v>
          </cell>
          <cell r="K344">
            <v>0</v>
          </cell>
          <cell r="M344">
            <v>0</v>
          </cell>
        </row>
        <row r="345">
          <cell r="B345" t="str">
            <v>보통인부</v>
          </cell>
          <cell r="C345" t="str">
            <v xml:space="preserve"> </v>
          </cell>
          <cell r="D345">
            <v>0.13</v>
          </cell>
          <cell r="E345" t="str">
            <v>인</v>
          </cell>
          <cell r="G345" t="str">
            <v xml:space="preserve"> </v>
          </cell>
          <cell r="I345">
            <v>0</v>
          </cell>
          <cell r="J345">
            <v>37052</v>
          </cell>
          <cell r="K345">
            <v>4816.7</v>
          </cell>
          <cell r="M345">
            <v>0</v>
          </cell>
        </row>
        <row r="346">
          <cell r="B346" t="str">
            <v>소   계</v>
          </cell>
          <cell r="G346">
            <v>14356</v>
          </cell>
          <cell r="H346">
            <v>0</v>
          </cell>
          <cell r="I346">
            <v>9540</v>
          </cell>
          <cell r="J346">
            <v>0</v>
          </cell>
          <cell r="K346">
            <v>4816</v>
          </cell>
          <cell r="M346">
            <v>0</v>
          </cell>
        </row>
        <row r="348">
          <cell r="B348">
            <v>145</v>
          </cell>
          <cell r="C348" t="str">
            <v>담장기와잇기</v>
          </cell>
          <cell r="G348" t="str">
            <v>m당</v>
          </cell>
        </row>
        <row r="349">
          <cell r="B349" t="str">
            <v>시 멘 트</v>
          </cell>
          <cell r="C349" t="str">
            <v>40KG/포</v>
          </cell>
          <cell r="D349">
            <v>4.08</v>
          </cell>
          <cell r="E349" t="str">
            <v>kg</v>
          </cell>
          <cell r="G349" t="str">
            <v xml:space="preserve"> </v>
          </cell>
          <cell r="H349">
            <v>62.7</v>
          </cell>
          <cell r="I349">
            <v>255.8</v>
          </cell>
          <cell r="K349">
            <v>0</v>
          </cell>
          <cell r="M349">
            <v>0</v>
          </cell>
        </row>
        <row r="350">
          <cell r="B350" t="str">
            <v>모     래</v>
          </cell>
          <cell r="C350">
            <v>0</v>
          </cell>
          <cell r="D350">
            <v>8.9999999999999993E-3</v>
          </cell>
          <cell r="E350" t="str">
            <v>m3</v>
          </cell>
          <cell r="G350" t="str">
            <v xml:space="preserve"> </v>
          </cell>
          <cell r="H350">
            <v>12000</v>
          </cell>
          <cell r="I350">
            <v>108</v>
          </cell>
          <cell r="K350">
            <v>0</v>
          </cell>
          <cell r="M350">
            <v>0</v>
          </cell>
        </row>
        <row r="351">
          <cell r="B351" t="str">
            <v>한식와공</v>
          </cell>
          <cell r="C351" t="str">
            <v xml:space="preserve"> </v>
          </cell>
          <cell r="D351">
            <v>0.1</v>
          </cell>
          <cell r="E351" t="str">
            <v>인</v>
          </cell>
          <cell r="G351" t="str">
            <v xml:space="preserve"> </v>
          </cell>
          <cell r="I351">
            <v>0</v>
          </cell>
          <cell r="J351">
            <v>138273</v>
          </cell>
          <cell r="K351">
            <v>13827.3</v>
          </cell>
          <cell r="M351">
            <v>0</v>
          </cell>
        </row>
        <row r="352">
          <cell r="B352" t="str">
            <v>한식와공조공</v>
          </cell>
          <cell r="C352" t="str">
            <v xml:space="preserve"> </v>
          </cell>
          <cell r="D352">
            <v>0.13</v>
          </cell>
          <cell r="E352" t="str">
            <v>인</v>
          </cell>
          <cell r="G352" t="str">
            <v xml:space="preserve"> </v>
          </cell>
          <cell r="I352">
            <v>0</v>
          </cell>
          <cell r="J352">
            <v>88063</v>
          </cell>
          <cell r="K352">
            <v>11448.1</v>
          </cell>
          <cell r="M352">
            <v>0</v>
          </cell>
        </row>
        <row r="353">
          <cell r="B353" t="str">
            <v>보통인부</v>
          </cell>
          <cell r="C353" t="str">
            <v xml:space="preserve"> </v>
          </cell>
          <cell r="D353">
            <v>0.2</v>
          </cell>
          <cell r="E353" t="str">
            <v>인</v>
          </cell>
          <cell r="G353" t="str">
            <v xml:space="preserve"> </v>
          </cell>
          <cell r="I353">
            <v>0</v>
          </cell>
          <cell r="J353">
            <v>37052</v>
          </cell>
          <cell r="K353">
            <v>7410.4</v>
          </cell>
          <cell r="M353">
            <v>0</v>
          </cell>
        </row>
        <row r="354">
          <cell r="B354" t="str">
            <v>소   계</v>
          </cell>
          <cell r="G354">
            <v>33048</v>
          </cell>
          <cell r="H354">
            <v>0</v>
          </cell>
          <cell r="I354">
            <v>363</v>
          </cell>
          <cell r="J354">
            <v>0</v>
          </cell>
          <cell r="K354">
            <v>32685</v>
          </cell>
          <cell r="M354">
            <v>0</v>
          </cell>
        </row>
        <row r="355">
          <cell r="M355" t="str">
            <v xml:space="preserve"> </v>
          </cell>
        </row>
        <row r="356">
          <cell r="B356">
            <v>146</v>
          </cell>
          <cell r="C356" t="str">
            <v>앵카볼트설치(볼트경,Φ16)</v>
          </cell>
          <cell r="G356" t="str">
            <v>개소당</v>
          </cell>
        </row>
        <row r="357">
          <cell r="B357" t="str">
            <v>철골공</v>
          </cell>
          <cell r="C357" t="str">
            <v xml:space="preserve"> </v>
          </cell>
          <cell r="D357">
            <v>7.0000000000000007E-2</v>
          </cell>
          <cell r="E357" t="str">
            <v>인</v>
          </cell>
          <cell r="G357" t="str">
            <v xml:space="preserve"> </v>
          </cell>
          <cell r="I357">
            <v>0</v>
          </cell>
          <cell r="J357">
            <v>64572</v>
          </cell>
          <cell r="K357">
            <v>4520</v>
          </cell>
          <cell r="M357">
            <v>0</v>
          </cell>
        </row>
        <row r="358">
          <cell r="B358" t="str">
            <v>소   계</v>
          </cell>
          <cell r="G358">
            <v>4520</v>
          </cell>
          <cell r="H358">
            <v>0</v>
          </cell>
          <cell r="I358">
            <v>0</v>
          </cell>
          <cell r="J358">
            <v>0</v>
          </cell>
          <cell r="K358">
            <v>4520</v>
          </cell>
          <cell r="M358">
            <v>0</v>
          </cell>
        </row>
        <row r="359">
          <cell r="M359" t="str">
            <v xml:space="preserve"> 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2"/>
      <sheetName val="설계조서"/>
      <sheetName val="예정공정표"/>
      <sheetName val="원가계산서"/>
      <sheetName val="총괄내역서"/>
      <sheetName val="잡비"/>
      <sheetName val="내역서"/>
      <sheetName val="일위목록"/>
      <sheetName val="식재일위"/>
      <sheetName val="시설일위"/>
      <sheetName val="기초일위"/>
      <sheetName val="Sheet1"/>
      <sheetName val="식재수량표"/>
      <sheetName val="시설수량표"/>
      <sheetName val="식재C"/>
      <sheetName val="시설C"/>
      <sheetName val="노임단가표"/>
      <sheetName val="유기질비료기준"/>
      <sheetName val="이식품적용"/>
      <sheetName val="이식수목상하차비"/>
      <sheetName val="상하차비"/>
      <sheetName val="기계상하차비"/>
      <sheetName val="운반량및운반비"/>
      <sheetName val="수목운반비"/>
      <sheetName val="수목운반량"/>
      <sheetName val="수목중량"/>
      <sheetName val="자재소요량"/>
      <sheetName val="약제살포량"/>
      <sheetName val="수간보호자재"/>
      <sheetName val="새끼량"/>
      <sheetName val="가마니량"/>
      <sheetName val="철선량"/>
      <sheetName val="고무줄량"/>
      <sheetName val="비계목"/>
      <sheetName val="휀스-B"/>
      <sheetName val="휀스-A"/>
      <sheetName val="기계"/>
      <sheetName val="중목"/>
      <sheetName val="중1"/>
      <sheetName val="산1"/>
      <sheetName val="산2"/>
      <sheetName val="산3"/>
      <sheetName val="산출근거"/>
      <sheetName val="인건비"/>
      <sheetName val="경목"/>
      <sheetName val="조명일위"/>
      <sheetName val="데이타"/>
      <sheetName val="일반수량총괄집계"/>
      <sheetName val="일위대가"/>
      <sheetName val="소일위대가코드표"/>
      <sheetName val="2000년1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>
            <v>호  표</v>
          </cell>
          <cell r="B1" t="str">
            <v>공      종</v>
          </cell>
          <cell r="C1" t="str">
            <v>규      격</v>
          </cell>
          <cell r="D1" t="str">
            <v>단 위</v>
          </cell>
          <cell r="E1" t="str">
            <v>재 료 비</v>
          </cell>
          <cell r="F1" t="str">
            <v>노 무 비</v>
          </cell>
          <cell r="G1" t="str">
            <v>경    비</v>
          </cell>
          <cell r="H1" t="str">
            <v>합    계</v>
          </cell>
        </row>
        <row r="2">
          <cell r="A2">
            <v>1</v>
          </cell>
          <cell r="B2" t="str">
            <v>소나무(대) 식재</v>
          </cell>
          <cell r="C2" t="str">
            <v>H5.5xW2.5xR25</v>
          </cell>
          <cell r="D2" t="str">
            <v>주당</v>
          </cell>
          <cell r="E2">
            <v>586642</v>
          </cell>
          <cell r="F2">
            <v>122076</v>
          </cell>
          <cell r="G2">
            <v>7328</v>
          </cell>
          <cell r="H2">
            <v>716046</v>
          </cell>
        </row>
        <row r="3">
          <cell r="A3">
            <v>2</v>
          </cell>
          <cell r="B3" t="str">
            <v>소나무(중) 식재</v>
          </cell>
          <cell r="C3" t="str">
            <v>H5.0xW2.5xR20</v>
          </cell>
          <cell r="D3" t="str">
            <v>주당</v>
          </cell>
          <cell r="E3">
            <v>497073</v>
          </cell>
          <cell r="F3">
            <v>96069</v>
          </cell>
          <cell r="G3">
            <v>6562</v>
          </cell>
          <cell r="H3">
            <v>599704</v>
          </cell>
        </row>
        <row r="4">
          <cell r="A4">
            <v>3</v>
          </cell>
          <cell r="B4" t="str">
            <v>소나무(소) 식재</v>
          </cell>
          <cell r="C4" t="str">
            <v>H4.0xW2.0xR15</v>
          </cell>
          <cell r="D4" t="str">
            <v>주당</v>
          </cell>
          <cell r="E4">
            <v>357530</v>
          </cell>
          <cell r="F4">
            <v>66317</v>
          </cell>
          <cell r="G4">
            <v>4484</v>
          </cell>
          <cell r="H4">
            <v>428331</v>
          </cell>
        </row>
        <row r="5">
          <cell r="A5">
            <v>4</v>
          </cell>
          <cell r="B5" t="str">
            <v>스트로브잣나무 식재</v>
          </cell>
          <cell r="C5" t="str">
            <v>H3.5 x W1.8</v>
          </cell>
          <cell r="D5" t="str">
            <v>주당</v>
          </cell>
          <cell r="E5">
            <v>120274</v>
          </cell>
          <cell r="F5">
            <v>19168</v>
          </cell>
          <cell r="G5">
            <v>1312</v>
          </cell>
          <cell r="H5">
            <v>140754</v>
          </cell>
        </row>
        <row r="6">
          <cell r="A6">
            <v>5</v>
          </cell>
          <cell r="B6" t="str">
            <v>선 주 목 식재</v>
          </cell>
          <cell r="C6" t="str">
            <v>H2.0 x W1.0</v>
          </cell>
          <cell r="D6" t="str">
            <v>주당</v>
          </cell>
          <cell r="E6">
            <v>171900</v>
          </cell>
          <cell r="F6">
            <v>10361</v>
          </cell>
          <cell r="G6">
            <v>0</v>
          </cell>
          <cell r="H6">
            <v>182261</v>
          </cell>
        </row>
        <row r="7">
          <cell r="A7">
            <v>6</v>
          </cell>
          <cell r="B7" t="str">
            <v>느티나무 식재</v>
          </cell>
          <cell r="C7" t="str">
            <v>H4.5 x R25</v>
          </cell>
          <cell r="D7" t="str">
            <v>주당</v>
          </cell>
          <cell r="E7">
            <v>1052642</v>
          </cell>
          <cell r="F7">
            <v>122076</v>
          </cell>
          <cell r="G7">
            <v>7328</v>
          </cell>
          <cell r="H7">
            <v>1182046</v>
          </cell>
        </row>
        <row r="8">
          <cell r="A8">
            <v>7</v>
          </cell>
          <cell r="B8" t="str">
            <v>느티나무 식재</v>
          </cell>
          <cell r="C8" t="str">
            <v>H4.0 x R15</v>
          </cell>
          <cell r="D8" t="str">
            <v>주당</v>
          </cell>
          <cell r="E8">
            <v>368630</v>
          </cell>
          <cell r="F8">
            <v>66317</v>
          </cell>
          <cell r="G8">
            <v>4484</v>
          </cell>
          <cell r="H8">
            <v>439431</v>
          </cell>
        </row>
        <row r="9">
          <cell r="A9">
            <v>8</v>
          </cell>
          <cell r="B9" t="str">
            <v>산벚나무 식재</v>
          </cell>
          <cell r="C9" t="str">
            <v>H4.0 x B12</v>
          </cell>
          <cell r="D9" t="str">
            <v>주당</v>
          </cell>
          <cell r="E9">
            <v>230349</v>
          </cell>
          <cell r="F9">
            <v>65318</v>
          </cell>
          <cell r="G9">
            <v>4375</v>
          </cell>
          <cell r="H9">
            <v>300042</v>
          </cell>
        </row>
        <row r="10">
          <cell r="A10">
            <v>9</v>
          </cell>
          <cell r="B10" t="str">
            <v>청단풍 식재</v>
          </cell>
          <cell r="C10" t="str">
            <v>H3.0 x R10</v>
          </cell>
          <cell r="D10" t="str">
            <v>주당</v>
          </cell>
          <cell r="E10">
            <v>151249</v>
          </cell>
          <cell r="F10">
            <v>39086</v>
          </cell>
          <cell r="G10">
            <v>2625</v>
          </cell>
          <cell r="H10">
            <v>192960</v>
          </cell>
        </row>
        <row r="11">
          <cell r="A11">
            <v>10</v>
          </cell>
          <cell r="B11" t="str">
            <v>목련 식재</v>
          </cell>
          <cell r="C11" t="str">
            <v>H2.5 x R8</v>
          </cell>
          <cell r="D11" t="str">
            <v>주당</v>
          </cell>
          <cell r="E11">
            <v>81500</v>
          </cell>
          <cell r="F11">
            <v>39234</v>
          </cell>
          <cell r="G11">
            <v>0</v>
          </cell>
          <cell r="H11">
            <v>120734</v>
          </cell>
        </row>
        <row r="12">
          <cell r="A12">
            <v>11</v>
          </cell>
          <cell r="B12" t="str">
            <v>자작나무 식재</v>
          </cell>
          <cell r="C12" t="str">
            <v>H3.5 x B8</v>
          </cell>
          <cell r="D12" t="str">
            <v>주당</v>
          </cell>
          <cell r="E12">
            <v>120049</v>
          </cell>
          <cell r="F12">
            <v>38337</v>
          </cell>
          <cell r="G12">
            <v>2625</v>
          </cell>
          <cell r="H12">
            <v>161011</v>
          </cell>
        </row>
        <row r="13">
          <cell r="A13">
            <v>12</v>
          </cell>
          <cell r="B13" t="str">
            <v>이팝나무 식재</v>
          </cell>
          <cell r="C13" t="str">
            <v>H3.5 x R10</v>
          </cell>
          <cell r="D13" t="str">
            <v>주당</v>
          </cell>
          <cell r="E13">
            <v>135249</v>
          </cell>
          <cell r="F13">
            <v>39086</v>
          </cell>
          <cell r="G13">
            <v>2625</v>
          </cell>
          <cell r="H13">
            <v>176960</v>
          </cell>
        </row>
        <row r="14">
          <cell r="A14">
            <v>13</v>
          </cell>
          <cell r="B14" t="str">
            <v>산사나무 식재</v>
          </cell>
          <cell r="C14" t="str">
            <v>H3.0 x R8</v>
          </cell>
          <cell r="D14" t="str">
            <v>주당</v>
          </cell>
          <cell r="E14">
            <v>114100</v>
          </cell>
          <cell r="F14">
            <v>39234</v>
          </cell>
          <cell r="G14">
            <v>0</v>
          </cell>
          <cell r="H14">
            <v>153334</v>
          </cell>
        </row>
        <row r="15">
          <cell r="A15">
            <v>14</v>
          </cell>
          <cell r="B15" t="str">
            <v>자귀나무 식재</v>
          </cell>
          <cell r="C15" t="str">
            <v>H3.0 x R8</v>
          </cell>
          <cell r="D15" t="str">
            <v>주당</v>
          </cell>
          <cell r="E15">
            <v>97600</v>
          </cell>
          <cell r="F15">
            <v>39234</v>
          </cell>
          <cell r="G15">
            <v>0</v>
          </cell>
          <cell r="H15">
            <v>136834</v>
          </cell>
        </row>
        <row r="16">
          <cell r="A16">
            <v>15</v>
          </cell>
          <cell r="B16" t="str">
            <v>회 양 목 식재</v>
          </cell>
          <cell r="C16" t="str">
            <v>H0.3 x W0.3</v>
          </cell>
          <cell r="D16" t="str">
            <v>주당</v>
          </cell>
          <cell r="E16">
            <v>2975</v>
          </cell>
          <cell r="F16">
            <v>1340</v>
          </cell>
          <cell r="G16">
            <v>0</v>
          </cell>
          <cell r="H16">
            <v>4315</v>
          </cell>
        </row>
        <row r="17">
          <cell r="A17">
            <v>16</v>
          </cell>
          <cell r="B17" t="str">
            <v>앵두나무 식재</v>
          </cell>
          <cell r="C17" t="str">
            <v>H1.8 x W1.2</v>
          </cell>
          <cell r="D17" t="str">
            <v>주당</v>
          </cell>
          <cell r="E17">
            <v>4235</v>
          </cell>
          <cell r="F17">
            <v>3339</v>
          </cell>
          <cell r="G17">
            <v>0</v>
          </cell>
          <cell r="H17">
            <v>7574</v>
          </cell>
        </row>
        <row r="18">
          <cell r="A18">
            <v>17</v>
          </cell>
          <cell r="B18" t="str">
            <v>백 철 쭉 식재</v>
          </cell>
          <cell r="C18" t="str">
            <v>H0.3 x W0.3</v>
          </cell>
          <cell r="D18" t="str">
            <v>주당</v>
          </cell>
          <cell r="E18">
            <v>1595</v>
          </cell>
          <cell r="F18">
            <v>1340</v>
          </cell>
          <cell r="G18">
            <v>0</v>
          </cell>
          <cell r="H18">
            <v>2935</v>
          </cell>
        </row>
        <row r="19">
          <cell r="A19">
            <v>18</v>
          </cell>
          <cell r="B19" t="str">
            <v>자 산 홍 식재</v>
          </cell>
          <cell r="C19" t="str">
            <v>H0.3 x W0.3</v>
          </cell>
          <cell r="D19" t="str">
            <v>주당</v>
          </cell>
          <cell r="E19">
            <v>1675</v>
          </cell>
          <cell r="F19">
            <v>1340</v>
          </cell>
          <cell r="G19">
            <v>0</v>
          </cell>
          <cell r="H19">
            <v>3015</v>
          </cell>
        </row>
        <row r="20">
          <cell r="A20">
            <v>19</v>
          </cell>
          <cell r="B20" t="str">
            <v>조팝나무 식재</v>
          </cell>
          <cell r="C20" t="str">
            <v>H0.6 x W0.3</v>
          </cell>
          <cell r="D20" t="str">
            <v>주당</v>
          </cell>
          <cell r="E20">
            <v>1175</v>
          </cell>
          <cell r="F20">
            <v>1340</v>
          </cell>
          <cell r="G20">
            <v>0</v>
          </cell>
          <cell r="H20">
            <v>2515</v>
          </cell>
        </row>
        <row r="21">
          <cell r="A21">
            <v>20</v>
          </cell>
          <cell r="B21" t="str">
            <v>산 철 쭉 식재</v>
          </cell>
          <cell r="C21" t="str">
            <v>H0.3 x W0.3</v>
          </cell>
          <cell r="D21" t="str">
            <v>주당</v>
          </cell>
          <cell r="E21">
            <v>1345</v>
          </cell>
          <cell r="F21">
            <v>1340</v>
          </cell>
          <cell r="G21">
            <v>0</v>
          </cell>
          <cell r="H21">
            <v>2685</v>
          </cell>
        </row>
        <row r="22">
          <cell r="A22">
            <v>21</v>
          </cell>
          <cell r="B22" t="str">
            <v>영 산 홍 식재</v>
          </cell>
          <cell r="C22" t="str">
            <v>H0.3 x W0.3</v>
          </cell>
          <cell r="D22" t="str">
            <v>주당</v>
          </cell>
          <cell r="E22">
            <v>1475</v>
          </cell>
          <cell r="F22">
            <v>1340</v>
          </cell>
          <cell r="G22">
            <v>0</v>
          </cell>
          <cell r="H22">
            <v>2815</v>
          </cell>
        </row>
        <row r="23">
          <cell r="A23">
            <v>22</v>
          </cell>
          <cell r="B23" t="str">
            <v>잔디 식재</v>
          </cell>
          <cell r="C23" t="str">
            <v>0.3x0.3x0.03</v>
          </cell>
          <cell r="D23" t="str">
            <v>m2당</v>
          </cell>
          <cell r="E23">
            <v>3410</v>
          </cell>
          <cell r="F23">
            <v>3613</v>
          </cell>
          <cell r="G23">
            <v>0</v>
          </cell>
          <cell r="H23">
            <v>7023</v>
          </cell>
        </row>
        <row r="24">
          <cell r="A24">
            <v>23</v>
          </cell>
          <cell r="B24" t="str">
            <v>수목제거</v>
          </cell>
          <cell r="C24" t="str">
            <v>R18(R15~20,벌목+제근)</v>
          </cell>
          <cell r="D24" t="str">
            <v>주당</v>
          </cell>
          <cell r="E24">
            <v>1196</v>
          </cell>
          <cell r="F24">
            <v>46465</v>
          </cell>
          <cell r="G24">
            <v>2552</v>
          </cell>
          <cell r="H24">
            <v>50213</v>
          </cell>
        </row>
        <row r="25">
          <cell r="A25">
            <v>24</v>
          </cell>
          <cell r="B25" t="str">
            <v>간판석</v>
          </cell>
          <cell r="C25">
            <v>0</v>
          </cell>
          <cell r="D25" t="str">
            <v>개소</v>
          </cell>
          <cell r="E25">
            <v>5545445</v>
          </cell>
          <cell r="F25">
            <v>332331</v>
          </cell>
          <cell r="G25">
            <v>31905</v>
          </cell>
          <cell r="H25">
            <v>5909681</v>
          </cell>
        </row>
        <row r="26">
          <cell r="A26">
            <v>25</v>
          </cell>
          <cell r="B26" t="str">
            <v>볼라드</v>
          </cell>
          <cell r="C26">
            <v>0</v>
          </cell>
          <cell r="D26" t="str">
            <v>개소</v>
          </cell>
          <cell r="E26">
            <v>354039</v>
          </cell>
          <cell r="F26">
            <v>33884</v>
          </cell>
          <cell r="G26">
            <v>0</v>
          </cell>
          <cell r="H26">
            <v>387923</v>
          </cell>
        </row>
        <row r="27">
          <cell r="A27">
            <v>26</v>
          </cell>
          <cell r="B27" t="str">
            <v>막구조파고라</v>
          </cell>
          <cell r="D27" t="str">
            <v>개소</v>
          </cell>
          <cell r="E27">
            <v>20366534</v>
          </cell>
          <cell r="F27">
            <v>314801</v>
          </cell>
          <cell r="G27">
            <v>552</v>
          </cell>
          <cell r="H27">
            <v>20681887</v>
          </cell>
        </row>
        <row r="28">
          <cell r="A28">
            <v>27</v>
          </cell>
          <cell r="B28" t="str">
            <v>앉음벽</v>
          </cell>
          <cell r="C28">
            <v>0</v>
          </cell>
          <cell r="D28" t="str">
            <v>개소</v>
          </cell>
          <cell r="E28">
            <v>224427</v>
          </cell>
          <cell r="F28">
            <v>159470</v>
          </cell>
          <cell r="G28">
            <v>3776</v>
          </cell>
          <cell r="H28">
            <v>387673</v>
          </cell>
        </row>
        <row r="29">
          <cell r="A29">
            <v>28</v>
          </cell>
          <cell r="B29" t="str">
            <v>플랜터</v>
          </cell>
          <cell r="C29">
            <v>0</v>
          </cell>
          <cell r="D29" t="str">
            <v>개소</v>
          </cell>
          <cell r="E29">
            <v>864102</v>
          </cell>
          <cell r="F29">
            <v>1317839</v>
          </cell>
          <cell r="G29">
            <v>30472</v>
          </cell>
          <cell r="H29">
            <v>2212413</v>
          </cell>
        </row>
        <row r="30">
          <cell r="A30">
            <v>29</v>
          </cell>
          <cell r="B30" t="str">
            <v>스탠드</v>
          </cell>
          <cell r="C30" t="str">
            <v xml:space="preserve"> </v>
          </cell>
          <cell r="D30" t="str">
            <v>개소</v>
          </cell>
          <cell r="E30">
            <v>3585726</v>
          </cell>
          <cell r="F30">
            <v>4700323</v>
          </cell>
          <cell r="G30">
            <v>108294</v>
          </cell>
          <cell r="H30">
            <v>8394343</v>
          </cell>
        </row>
        <row r="31">
          <cell r="A31">
            <v>30</v>
          </cell>
          <cell r="B31" t="str">
            <v>스탠드관람석</v>
          </cell>
          <cell r="C31">
            <v>0</v>
          </cell>
          <cell r="D31" t="str">
            <v>m</v>
          </cell>
          <cell r="E31">
            <v>121868</v>
          </cell>
          <cell r="F31">
            <v>165445</v>
          </cell>
          <cell r="G31">
            <v>3869</v>
          </cell>
          <cell r="H31">
            <v>291182</v>
          </cell>
        </row>
        <row r="32">
          <cell r="A32">
            <v>31</v>
          </cell>
          <cell r="B32" t="str">
            <v>스탠드계단</v>
          </cell>
          <cell r="C32">
            <v>0</v>
          </cell>
          <cell r="D32" t="str">
            <v>개소</v>
          </cell>
          <cell r="E32">
            <v>301588</v>
          </cell>
          <cell r="F32">
            <v>319242</v>
          </cell>
          <cell r="G32">
            <v>7698</v>
          </cell>
          <cell r="H32">
            <v>628528</v>
          </cell>
        </row>
        <row r="33">
          <cell r="A33">
            <v>32</v>
          </cell>
          <cell r="B33" t="str">
            <v>스탠드날개벽</v>
          </cell>
          <cell r="C33">
            <v>0</v>
          </cell>
          <cell r="D33" t="str">
            <v>개소</v>
          </cell>
          <cell r="E33">
            <v>133988</v>
          </cell>
          <cell r="F33">
            <v>233393</v>
          </cell>
          <cell r="G33">
            <v>4297</v>
          </cell>
          <cell r="H33">
            <v>371678</v>
          </cell>
        </row>
        <row r="34">
          <cell r="A34">
            <v>33</v>
          </cell>
          <cell r="B34" t="str">
            <v>자연석쌓기</v>
          </cell>
          <cell r="C34" t="str">
            <v>20ton이상</v>
          </cell>
          <cell r="D34" t="str">
            <v>m</v>
          </cell>
          <cell r="E34">
            <v>98841</v>
          </cell>
          <cell r="F34">
            <v>186467</v>
          </cell>
          <cell r="G34">
            <v>21883</v>
          </cell>
          <cell r="H34">
            <v>307191</v>
          </cell>
        </row>
        <row r="35">
          <cell r="A35">
            <v>34</v>
          </cell>
          <cell r="B35" t="str">
            <v>휀스</v>
          </cell>
          <cell r="C35" t="str">
            <v>H600xL2.0m</v>
          </cell>
          <cell r="D35" t="str">
            <v>m</v>
          </cell>
          <cell r="E35">
            <v>124528</v>
          </cell>
          <cell r="F35">
            <v>20489</v>
          </cell>
          <cell r="G35">
            <v>0</v>
          </cell>
          <cell r="H35">
            <v>145017</v>
          </cell>
        </row>
        <row r="36">
          <cell r="A36">
            <v>35</v>
          </cell>
          <cell r="B36" t="str">
            <v>집수정</v>
          </cell>
          <cell r="C36" t="str">
            <v>800x800xH1000</v>
          </cell>
          <cell r="D36" t="str">
            <v>개소</v>
          </cell>
          <cell r="E36">
            <v>113304</v>
          </cell>
          <cell r="F36">
            <v>106329</v>
          </cell>
          <cell r="G36">
            <v>13233</v>
          </cell>
          <cell r="H36">
            <v>232866</v>
          </cell>
        </row>
        <row r="37">
          <cell r="A37">
            <v>36</v>
          </cell>
          <cell r="B37" t="str">
            <v>빗물받이</v>
          </cell>
          <cell r="C37" t="str">
            <v>PE제품</v>
          </cell>
          <cell r="D37" t="str">
            <v>개소</v>
          </cell>
          <cell r="E37">
            <v>33000</v>
          </cell>
          <cell r="F37">
            <v>26909</v>
          </cell>
          <cell r="G37">
            <v>0</v>
          </cell>
          <cell r="H37">
            <v>59909</v>
          </cell>
        </row>
        <row r="38">
          <cell r="A38">
            <v>37</v>
          </cell>
          <cell r="B38" t="str">
            <v>트렌치</v>
          </cell>
          <cell r="C38" t="str">
            <v>D250xL2.5m</v>
          </cell>
          <cell r="D38" t="str">
            <v>m</v>
          </cell>
          <cell r="E38">
            <v>32292</v>
          </cell>
          <cell r="F38">
            <v>30147</v>
          </cell>
          <cell r="G38">
            <v>277</v>
          </cell>
          <cell r="H38">
            <v>62716</v>
          </cell>
        </row>
        <row r="39">
          <cell r="A39">
            <v>38</v>
          </cell>
          <cell r="B39" t="str">
            <v>연결관A</v>
          </cell>
          <cell r="C39" t="str">
            <v>흄관,D250xL2.5m</v>
          </cell>
          <cell r="D39" t="str">
            <v>m</v>
          </cell>
          <cell r="E39">
            <v>11057</v>
          </cell>
          <cell r="F39">
            <v>28211</v>
          </cell>
          <cell r="G39">
            <v>244</v>
          </cell>
          <cell r="H39">
            <v>39512</v>
          </cell>
        </row>
        <row r="40">
          <cell r="A40">
            <v>39</v>
          </cell>
          <cell r="B40" t="str">
            <v>연결관B</v>
          </cell>
          <cell r="C40" t="str">
            <v>PE이중벽관,D150</v>
          </cell>
          <cell r="D40" t="str">
            <v>m</v>
          </cell>
          <cell r="E40">
            <v>12660</v>
          </cell>
          <cell r="F40">
            <v>878</v>
          </cell>
          <cell r="G40">
            <v>106</v>
          </cell>
          <cell r="H40">
            <v>13644</v>
          </cell>
        </row>
        <row r="41">
          <cell r="A41">
            <v>40</v>
          </cell>
          <cell r="B41" t="str">
            <v>소형고압블럭포장</v>
          </cell>
          <cell r="C41" t="str">
            <v>I-2형,T60,회색</v>
          </cell>
          <cell r="D41" t="str">
            <v>m2</v>
          </cell>
          <cell r="E41">
            <v>7254</v>
          </cell>
          <cell r="F41">
            <v>13807</v>
          </cell>
          <cell r="G41">
            <v>324</v>
          </cell>
          <cell r="H41">
            <v>21385</v>
          </cell>
        </row>
        <row r="42">
          <cell r="A42">
            <v>41</v>
          </cell>
          <cell r="B42" t="str">
            <v>소형고압블럭포장</v>
          </cell>
          <cell r="C42" t="str">
            <v>I-2형,T60,흑,적,갈색</v>
          </cell>
          <cell r="D42" t="str">
            <v>m2</v>
          </cell>
          <cell r="E42">
            <v>7754</v>
          </cell>
          <cell r="F42">
            <v>13807</v>
          </cell>
          <cell r="G42">
            <v>324</v>
          </cell>
          <cell r="H42">
            <v>21885</v>
          </cell>
        </row>
        <row r="43">
          <cell r="A43">
            <v>42</v>
          </cell>
          <cell r="B43" t="str">
            <v>고무블럭포장</v>
          </cell>
          <cell r="C43">
            <v>0</v>
          </cell>
          <cell r="D43" t="str">
            <v>m2</v>
          </cell>
          <cell r="E43">
            <v>58009</v>
          </cell>
          <cell r="F43">
            <v>16926</v>
          </cell>
          <cell r="G43">
            <v>400</v>
          </cell>
          <cell r="H43">
            <v>75335</v>
          </cell>
        </row>
        <row r="44">
          <cell r="A44">
            <v>43</v>
          </cell>
          <cell r="B44" t="str">
            <v>우레탄포장</v>
          </cell>
          <cell r="C44" t="str">
            <v>T5.0mm</v>
          </cell>
          <cell r="D44" t="str">
            <v>m2</v>
          </cell>
          <cell r="E44">
            <v>52857</v>
          </cell>
          <cell r="F44">
            <v>8980</v>
          </cell>
          <cell r="G44">
            <v>348</v>
          </cell>
          <cell r="H44">
            <v>62185</v>
          </cell>
        </row>
        <row r="45">
          <cell r="A45">
            <v>44</v>
          </cell>
          <cell r="B45" t="str">
            <v>경계블럭</v>
          </cell>
          <cell r="C45" t="str">
            <v>190x160xT100</v>
          </cell>
          <cell r="D45" t="str">
            <v>m</v>
          </cell>
          <cell r="E45">
            <v>9401</v>
          </cell>
          <cell r="F45">
            <v>10979</v>
          </cell>
          <cell r="G45">
            <v>127</v>
          </cell>
          <cell r="H45">
            <v>20508</v>
          </cell>
        </row>
        <row r="46">
          <cell r="A46">
            <v>45</v>
          </cell>
          <cell r="B46" t="str">
            <v>포장경계</v>
          </cell>
          <cell r="C46" t="str">
            <v>100x100x1000</v>
          </cell>
          <cell r="D46" t="str">
            <v>m</v>
          </cell>
          <cell r="E46">
            <v>8691</v>
          </cell>
          <cell r="F46">
            <v>8656</v>
          </cell>
          <cell r="G46">
            <v>0</v>
          </cell>
          <cell r="H46">
            <v>17348</v>
          </cell>
        </row>
        <row r="47">
          <cell r="A47">
            <v>46</v>
          </cell>
          <cell r="B47" t="str">
            <v>터파기(인력)</v>
          </cell>
          <cell r="C47" t="str">
            <v>보통토사,0~1m,협소/독립</v>
          </cell>
          <cell r="D47" t="str">
            <v>M3</v>
          </cell>
          <cell r="E47">
            <v>0</v>
          </cell>
          <cell r="F47">
            <v>10474</v>
          </cell>
          <cell r="G47">
            <v>0</v>
          </cell>
          <cell r="H47">
            <v>10474</v>
          </cell>
        </row>
        <row r="48">
          <cell r="A48">
            <v>47</v>
          </cell>
          <cell r="B48" t="str">
            <v>절취(인력)</v>
          </cell>
          <cell r="C48" t="str">
            <v>보통토사</v>
          </cell>
          <cell r="D48" t="str">
            <v>M3</v>
          </cell>
          <cell r="E48">
            <v>0</v>
          </cell>
          <cell r="F48">
            <v>8379</v>
          </cell>
          <cell r="G48">
            <v>0</v>
          </cell>
          <cell r="H48">
            <v>8379</v>
          </cell>
        </row>
        <row r="49">
          <cell r="A49">
            <v>48</v>
          </cell>
          <cell r="B49" t="str">
            <v>잔토처리(인력)</v>
          </cell>
          <cell r="C49" t="str">
            <v>현장내</v>
          </cell>
          <cell r="D49" t="str">
            <v>M3</v>
          </cell>
          <cell r="E49">
            <v>0</v>
          </cell>
          <cell r="F49">
            <v>10474</v>
          </cell>
          <cell r="G49">
            <v>0</v>
          </cell>
          <cell r="H49">
            <v>10474</v>
          </cell>
        </row>
        <row r="50">
          <cell r="A50">
            <v>49</v>
          </cell>
          <cell r="B50" t="str">
            <v>되메우기및다짐</v>
          </cell>
          <cell r="C50" t="str">
            <v>인력</v>
          </cell>
          <cell r="D50" t="str">
            <v>M3</v>
          </cell>
          <cell r="E50">
            <v>0</v>
          </cell>
          <cell r="F50">
            <v>10997</v>
          </cell>
          <cell r="G50">
            <v>0</v>
          </cell>
          <cell r="H50">
            <v>10997</v>
          </cell>
        </row>
        <row r="51">
          <cell r="A51">
            <v>50</v>
          </cell>
          <cell r="B51" t="str">
            <v>자갈부설</v>
          </cell>
          <cell r="C51">
            <v>0</v>
          </cell>
          <cell r="D51" t="str">
            <v>M3</v>
          </cell>
          <cell r="E51">
            <v>3358</v>
          </cell>
          <cell r="F51">
            <v>61049</v>
          </cell>
          <cell r="G51">
            <v>1969</v>
          </cell>
          <cell r="H51">
            <v>66376</v>
          </cell>
        </row>
        <row r="52">
          <cell r="A52">
            <v>51</v>
          </cell>
          <cell r="B52" t="str">
            <v>잡석다짐</v>
          </cell>
          <cell r="C52" t="str">
            <v>인력</v>
          </cell>
          <cell r="D52" t="str">
            <v>M3</v>
          </cell>
          <cell r="E52">
            <v>12480</v>
          </cell>
          <cell r="F52">
            <v>57607</v>
          </cell>
          <cell r="G52">
            <v>1152</v>
          </cell>
          <cell r="H52">
            <v>71239</v>
          </cell>
        </row>
        <row r="53">
          <cell r="A53">
            <v>52</v>
          </cell>
          <cell r="B53" t="str">
            <v>몰     탈</v>
          </cell>
          <cell r="C53" t="str">
            <v>1:1</v>
          </cell>
          <cell r="D53" t="str">
            <v>M3</v>
          </cell>
          <cell r="E53">
            <v>75796</v>
          </cell>
          <cell r="F53">
            <v>54660</v>
          </cell>
          <cell r="G53">
            <v>23962</v>
          </cell>
          <cell r="H53">
            <v>154418</v>
          </cell>
        </row>
        <row r="54">
          <cell r="A54">
            <v>53</v>
          </cell>
          <cell r="B54" t="str">
            <v>몰     탈</v>
          </cell>
          <cell r="C54" t="str">
            <v>1:2</v>
          </cell>
          <cell r="D54" t="str">
            <v>M3</v>
          </cell>
          <cell r="E54">
            <v>52283</v>
          </cell>
          <cell r="F54">
            <v>55247</v>
          </cell>
          <cell r="G54">
            <v>15739</v>
          </cell>
          <cell r="H54">
            <v>123269</v>
          </cell>
        </row>
        <row r="55">
          <cell r="A55">
            <v>54</v>
          </cell>
          <cell r="B55" t="str">
            <v>몰     탈</v>
          </cell>
          <cell r="C55" t="str">
            <v>1:3</v>
          </cell>
          <cell r="D55" t="str">
            <v>M3</v>
          </cell>
          <cell r="E55">
            <v>42996</v>
          </cell>
          <cell r="F55">
            <v>55599</v>
          </cell>
          <cell r="G55">
            <v>12417</v>
          </cell>
          <cell r="H55">
            <v>111012</v>
          </cell>
        </row>
        <row r="56">
          <cell r="A56">
            <v>55</v>
          </cell>
          <cell r="B56" t="str">
            <v>레미콘타설</v>
          </cell>
          <cell r="C56" t="str">
            <v>무근</v>
          </cell>
          <cell r="D56" t="str">
            <v>M3</v>
          </cell>
          <cell r="E56">
            <v>0</v>
          </cell>
          <cell r="F56">
            <v>27362</v>
          </cell>
          <cell r="G56">
            <v>0</v>
          </cell>
          <cell r="H56">
            <v>27362</v>
          </cell>
        </row>
        <row r="57">
          <cell r="A57">
            <v>56</v>
          </cell>
          <cell r="B57" t="str">
            <v>레미콘타설</v>
          </cell>
          <cell r="C57" t="str">
            <v>소형</v>
          </cell>
          <cell r="D57" t="str">
            <v>M3</v>
          </cell>
          <cell r="E57">
            <v>0</v>
          </cell>
          <cell r="F57">
            <v>43151</v>
          </cell>
          <cell r="G57">
            <v>0</v>
          </cell>
          <cell r="H57">
            <v>43151</v>
          </cell>
        </row>
        <row r="58">
          <cell r="A58">
            <v>57</v>
          </cell>
          <cell r="B58" t="str">
            <v>합판거푸집(1회)</v>
          </cell>
          <cell r="C58" t="str">
            <v>보통</v>
          </cell>
          <cell r="D58" t="str">
            <v>M2</v>
          </cell>
          <cell r="E58">
            <v>11650</v>
          </cell>
          <cell r="F58">
            <v>40764</v>
          </cell>
          <cell r="G58">
            <v>0</v>
          </cell>
          <cell r="H58">
            <v>52414</v>
          </cell>
        </row>
        <row r="59">
          <cell r="A59">
            <v>58</v>
          </cell>
          <cell r="B59" t="str">
            <v>합판거푸집(6회)</v>
          </cell>
          <cell r="C59" t="str">
            <v>보통</v>
          </cell>
          <cell r="D59" t="str">
            <v>M2</v>
          </cell>
          <cell r="E59">
            <v>4042</v>
          </cell>
          <cell r="F59">
            <v>13044</v>
          </cell>
          <cell r="G59">
            <v>0</v>
          </cell>
          <cell r="H59">
            <v>17086</v>
          </cell>
        </row>
        <row r="60">
          <cell r="A60">
            <v>59</v>
          </cell>
          <cell r="B60" t="str">
            <v>합판거푸집(1회)</v>
          </cell>
          <cell r="C60" t="str">
            <v>소형구조물</v>
          </cell>
          <cell r="D60" t="str">
            <v>M2</v>
          </cell>
          <cell r="E60">
            <v>11650</v>
          </cell>
          <cell r="F60">
            <v>52993</v>
          </cell>
          <cell r="G60">
            <v>0</v>
          </cell>
          <cell r="H60">
            <v>64643</v>
          </cell>
        </row>
        <row r="61">
          <cell r="A61">
            <v>60</v>
          </cell>
          <cell r="B61" t="str">
            <v>합판거푸집(6회)</v>
          </cell>
          <cell r="C61" t="str">
            <v>소형구조물</v>
          </cell>
          <cell r="D61" t="str">
            <v>M2</v>
          </cell>
          <cell r="E61">
            <v>4042</v>
          </cell>
          <cell r="F61">
            <v>16957</v>
          </cell>
          <cell r="G61">
            <v>0</v>
          </cell>
          <cell r="H61">
            <v>20999</v>
          </cell>
        </row>
        <row r="62">
          <cell r="A62">
            <v>61</v>
          </cell>
          <cell r="B62" t="str">
            <v>철근가공및조립</v>
          </cell>
          <cell r="C62" t="str">
            <v>간단,소형</v>
          </cell>
          <cell r="D62" t="str">
            <v>kg</v>
          </cell>
          <cell r="E62">
            <v>3</v>
          </cell>
          <cell r="F62">
            <v>628</v>
          </cell>
          <cell r="G62">
            <v>13</v>
          </cell>
          <cell r="H62">
            <v>644</v>
          </cell>
        </row>
        <row r="63">
          <cell r="A63">
            <v>62</v>
          </cell>
          <cell r="B63" t="str">
            <v>잡철물제작설치</v>
          </cell>
          <cell r="C63" t="str">
            <v>철재, 간단</v>
          </cell>
          <cell r="D63" t="str">
            <v>kg</v>
          </cell>
          <cell r="E63">
            <v>54</v>
          </cell>
          <cell r="F63">
            <v>2235</v>
          </cell>
          <cell r="G63">
            <v>154</v>
          </cell>
          <cell r="H63">
            <v>2443</v>
          </cell>
        </row>
        <row r="64">
          <cell r="A64">
            <v>63</v>
          </cell>
          <cell r="B64" t="str">
            <v>잡철물제작설치</v>
          </cell>
          <cell r="C64" t="str">
            <v>스텐, 간단</v>
          </cell>
          <cell r="D64" t="str">
            <v>kg</v>
          </cell>
          <cell r="E64">
            <v>106</v>
          </cell>
          <cell r="F64">
            <v>2614</v>
          </cell>
          <cell r="G64">
            <v>180</v>
          </cell>
          <cell r="H64">
            <v>2900</v>
          </cell>
        </row>
        <row r="65">
          <cell r="A65">
            <v>64</v>
          </cell>
          <cell r="B65" t="str">
            <v>잡철물제작설치</v>
          </cell>
          <cell r="C65" t="str">
            <v>스텐, 복잡</v>
          </cell>
          <cell r="D65" t="str">
            <v>kg</v>
          </cell>
          <cell r="E65">
            <v>148</v>
          </cell>
          <cell r="F65">
            <v>3659</v>
          </cell>
          <cell r="G65">
            <v>252</v>
          </cell>
          <cell r="H65">
            <v>4059</v>
          </cell>
        </row>
        <row r="66">
          <cell r="A66">
            <v>65</v>
          </cell>
          <cell r="B66" t="str">
            <v>화강석설치</v>
          </cell>
          <cell r="C66" t="str">
            <v>화강경계석설치준용</v>
          </cell>
          <cell r="D66" t="str">
            <v>m3</v>
          </cell>
          <cell r="E66">
            <v>0</v>
          </cell>
          <cell r="F66">
            <v>323539</v>
          </cell>
          <cell r="G66">
            <v>0</v>
          </cell>
          <cell r="H66">
            <v>323539</v>
          </cell>
        </row>
        <row r="67">
          <cell r="A67">
            <v>66</v>
          </cell>
          <cell r="B67" t="str">
            <v>타일붙임</v>
          </cell>
          <cell r="C67" t="str">
            <v>바름두께12mm,벽,특수타일(50%할증)</v>
          </cell>
          <cell r="D67" t="str">
            <v>m2</v>
          </cell>
          <cell r="E67">
            <v>980</v>
          </cell>
          <cell r="F67">
            <v>63756</v>
          </cell>
          <cell r="G67">
            <v>2205</v>
          </cell>
          <cell r="H67">
            <v>66941</v>
          </cell>
        </row>
        <row r="68">
          <cell r="A68">
            <v>67</v>
          </cell>
          <cell r="B68" t="str">
            <v>벽돌쌓기</v>
          </cell>
          <cell r="C68" t="str">
            <v>표준형,0.5B쌓기,5000매미만</v>
          </cell>
          <cell r="D68" t="str">
            <v>매</v>
          </cell>
          <cell r="E68">
            <v>21</v>
          </cell>
          <cell r="F68">
            <v>252</v>
          </cell>
          <cell r="G68">
            <v>6</v>
          </cell>
          <cell r="H68">
            <v>279</v>
          </cell>
        </row>
        <row r="69">
          <cell r="A69">
            <v>68</v>
          </cell>
          <cell r="B69" t="str">
            <v>벽돌쌓기</v>
          </cell>
          <cell r="C69" t="str">
            <v>표준형,1.0B쌓기,5000매미만</v>
          </cell>
          <cell r="D69" t="str">
            <v>매</v>
          </cell>
          <cell r="E69">
            <v>28</v>
          </cell>
          <cell r="F69">
            <v>231</v>
          </cell>
          <cell r="G69">
            <v>8</v>
          </cell>
          <cell r="H69">
            <v>267</v>
          </cell>
        </row>
        <row r="70">
          <cell r="A70">
            <v>69</v>
          </cell>
          <cell r="B70" t="str">
            <v>벽돌쌓기</v>
          </cell>
          <cell r="C70" t="str">
            <v>표준형,2.0B쌓기,5000매미만</v>
          </cell>
          <cell r="D70" t="str">
            <v>매</v>
          </cell>
          <cell r="E70">
            <v>30</v>
          </cell>
          <cell r="F70">
            <v>181</v>
          </cell>
          <cell r="G70">
            <v>8</v>
          </cell>
          <cell r="H70">
            <v>219</v>
          </cell>
        </row>
        <row r="71">
          <cell r="A71">
            <v>70</v>
          </cell>
          <cell r="B71" t="str">
            <v>치장쌓기및줄눈</v>
          </cell>
          <cell r="C71" t="str">
            <v>표준형,0.5B쌓기,5000매미만</v>
          </cell>
          <cell r="D71" t="str">
            <v>매</v>
          </cell>
          <cell r="E71">
            <v>25</v>
          </cell>
          <cell r="F71">
            <v>433</v>
          </cell>
          <cell r="G71">
            <v>7</v>
          </cell>
          <cell r="H71">
            <v>465</v>
          </cell>
        </row>
        <row r="72">
          <cell r="A72">
            <v>71</v>
          </cell>
          <cell r="B72" t="str">
            <v>벽돌바닥깔기</v>
          </cell>
          <cell r="C72" t="str">
            <v>표준형,모로세워깔기</v>
          </cell>
          <cell r="D72" t="str">
            <v>m2</v>
          </cell>
          <cell r="E72">
            <v>3524</v>
          </cell>
          <cell r="F72">
            <v>23257</v>
          </cell>
          <cell r="G72">
            <v>1017</v>
          </cell>
          <cell r="H72">
            <v>27798</v>
          </cell>
        </row>
        <row r="73">
          <cell r="A73">
            <v>72</v>
          </cell>
          <cell r="B73" t="str">
            <v>방수몰탈</v>
          </cell>
          <cell r="C73" t="str">
            <v>1:1</v>
          </cell>
          <cell r="D73" t="str">
            <v>m3</v>
          </cell>
          <cell r="E73">
            <v>338116</v>
          </cell>
          <cell r="F73">
            <v>65134</v>
          </cell>
          <cell r="G73">
            <v>23962</v>
          </cell>
          <cell r="H73">
            <v>427212</v>
          </cell>
        </row>
        <row r="74">
          <cell r="A74">
            <v>73</v>
          </cell>
          <cell r="B74" t="str">
            <v>방수몰탈바름</v>
          </cell>
          <cell r="C74" t="str">
            <v>T18,(1:1)</v>
          </cell>
          <cell r="D74" t="str">
            <v>m2</v>
          </cell>
          <cell r="E74">
            <v>0</v>
          </cell>
          <cell r="F74">
            <v>9596</v>
          </cell>
          <cell r="G74">
            <v>0</v>
          </cell>
          <cell r="H74">
            <v>9596</v>
          </cell>
        </row>
        <row r="75">
          <cell r="A75">
            <v>74</v>
          </cell>
          <cell r="B75" t="str">
            <v>와이어메쉬바닥깔기</v>
          </cell>
          <cell r="C75" t="str">
            <v>#8x150x150</v>
          </cell>
          <cell r="D75" t="str">
            <v>m2</v>
          </cell>
          <cell r="E75">
            <v>814</v>
          </cell>
          <cell r="F75">
            <v>792</v>
          </cell>
          <cell r="G75">
            <v>0</v>
          </cell>
          <cell r="H75">
            <v>1606</v>
          </cell>
        </row>
        <row r="76">
          <cell r="A76">
            <v>75</v>
          </cell>
          <cell r="B76" t="str">
            <v>방습필름깔기</v>
          </cell>
          <cell r="C76">
            <v>0</v>
          </cell>
          <cell r="D76" t="str">
            <v>m2</v>
          </cell>
          <cell r="E76">
            <v>106</v>
          </cell>
          <cell r="F76">
            <v>209</v>
          </cell>
          <cell r="G76">
            <v>0</v>
          </cell>
          <cell r="H76">
            <v>316</v>
          </cell>
        </row>
        <row r="80">
          <cell r="A80" t="str">
            <v>■ 단가산출목록</v>
          </cell>
        </row>
        <row r="81">
          <cell r="A81" t="str">
            <v>산근1</v>
          </cell>
          <cell r="B81" t="str">
            <v>시멘트운반</v>
          </cell>
          <cell r="C81" t="str">
            <v>4TON D/T</v>
          </cell>
          <cell r="D81" t="str">
            <v>KG</v>
          </cell>
          <cell r="E81">
            <v>0</v>
          </cell>
          <cell r="F81">
            <v>0</v>
          </cell>
          <cell r="G81">
            <v>20.725000000000001</v>
          </cell>
          <cell r="H81">
            <v>20.725000000000001</v>
          </cell>
        </row>
        <row r="82">
          <cell r="A82" t="str">
            <v>산근2</v>
          </cell>
          <cell r="B82" t="str">
            <v>모래운반</v>
          </cell>
          <cell r="C82" t="str">
            <v>8TON D/T</v>
          </cell>
          <cell r="D82" t="str">
            <v>M3</v>
          </cell>
          <cell r="E82">
            <v>2865</v>
          </cell>
          <cell r="F82">
            <v>2936</v>
          </cell>
          <cell r="G82">
            <v>1680</v>
          </cell>
          <cell r="H82">
            <v>7481</v>
          </cell>
        </row>
        <row r="83">
          <cell r="A83" t="str">
            <v>산근3</v>
          </cell>
          <cell r="B83" t="str">
            <v>자갈운반</v>
          </cell>
          <cell r="C83" t="str">
            <v>8TON D/T</v>
          </cell>
          <cell r="D83" t="str">
            <v>M3</v>
          </cell>
          <cell r="E83">
            <v>3168.0707616707618</v>
          </cell>
          <cell r="F83">
            <v>3247.1744471744469</v>
          </cell>
          <cell r="G83">
            <v>1858.2309582309581</v>
          </cell>
          <cell r="H83">
            <v>8273.4761670761654</v>
          </cell>
        </row>
        <row r="84">
          <cell r="A84" t="str">
            <v>산근4</v>
          </cell>
          <cell r="B84" t="str">
            <v>혼합골재운반(보조기층)</v>
          </cell>
          <cell r="C84" t="str">
            <v>8TON D/T</v>
          </cell>
          <cell r="D84" t="str">
            <v>M3</v>
          </cell>
          <cell r="E84">
            <v>1868.7026086956521</v>
          </cell>
          <cell r="F84">
            <v>1915.3623188405795</v>
          </cell>
          <cell r="G84">
            <v>1096.086956521739</v>
          </cell>
          <cell r="H84">
            <v>4880.1518840579702</v>
          </cell>
        </row>
        <row r="85">
          <cell r="A85" t="str">
            <v>산근5</v>
          </cell>
          <cell r="B85" t="str">
            <v>철근운반</v>
          </cell>
          <cell r="C85" t="str">
            <v>10TON D/T, 30KM</v>
          </cell>
          <cell r="D85" t="str">
            <v>TON</v>
          </cell>
          <cell r="E85">
            <v>0</v>
          </cell>
          <cell r="F85">
            <v>2513</v>
          </cell>
          <cell r="G85">
            <v>11750</v>
          </cell>
          <cell r="H85">
            <v>14263</v>
          </cell>
        </row>
        <row r="86">
          <cell r="A86" t="str">
            <v>산근6</v>
          </cell>
          <cell r="B86" t="str">
            <v>토사운반</v>
          </cell>
          <cell r="C86" t="str">
            <v>BH0.7+DT15</v>
          </cell>
          <cell r="D86" t="str">
            <v>M3</v>
          </cell>
          <cell r="E86">
            <v>6141.4335664335658</v>
          </cell>
          <cell r="F86">
            <v>3930.9135309135308</v>
          </cell>
          <cell r="G86">
            <v>3975.2645502645501</v>
          </cell>
          <cell r="H86">
            <v>14047.611647611648</v>
          </cell>
        </row>
        <row r="87">
          <cell r="A87" t="str">
            <v>산근7</v>
          </cell>
          <cell r="B87" t="str">
            <v>흄관운반비</v>
          </cell>
          <cell r="C87" t="str">
            <v>8TON D/T</v>
          </cell>
          <cell r="D87" t="str">
            <v>M</v>
          </cell>
          <cell r="E87">
            <v>0</v>
          </cell>
          <cell r="F87">
            <v>0</v>
          </cell>
          <cell r="G87">
            <v>1618</v>
          </cell>
          <cell r="H87">
            <v>1618</v>
          </cell>
        </row>
        <row r="88">
          <cell r="A88" t="str">
            <v>산근8</v>
          </cell>
          <cell r="B88" t="str">
            <v>기계터파기</v>
          </cell>
          <cell r="C88" t="str">
            <v>BH0.7(90%)+인력(10%)</v>
          </cell>
          <cell r="D88" t="str">
            <v>M3</v>
          </cell>
          <cell r="E88">
            <v>137.41071428571428</v>
          </cell>
          <cell r="F88">
            <v>1408.9047619047619</v>
          </cell>
          <cell r="G88">
            <v>241.47283272283272</v>
          </cell>
          <cell r="H88">
            <v>1787.7883089133088</v>
          </cell>
        </row>
        <row r="89">
          <cell r="A89" t="str">
            <v>산근9</v>
          </cell>
          <cell r="B89" t="str">
            <v>기계잔토처리</v>
          </cell>
          <cell r="C89" t="str">
            <v>BH0.7(90%)+인력(10%)</v>
          </cell>
          <cell r="D89" t="str">
            <v>M3</v>
          </cell>
          <cell r="E89">
            <v>127.59566326530614</v>
          </cell>
          <cell r="F89">
            <v>1383.0544217687075</v>
          </cell>
          <cell r="G89">
            <v>224.22477324263042</v>
          </cell>
          <cell r="H89">
            <v>1734.8748582766439</v>
          </cell>
        </row>
        <row r="90">
          <cell r="A90" t="str">
            <v>산근10</v>
          </cell>
          <cell r="B90" t="str">
            <v>기계되메우고다짐</v>
          </cell>
          <cell r="C90" t="str">
            <v>BH0.7(90%)+인력(10%)</v>
          </cell>
          <cell r="D90" t="str">
            <v>M3</v>
          </cell>
          <cell r="E90">
            <v>141.77295918367349</v>
          </cell>
          <cell r="F90">
            <v>1472</v>
          </cell>
          <cell r="G90">
            <v>249</v>
          </cell>
          <cell r="H90">
            <v>1862.7729591836735</v>
          </cell>
        </row>
        <row r="91">
          <cell r="A91" t="str">
            <v>산근11</v>
          </cell>
          <cell r="B91" t="str">
            <v>기계되메우고다짐</v>
          </cell>
          <cell r="C91" t="str">
            <v>BH0.7+램머80KG</v>
          </cell>
          <cell r="D91" t="str">
            <v>M3</v>
          </cell>
          <cell r="E91">
            <v>340.77295918367349</v>
          </cell>
          <cell r="F91">
            <v>4872</v>
          </cell>
          <cell r="G91">
            <v>337</v>
          </cell>
          <cell r="H91">
            <v>5549.7729591836733</v>
          </cell>
        </row>
        <row r="92">
          <cell r="A92" t="str">
            <v>산근12</v>
          </cell>
          <cell r="B92" t="str">
            <v>절취 및 상차</v>
          </cell>
          <cell r="C92" t="str">
            <v>BH0.7</v>
          </cell>
          <cell r="D92" t="str">
            <v>M3</v>
          </cell>
          <cell r="E92">
            <v>156.69642857142858</v>
          </cell>
          <cell r="F92">
            <v>412</v>
          </cell>
          <cell r="G92">
            <v>275</v>
          </cell>
          <cell r="H92">
            <v>843.69642857142856</v>
          </cell>
        </row>
        <row r="93">
          <cell r="A93" t="str">
            <v>산근13</v>
          </cell>
          <cell r="B93" t="str">
            <v>정지 및 고르기</v>
          </cell>
          <cell r="C93" t="str">
            <v>불도져 19ton</v>
          </cell>
          <cell r="D93" t="str">
            <v>M3</v>
          </cell>
          <cell r="E93">
            <v>276.01182063471668</v>
          </cell>
          <cell r="F93">
            <v>320</v>
          </cell>
          <cell r="G93">
            <v>299</v>
          </cell>
          <cell r="H93">
            <v>895.01182063471674</v>
          </cell>
        </row>
        <row r="94">
          <cell r="A94" t="str">
            <v>산근14</v>
          </cell>
          <cell r="B94" t="str">
            <v>혼합골재포설 및 다짐</v>
          </cell>
          <cell r="C94" t="str">
            <v>T100</v>
          </cell>
          <cell r="D94" t="str">
            <v>M3</v>
          </cell>
          <cell r="E94">
            <v>903.80555555555554</v>
          </cell>
          <cell r="F94">
            <v>3653.088888888889</v>
          </cell>
          <cell r="G94">
            <v>1203.6944444444443</v>
          </cell>
          <cell r="H94">
            <v>5760.5888888888885</v>
          </cell>
        </row>
        <row r="95">
          <cell r="A95" t="str">
            <v>산근15</v>
          </cell>
          <cell r="B95" t="str">
            <v>혼합골재포설 및 다짐</v>
          </cell>
          <cell r="C95" t="str">
            <v>T150</v>
          </cell>
          <cell r="D95" t="str">
            <v>M3</v>
          </cell>
          <cell r="E95">
            <v>660.87037037037044</v>
          </cell>
          <cell r="F95">
            <v>2534.3925925925923</v>
          </cell>
          <cell r="G95">
            <v>875.46296296296293</v>
          </cell>
          <cell r="H95">
            <v>4070.7259259259258</v>
          </cell>
        </row>
        <row r="96">
          <cell r="A96" t="str">
            <v>산근16</v>
          </cell>
          <cell r="B96" t="str">
            <v>혼합골재포설 및 다짐</v>
          </cell>
          <cell r="C96" t="str">
            <v>T200</v>
          </cell>
          <cell r="D96" t="str">
            <v>M3</v>
          </cell>
          <cell r="E96">
            <v>539.40277777777783</v>
          </cell>
          <cell r="F96">
            <v>1975.5444444444445</v>
          </cell>
          <cell r="G96">
            <v>711.34722222222217</v>
          </cell>
          <cell r="H96">
            <v>3226.2944444444443</v>
          </cell>
        </row>
        <row r="97">
          <cell r="A97" t="str">
            <v>산근17</v>
          </cell>
          <cell r="B97" t="str">
            <v>원지반다짐</v>
          </cell>
          <cell r="C97" t="str">
            <v>진동롤러4.4TON,4회</v>
          </cell>
          <cell r="D97" t="str">
            <v>M2</v>
          </cell>
          <cell r="E97">
            <v>18</v>
          </cell>
          <cell r="F97">
            <v>135</v>
          </cell>
          <cell r="G97">
            <v>43</v>
          </cell>
          <cell r="H97">
            <v>196</v>
          </cell>
        </row>
        <row r="98">
          <cell r="A98" t="str">
            <v>산근18</v>
          </cell>
          <cell r="B98" t="str">
            <v>포장면다짐</v>
          </cell>
          <cell r="C98" t="str">
            <v>PC1.5TON,3회</v>
          </cell>
          <cell r="D98" t="str">
            <v>M2</v>
          </cell>
          <cell r="E98">
            <v>11</v>
          </cell>
          <cell r="F98">
            <v>106</v>
          </cell>
          <cell r="G98">
            <v>4</v>
          </cell>
          <cell r="H98">
            <v>121</v>
          </cell>
        </row>
        <row r="99">
          <cell r="A99" t="str">
            <v>■ 중기산출목록</v>
          </cell>
        </row>
        <row r="100">
          <cell r="A100" t="str">
            <v>중기1</v>
          </cell>
          <cell r="B100" t="str">
            <v>백호</v>
          </cell>
          <cell r="C100" t="str">
            <v>0.4㎥</v>
          </cell>
          <cell r="D100" t="str">
            <v>HR</v>
          </cell>
          <cell r="E100">
            <v>8123</v>
          </cell>
          <cell r="F100">
            <v>24960</v>
          </cell>
          <cell r="G100">
            <v>10938</v>
          </cell>
          <cell r="H100">
            <v>44021</v>
          </cell>
        </row>
        <row r="101">
          <cell r="A101" t="str">
            <v>중기2</v>
          </cell>
          <cell r="B101" t="str">
            <v>백호</v>
          </cell>
          <cell r="C101" t="str">
            <v>0.7㎥</v>
          </cell>
          <cell r="D101" t="str">
            <v>HR</v>
          </cell>
          <cell r="E101">
            <v>9477</v>
          </cell>
          <cell r="F101">
            <v>24960</v>
          </cell>
          <cell r="G101">
            <v>16654</v>
          </cell>
          <cell r="H101">
            <v>51091</v>
          </cell>
        </row>
        <row r="102">
          <cell r="A102" t="str">
            <v>중기3</v>
          </cell>
          <cell r="B102" t="str">
            <v>컷터기</v>
          </cell>
          <cell r="C102" t="str">
            <v>(320-400mm)</v>
          </cell>
          <cell r="D102" t="str">
            <v>HR</v>
          </cell>
          <cell r="E102">
            <v>7642</v>
          </cell>
          <cell r="F102">
            <v>12816</v>
          </cell>
          <cell r="G102">
            <v>1228</v>
          </cell>
          <cell r="H102">
            <v>21686</v>
          </cell>
        </row>
        <row r="103">
          <cell r="A103" t="str">
            <v>중기4</v>
          </cell>
          <cell r="B103" t="str">
            <v>물탱크</v>
          </cell>
          <cell r="C103" t="str">
            <v>5500ℓ</v>
          </cell>
          <cell r="D103" t="str">
            <v>HR</v>
          </cell>
          <cell r="E103">
            <v>9795.6</v>
          </cell>
          <cell r="F103">
            <v>13216</v>
          </cell>
          <cell r="G103">
            <v>9690</v>
          </cell>
          <cell r="H103">
            <v>32701.599999999999</v>
          </cell>
        </row>
        <row r="104">
          <cell r="A104" t="str">
            <v>중기5</v>
          </cell>
          <cell r="B104" t="str">
            <v>램머</v>
          </cell>
          <cell r="C104" t="str">
            <v>80kg</v>
          </cell>
          <cell r="D104" t="str">
            <v>HR</v>
          </cell>
          <cell r="E104">
            <v>875</v>
          </cell>
          <cell r="F104">
            <v>12816</v>
          </cell>
          <cell r="G104">
            <v>386</v>
          </cell>
          <cell r="H104">
            <v>14077</v>
          </cell>
        </row>
        <row r="105">
          <cell r="A105" t="str">
            <v>중기6</v>
          </cell>
          <cell r="B105" t="str">
            <v>모터그레이더</v>
          </cell>
          <cell r="C105" t="str">
            <v>3.6m</v>
          </cell>
          <cell r="D105" t="str">
            <v>HR</v>
          </cell>
          <cell r="E105">
            <v>18460.196</v>
          </cell>
          <cell r="F105">
            <v>24960</v>
          </cell>
          <cell r="G105">
            <v>19376</v>
          </cell>
          <cell r="H105">
            <v>62796.195999999996</v>
          </cell>
        </row>
        <row r="106">
          <cell r="A106" t="str">
            <v>중기7</v>
          </cell>
          <cell r="B106" t="str">
            <v>덤프트럭</v>
          </cell>
          <cell r="C106" t="str">
            <v>15TON</v>
          </cell>
          <cell r="D106" t="str">
            <v>HR</v>
          </cell>
          <cell r="E106">
            <v>21940</v>
          </cell>
          <cell r="F106">
            <v>13216</v>
          </cell>
          <cell r="G106">
            <v>13741</v>
          </cell>
          <cell r="H106">
            <v>48897</v>
          </cell>
        </row>
        <row r="107">
          <cell r="A107" t="str">
            <v>중기8</v>
          </cell>
          <cell r="B107" t="str">
            <v>덤프트럭</v>
          </cell>
          <cell r="C107" t="str">
            <v>8TON</v>
          </cell>
          <cell r="D107" t="str">
            <v>HR</v>
          </cell>
          <cell r="E107">
            <v>12894.048000000001</v>
          </cell>
          <cell r="F107">
            <v>13216</v>
          </cell>
          <cell r="G107">
            <v>7563</v>
          </cell>
          <cell r="H107">
            <v>33673.048000000003</v>
          </cell>
        </row>
        <row r="108">
          <cell r="A108" t="str">
            <v>중기9</v>
          </cell>
          <cell r="B108" t="str">
            <v>덤프트럭</v>
          </cell>
          <cell r="C108" t="str">
            <v>4.5TON</v>
          </cell>
          <cell r="D108" t="str">
            <v>HR</v>
          </cell>
          <cell r="E108">
            <v>6967.0079999999998</v>
          </cell>
          <cell r="F108">
            <v>13216</v>
          </cell>
          <cell r="G108">
            <v>6318</v>
          </cell>
          <cell r="H108">
            <v>26501.008000000002</v>
          </cell>
        </row>
        <row r="109">
          <cell r="A109" t="str">
            <v>중기10</v>
          </cell>
          <cell r="B109" t="str">
            <v>크레인트럭</v>
          </cell>
          <cell r="C109" t="str">
            <v>10TON</v>
          </cell>
          <cell r="D109" t="str">
            <v>HR</v>
          </cell>
          <cell r="E109">
            <v>4783.1000000000004</v>
          </cell>
          <cell r="F109">
            <v>30114.400000000001</v>
          </cell>
          <cell r="G109">
            <v>21210</v>
          </cell>
          <cell r="H109">
            <v>56107.5</v>
          </cell>
        </row>
        <row r="110">
          <cell r="A110" t="str">
            <v>중기11</v>
          </cell>
          <cell r="B110" t="str">
            <v>스프레이어</v>
          </cell>
          <cell r="C110" t="str">
            <v>300L</v>
          </cell>
          <cell r="D110" t="str">
            <v>HR</v>
          </cell>
          <cell r="E110">
            <v>964</v>
          </cell>
          <cell r="F110">
            <v>16252</v>
          </cell>
          <cell r="G110">
            <v>549</v>
          </cell>
          <cell r="H110">
            <v>17765</v>
          </cell>
        </row>
        <row r="111">
          <cell r="A111" t="str">
            <v>중기12</v>
          </cell>
          <cell r="B111" t="str">
            <v>텐덤로라</v>
          </cell>
          <cell r="C111" t="str">
            <v>5-8TON</v>
          </cell>
          <cell r="D111" t="str">
            <v>HR</v>
          </cell>
          <cell r="E111">
            <v>4765</v>
          </cell>
          <cell r="F111">
            <v>19806.400000000001</v>
          </cell>
          <cell r="G111">
            <v>6684</v>
          </cell>
          <cell r="H111">
            <v>31255.4</v>
          </cell>
        </row>
        <row r="112">
          <cell r="A112" t="str">
            <v>중기13</v>
          </cell>
          <cell r="B112" t="str">
            <v>타이어로라</v>
          </cell>
          <cell r="C112" t="str">
            <v>8-15TON</v>
          </cell>
          <cell r="D112" t="str">
            <v>HR</v>
          </cell>
          <cell r="E112">
            <v>10138</v>
          </cell>
          <cell r="F112">
            <v>19806.400000000001</v>
          </cell>
          <cell r="G112">
            <v>12578</v>
          </cell>
          <cell r="H112">
            <v>42522.400000000001</v>
          </cell>
        </row>
        <row r="113">
          <cell r="A113" t="str">
            <v>중기14</v>
          </cell>
          <cell r="B113" t="str">
            <v>진동로라</v>
          </cell>
          <cell r="C113" t="str">
            <v>10TON</v>
          </cell>
          <cell r="D113" t="str">
            <v>HR</v>
          </cell>
          <cell r="E113">
            <v>12250</v>
          </cell>
          <cell r="F113">
            <v>19806.400000000001</v>
          </cell>
          <cell r="G113">
            <v>23869</v>
          </cell>
          <cell r="H113">
            <v>55925.4</v>
          </cell>
        </row>
        <row r="114">
          <cell r="A114" t="str">
            <v>중기15</v>
          </cell>
          <cell r="B114" t="str">
            <v>대형브레이커</v>
          </cell>
          <cell r="C114" t="str">
            <v>0.7M3</v>
          </cell>
          <cell r="D114" t="str">
            <v>HR</v>
          </cell>
          <cell r="E114">
            <v>0</v>
          </cell>
          <cell r="F114">
            <v>0</v>
          </cell>
          <cell r="G114">
            <v>9141</v>
          </cell>
          <cell r="H114">
            <v>9141</v>
          </cell>
        </row>
        <row r="115">
          <cell r="A115" t="str">
            <v>중기16</v>
          </cell>
          <cell r="B115" t="str">
            <v>페이브먼트브레이카</v>
          </cell>
          <cell r="C115" t="str">
            <v>25kg(#55)</v>
          </cell>
          <cell r="D115" t="str">
            <v>HR</v>
          </cell>
          <cell r="E115">
            <v>0</v>
          </cell>
          <cell r="F115">
            <v>0</v>
          </cell>
          <cell r="G115">
            <v>374</v>
          </cell>
          <cell r="H115">
            <v>374</v>
          </cell>
        </row>
        <row r="116">
          <cell r="A116" t="str">
            <v>중기17</v>
          </cell>
          <cell r="B116" t="str">
            <v>공기압축기</v>
          </cell>
          <cell r="C116" t="str">
            <v>3.5m3/min</v>
          </cell>
          <cell r="D116" t="str">
            <v>HR</v>
          </cell>
          <cell r="E116">
            <v>5285.8799999999992</v>
          </cell>
          <cell r="F116">
            <v>16252</v>
          </cell>
          <cell r="G116">
            <v>2128</v>
          </cell>
          <cell r="H116">
            <v>23665.879999999997</v>
          </cell>
        </row>
        <row r="117">
          <cell r="A117" t="str">
            <v>중기18</v>
          </cell>
          <cell r="B117" t="str">
            <v>용접기손료</v>
          </cell>
          <cell r="C117" t="str">
            <v>200AMP</v>
          </cell>
          <cell r="D117" t="str">
            <v>HR</v>
          </cell>
          <cell r="E117">
            <v>0</v>
          </cell>
          <cell r="F117">
            <v>0</v>
          </cell>
          <cell r="G117">
            <v>71</v>
          </cell>
          <cell r="H117">
            <v>71</v>
          </cell>
        </row>
        <row r="118">
          <cell r="A118" t="str">
            <v>중기19</v>
          </cell>
          <cell r="B118" t="str">
            <v>하수관천공기</v>
          </cell>
          <cell r="C118" t="str">
            <v>320-400MM</v>
          </cell>
          <cell r="D118" t="str">
            <v>HR</v>
          </cell>
          <cell r="E118">
            <v>0</v>
          </cell>
          <cell r="F118">
            <v>0</v>
          </cell>
          <cell r="G118">
            <v>242</v>
          </cell>
          <cell r="H118">
            <v>242</v>
          </cell>
        </row>
        <row r="119">
          <cell r="A119" t="str">
            <v>중기20</v>
          </cell>
          <cell r="B119" t="str">
            <v>코어드릴</v>
          </cell>
          <cell r="C119" t="str">
            <v>6"</v>
          </cell>
          <cell r="D119" t="str">
            <v>HR</v>
          </cell>
          <cell r="E119">
            <v>0</v>
          </cell>
          <cell r="F119">
            <v>0</v>
          </cell>
          <cell r="G119">
            <v>366</v>
          </cell>
          <cell r="H119">
            <v>366</v>
          </cell>
        </row>
      </sheetData>
      <sheetData sheetId="9" refreshError="1">
        <row r="1">
          <cell r="B1" t="str">
            <v>공   종</v>
          </cell>
          <cell r="C1" t="str">
            <v>규  격</v>
          </cell>
          <cell r="D1" t="str">
            <v>수 량</v>
          </cell>
          <cell r="E1" t="str">
            <v>단</v>
          </cell>
          <cell r="F1" t="str">
            <v>재  료  비</v>
          </cell>
          <cell r="H1" t="str">
            <v>노  무  비</v>
          </cell>
          <cell r="J1" t="str">
            <v>경     비</v>
          </cell>
          <cell r="L1" t="str">
            <v>합  계</v>
          </cell>
        </row>
        <row r="2">
          <cell r="E2" t="str">
            <v>위</v>
          </cell>
          <cell r="F2" t="str">
            <v>단 가</v>
          </cell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B3">
            <v>1</v>
          </cell>
          <cell r="C3" t="str">
            <v>소나무(대) 식재</v>
          </cell>
          <cell r="E3" t="str">
            <v>H5.5xW2.5xR25</v>
          </cell>
          <cell r="G3" t="str">
            <v xml:space="preserve"> </v>
          </cell>
          <cell r="I3" t="str">
            <v xml:space="preserve"> </v>
          </cell>
          <cell r="K3" t="str">
            <v xml:space="preserve"> </v>
          </cell>
          <cell r="M3" t="str">
            <v>주당</v>
          </cell>
        </row>
        <row r="4">
          <cell r="B4" t="str">
            <v>소나무(대)</v>
          </cell>
          <cell r="C4" t="str">
            <v>H5.5xW2.5xR25</v>
          </cell>
          <cell r="D4">
            <v>1</v>
          </cell>
          <cell r="E4" t="str">
            <v>주</v>
          </cell>
          <cell r="F4">
            <v>559000</v>
          </cell>
          <cell r="G4">
            <v>559000</v>
          </cell>
          <cell r="I4">
            <v>0</v>
          </cell>
          <cell r="K4">
            <v>0</v>
          </cell>
          <cell r="L4">
            <v>559000</v>
          </cell>
          <cell r="M4">
            <v>559000</v>
          </cell>
        </row>
        <row r="5">
          <cell r="B5" t="str">
            <v>조경공</v>
          </cell>
          <cell r="D5">
            <v>1.05</v>
          </cell>
          <cell r="E5" t="str">
            <v>인</v>
          </cell>
          <cell r="G5">
            <v>0</v>
          </cell>
          <cell r="H5">
            <v>74900</v>
          </cell>
          <cell r="I5">
            <v>78645</v>
          </cell>
          <cell r="K5">
            <v>0</v>
          </cell>
          <cell r="L5">
            <v>74900</v>
          </cell>
          <cell r="M5">
            <v>78645</v>
          </cell>
        </row>
        <row r="6">
          <cell r="B6" t="str">
            <v>보통인부</v>
          </cell>
          <cell r="D6">
            <v>0.51</v>
          </cell>
          <cell r="E6" t="str">
            <v>인</v>
          </cell>
          <cell r="G6">
            <v>0</v>
          </cell>
          <cell r="H6">
            <v>52370</v>
          </cell>
          <cell r="I6">
            <v>26708.7</v>
          </cell>
          <cell r="K6">
            <v>0</v>
          </cell>
          <cell r="L6">
            <v>52370</v>
          </cell>
          <cell r="M6">
            <v>26708.7</v>
          </cell>
        </row>
        <row r="7">
          <cell r="B7" t="str">
            <v>백호</v>
          </cell>
          <cell r="C7" t="str">
            <v>0.4㎥</v>
          </cell>
          <cell r="D7">
            <v>0.67</v>
          </cell>
          <cell r="E7" t="str">
            <v>HR</v>
          </cell>
          <cell r="F7">
            <v>8123</v>
          </cell>
          <cell r="G7">
            <v>5442</v>
          </cell>
          <cell r="H7">
            <v>24960</v>
          </cell>
          <cell r="I7">
            <v>16723.2</v>
          </cell>
          <cell r="J7">
            <v>10938</v>
          </cell>
          <cell r="K7">
            <v>7328.4</v>
          </cell>
          <cell r="L7">
            <v>44021</v>
          </cell>
          <cell r="M7">
            <v>29493.599999999999</v>
          </cell>
        </row>
        <row r="8">
          <cell r="B8" t="str">
            <v>지   주   목</v>
          </cell>
          <cell r="C8" t="str">
            <v>삼발이 대형</v>
          </cell>
          <cell r="D8">
            <v>1</v>
          </cell>
          <cell r="E8" t="str">
            <v>조</v>
          </cell>
          <cell r="F8">
            <v>19200</v>
          </cell>
          <cell r="G8">
            <v>19200</v>
          </cell>
          <cell r="I8">
            <v>0</v>
          </cell>
          <cell r="K8">
            <v>0</v>
          </cell>
          <cell r="L8">
            <v>19200</v>
          </cell>
          <cell r="M8">
            <v>19200</v>
          </cell>
        </row>
        <row r="9">
          <cell r="B9" t="str">
            <v>유기질비료</v>
          </cell>
          <cell r="C9" t="str">
            <v>20kg/포</v>
          </cell>
          <cell r="D9">
            <v>20</v>
          </cell>
          <cell r="E9" t="str">
            <v>kg</v>
          </cell>
          <cell r="F9">
            <v>150</v>
          </cell>
          <cell r="G9">
            <v>3000</v>
          </cell>
          <cell r="I9">
            <v>0</v>
          </cell>
          <cell r="K9">
            <v>0</v>
          </cell>
          <cell r="L9">
            <v>150</v>
          </cell>
          <cell r="M9">
            <v>3000</v>
          </cell>
        </row>
        <row r="10">
          <cell r="B10" t="str">
            <v>소   계</v>
          </cell>
          <cell r="G10">
            <v>586642</v>
          </cell>
          <cell r="I10">
            <v>122076</v>
          </cell>
          <cell r="K10">
            <v>7328</v>
          </cell>
          <cell r="M10">
            <v>716046</v>
          </cell>
        </row>
        <row r="12">
          <cell r="B12">
            <v>2</v>
          </cell>
          <cell r="C12" t="str">
            <v>소나무(중) 식재</v>
          </cell>
          <cell r="E12" t="str">
            <v>H5.0xW2.5xR20</v>
          </cell>
          <cell r="G12" t="str">
            <v xml:space="preserve"> </v>
          </cell>
          <cell r="I12" t="str">
            <v xml:space="preserve"> </v>
          </cell>
          <cell r="K12" t="str">
            <v xml:space="preserve"> </v>
          </cell>
          <cell r="M12" t="str">
            <v>주당</v>
          </cell>
        </row>
        <row r="13">
          <cell r="B13" t="str">
            <v>소나무(중)</v>
          </cell>
          <cell r="C13" t="str">
            <v>H5.0xW2.5xR20</v>
          </cell>
          <cell r="D13">
            <v>1</v>
          </cell>
          <cell r="E13" t="str">
            <v>주</v>
          </cell>
          <cell r="F13">
            <v>470000</v>
          </cell>
          <cell r="G13">
            <v>470000</v>
          </cell>
          <cell r="I13">
            <v>0</v>
          </cell>
          <cell r="K13">
            <v>0</v>
          </cell>
          <cell r="L13">
            <v>470000</v>
          </cell>
          <cell r="M13">
            <v>470000</v>
          </cell>
        </row>
        <row r="14">
          <cell r="B14" t="str">
            <v>조경공</v>
          </cell>
          <cell r="D14">
            <v>0.81</v>
          </cell>
          <cell r="E14" t="str">
            <v>인</v>
          </cell>
          <cell r="G14">
            <v>0</v>
          </cell>
          <cell r="H14">
            <v>74900</v>
          </cell>
          <cell r="I14">
            <v>60669</v>
          </cell>
          <cell r="K14">
            <v>0</v>
          </cell>
          <cell r="L14">
            <v>74900</v>
          </cell>
          <cell r="M14">
            <v>60669</v>
          </cell>
        </row>
        <row r="15">
          <cell r="B15" t="str">
            <v>보통인부</v>
          </cell>
          <cell r="D15">
            <v>0.39</v>
          </cell>
          <cell r="E15" t="str">
            <v>인</v>
          </cell>
          <cell r="G15">
            <v>0</v>
          </cell>
          <cell r="H15">
            <v>52370</v>
          </cell>
          <cell r="I15">
            <v>20424.3</v>
          </cell>
          <cell r="K15">
            <v>0</v>
          </cell>
          <cell r="L15">
            <v>52370</v>
          </cell>
          <cell r="M15">
            <v>20424.3</v>
          </cell>
        </row>
        <row r="16">
          <cell r="B16" t="str">
            <v>백호</v>
          </cell>
          <cell r="C16" t="str">
            <v>0.4㎥</v>
          </cell>
          <cell r="D16">
            <v>0.6</v>
          </cell>
          <cell r="E16" t="str">
            <v>HR</v>
          </cell>
          <cell r="F16">
            <v>8123</v>
          </cell>
          <cell r="G16">
            <v>4873</v>
          </cell>
          <cell r="H16">
            <v>24960</v>
          </cell>
          <cell r="I16">
            <v>14976</v>
          </cell>
          <cell r="J16">
            <v>10938</v>
          </cell>
          <cell r="K16">
            <v>6562.8</v>
          </cell>
          <cell r="L16">
            <v>44021</v>
          </cell>
          <cell r="M16">
            <v>26411.8</v>
          </cell>
        </row>
        <row r="17">
          <cell r="B17" t="str">
            <v>지   주   목</v>
          </cell>
          <cell r="C17" t="str">
            <v>삼발이 대형</v>
          </cell>
          <cell r="D17">
            <v>1</v>
          </cell>
          <cell r="E17" t="str">
            <v>조</v>
          </cell>
          <cell r="F17">
            <v>19200</v>
          </cell>
          <cell r="G17">
            <v>19200</v>
          </cell>
          <cell r="I17">
            <v>0</v>
          </cell>
          <cell r="K17">
            <v>0</v>
          </cell>
          <cell r="L17">
            <v>19200</v>
          </cell>
          <cell r="M17">
            <v>19200</v>
          </cell>
        </row>
        <row r="18">
          <cell r="B18" t="str">
            <v>유기질비료</v>
          </cell>
          <cell r="C18" t="str">
            <v>20kg/포</v>
          </cell>
          <cell r="D18">
            <v>20</v>
          </cell>
          <cell r="E18" t="str">
            <v>kg</v>
          </cell>
          <cell r="F18">
            <v>150</v>
          </cell>
          <cell r="G18">
            <v>3000</v>
          </cell>
          <cell r="I18">
            <v>0</v>
          </cell>
          <cell r="K18">
            <v>0</v>
          </cell>
          <cell r="L18">
            <v>150</v>
          </cell>
          <cell r="M18">
            <v>3000</v>
          </cell>
        </row>
        <row r="19">
          <cell r="B19" t="str">
            <v>소   계</v>
          </cell>
          <cell r="G19">
            <v>497073</v>
          </cell>
          <cell r="I19">
            <v>96069</v>
          </cell>
          <cell r="K19">
            <v>6562</v>
          </cell>
          <cell r="M19">
            <v>599704</v>
          </cell>
        </row>
        <row r="21">
          <cell r="B21">
            <v>3</v>
          </cell>
          <cell r="C21" t="str">
            <v>소나무(소) 식재</v>
          </cell>
          <cell r="E21" t="str">
            <v>H4.0xW2.0xR15</v>
          </cell>
          <cell r="G21" t="str">
            <v xml:space="preserve"> </v>
          </cell>
          <cell r="I21" t="str">
            <v xml:space="preserve"> </v>
          </cell>
          <cell r="K21" t="str">
            <v xml:space="preserve"> </v>
          </cell>
          <cell r="M21" t="str">
            <v>주당</v>
          </cell>
        </row>
        <row r="22">
          <cell r="B22" t="str">
            <v>소나무(소)</v>
          </cell>
          <cell r="C22" t="str">
            <v>H4.0xW2.0xR15</v>
          </cell>
          <cell r="D22">
            <v>1</v>
          </cell>
          <cell r="E22" t="str">
            <v>주</v>
          </cell>
          <cell r="F22">
            <v>332000</v>
          </cell>
          <cell r="G22">
            <v>332000</v>
          </cell>
          <cell r="I22">
            <v>0</v>
          </cell>
          <cell r="K22">
            <v>0</v>
          </cell>
          <cell r="L22">
            <v>332000</v>
          </cell>
          <cell r="M22">
            <v>332000</v>
          </cell>
        </row>
        <row r="23">
          <cell r="B23" t="str">
            <v>조경공</v>
          </cell>
          <cell r="D23">
            <v>0.56000000000000005</v>
          </cell>
          <cell r="E23" t="str">
            <v>인</v>
          </cell>
          <cell r="G23">
            <v>0</v>
          </cell>
          <cell r="H23">
            <v>74900</v>
          </cell>
          <cell r="I23">
            <v>41944</v>
          </cell>
          <cell r="K23">
            <v>0</v>
          </cell>
          <cell r="L23">
            <v>74900</v>
          </cell>
          <cell r="M23">
            <v>41944</v>
          </cell>
        </row>
        <row r="24">
          <cell r="B24" t="str">
            <v>보통인부</v>
          </cell>
          <cell r="D24">
            <v>0.27</v>
          </cell>
          <cell r="E24" t="str">
            <v>인</v>
          </cell>
          <cell r="G24">
            <v>0</v>
          </cell>
          <cell r="H24">
            <v>52370</v>
          </cell>
          <cell r="I24">
            <v>14139.9</v>
          </cell>
          <cell r="K24">
            <v>0</v>
          </cell>
          <cell r="L24">
            <v>52370</v>
          </cell>
          <cell r="M24">
            <v>14139.9</v>
          </cell>
        </row>
        <row r="25">
          <cell r="B25" t="str">
            <v>백호</v>
          </cell>
          <cell r="C25" t="str">
            <v>0.4㎥</v>
          </cell>
          <cell r="D25">
            <v>0.41</v>
          </cell>
          <cell r="E25" t="str">
            <v>HR</v>
          </cell>
          <cell r="F25">
            <v>8123</v>
          </cell>
          <cell r="G25">
            <v>3330</v>
          </cell>
          <cell r="H25">
            <v>24960</v>
          </cell>
          <cell r="I25">
            <v>10233.6</v>
          </cell>
          <cell r="J25">
            <v>10938</v>
          </cell>
          <cell r="K25">
            <v>4484.5</v>
          </cell>
          <cell r="L25">
            <v>44021</v>
          </cell>
          <cell r="M25">
            <v>18048.099999999999</v>
          </cell>
        </row>
        <row r="26">
          <cell r="B26" t="str">
            <v>지   주   목</v>
          </cell>
          <cell r="C26" t="str">
            <v>삼발이 대형</v>
          </cell>
          <cell r="D26">
            <v>1</v>
          </cell>
          <cell r="E26" t="str">
            <v>조</v>
          </cell>
          <cell r="F26">
            <v>19200</v>
          </cell>
          <cell r="G26">
            <v>19200</v>
          </cell>
          <cell r="I26">
            <v>0</v>
          </cell>
          <cell r="K26">
            <v>0</v>
          </cell>
          <cell r="L26">
            <v>19200</v>
          </cell>
          <cell r="M26">
            <v>19200</v>
          </cell>
        </row>
        <row r="27">
          <cell r="B27" t="str">
            <v>유기질비료</v>
          </cell>
          <cell r="C27" t="str">
            <v>20kg/포</v>
          </cell>
          <cell r="D27">
            <v>20</v>
          </cell>
          <cell r="E27" t="str">
            <v>kg</v>
          </cell>
          <cell r="F27">
            <v>150</v>
          </cell>
          <cell r="G27">
            <v>3000</v>
          </cell>
          <cell r="I27">
            <v>0</v>
          </cell>
          <cell r="K27">
            <v>0</v>
          </cell>
          <cell r="L27">
            <v>150</v>
          </cell>
          <cell r="M27">
            <v>3000</v>
          </cell>
        </row>
        <row r="28">
          <cell r="B28" t="str">
            <v>소   계</v>
          </cell>
          <cell r="G28">
            <v>357530</v>
          </cell>
          <cell r="I28">
            <v>66317</v>
          </cell>
          <cell r="K28">
            <v>4484</v>
          </cell>
          <cell r="M28">
            <v>428331</v>
          </cell>
        </row>
        <row r="30">
          <cell r="B30">
            <v>4</v>
          </cell>
          <cell r="C30" t="str">
            <v>스트로브잣나무 식재</v>
          </cell>
          <cell r="E30" t="str">
            <v>H3.5 x W1.8</v>
          </cell>
          <cell r="G30" t="str">
            <v xml:space="preserve"> </v>
          </cell>
          <cell r="I30" t="str">
            <v xml:space="preserve"> </v>
          </cell>
          <cell r="K30" t="str">
            <v xml:space="preserve"> </v>
          </cell>
          <cell r="M30" t="str">
            <v>주당</v>
          </cell>
        </row>
        <row r="31">
          <cell r="B31" t="str">
            <v>스트로브잣나무</v>
          </cell>
          <cell r="C31" t="str">
            <v>H3.5 x W1.8</v>
          </cell>
          <cell r="D31">
            <v>1</v>
          </cell>
          <cell r="E31" t="str">
            <v>주</v>
          </cell>
          <cell r="F31">
            <v>105000</v>
          </cell>
          <cell r="G31">
            <v>105000</v>
          </cell>
          <cell r="I31">
            <v>0</v>
          </cell>
          <cell r="K31">
            <v>0</v>
          </cell>
          <cell r="L31">
            <v>105000</v>
          </cell>
          <cell r="M31">
            <v>105000</v>
          </cell>
        </row>
        <row r="32">
          <cell r="B32" t="str">
            <v>조경공</v>
          </cell>
          <cell r="D32">
            <v>0.16</v>
          </cell>
          <cell r="E32" t="str">
            <v>인</v>
          </cell>
          <cell r="G32">
            <v>0</v>
          </cell>
          <cell r="H32">
            <v>74900</v>
          </cell>
          <cell r="I32">
            <v>11984</v>
          </cell>
          <cell r="K32">
            <v>0</v>
          </cell>
          <cell r="L32">
            <v>74900</v>
          </cell>
          <cell r="M32">
            <v>11984</v>
          </cell>
        </row>
        <row r="33">
          <cell r="B33" t="str">
            <v>보통인부</v>
          </cell>
          <cell r="D33">
            <v>0.08</v>
          </cell>
          <cell r="E33" t="str">
            <v>인</v>
          </cell>
          <cell r="G33">
            <v>0</v>
          </cell>
          <cell r="H33">
            <v>52370</v>
          </cell>
          <cell r="I33">
            <v>4189.6000000000004</v>
          </cell>
          <cell r="K33">
            <v>0</v>
          </cell>
          <cell r="L33">
            <v>52370</v>
          </cell>
          <cell r="M33">
            <v>4189.6000000000004</v>
          </cell>
        </row>
        <row r="34">
          <cell r="B34" t="str">
            <v>백호</v>
          </cell>
          <cell r="C34" t="str">
            <v>0.4㎥</v>
          </cell>
          <cell r="D34">
            <v>0.12</v>
          </cell>
          <cell r="E34" t="str">
            <v>HR</v>
          </cell>
          <cell r="F34">
            <v>8123</v>
          </cell>
          <cell r="G34">
            <v>974</v>
          </cell>
          <cell r="H34">
            <v>24960</v>
          </cell>
          <cell r="I34">
            <v>2995.2</v>
          </cell>
          <cell r="J34">
            <v>10938</v>
          </cell>
          <cell r="K34">
            <v>1312.5</v>
          </cell>
          <cell r="L34">
            <v>44021</v>
          </cell>
          <cell r="M34">
            <v>5281.7</v>
          </cell>
        </row>
        <row r="35">
          <cell r="B35" t="str">
            <v>지   주   목</v>
          </cell>
          <cell r="C35" t="str">
            <v>삼발이 소형</v>
          </cell>
          <cell r="D35">
            <v>1</v>
          </cell>
          <cell r="E35" t="str">
            <v>조</v>
          </cell>
          <cell r="F35">
            <v>11300</v>
          </cell>
          <cell r="G35">
            <v>11300</v>
          </cell>
          <cell r="I35">
            <v>0</v>
          </cell>
          <cell r="K35">
            <v>0</v>
          </cell>
          <cell r="L35">
            <v>11300</v>
          </cell>
          <cell r="M35">
            <v>11300</v>
          </cell>
        </row>
        <row r="36">
          <cell r="B36" t="str">
            <v>유기질비료</v>
          </cell>
          <cell r="C36" t="str">
            <v>20kg/포</v>
          </cell>
          <cell r="D36">
            <v>20</v>
          </cell>
          <cell r="E36" t="str">
            <v>kg</v>
          </cell>
          <cell r="F36">
            <v>150</v>
          </cell>
          <cell r="G36">
            <v>3000</v>
          </cell>
          <cell r="I36">
            <v>0</v>
          </cell>
          <cell r="K36">
            <v>0</v>
          </cell>
          <cell r="L36">
            <v>150</v>
          </cell>
          <cell r="M36">
            <v>3000</v>
          </cell>
        </row>
        <row r="37">
          <cell r="B37" t="str">
            <v>소   계</v>
          </cell>
          <cell r="G37">
            <v>120274</v>
          </cell>
          <cell r="I37">
            <v>19168</v>
          </cell>
          <cell r="K37">
            <v>1312</v>
          </cell>
          <cell r="M37">
            <v>140754</v>
          </cell>
        </row>
        <row r="39">
          <cell r="B39">
            <v>5</v>
          </cell>
          <cell r="C39" t="str">
            <v>선 주 목 식재</v>
          </cell>
          <cell r="E39" t="str">
            <v>H2.0 x W1.0</v>
          </cell>
          <cell r="G39" t="str">
            <v xml:space="preserve"> </v>
          </cell>
          <cell r="I39" t="str">
            <v xml:space="preserve"> </v>
          </cell>
          <cell r="K39" t="str">
            <v xml:space="preserve"> </v>
          </cell>
          <cell r="M39" t="str">
            <v>주당</v>
          </cell>
        </row>
        <row r="40">
          <cell r="B40" t="str">
            <v>선 주 목</v>
          </cell>
          <cell r="C40" t="str">
            <v>H2.0 x W1.0</v>
          </cell>
          <cell r="D40">
            <v>1</v>
          </cell>
          <cell r="E40" t="str">
            <v>주</v>
          </cell>
          <cell r="F40">
            <v>171000</v>
          </cell>
          <cell r="G40">
            <v>171000</v>
          </cell>
          <cell r="I40">
            <v>0</v>
          </cell>
          <cell r="K40">
            <v>0</v>
          </cell>
          <cell r="L40">
            <v>171000</v>
          </cell>
          <cell r="M40">
            <v>171000</v>
          </cell>
        </row>
        <row r="41">
          <cell r="B41" t="str">
            <v>조경공</v>
          </cell>
          <cell r="D41">
            <v>8.8000000000000009E-2</v>
          </cell>
          <cell r="E41" t="str">
            <v>인</v>
          </cell>
          <cell r="G41">
            <v>0</v>
          </cell>
          <cell r="H41">
            <v>74900</v>
          </cell>
          <cell r="I41">
            <v>6591.2</v>
          </cell>
          <cell r="K41">
            <v>0</v>
          </cell>
          <cell r="L41">
            <v>74900</v>
          </cell>
          <cell r="M41">
            <v>6591.2</v>
          </cell>
        </row>
        <row r="42">
          <cell r="B42" t="str">
            <v>보통인부</v>
          </cell>
          <cell r="D42">
            <v>7.1999999999999995E-2</v>
          </cell>
          <cell r="E42" t="str">
            <v>인</v>
          </cell>
          <cell r="G42">
            <v>0</v>
          </cell>
          <cell r="H42">
            <v>52370</v>
          </cell>
          <cell r="I42">
            <v>3770.6</v>
          </cell>
          <cell r="K42">
            <v>0</v>
          </cell>
          <cell r="L42">
            <v>52370</v>
          </cell>
          <cell r="M42">
            <v>3770.6</v>
          </cell>
        </row>
        <row r="43">
          <cell r="B43" t="str">
            <v>유기질비료</v>
          </cell>
          <cell r="C43" t="str">
            <v>20kg/포</v>
          </cell>
          <cell r="D43">
            <v>6</v>
          </cell>
          <cell r="E43" t="str">
            <v>kg</v>
          </cell>
          <cell r="F43">
            <v>150</v>
          </cell>
          <cell r="G43">
            <v>900</v>
          </cell>
          <cell r="I43">
            <v>0</v>
          </cell>
          <cell r="K43">
            <v>0</v>
          </cell>
          <cell r="L43">
            <v>150</v>
          </cell>
          <cell r="M43">
            <v>900</v>
          </cell>
        </row>
        <row r="44">
          <cell r="B44" t="str">
            <v>소   계</v>
          </cell>
          <cell r="G44">
            <v>171900</v>
          </cell>
          <cell r="I44">
            <v>10361</v>
          </cell>
          <cell r="K44">
            <v>0</v>
          </cell>
          <cell r="M44">
            <v>182261</v>
          </cell>
        </row>
        <row r="47">
          <cell r="B47">
            <v>6</v>
          </cell>
          <cell r="C47" t="str">
            <v>느티나무 식재</v>
          </cell>
          <cell r="E47" t="str">
            <v>H4.5 x R25</v>
          </cell>
          <cell r="G47" t="str">
            <v xml:space="preserve"> </v>
          </cell>
          <cell r="I47" t="str">
            <v xml:space="preserve"> </v>
          </cell>
          <cell r="K47" t="str">
            <v xml:space="preserve"> </v>
          </cell>
          <cell r="M47" t="str">
            <v>주당</v>
          </cell>
        </row>
        <row r="48">
          <cell r="B48" t="str">
            <v>느티나무</v>
          </cell>
          <cell r="C48" t="str">
            <v>H4.5 x R25</v>
          </cell>
          <cell r="D48">
            <v>1</v>
          </cell>
          <cell r="E48" t="str">
            <v>주</v>
          </cell>
          <cell r="F48">
            <v>1025000</v>
          </cell>
          <cell r="G48">
            <v>1025000</v>
          </cell>
          <cell r="I48">
            <v>0</v>
          </cell>
          <cell r="K48">
            <v>0</v>
          </cell>
          <cell r="L48">
            <v>1025000</v>
          </cell>
          <cell r="M48">
            <v>1025000</v>
          </cell>
        </row>
        <row r="49">
          <cell r="B49" t="str">
            <v>조경공</v>
          </cell>
          <cell r="D49">
            <v>1.05</v>
          </cell>
          <cell r="E49" t="str">
            <v>인</v>
          </cell>
          <cell r="G49">
            <v>0</v>
          </cell>
          <cell r="H49">
            <v>74900</v>
          </cell>
          <cell r="I49">
            <v>78645</v>
          </cell>
          <cell r="K49">
            <v>0</v>
          </cell>
          <cell r="L49">
            <v>74900</v>
          </cell>
          <cell r="M49">
            <v>78645</v>
          </cell>
        </row>
        <row r="50">
          <cell r="B50" t="str">
            <v>보통인부</v>
          </cell>
          <cell r="D50">
            <v>0.51</v>
          </cell>
          <cell r="E50" t="str">
            <v>인</v>
          </cell>
          <cell r="G50">
            <v>0</v>
          </cell>
          <cell r="H50">
            <v>52370</v>
          </cell>
          <cell r="I50">
            <v>26708.7</v>
          </cell>
          <cell r="K50">
            <v>0</v>
          </cell>
          <cell r="L50">
            <v>52370</v>
          </cell>
          <cell r="M50">
            <v>26708.7</v>
          </cell>
        </row>
        <row r="51">
          <cell r="B51" t="str">
            <v>백호</v>
          </cell>
          <cell r="C51" t="str">
            <v>0.4㎥</v>
          </cell>
          <cell r="D51">
            <v>0.67</v>
          </cell>
          <cell r="E51" t="str">
            <v>HR</v>
          </cell>
          <cell r="F51">
            <v>8123</v>
          </cell>
          <cell r="G51">
            <v>5442</v>
          </cell>
          <cell r="H51">
            <v>24960</v>
          </cell>
          <cell r="I51">
            <v>16723.2</v>
          </cell>
          <cell r="J51">
            <v>10938</v>
          </cell>
          <cell r="K51">
            <v>7328.4</v>
          </cell>
          <cell r="L51">
            <v>44021</v>
          </cell>
          <cell r="M51">
            <v>29493.599999999999</v>
          </cell>
        </row>
        <row r="52">
          <cell r="B52" t="str">
            <v>지   주   목</v>
          </cell>
          <cell r="C52" t="str">
            <v>삼발이 대형</v>
          </cell>
          <cell r="D52">
            <v>1</v>
          </cell>
          <cell r="E52" t="str">
            <v>조</v>
          </cell>
          <cell r="F52">
            <v>19200</v>
          </cell>
          <cell r="G52">
            <v>19200</v>
          </cell>
          <cell r="I52">
            <v>0</v>
          </cell>
          <cell r="K52">
            <v>0</v>
          </cell>
          <cell r="L52">
            <v>19200</v>
          </cell>
          <cell r="M52">
            <v>19200</v>
          </cell>
        </row>
        <row r="53">
          <cell r="B53" t="str">
            <v>유기질비료</v>
          </cell>
          <cell r="C53" t="str">
            <v>20kg/포</v>
          </cell>
          <cell r="D53">
            <v>20</v>
          </cell>
          <cell r="E53" t="str">
            <v>kg</v>
          </cell>
          <cell r="F53">
            <v>150</v>
          </cell>
          <cell r="G53">
            <v>3000</v>
          </cell>
          <cell r="I53">
            <v>0</v>
          </cell>
          <cell r="K53">
            <v>0</v>
          </cell>
          <cell r="L53">
            <v>150</v>
          </cell>
          <cell r="M53">
            <v>3000</v>
          </cell>
        </row>
        <row r="54">
          <cell r="B54" t="str">
            <v>소   계</v>
          </cell>
          <cell r="G54">
            <v>1052642</v>
          </cell>
          <cell r="I54">
            <v>122076</v>
          </cell>
          <cell r="K54">
            <v>7328</v>
          </cell>
          <cell r="M54">
            <v>1182046</v>
          </cell>
        </row>
        <row r="56">
          <cell r="B56">
            <v>7</v>
          </cell>
          <cell r="C56" t="str">
            <v>느티나무 식재</v>
          </cell>
          <cell r="E56" t="str">
            <v>H4.0 x R15</v>
          </cell>
          <cell r="G56" t="str">
            <v xml:space="preserve"> </v>
          </cell>
          <cell r="I56" t="str">
            <v xml:space="preserve"> </v>
          </cell>
          <cell r="K56" t="str">
            <v xml:space="preserve"> </v>
          </cell>
          <cell r="M56" t="str">
            <v>주당</v>
          </cell>
        </row>
        <row r="57">
          <cell r="B57" t="str">
            <v>느티나무</v>
          </cell>
          <cell r="C57" t="str">
            <v>H4.0 x R15</v>
          </cell>
          <cell r="D57">
            <v>1</v>
          </cell>
          <cell r="E57" t="str">
            <v>주</v>
          </cell>
          <cell r="F57">
            <v>351000</v>
          </cell>
          <cell r="G57">
            <v>351000</v>
          </cell>
          <cell r="I57">
            <v>0</v>
          </cell>
          <cell r="K57">
            <v>0</v>
          </cell>
          <cell r="L57">
            <v>351000</v>
          </cell>
          <cell r="M57">
            <v>351000</v>
          </cell>
        </row>
        <row r="58">
          <cell r="B58" t="str">
            <v>조경공</v>
          </cell>
          <cell r="D58">
            <v>0.56000000000000005</v>
          </cell>
          <cell r="E58" t="str">
            <v>인</v>
          </cell>
          <cell r="G58">
            <v>0</v>
          </cell>
          <cell r="H58">
            <v>74900</v>
          </cell>
          <cell r="I58">
            <v>41944</v>
          </cell>
          <cell r="K58">
            <v>0</v>
          </cell>
          <cell r="L58">
            <v>74900</v>
          </cell>
          <cell r="M58">
            <v>41944</v>
          </cell>
        </row>
        <row r="59">
          <cell r="B59" t="str">
            <v>보통인부</v>
          </cell>
          <cell r="D59">
            <v>0.27</v>
          </cell>
          <cell r="E59" t="str">
            <v>인</v>
          </cell>
          <cell r="G59">
            <v>0</v>
          </cell>
          <cell r="H59">
            <v>52370</v>
          </cell>
          <cell r="I59">
            <v>14139.9</v>
          </cell>
          <cell r="K59">
            <v>0</v>
          </cell>
          <cell r="L59">
            <v>52370</v>
          </cell>
          <cell r="M59">
            <v>14139.9</v>
          </cell>
        </row>
        <row r="60">
          <cell r="B60" t="str">
            <v>백호</v>
          </cell>
          <cell r="C60" t="str">
            <v>0.4㎥</v>
          </cell>
          <cell r="D60">
            <v>0.41</v>
          </cell>
          <cell r="E60" t="str">
            <v>HR</v>
          </cell>
          <cell r="F60">
            <v>8123</v>
          </cell>
          <cell r="G60">
            <v>3330</v>
          </cell>
          <cell r="H60">
            <v>24960</v>
          </cell>
          <cell r="I60">
            <v>10233.6</v>
          </cell>
          <cell r="J60">
            <v>10938</v>
          </cell>
          <cell r="K60">
            <v>4484.5</v>
          </cell>
          <cell r="L60">
            <v>44021</v>
          </cell>
          <cell r="M60">
            <v>18048.099999999999</v>
          </cell>
        </row>
        <row r="61">
          <cell r="B61" t="str">
            <v>지   주   목</v>
          </cell>
          <cell r="C61" t="str">
            <v>삼발이 소형</v>
          </cell>
          <cell r="D61">
            <v>1</v>
          </cell>
          <cell r="E61" t="str">
            <v>조</v>
          </cell>
          <cell r="F61">
            <v>11300</v>
          </cell>
          <cell r="G61">
            <v>11300</v>
          </cell>
          <cell r="I61">
            <v>0</v>
          </cell>
          <cell r="K61">
            <v>0</v>
          </cell>
          <cell r="L61">
            <v>11300</v>
          </cell>
          <cell r="M61">
            <v>11300</v>
          </cell>
        </row>
        <row r="62">
          <cell r="B62" t="str">
            <v>유기질비료</v>
          </cell>
          <cell r="C62" t="str">
            <v>20kg/포</v>
          </cell>
          <cell r="D62">
            <v>20</v>
          </cell>
          <cell r="E62" t="str">
            <v>kg</v>
          </cell>
          <cell r="F62">
            <v>150</v>
          </cell>
          <cell r="G62">
            <v>3000</v>
          </cell>
          <cell r="I62">
            <v>0</v>
          </cell>
          <cell r="K62">
            <v>0</v>
          </cell>
          <cell r="L62">
            <v>150</v>
          </cell>
          <cell r="M62">
            <v>3000</v>
          </cell>
        </row>
        <row r="63">
          <cell r="B63" t="str">
            <v>소   계</v>
          </cell>
          <cell r="G63">
            <v>368630</v>
          </cell>
          <cell r="I63">
            <v>66317</v>
          </cell>
          <cell r="K63">
            <v>4484</v>
          </cell>
          <cell r="M63">
            <v>439431</v>
          </cell>
        </row>
        <row r="65">
          <cell r="B65">
            <v>8</v>
          </cell>
          <cell r="C65" t="str">
            <v>산벚나무 식재</v>
          </cell>
          <cell r="E65" t="str">
            <v>H4.0 x B12</v>
          </cell>
          <cell r="G65" t="str">
            <v xml:space="preserve"> </v>
          </cell>
          <cell r="I65" t="str">
            <v xml:space="preserve"> </v>
          </cell>
          <cell r="K65" t="str">
            <v xml:space="preserve"> </v>
          </cell>
          <cell r="M65" t="str">
            <v>주당</v>
          </cell>
        </row>
        <row r="66">
          <cell r="B66" t="str">
            <v>산벚나무</v>
          </cell>
          <cell r="C66" t="str">
            <v>H4.0 x B12</v>
          </cell>
          <cell r="D66">
            <v>1</v>
          </cell>
          <cell r="E66" t="str">
            <v>주</v>
          </cell>
          <cell r="F66">
            <v>214000</v>
          </cell>
          <cell r="G66">
            <v>214000</v>
          </cell>
          <cell r="I66">
            <v>0</v>
          </cell>
          <cell r="K66">
            <v>0</v>
          </cell>
          <cell r="L66">
            <v>214000</v>
          </cell>
          <cell r="M66">
            <v>214000</v>
          </cell>
        </row>
        <row r="67">
          <cell r="B67" t="str">
            <v>조경공</v>
          </cell>
          <cell r="D67">
            <v>0.55000000000000004</v>
          </cell>
          <cell r="E67" t="str">
            <v>인</v>
          </cell>
          <cell r="G67">
            <v>0</v>
          </cell>
          <cell r="H67">
            <v>74900</v>
          </cell>
          <cell r="I67">
            <v>41195</v>
          </cell>
          <cell r="K67">
            <v>0</v>
          </cell>
          <cell r="L67">
            <v>74900</v>
          </cell>
          <cell r="M67">
            <v>41195</v>
          </cell>
        </row>
        <row r="68">
          <cell r="B68" t="str">
            <v>보통인부</v>
          </cell>
          <cell r="D68">
            <v>0.27</v>
          </cell>
          <cell r="E68" t="str">
            <v>인</v>
          </cell>
          <cell r="G68">
            <v>0</v>
          </cell>
          <cell r="H68">
            <v>52370</v>
          </cell>
          <cell r="I68">
            <v>14139.9</v>
          </cell>
          <cell r="K68">
            <v>0</v>
          </cell>
          <cell r="L68">
            <v>52370</v>
          </cell>
          <cell r="M68">
            <v>14139.9</v>
          </cell>
        </row>
        <row r="69">
          <cell r="B69" t="str">
            <v>백호</v>
          </cell>
          <cell r="C69" t="str">
            <v>0.4㎥</v>
          </cell>
          <cell r="D69">
            <v>0.4</v>
          </cell>
          <cell r="E69" t="str">
            <v>HR</v>
          </cell>
          <cell r="F69">
            <v>8123</v>
          </cell>
          <cell r="G69">
            <v>3249</v>
          </cell>
          <cell r="H69">
            <v>24960</v>
          </cell>
          <cell r="I69">
            <v>9984</v>
          </cell>
          <cell r="J69">
            <v>10938</v>
          </cell>
          <cell r="K69">
            <v>4375.2</v>
          </cell>
          <cell r="L69">
            <v>44021</v>
          </cell>
          <cell r="M69">
            <v>17608.2</v>
          </cell>
        </row>
        <row r="70">
          <cell r="B70" t="str">
            <v>지   주   목</v>
          </cell>
          <cell r="C70" t="str">
            <v>삼발이 소형</v>
          </cell>
          <cell r="D70">
            <v>1</v>
          </cell>
          <cell r="E70" t="str">
            <v>조</v>
          </cell>
          <cell r="F70">
            <v>11300</v>
          </cell>
          <cell r="G70">
            <v>11300</v>
          </cell>
          <cell r="I70">
            <v>0</v>
          </cell>
          <cell r="K70">
            <v>0</v>
          </cell>
          <cell r="L70">
            <v>11300</v>
          </cell>
          <cell r="M70">
            <v>11300</v>
          </cell>
        </row>
        <row r="71">
          <cell r="B71" t="str">
            <v>유기질비료</v>
          </cell>
          <cell r="C71" t="str">
            <v>20kg/포</v>
          </cell>
          <cell r="D71">
            <v>12</v>
          </cell>
          <cell r="E71" t="str">
            <v>kg</v>
          </cell>
          <cell r="F71">
            <v>150</v>
          </cell>
          <cell r="G71">
            <v>1800</v>
          </cell>
          <cell r="I71">
            <v>0</v>
          </cell>
          <cell r="K71">
            <v>0</v>
          </cell>
          <cell r="L71">
            <v>150</v>
          </cell>
          <cell r="M71">
            <v>1800</v>
          </cell>
        </row>
        <row r="72">
          <cell r="B72" t="str">
            <v>소   계</v>
          </cell>
          <cell r="G72">
            <v>230349</v>
          </cell>
          <cell r="I72">
            <v>65318</v>
          </cell>
          <cell r="K72">
            <v>4375</v>
          </cell>
          <cell r="M72">
            <v>300042</v>
          </cell>
        </row>
        <row r="74">
          <cell r="B74">
            <v>9</v>
          </cell>
          <cell r="C74" t="str">
            <v>청단풍 식재</v>
          </cell>
          <cell r="E74" t="str">
            <v>H3.0 x R10</v>
          </cell>
          <cell r="G74" t="str">
            <v xml:space="preserve"> </v>
          </cell>
          <cell r="I74" t="str">
            <v xml:space="preserve"> </v>
          </cell>
          <cell r="K74" t="str">
            <v xml:space="preserve"> </v>
          </cell>
          <cell r="M74" t="str">
            <v>주당</v>
          </cell>
        </row>
        <row r="75">
          <cell r="B75" t="str">
            <v>청단풍</v>
          </cell>
          <cell r="C75" t="str">
            <v>H3.0 x R10</v>
          </cell>
          <cell r="D75">
            <v>1</v>
          </cell>
          <cell r="E75" t="str">
            <v>주</v>
          </cell>
          <cell r="F75">
            <v>135000</v>
          </cell>
          <cell r="G75">
            <v>135000</v>
          </cell>
          <cell r="I75">
            <v>0</v>
          </cell>
          <cell r="K75">
            <v>0</v>
          </cell>
          <cell r="L75">
            <v>135000</v>
          </cell>
          <cell r="M75">
            <v>135000</v>
          </cell>
        </row>
        <row r="76">
          <cell r="B76" t="str">
            <v>조경공</v>
          </cell>
          <cell r="D76">
            <v>0.33</v>
          </cell>
          <cell r="E76" t="str">
            <v>인</v>
          </cell>
          <cell r="G76">
            <v>0</v>
          </cell>
          <cell r="H76">
            <v>74900</v>
          </cell>
          <cell r="I76">
            <v>24717</v>
          </cell>
          <cell r="K76">
            <v>0</v>
          </cell>
          <cell r="L76">
            <v>74900</v>
          </cell>
          <cell r="M76">
            <v>24717</v>
          </cell>
        </row>
        <row r="77">
          <cell r="B77" t="str">
            <v>보통인부</v>
          </cell>
          <cell r="D77">
            <v>0.16</v>
          </cell>
          <cell r="E77" t="str">
            <v>인</v>
          </cell>
          <cell r="G77">
            <v>0</v>
          </cell>
          <cell r="H77">
            <v>52370</v>
          </cell>
          <cell r="I77">
            <v>8379.2000000000007</v>
          </cell>
          <cell r="K77">
            <v>0</v>
          </cell>
          <cell r="L77">
            <v>52370</v>
          </cell>
          <cell r="M77">
            <v>8379.2000000000007</v>
          </cell>
        </row>
        <row r="78">
          <cell r="B78" t="str">
            <v>백호</v>
          </cell>
          <cell r="C78" t="str">
            <v>0.4㎥</v>
          </cell>
          <cell r="D78">
            <v>0.24</v>
          </cell>
          <cell r="E78" t="str">
            <v>HR</v>
          </cell>
          <cell r="F78">
            <v>8123</v>
          </cell>
          <cell r="G78">
            <v>1949</v>
          </cell>
          <cell r="H78">
            <v>24960</v>
          </cell>
          <cell r="I78">
            <v>5990.4</v>
          </cell>
          <cell r="J78">
            <v>10938</v>
          </cell>
          <cell r="K78">
            <v>2625.1</v>
          </cell>
          <cell r="L78">
            <v>44021</v>
          </cell>
          <cell r="M78">
            <v>10564.5</v>
          </cell>
        </row>
        <row r="79">
          <cell r="B79" t="str">
            <v>지   주   목</v>
          </cell>
          <cell r="C79" t="str">
            <v>삼발이 소형</v>
          </cell>
          <cell r="D79">
            <v>1</v>
          </cell>
          <cell r="E79" t="str">
            <v>조</v>
          </cell>
          <cell r="F79">
            <v>11300</v>
          </cell>
          <cell r="G79">
            <v>11300</v>
          </cell>
          <cell r="I79">
            <v>0</v>
          </cell>
          <cell r="K79">
            <v>0</v>
          </cell>
          <cell r="L79">
            <v>11300</v>
          </cell>
          <cell r="M79">
            <v>11300</v>
          </cell>
        </row>
        <row r="80">
          <cell r="B80" t="str">
            <v>유기질비료</v>
          </cell>
          <cell r="C80" t="str">
            <v>20kg/포</v>
          </cell>
          <cell r="D80">
            <v>20</v>
          </cell>
          <cell r="E80" t="str">
            <v>kg</v>
          </cell>
          <cell r="F80">
            <v>150</v>
          </cell>
          <cell r="G80">
            <v>3000</v>
          </cell>
          <cell r="I80">
            <v>0</v>
          </cell>
          <cell r="K80">
            <v>0</v>
          </cell>
          <cell r="L80">
            <v>150</v>
          </cell>
          <cell r="M80">
            <v>3000</v>
          </cell>
        </row>
        <row r="81">
          <cell r="B81" t="str">
            <v>소   계</v>
          </cell>
          <cell r="G81">
            <v>151249</v>
          </cell>
          <cell r="I81">
            <v>39086</v>
          </cell>
          <cell r="K81">
            <v>2625</v>
          </cell>
          <cell r="M81">
            <v>192960</v>
          </cell>
        </row>
        <row r="83">
          <cell r="B83">
            <v>10</v>
          </cell>
          <cell r="C83" t="str">
            <v>목련 식재</v>
          </cell>
          <cell r="E83" t="str">
            <v>H2.5 x R8</v>
          </cell>
          <cell r="G83" t="str">
            <v xml:space="preserve"> </v>
          </cell>
          <cell r="I83" t="str">
            <v xml:space="preserve"> </v>
          </cell>
          <cell r="K83" t="str">
            <v xml:space="preserve"> </v>
          </cell>
          <cell r="M83" t="str">
            <v>주당</v>
          </cell>
        </row>
        <row r="84">
          <cell r="B84" t="str">
            <v>목련</v>
          </cell>
          <cell r="C84" t="str">
            <v>H2.5 x R8</v>
          </cell>
          <cell r="D84">
            <v>1</v>
          </cell>
          <cell r="E84" t="str">
            <v>주</v>
          </cell>
          <cell r="F84">
            <v>68400</v>
          </cell>
          <cell r="G84">
            <v>68400</v>
          </cell>
          <cell r="I84">
            <v>0</v>
          </cell>
          <cell r="K84">
            <v>0</v>
          </cell>
          <cell r="L84">
            <v>68400</v>
          </cell>
          <cell r="M84">
            <v>68400</v>
          </cell>
        </row>
        <row r="85">
          <cell r="B85" t="str">
            <v>조경공</v>
          </cell>
          <cell r="D85">
            <v>0.37</v>
          </cell>
          <cell r="E85" t="str">
            <v>인</v>
          </cell>
          <cell r="G85">
            <v>0</v>
          </cell>
          <cell r="H85">
            <v>74900</v>
          </cell>
          <cell r="I85">
            <v>27713</v>
          </cell>
          <cell r="K85">
            <v>0</v>
          </cell>
          <cell r="L85">
            <v>74900</v>
          </cell>
          <cell r="M85">
            <v>27713</v>
          </cell>
        </row>
        <row r="86">
          <cell r="B86" t="str">
            <v>보통인부</v>
          </cell>
          <cell r="D86">
            <v>0.22</v>
          </cell>
          <cell r="E86" t="str">
            <v>인</v>
          </cell>
          <cell r="G86">
            <v>0</v>
          </cell>
          <cell r="H86">
            <v>52370</v>
          </cell>
          <cell r="I86">
            <v>11521.4</v>
          </cell>
          <cell r="K86">
            <v>0</v>
          </cell>
          <cell r="L86">
            <v>52370</v>
          </cell>
          <cell r="M86">
            <v>11521.4</v>
          </cell>
        </row>
        <row r="87">
          <cell r="B87" t="str">
            <v>지   주   목</v>
          </cell>
          <cell r="C87" t="str">
            <v>삼발이 소형</v>
          </cell>
          <cell r="D87">
            <v>1</v>
          </cell>
          <cell r="E87" t="str">
            <v>조</v>
          </cell>
          <cell r="F87">
            <v>11300</v>
          </cell>
          <cell r="G87">
            <v>11300</v>
          </cell>
          <cell r="I87">
            <v>0</v>
          </cell>
          <cell r="K87">
            <v>0</v>
          </cell>
          <cell r="L87">
            <v>11300</v>
          </cell>
          <cell r="M87">
            <v>11300</v>
          </cell>
        </row>
        <row r="88">
          <cell r="B88" t="str">
            <v>유기질비료</v>
          </cell>
          <cell r="C88" t="str">
            <v>20kg/포</v>
          </cell>
          <cell r="D88">
            <v>12</v>
          </cell>
          <cell r="E88" t="str">
            <v>kg</v>
          </cell>
          <cell r="F88">
            <v>150</v>
          </cell>
          <cell r="G88">
            <v>1800</v>
          </cell>
          <cell r="I88">
            <v>0</v>
          </cell>
          <cell r="K88">
            <v>0</v>
          </cell>
          <cell r="L88">
            <v>150</v>
          </cell>
          <cell r="M88">
            <v>1800</v>
          </cell>
        </row>
        <row r="89">
          <cell r="B89" t="str">
            <v>소   계</v>
          </cell>
          <cell r="G89">
            <v>81500</v>
          </cell>
          <cell r="I89">
            <v>39234</v>
          </cell>
          <cell r="K89">
            <v>0</v>
          </cell>
          <cell r="M89">
            <v>120734</v>
          </cell>
        </row>
        <row r="91">
          <cell r="B91">
            <v>11</v>
          </cell>
          <cell r="C91" t="str">
            <v>자작나무 식재</v>
          </cell>
          <cell r="E91" t="str">
            <v>H3.5 x B8</v>
          </cell>
          <cell r="G91" t="str">
            <v xml:space="preserve"> </v>
          </cell>
          <cell r="I91" t="str">
            <v xml:space="preserve"> </v>
          </cell>
          <cell r="K91" t="str">
            <v xml:space="preserve"> </v>
          </cell>
          <cell r="M91" t="str">
            <v>주당</v>
          </cell>
        </row>
        <row r="92">
          <cell r="B92" t="str">
            <v>자작나무</v>
          </cell>
          <cell r="C92" t="str">
            <v>H3.5 x B8</v>
          </cell>
          <cell r="D92">
            <v>1</v>
          </cell>
          <cell r="E92" t="str">
            <v>주</v>
          </cell>
          <cell r="F92">
            <v>105000</v>
          </cell>
          <cell r="G92">
            <v>105000</v>
          </cell>
          <cell r="I92">
            <v>0</v>
          </cell>
          <cell r="K92">
            <v>0</v>
          </cell>
          <cell r="L92">
            <v>105000</v>
          </cell>
          <cell r="M92">
            <v>105000</v>
          </cell>
        </row>
        <row r="93">
          <cell r="B93" t="str">
            <v>조경공</v>
          </cell>
          <cell r="D93">
            <v>0.32</v>
          </cell>
          <cell r="E93" t="str">
            <v>인</v>
          </cell>
          <cell r="G93">
            <v>0</v>
          </cell>
          <cell r="H93">
            <v>74900</v>
          </cell>
          <cell r="I93">
            <v>23968</v>
          </cell>
          <cell r="K93">
            <v>0</v>
          </cell>
          <cell r="L93">
            <v>74900</v>
          </cell>
          <cell r="M93">
            <v>23968</v>
          </cell>
        </row>
        <row r="94">
          <cell r="B94" t="str">
            <v>보통인부</v>
          </cell>
          <cell r="D94">
            <v>0.16</v>
          </cell>
          <cell r="E94" t="str">
            <v>인</v>
          </cell>
          <cell r="G94">
            <v>0</v>
          </cell>
          <cell r="H94">
            <v>52370</v>
          </cell>
          <cell r="I94">
            <v>8379.2000000000007</v>
          </cell>
          <cell r="K94">
            <v>0</v>
          </cell>
          <cell r="L94">
            <v>52370</v>
          </cell>
          <cell r="M94">
            <v>8379.2000000000007</v>
          </cell>
        </row>
        <row r="95">
          <cell r="B95" t="str">
            <v>백호</v>
          </cell>
          <cell r="C95" t="str">
            <v>0.4㎥</v>
          </cell>
          <cell r="D95">
            <v>0.24</v>
          </cell>
          <cell r="E95" t="str">
            <v>HR</v>
          </cell>
          <cell r="F95">
            <v>8123</v>
          </cell>
          <cell r="G95">
            <v>1949</v>
          </cell>
          <cell r="H95">
            <v>24960</v>
          </cell>
          <cell r="I95">
            <v>5990.4</v>
          </cell>
          <cell r="J95">
            <v>10938</v>
          </cell>
          <cell r="K95">
            <v>2625.1</v>
          </cell>
          <cell r="L95">
            <v>44021</v>
          </cell>
          <cell r="M95">
            <v>10564.5</v>
          </cell>
        </row>
        <row r="96">
          <cell r="B96" t="str">
            <v>지   주   목</v>
          </cell>
          <cell r="C96" t="str">
            <v>삼발이 소형</v>
          </cell>
          <cell r="D96">
            <v>1</v>
          </cell>
          <cell r="E96" t="str">
            <v>조</v>
          </cell>
          <cell r="F96">
            <v>11300</v>
          </cell>
          <cell r="G96">
            <v>11300</v>
          </cell>
          <cell r="I96">
            <v>0</v>
          </cell>
          <cell r="K96">
            <v>0</v>
          </cell>
          <cell r="L96">
            <v>11300</v>
          </cell>
          <cell r="M96">
            <v>11300</v>
          </cell>
        </row>
        <row r="97">
          <cell r="B97" t="str">
            <v>유기질비료</v>
          </cell>
          <cell r="C97" t="str">
            <v>20kg/포</v>
          </cell>
          <cell r="D97">
            <v>12</v>
          </cell>
          <cell r="E97" t="str">
            <v>kg</v>
          </cell>
          <cell r="F97">
            <v>150</v>
          </cell>
          <cell r="G97">
            <v>1800</v>
          </cell>
          <cell r="I97">
            <v>0</v>
          </cell>
          <cell r="K97">
            <v>0</v>
          </cell>
          <cell r="L97">
            <v>150</v>
          </cell>
          <cell r="M97">
            <v>1800</v>
          </cell>
        </row>
        <row r="98">
          <cell r="B98" t="str">
            <v>소   계</v>
          </cell>
          <cell r="G98">
            <v>120049</v>
          </cell>
          <cell r="I98">
            <v>38337</v>
          </cell>
          <cell r="K98">
            <v>2625</v>
          </cell>
          <cell r="M98">
            <v>161011</v>
          </cell>
        </row>
        <row r="100">
          <cell r="B100">
            <v>12</v>
          </cell>
          <cell r="C100" t="str">
            <v>이팝나무 식재</v>
          </cell>
          <cell r="E100" t="str">
            <v>H3.5 x R10</v>
          </cell>
          <cell r="G100" t="str">
            <v xml:space="preserve"> </v>
          </cell>
          <cell r="I100" t="str">
            <v xml:space="preserve"> </v>
          </cell>
          <cell r="K100" t="str">
            <v xml:space="preserve"> </v>
          </cell>
          <cell r="M100" t="str">
            <v>주당</v>
          </cell>
        </row>
        <row r="101">
          <cell r="B101" t="str">
            <v>이팝나무</v>
          </cell>
          <cell r="C101" t="str">
            <v>H3.5 x R10</v>
          </cell>
          <cell r="D101">
            <v>1</v>
          </cell>
          <cell r="E101" t="str">
            <v>주</v>
          </cell>
          <cell r="F101">
            <v>119000</v>
          </cell>
          <cell r="G101">
            <v>119000</v>
          </cell>
          <cell r="I101">
            <v>0</v>
          </cell>
          <cell r="K101">
            <v>0</v>
          </cell>
          <cell r="L101">
            <v>119000</v>
          </cell>
          <cell r="M101">
            <v>119000</v>
          </cell>
        </row>
        <row r="102">
          <cell r="B102" t="str">
            <v>조경공</v>
          </cell>
          <cell r="D102">
            <v>0.33</v>
          </cell>
          <cell r="E102" t="str">
            <v>인</v>
          </cell>
          <cell r="G102">
            <v>0</v>
          </cell>
          <cell r="H102">
            <v>74900</v>
          </cell>
          <cell r="I102">
            <v>24717</v>
          </cell>
          <cell r="K102">
            <v>0</v>
          </cell>
          <cell r="L102">
            <v>74900</v>
          </cell>
          <cell r="M102">
            <v>24717</v>
          </cell>
        </row>
        <row r="103">
          <cell r="B103" t="str">
            <v>보통인부</v>
          </cell>
          <cell r="D103">
            <v>0.16</v>
          </cell>
          <cell r="E103" t="str">
            <v>인</v>
          </cell>
          <cell r="G103">
            <v>0</v>
          </cell>
          <cell r="H103">
            <v>52370</v>
          </cell>
          <cell r="I103">
            <v>8379.2000000000007</v>
          </cell>
          <cell r="K103">
            <v>0</v>
          </cell>
          <cell r="L103">
            <v>52370</v>
          </cell>
          <cell r="M103">
            <v>8379.2000000000007</v>
          </cell>
        </row>
        <row r="104">
          <cell r="B104" t="str">
            <v>백호</v>
          </cell>
          <cell r="C104" t="str">
            <v>0.4㎥</v>
          </cell>
          <cell r="D104">
            <v>0.24</v>
          </cell>
          <cell r="E104" t="str">
            <v>HR</v>
          </cell>
          <cell r="F104">
            <v>8123</v>
          </cell>
          <cell r="G104">
            <v>1949</v>
          </cell>
          <cell r="H104">
            <v>24960</v>
          </cell>
          <cell r="I104">
            <v>5990.4</v>
          </cell>
          <cell r="J104">
            <v>10938</v>
          </cell>
          <cell r="K104">
            <v>2625.1</v>
          </cell>
          <cell r="L104">
            <v>44021</v>
          </cell>
          <cell r="M104">
            <v>10564.5</v>
          </cell>
        </row>
        <row r="105">
          <cell r="B105" t="str">
            <v>지   주   목</v>
          </cell>
          <cell r="C105" t="str">
            <v>삼발이 소형</v>
          </cell>
          <cell r="D105">
            <v>1</v>
          </cell>
          <cell r="E105" t="str">
            <v>조</v>
          </cell>
          <cell r="F105">
            <v>11300</v>
          </cell>
          <cell r="G105">
            <v>11300</v>
          </cell>
          <cell r="I105">
            <v>0</v>
          </cell>
          <cell r="K105">
            <v>0</v>
          </cell>
          <cell r="L105">
            <v>11300</v>
          </cell>
          <cell r="M105">
            <v>11300</v>
          </cell>
        </row>
        <row r="106">
          <cell r="B106" t="str">
            <v>유기질비료</v>
          </cell>
          <cell r="C106" t="str">
            <v>20kg/포</v>
          </cell>
          <cell r="D106">
            <v>20</v>
          </cell>
          <cell r="E106" t="str">
            <v>kg</v>
          </cell>
          <cell r="F106">
            <v>150</v>
          </cell>
          <cell r="G106">
            <v>3000</v>
          </cell>
          <cell r="I106">
            <v>0</v>
          </cell>
          <cell r="K106">
            <v>0</v>
          </cell>
          <cell r="L106">
            <v>150</v>
          </cell>
          <cell r="M106">
            <v>3000</v>
          </cell>
        </row>
        <row r="107">
          <cell r="B107" t="str">
            <v>소   계</v>
          </cell>
          <cell r="G107">
            <v>135249</v>
          </cell>
          <cell r="I107">
            <v>39086</v>
          </cell>
          <cell r="K107">
            <v>2625</v>
          </cell>
          <cell r="M107">
            <v>176960</v>
          </cell>
        </row>
        <row r="109">
          <cell r="B109">
            <v>13</v>
          </cell>
          <cell r="C109" t="str">
            <v>산사나무 식재</v>
          </cell>
          <cell r="E109" t="str">
            <v>H3.0 x R8</v>
          </cell>
          <cell r="G109" t="str">
            <v xml:space="preserve"> </v>
          </cell>
          <cell r="I109" t="str">
            <v xml:space="preserve"> </v>
          </cell>
          <cell r="K109" t="str">
            <v xml:space="preserve"> </v>
          </cell>
          <cell r="M109" t="str">
            <v>주당</v>
          </cell>
        </row>
        <row r="110">
          <cell r="B110" t="str">
            <v>산사나무</v>
          </cell>
          <cell r="C110" t="str">
            <v>H3.0 x R8</v>
          </cell>
          <cell r="D110">
            <v>1</v>
          </cell>
          <cell r="E110" t="str">
            <v>주</v>
          </cell>
          <cell r="F110">
            <v>101000</v>
          </cell>
          <cell r="G110">
            <v>101000</v>
          </cell>
          <cell r="I110">
            <v>0</v>
          </cell>
          <cell r="K110">
            <v>0</v>
          </cell>
          <cell r="L110">
            <v>101000</v>
          </cell>
          <cell r="M110">
            <v>101000</v>
          </cell>
        </row>
        <row r="111">
          <cell r="B111" t="str">
            <v>조경공</v>
          </cell>
          <cell r="D111">
            <v>0.37</v>
          </cell>
          <cell r="E111" t="str">
            <v>인</v>
          </cell>
          <cell r="G111">
            <v>0</v>
          </cell>
          <cell r="H111">
            <v>74900</v>
          </cell>
          <cell r="I111">
            <v>27713</v>
          </cell>
          <cell r="K111">
            <v>0</v>
          </cell>
          <cell r="L111">
            <v>74900</v>
          </cell>
          <cell r="M111">
            <v>27713</v>
          </cell>
        </row>
        <row r="112">
          <cell r="B112" t="str">
            <v>보통인부</v>
          </cell>
          <cell r="D112">
            <v>0.22</v>
          </cell>
          <cell r="E112" t="str">
            <v>인</v>
          </cell>
          <cell r="G112">
            <v>0</v>
          </cell>
          <cell r="H112">
            <v>52370</v>
          </cell>
          <cell r="I112">
            <v>11521.4</v>
          </cell>
          <cell r="K112">
            <v>0</v>
          </cell>
          <cell r="L112">
            <v>52370</v>
          </cell>
          <cell r="M112">
            <v>11521.4</v>
          </cell>
        </row>
        <row r="113">
          <cell r="B113" t="str">
            <v>지   주   목</v>
          </cell>
          <cell r="C113" t="str">
            <v>삼발이 소형</v>
          </cell>
          <cell r="D113">
            <v>1</v>
          </cell>
          <cell r="E113" t="str">
            <v>조</v>
          </cell>
          <cell r="F113">
            <v>11300</v>
          </cell>
          <cell r="G113">
            <v>11300</v>
          </cell>
          <cell r="I113">
            <v>0</v>
          </cell>
          <cell r="K113">
            <v>0</v>
          </cell>
          <cell r="L113">
            <v>11300</v>
          </cell>
          <cell r="M113">
            <v>11300</v>
          </cell>
        </row>
        <row r="114">
          <cell r="B114" t="str">
            <v>유기질비료</v>
          </cell>
          <cell r="C114" t="str">
            <v>20kg/포</v>
          </cell>
          <cell r="D114">
            <v>12</v>
          </cell>
          <cell r="E114" t="str">
            <v>kg</v>
          </cell>
          <cell r="F114">
            <v>150</v>
          </cell>
          <cell r="G114">
            <v>1800</v>
          </cell>
          <cell r="I114">
            <v>0</v>
          </cell>
          <cell r="K114">
            <v>0</v>
          </cell>
          <cell r="L114">
            <v>150</v>
          </cell>
          <cell r="M114">
            <v>1800</v>
          </cell>
        </row>
        <row r="115">
          <cell r="B115" t="str">
            <v>소   계</v>
          </cell>
          <cell r="G115">
            <v>114100</v>
          </cell>
          <cell r="I115">
            <v>39234</v>
          </cell>
          <cell r="K115">
            <v>0</v>
          </cell>
          <cell r="M115">
            <v>153334</v>
          </cell>
        </row>
        <row r="117">
          <cell r="B117">
            <v>14</v>
          </cell>
          <cell r="C117" t="str">
            <v>자귀나무 식재</v>
          </cell>
          <cell r="E117" t="str">
            <v>H3.0 x R8</v>
          </cell>
          <cell r="G117" t="str">
            <v xml:space="preserve"> </v>
          </cell>
          <cell r="I117" t="str">
            <v xml:space="preserve"> </v>
          </cell>
          <cell r="K117" t="str">
            <v xml:space="preserve"> </v>
          </cell>
          <cell r="M117" t="str">
            <v>주당</v>
          </cell>
        </row>
        <row r="118">
          <cell r="B118" t="str">
            <v>자귀나무</v>
          </cell>
          <cell r="C118" t="str">
            <v>H3.0 x R8</v>
          </cell>
          <cell r="D118">
            <v>1</v>
          </cell>
          <cell r="E118" t="str">
            <v>주</v>
          </cell>
          <cell r="F118">
            <v>84500</v>
          </cell>
          <cell r="G118">
            <v>84500</v>
          </cell>
          <cell r="I118">
            <v>0</v>
          </cell>
          <cell r="K118">
            <v>0</v>
          </cell>
          <cell r="L118">
            <v>84500</v>
          </cell>
          <cell r="M118">
            <v>84500</v>
          </cell>
        </row>
        <row r="119">
          <cell r="B119" t="str">
            <v>조경공</v>
          </cell>
          <cell r="D119">
            <v>0.37</v>
          </cell>
          <cell r="E119" t="str">
            <v>인</v>
          </cell>
          <cell r="G119">
            <v>0</v>
          </cell>
          <cell r="H119">
            <v>74900</v>
          </cell>
          <cell r="I119">
            <v>27713</v>
          </cell>
          <cell r="K119">
            <v>0</v>
          </cell>
          <cell r="L119">
            <v>74900</v>
          </cell>
          <cell r="M119">
            <v>27713</v>
          </cell>
        </row>
        <row r="120">
          <cell r="B120" t="str">
            <v>보통인부</v>
          </cell>
          <cell r="D120">
            <v>0.22</v>
          </cell>
          <cell r="E120" t="str">
            <v>인</v>
          </cell>
          <cell r="G120">
            <v>0</v>
          </cell>
          <cell r="H120">
            <v>52370</v>
          </cell>
          <cell r="I120">
            <v>11521.4</v>
          </cell>
          <cell r="K120">
            <v>0</v>
          </cell>
          <cell r="L120">
            <v>52370</v>
          </cell>
          <cell r="M120">
            <v>11521.4</v>
          </cell>
        </row>
        <row r="121">
          <cell r="B121" t="str">
            <v>지   주   목</v>
          </cell>
          <cell r="C121" t="str">
            <v>삼발이 소형</v>
          </cell>
          <cell r="D121">
            <v>1</v>
          </cell>
          <cell r="E121" t="str">
            <v>조</v>
          </cell>
          <cell r="F121">
            <v>11300</v>
          </cell>
          <cell r="G121">
            <v>11300</v>
          </cell>
          <cell r="I121">
            <v>0</v>
          </cell>
          <cell r="K121">
            <v>0</v>
          </cell>
          <cell r="L121">
            <v>11300</v>
          </cell>
          <cell r="M121">
            <v>11300</v>
          </cell>
        </row>
        <row r="122">
          <cell r="B122" t="str">
            <v>유기질비료</v>
          </cell>
          <cell r="C122" t="str">
            <v>20kg/포</v>
          </cell>
          <cell r="D122">
            <v>12</v>
          </cell>
          <cell r="E122" t="str">
            <v>kg</v>
          </cell>
          <cell r="F122">
            <v>150</v>
          </cell>
          <cell r="G122">
            <v>1800</v>
          </cell>
          <cell r="I122">
            <v>0</v>
          </cell>
          <cell r="K122">
            <v>0</v>
          </cell>
          <cell r="L122">
            <v>150</v>
          </cell>
          <cell r="M122">
            <v>1800</v>
          </cell>
        </row>
        <row r="123">
          <cell r="B123" t="str">
            <v>소   계</v>
          </cell>
          <cell r="G123">
            <v>97600</v>
          </cell>
          <cell r="I123">
            <v>39234</v>
          </cell>
          <cell r="K123">
            <v>0</v>
          </cell>
          <cell r="M123">
            <v>136834</v>
          </cell>
        </row>
        <row r="125">
          <cell r="B125">
            <v>15</v>
          </cell>
          <cell r="C125" t="str">
            <v>회 양 목 식재</v>
          </cell>
          <cell r="E125" t="str">
            <v>H0.3 x W0.3</v>
          </cell>
          <cell r="G125" t="str">
            <v xml:space="preserve"> </v>
          </cell>
          <cell r="I125" t="str">
            <v xml:space="preserve"> </v>
          </cell>
          <cell r="K125" t="str">
            <v xml:space="preserve"> </v>
          </cell>
          <cell r="M125" t="str">
            <v>주당</v>
          </cell>
        </row>
        <row r="126">
          <cell r="B126" t="str">
            <v>회 양 목</v>
          </cell>
          <cell r="C126" t="str">
            <v>H0.3 x W0.3</v>
          </cell>
          <cell r="D126">
            <v>1</v>
          </cell>
          <cell r="E126" t="str">
            <v>주</v>
          </cell>
          <cell r="F126">
            <v>2900</v>
          </cell>
          <cell r="G126">
            <v>2900</v>
          </cell>
          <cell r="I126">
            <v>0</v>
          </cell>
          <cell r="K126">
            <v>0</v>
          </cell>
          <cell r="L126">
            <v>2900</v>
          </cell>
          <cell r="M126">
            <v>2900</v>
          </cell>
        </row>
        <row r="127">
          <cell r="B127" t="str">
            <v>조경공</v>
          </cell>
          <cell r="D127">
            <v>1.2999999999999999E-2</v>
          </cell>
          <cell r="E127" t="str">
            <v>인</v>
          </cell>
          <cell r="G127">
            <v>0</v>
          </cell>
          <cell r="H127">
            <v>74900</v>
          </cell>
          <cell r="I127">
            <v>973.7</v>
          </cell>
          <cell r="K127">
            <v>0</v>
          </cell>
          <cell r="L127">
            <v>74900</v>
          </cell>
          <cell r="M127">
            <v>973.7</v>
          </cell>
        </row>
        <row r="128">
          <cell r="B128" t="str">
            <v>보통인부</v>
          </cell>
          <cell r="D128">
            <v>7.0000000000000001E-3</v>
          </cell>
          <cell r="E128" t="str">
            <v>인</v>
          </cell>
          <cell r="G128">
            <v>0</v>
          </cell>
          <cell r="H128">
            <v>52370</v>
          </cell>
          <cell r="I128">
            <v>366.5</v>
          </cell>
          <cell r="K128">
            <v>0</v>
          </cell>
          <cell r="L128">
            <v>52370</v>
          </cell>
          <cell r="M128">
            <v>366.5</v>
          </cell>
        </row>
        <row r="129">
          <cell r="B129" t="str">
            <v>유기질비료</v>
          </cell>
          <cell r="C129" t="str">
            <v>20kg/포</v>
          </cell>
          <cell r="D129">
            <v>0.5</v>
          </cell>
          <cell r="E129" t="str">
            <v>kg</v>
          </cell>
          <cell r="F129">
            <v>150</v>
          </cell>
          <cell r="G129">
            <v>75</v>
          </cell>
          <cell r="I129">
            <v>0</v>
          </cell>
          <cell r="K129">
            <v>0</v>
          </cell>
          <cell r="L129">
            <v>150</v>
          </cell>
          <cell r="M129">
            <v>75</v>
          </cell>
        </row>
        <row r="130">
          <cell r="B130" t="str">
            <v>소   계</v>
          </cell>
          <cell r="G130">
            <v>2975</v>
          </cell>
          <cell r="I130">
            <v>1340</v>
          </cell>
          <cell r="K130">
            <v>0</v>
          </cell>
          <cell r="M130">
            <v>4315</v>
          </cell>
        </row>
        <row r="132">
          <cell r="B132">
            <v>16</v>
          </cell>
          <cell r="C132" t="str">
            <v>앵두나무 식재</v>
          </cell>
          <cell r="E132" t="str">
            <v>H1.8 x W1.2</v>
          </cell>
          <cell r="G132" t="str">
            <v xml:space="preserve"> </v>
          </cell>
          <cell r="I132" t="str">
            <v xml:space="preserve"> </v>
          </cell>
          <cell r="K132" t="str">
            <v xml:space="preserve"> </v>
          </cell>
          <cell r="M132" t="str">
            <v>주당</v>
          </cell>
        </row>
        <row r="133">
          <cell r="B133" t="str">
            <v>앵두나무</v>
          </cell>
          <cell r="C133" t="str">
            <v>H1.8 x W1.2</v>
          </cell>
          <cell r="D133">
            <v>1</v>
          </cell>
          <cell r="E133" t="str">
            <v>주</v>
          </cell>
          <cell r="F133">
            <v>4160</v>
          </cell>
          <cell r="G133">
            <v>4160</v>
          </cell>
          <cell r="I133">
            <v>0</v>
          </cell>
          <cell r="K133">
            <v>0</v>
          </cell>
          <cell r="L133">
            <v>4160</v>
          </cell>
          <cell r="M133">
            <v>4160</v>
          </cell>
        </row>
        <row r="134">
          <cell r="B134" t="str">
            <v>조경공</v>
          </cell>
          <cell r="D134">
            <v>3.2000000000000001E-2</v>
          </cell>
          <cell r="E134" t="str">
            <v>인</v>
          </cell>
          <cell r="G134">
            <v>0</v>
          </cell>
          <cell r="H134">
            <v>74900</v>
          </cell>
          <cell r="I134">
            <v>2396.8000000000002</v>
          </cell>
          <cell r="K134">
            <v>0</v>
          </cell>
          <cell r="L134">
            <v>74900</v>
          </cell>
          <cell r="M134">
            <v>2396.8000000000002</v>
          </cell>
        </row>
        <row r="135">
          <cell r="B135" t="str">
            <v>보통인부</v>
          </cell>
          <cell r="D135">
            <v>1.7999999999999999E-2</v>
          </cell>
          <cell r="E135" t="str">
            <v>인</v>
          </cell>
          <cell r="G135">
            <v>0</v>
          </cell>
          <cell r="H135">
            <v>52370</v>
          </cell>
          <cell r="I135">
            <v>942.6</v>
          </cell>
          <cell r="K135">
            <v>0</v>
          </cell>
          <cell r="L135">
            <v>52370</v>
          </cell>
          <cell r="M135">
            <v>942.6</v>
          </cell>
        </row>
        <row r="136">
          <cell r="B136" t="str">
            <v>유기질비료</v>
          </cell>
          <cell r="C136" t="str">
            <v>20kg/포</v>
          </cell>
          <cell r="D136">
            <v>0.5</v>
          </cell>
          <cell r="E136" t="str">
            <v>kg</v>
          </cell>
          <cell r="F136">
            <v>150</v>
          </cell>
          <cell r="G136">
            <v>75</v>
          </cell>
          <cell r="I136">
            <v>0</v>
          </cell>
          <cell r="K136">
            <v>0</v>
          </cell>
          <cell r="L136">
            <v>150</v>
          </cell>
          <cell r="M136">
            <v>75</v>
          </cell>
        </row>
        <row r="137">
          <cell r="B137" t="str">
            <v>소   계</v>
          </cell>
          <cell r="G137">
            <v>4235</v>
          </cell>
          <cell r="I137">
            <v>3339</v>
          </cell>
          <cell r="K137">
            <v>0</v>
          </cell>
          <cell r="M137">
            <v>7574</v>
          </cell>
        </row>
        <row r="139">
          <cell r="B139">
            <v>17</v>
          </cell>
          <cell r="C139" t="str">
            <v>백 철 쭉 식재</v>
          </cell>
          <cell r="E139" t="str">
            <v>H0.3 x W0.3</v>
          </cell>
          <cell r="G139" t="str">
            <v xml:space="preserve"> </v>
          </cell>
          <cell r="I139" t="str">
            <v xml:space="preserve"> </v>
          </cell>
          <cell r="K139" t="str">
            <v xml:space="preserve"> </v>
          </cell>
          <cell r="M139" t="str">
            <v>주당</v>
          </cell>
        </row>
        <row r="140">
          <cell r="B140" t="str">
            <v>백 철 쭉</v>
          </cell>
          <cell r="C140" t="str">
            <v>H0.3 x W0.3</v>
          </cell>
          <cell r="D140">
            <v>1</v>
          </cell>
          <cell r="E140" t="str">
            <v>주</v>
          </cell>
          <cell r="F140">
            <v>1520</v>
          </cell>
          <cell r="G140">
            <v>1520</v>
          </cell>
          <cell r="I140">
            <v>0</v>
          </cell>
          <cell r="K140">
            <v>0</v>
          </cell>
          <cell r="L140">
            <v>1520</v>
          </cell>
          <cell r="M140">
            <v>1520</v>
          </cell>
        </row>
        <row r="141">
          <cell r="B141" t="str">
            <v>조경공</v>
          </cell>
          <cell r="D141">
            <v>1.2999999999999999E-2</v>
          </cell>
          <cell r="E141" t="str">
            <v>인</v>
          </cell>
          <cell r="G141">
            <v>0</v>
          </cell>
          <cell r="H141">
            <v>74900</v>
          </cell>
          <cell r="I141">
            <v>973.7</v>
          </cell>
          <cell r="K141">
            <v>0</v>
          </cell>
          <cell r="L141">
            <v>74900</v>
          </cell>
          <cell r="M141">
            <v>973.7</v>
          </cell>
        </row>
        <row r="142">
          <cell r="B142" t="str">
            <v>보통인부</v>
          </cell>
          <cell r="D142">
            <v>7.0000000000000001E-3</v>
          </cell>
          <cell r="E142" t="str">
            <v>인</v>
          </cell>
          <cell r="G142">
            <v>0</v>
          </cell>
          <cell r="H142">
            <v>52370</v>
          </cell>
          <cell r="I142">
            <v>366.5</v>
          </cell>
          <cell r="K142">
            <v>0</v>
          </cell>
          <cell r="L142">
            <v>52370</v>
          </cell>
          <cell r="M142">
            <v>366.5</v>
          </cell>
        </row>
        <row r="143">
          <cell r="B143" t="str">
            <v>유기질비료</v>
          </cell>
          <cell r="C143" t="str">
            <v>20kg/포</v>
          </cell>
          <cell r="D143">
            <v>0.5</v>
          </cell>
          <cell r="E143" t="str">
            <v>kg</v>
          </cell>
          <cell r="F143">
            <v>150</v>
          </cell>
          <cell r="G143">
            <v>75</v>
          </cell>
          <cell r="I143">
            <v>0</v>
          </cell>
          <cell r="K143">
            <v>0</v>
          </cell>
          <cell r="L143">
            <v>150</v>
          </cell>
          <cell r="M143">
            <v>75</v>
          </cell>
        </row>
        <row r="144">
          <cell r="B144" t="str">
            <v>소   계</v>
          </cell>
          <cell r="G144">
            <v>1595</v>
          </cell>
          <cell r="I144">
            <v>1340</v>
          </cell>
          <cell r="K144">
            <v>0</v>
          </cell>
          <cell r="M144">
            <v>2935</v>
          </cell>
        </row>
        <row r="146">
          <cell r="B146">
            <v>18</v>
          </cell>
          <cell r="C146" t="str">
            <v>자 산 홍 식재</v>
          </cell>
          <cell r="E146" t="str">
            <v>H0.3 x W0.3</v>
          </cell>
          <cell r="G146" t="str">
            <v xml:space="preserve"> </v>
          </cell>
          <cell r="I146" t="str">
            <v xml:space="preserve"> </v>
          </cell>
          <cell r="K146" t="str">
            <v xml:space="preserve"> </v>
          </cell>
          <cell r="M146" t="str">
            <v>주당</v>
          </cell>
        </row>
        <row r="147">
          <cell r="B147" t="str">
            <v>자 산 홍</v>
          </cell>
          <cell r="C147" t="str">
            <v>H0.3 x W0.3</v>
          </cell>
          <cell r="D147">
            <v>1</v>
          </cell>
          <cell r="E147" t="str">
            <v>주</v>
          </cell>
          <cell r="F147">
            <v>1600</v>
          </cell>
          <cell r="G147">
            <v>1600</v>
          </cell>
          <cell r="I147">
            <v>0</v>
          </cell>
          <cell r="K147">
            <v>0</v>
          </cell>
          <cell r="L147">
            <v>1600</v>
          </cell>
          <cell r="M147">
            <v>1600</v>
          </cell>
        </row>
        <row r="148">
          <cell r="B148" t="str">
            <v>조경공</v>
          </cell>
          <cell r="D148">
            <v>1.2999999999999999E-2</v>
          </cell>
          <cell r="E148" t="str">
            <v>인</v>
          </cell>
          <cell r="G148">
            <v>0</v>
          </cell>
          <cell r="H148">
            <v>74900</v>
          </cell>
          <cell r="I148">
            <v>973.7</v>
          </cell>
          <cell r="K148">
            <v>0</v>
          </cell>
          <cell r="L148">
            <v>74900</v>
          </cell>
          <cell r="M148">
            <v>973.7</v>
          </cell>
        </row>
        <row r="149">
          <cell r="B149" t="str">
            <v>보통인부</v>
          </cell>
          <cell r="D149">
            <v>7.0000000000000001E-3</v>
          </cell>
          <cell r="E149" t="str">
            <v>인</v>
          </cell>
          <cell r="G149">
            <v>0</v>
          </cell>
          <cell r="H149">
            <v>52370</v>
          </cell>
          <cell r="I149">
            <v>366.5</v>
          </cell>
          <cell r="K149">
            <v>0</v>
          </cell>
          <cell r="L149">
            <v>52370</v>
          </cell>
          <cell r="M149">
            <v>366.5</v>
          </cell>
        </row>
        <row r="150">
          <cell r="B150" t="str">
            <v>유기질비료</v>
          </cell>
          <cell r="C150" t="str">
            <v>20kg/포</v>
          </cell>
          <cell r="D150">
            <v>0.5</v>
          </cell>
          <cell r="E150" t="str">
            <v>kg</v>
          </cell>
          <cell r="F150">
            <v>150</v>
          </cell>
          <cell r="G150">
            <v>75</v>
          </cell>
          <cell r="I150">
            <v>0</v>
          </cell>
          <cell r="K150">
            <v>0</v>
          </cell>
          <cell r="L150">
            <v>150</v>
          </cell>
          <cell r="M150">
            <v>75</v>
          </cell>
        </row>
        <row r="151">
          <cell r="B151" t="str">
            <v>소   계</v>
          </cell>
          <cell r="G151">
            <v>1675</v>
          </cell>
          <cell r="I151">
            <v>1340</v>
          </cell>
          <cell r="K151">
            <v>0</v>
          </cell>
          <cell r="M151">
            <v>3015</v>
          </cell>
        </row>
        <row r="153">
          <cell r="B153">
            <v>19</v>
          </cell>
          <cell r="C153" t="str">
            <v>조팝나무 식재</v>
          </cell>
          <cell r="E153" t="str">
            <v>H0.6 x W0.3</v>
          </cell>
          <cell r="G153" t="str">
            <v xml:space="preserve"> </v>
          </cell>
          <cell r="I153" t="str">
            <v xml:space="preserve"> </v>
          </cell>
          <cell r="K153" t="str">
            <v xml:space="preserve"> </v>
          </cell>
          <cell r="M153" t="str">
            <v>주당</v>
          </cell>
        </row>
        <row r="154">
          <cell r="B154" t="str">
            <v>조팝나무</v>
          </cell>
          <cell r="C154" t="str">
            <v>H0.6 x W0.3</v>
          </cell>
          <cell r="D154">
            <v>1</v>
          </cell>
          <cell r="E154" t="str">
            <v>주</v>
          </cell>
          <cell r="F154">
            <v>1100</v>
          </cell>
          <cell r="G154">
            <v>1100</v>
          </cell>
          <cell r="I154">
            <v>0</v>
          </cell>
          <cell r="K154">
            <v>0</v>
          </cell>
          <cell r="L154">
            <v>1100</v>
          </cell>
          <cell r="M154">
            <v>1100</v>
          </cell>
        </row>
        <row r="155">
          <cell r="B155" t="str">
            <v>조경공</v>
          </cell>
          <cell r="D155">
            <v>1.2999999999999999E-2</v>
          </cell>
          <cell r="E155" t="str">
            <v>인</v>
          </cell>
          <cell r="G155">
            <v>0</v>
          </cell>
          <cell r="H155">
            <v>74900</v>
          </cell>
          <cell r="I155">
            <v>973.7</v>
          </cell>
          <cell r="K155">
            <v>0</v>
          </cell>
          <cell r="L155">
            <v>74900</v>
          </cell>
          <cell r="M155">
            <v>973.7</v>
          </cell>
        </row>
        <row r="156">
          <cell r="B156" t="str">
            <v>보통인부</v>
          </cell>
          <cell r="D156">
            <v>7.0000000000000001E-3</v>
          </cell>
          <cell r="E156" t="str">
            <v>인</v>
          </cell>
          <cell r="G156">
            <v>0</v>
          </cell>
          <cell r="H156">
            <v>52370</v>
          </cell>
          <cell r="I156">
            <v>366.5</v>
          </cell>
          <cell r="K156">
            <v>0</v>
          </cell>
          <cell r="L156">
            <v>52370</v>
          </cell>
          <cell r="M156">
            <v>366.5</v>
          </cell>
        </row>
        <row r="157">
          <cell r="B157" t="str">
            <v>유기질비료</v>
          </cell>
          <cell r="C157" t="str">
            <v>20kg/포</v>
          </cell>
          <cell r="D157">
            <v>0.5</v>
          </cell>
          <cell r="E157" t="str">
            <v>kg</v>
          </cell>
          <cell r="F157">
            <v>150</v>
          </cell>
          <cell r="G157">
            <v>75</v>
          </cell>
          <cell r="I157">
            <v>0</v>
          </cell>
          <cell r="K157">
            <v>0</v>
          </cell>
          <cell r="L157">
            <v>150</v>
          </cell>
          <cell r="M157">
            <v>75</v>
          </cell>
        </row>
        <row r="158">
          <cell r="B158" t="str">
            <v>소   계</v>
          </cell>
          <cell r="G158">
            <v>1175</v>
          </cell>
          <cell r="I158">
            <v>1340</v>
          </cell>
          <cell r="K158">
            <v>0</v>
          </cell>
          <cell r="M158">
            <v>2515</v>
          </cell>
        </row>
        <row r="160">
          <cell r="B160">
            <v>20</v>
          </cell>
          <cell r="C160" t="str">
            <v>산 철 쭉 식재</v>
          </cell>
          <cell r="E160" t="str">
            <v>H0.3 x W0.3</v>
          </cell>
          <cell r="G160" t="str">
            <v xml:space="preserve"> </v>
          </cell>
          <cell r="I160" t="str">
            <v xml:space="preserve"> </v>
          </cell>
          <cell r="K160" t="str">
            <v xml:space="preserve"> </v>
          </cell>
          <cell r="M160" t="str">
            <v>주당</v>
          </cell>
        </row>
        <row r="161">
          <cell r="B161" t="str">
            <v>산 철 쭉</v>
          </cell>
          <cell r="C161" t="str">
            <v>H0.3 x W0.3</v>
          </cell>
          <cell r="D161">
            <v>1</v>
          </cell>
          <cell r="E161" t="str">
            <v>주</v>
          </cell>
          <cell r="F161">
            <v>1270</v>
          </cell>
          <cell r="G161">
            <v>1270</v>
          </cell>
          <cell r="I161">
            <v>0</v>
          </cell>
          <cell r="K161">
            <v>0</v>
          </cell>
          <cell r="L161">
            <v>1270</v>
          </cell>
          <cell r="M161">
            <v>1270</v>
          </cell>
        </row>
        <row r="162">
          <cell r="B162" t="str">
            <v>조경공</v>
          </cell>
          <cell r="D162">
            <v>1.2999999999999999E-2</v>
          </cell>
          <cell r="E162" t="str">
            <v>인</v>
          </cell>
          <cell r="G162">
            <v>0</v>
          </cell>
          <cell r="H162">
            <v>74900</v>
          </cell>
          <cell r="I162">
            <v>973.7</v>
          </cell>
          <cell r="K162">
            <v>0</v>
          </cell>
          <cell r="L162">
            <v>74900</v>
          </cell>
          <cell r="M162">
            <v>973.7</v>
          </cell>
        </row>
        <row r="163">
          <cell r="B163" t="str">
            <v>보통인부</v>
          </cell>
          <cell r="D163">
            <v>7.0000000000000001E-3</v>
          </cell>
          <cell r="E163" t="str">
            <v>인</v>
          </cell>
          <cell r="G163">
            <v>0</v>
          </cell>
          <cell r="H163">
            <v>52370</v>
          </cell>
          <cell r="I163">
            <v>366.5</v>
          </cell>
          <cell r="K163">
            <v>0</v>
          </cell>
          <cell r="L163">
            <v>52370</v>
          </cell>
          <cell r="M163">
            <v>366.5</v>
          </cell>
        </row>
        <row r="164">
          <cell r="B164" t="str">
            <v>유기질비료</v>
          </cell>
          <cell r="C164" t="str">
            <v>20kg/포</v>
          </cell>
          <cell r="D164">
            <v>0.5</v>
          </cell>
          <cell r="E164" t="str">
            <v>kg</v>
          </cell>
          <cell r="F164">
            <v>150</v>
          </cell>
          <cell r="G164">
            <v>75</v>
          </cell>
          <cell r="I164">
            <v>0</v>
          </cell>
          <cell r="K164">
            <v>0</v>
          </cell>
          <cell r="L164">
            <v>150</v>
          </cell>
          <cell r="M164">
            <v>75</v>
          </cell>
        </row>
        <row r="165">
          <cell r="B165" t="str">
            <v>소   계</v>
          </cell>
          <cell r="G165">
            <v>1345</v>
          </cell>
          <cell r="I165">
            <v>1340</v>
          </cell>
          <cell r="K165">
            <v>0</v>
          </cell>
          <cell r="M165">
            <v>2685</v>
          </cell>
        </row>
        <row r="167">
          <cell r="B167">
            <v>21</v>
          </cell>
          <cell r="C167" t="str">
            <v>영 산 홍 식재</v>
          </cell>
          <cell r="E167" t="str">
            <v>H0.3 x W0.3</v>
          </cell>
          <cell r="G167" t="str">
            <v xml:space="preserve"> </v>
          </cell>
          <cell r="I167" t="str">
            <v xml:space="preserve"> </v>
          </cell>
          <cell r="K167" t="str">
            <v xml:space="preserve"> </v>
          </cell>
          <cell r="M167" t="str">
            <v>주당</v>
          </cell>
        </row>
        <row r="168">
          <cell r="B168" t="str">
            <v>영 산 홍</v>
          </cell>
          <cell r="C168" t="str">
            <v>H0.3 x W0.3</v>
          </cell>
          <cell r="D168">
            <v>1</v>
          </cell>
          <cell r="E168" t="str">
            <v>주</v>
          </cell>
          <cell r="F168">
            <v>1400</v>
          </cell>
          <cell r="G168">
            <v>1400</v>
          </cell>
          <cell r="I168">
            <v>0</v>
          </cell>
          <cell r="K168">
            <v>0</v>
          </cell>
          <cell r="L168">
            <v>1400</v>
          </cell>
          <cell r="M168">
            <v>1400</v>
          </cell>
        </row>
        <row r="169">
          <cell r="B169" t="str">
            <v>조경공</v>
          </cell>
          <cell r="D169">
            <v>1.2999999999999999E-2</v>
          </cell>
          <cell r="E169" t="str">
            <v>인</v>
          </cell>
          <cell r="G169">
            <v>0</v>
          </cell>
          <cell r="H169">
            <v>74900</v>
          </cell>
          <cell r="I169">
            <v>973.7</v>
          </cell>
          <cell r="K169">
            <v>0</v>
          </cell>
          <cell r="L169">
            <v>74900</v>
          </cell>
          <cell r="M169">
            <v>973.7</v>
          </cell>
        </row>
        <row r="170">
          <cell r="B170" t="str">
            <v>보통인부</v>
          </cell>
          <cell r="D170">
            <v>7.0000000000000001E-3</v>
          </cell>
          <cell r="E170" t="str">
            <v>인</v>
          </cell>
          <cell r="G170">
            <v>0</v>
          </cell>
          <cell r="H170">
            <v>52370</v>
          </cell>
          <cell r="I170">
            <v>366.5</v>
          </cell>
          <cell r="K170">
            <v>0</v>
          </cell>
          <cell r="L170">
            <v>52370</v>
          </cell>
          <cell r="M170">
            <v>366.5</v>
          </cell>
        </row>
        <row r="171">
          <cell r="B171" t="str">
            <v>유기질비료</v>
          </cell>
          <cell r="C171" t="str">
            <v>20kg/포</v>
          </cell>
          <cell r="D171">
            <v>0.5</v>
          </cell>
          <cell r="E171" t="str">
            <v>kg</v>
          </cell>
          <cell r="F171">
            <v>150</v>
          </cell>
          <cell r="G171">
            <v>75</v>
          </cell>
          <cell r="I171">
            <v>0</v>
          </cell>
          <cell r="K171">
            <v>0</v>
          </cell>
          <cell r="L171">
            <v>150</v>
          </cell>
          <cell r="M171">
            <v>75</v>
          </cell>
        </row>
        <row r="172">
          <cell r="B172" t="str">
            <v>소   계</v>
          </cell>
          <cell r="G172">
            <v>1475</v>
          </cell>
          <cell r="I172">
            <v>1340</v>
          </cell>
          <cell r="K172">
            <v>0</v>
          </cell>
          <cell r="M172">
            <v>2815</v>
          </cell>
        </row>
        <row r="174">
          <cell r="B174">
            <v>22</v>
          </cell>
          <cell r="C174" t="str">
            <v>잔디 식재</v>
          </cell>
          <cell r="E174" t="str">
            <v>0.3x0.3x0.03</v>
          </cell>
          <cell r="G174" t="str">
            <v xml:space="preserve"> </v>
          </cell>
          <cell r="I174" t="str">
            <v xml:space="preserve"> </v>
          </cell>
          <cell r="K174" t="str">
            <v xml:space="preserve"> </v>
          </cell>
          <cell r="M174" t="str">
            <v>m2당</v>
          </cell>
        </row>
        <row r="175">
          <cell r="B175" t="str">
            <v>잔디</v>
          </cell>
          <cell r="C175" t="str">
            <v>0.3x0.3x0.03</v>
          </cell>
          <cell r="D175">
            <v>11</v>
          </cell>
          <cell r="E175" t="str">
            <v>매</v>
          </cell>
          <cell r="F175">
            <v>310</v>
          </cell>
          <cell r="G175">
            <v>3410</v>
          </cell>
          <cell r="I175">
            <v>0</v>
          </cell>
          <cell r="K175">
            <v>0</v>
          </cell>
          <cell r="L175">
            <v>310</v>
          </cell>
          <cell r="M175">
            <v>3410</v>
          </cell>
        </row>
        <row r="176">
          <cell r="B176" t="str">
            <v>보통인부</v>
          </cell>
          <cell r="D176">
            <v>6.9000000000000006E-2</v>
          </cell>
          <cell r="E176" t="str">
            <v>인</v>
          </cell>
          <cell r="G176">
            <v>0</v>
          </cell>
          <cell r="H176">
            <v>52370</v>
          </cell>
          <cell r="I176">
            <v>3613.5</v>
          </cell>
          <cell r="K176">
            <v>0</v>
          </cell>
          <cell r="L176">
            <v>52370</v>
          </cell>
          <cell r="M176">
            <v>3613.5</v>
          </cell>
        </row>
        <row r="177">
          <cell r="B177" t="str">
            <v>소   계</v>
          </cell>
          <cell r="G177">
            <v>3410</v>
          </cell>
          <cell r="I177">
            <v>3613</v>
          </cell>
          <cell r="K177">
            <v>0</v>
          </cell>
          <cell r="M177">
            <v>7023</v>
          </cell>
        </row>
        <row r="179">
          <cell r="B179">
            <v>23</v>
          </cell>
          <cell r="C179" t="str">
            <v>수목제거</v>
          </cell>
          <cell r="E179" t="str">
            <v>R18(R15~20,벌목+제근)</v>
          </cell>
          <cell r="I179" t="str">
            <v xml:space="preserve"> </v>
          </cell>
          <cell r="K179" t="str">
            <v xml:space="preserve"> </v>
          </cell>
          <cell r="M179" t="str">
            <v>주당</v>
          </cell>
        </row>
        <row r="180">
          <cell r="B180" t="str">
            <v>벌목부</v>
          </cell>
          <cell r="D180">
            <v>0.12</v>
          </cell>
          <cell r="E180" t="str">
            <v>인</v>
          </cell>
          <cell r="G180">
            <v>0</v>
          </cell>
          <cell r="H180">
            <v>75770</v>
          </cell>
          <cell r="I180">
            <v>9092.4</v>
          </cell>
          <cell r="K180">
            <v>0</v>
          </cell>
          <cell r="L180">
            <v>72894</v>
          </cell>
          <cell r="M180">
            <v>9092.4</v>
          </cell>
        </row>
        <row r="181">
          <cell r="B181" t="str">
            <v>조력공</v>
          </cell>
          <cell r="D181">
            <v>0.24</v>
          </cell>
          <cell r="E181" t="str">
            <v>인</v>
          </cell>
          <cell r="G181">
            <v>0</v>
          </cell>
          <cell r="H181">
            <v>63390</v>
          </cell>
          <cell r="I181">
            <v>15213.6</v>
          </cell>
          <cell r="K181">
            <v>0</v>
          </cell>
          <cell r="L181">
            <v>66584</v>
          </cell>
          <cell r="M181">
            <v>15213.6</v>
          </cell>
        </row>
        <row r="182">
          <cell r="B182" t="str">
            <v>보통인부</v>
          </cell>
          <cell r="C182" t="str">
            <v>조제+집제</v>
          </cell>
          <cell r="D182">
            <v>0.30199999999999999</v>
          </cell>
          <cell r="E182" t="str">
            <v>인</v>
          </cell>
          <cell r="G182">
            <v>0</v>
          </cell>
          <cell r="H182">
            <v>52370</v>
          </cell>
          <cell r="I182">
            <v>15815.7</v>
          </cell>
          <cell r="K182">
            <v>0</v>
          </cell>
          <cell r="L182">
            <v>52483</v>
          </cell>
          <cell r="M182">
            <v>15815.7</v>
          </cell>
        </row>
        <row r="183">
          <cell r="B183" t="str">
            <v>보통인부</v>
          </cell>
          <cell r="C183" t="str">
            <v>제근,굴취품의70%</v>
          </cell>
          <cell r="D183">
            <v>0.105</v>
          </cell>
          <cell r="E183" t="str">
            <v>인</v>
          </cell>
          <cell r="G183">
            <v>0</v>
          </cell>
          <cell r="H183">
            <v>52370</v>
          </cell>
          <cell r="I183">
            <v>5498.8</v>
          </cell>
          <cell r="K183">
            <v>0</v>
          </cell>
          <cell r="L183">
            <v>52483</v>
          </cell>
          <cell r="M183">
            <v>5498.8</v>
          </cell>
        </row>
        <row r="184">
          <cell r="B184" t="str">
            <v>크레인트럭</v>
          </cell>
          <cell r="C184" t="str">
            <v>10TON</v>
          </cell>
          <cell r="D184">
            <v>3.9111111111111109E-3</v>
          </cell>
          <cell r="E184" t="str">
            <v>HR</v>
          </cell>
          <cell r="F184">
            <v>4783.1000000000004</v>
          </cell>
          <cell r="G184">
            <v>18.7</v>
          </cell>
          <cell r="H184">
            <v>30114.400000000001</v>
          </cell>
          <cell r="I184">
            <v>117.7</v>
          </cell>
          <cell r="J184">
            <v>21210</v>
          </cell>
          <cell r="K184">
            <v>82.9</v>
          </cell>
          <cell r="L184">
            <v>56107.5</v>
          </cell>
          <cell r="M184">
            <v>219.3</v>
          </cell>
        </row>
        <row r="185">
          <cell r="B185" t="str">
            <v>기계톱손료</v>
          </cell>
          <cell r="C185" t="str">
            <v xml:space="preserve"> </v>
          </cell>
          <cell r="D185">
            <v>1</v>
          </cell>
          <cell r="E185" t="str">
            <v>식</v>
          </cell>
          <cell r="G185">
            <v>0</v>
          </cell>
          <cell r="I185">
            <v>0</v>
          </cell>
          <cell r="J185">
            <v>728</v>
          </cell>
          <cell r="K185">
            <v>728</v>
          </cell>
          <cell r="L185">
            <v>728</v>
          </cell>
          <cell r="M185">
            <v>728</v>
          </cell>
        </row>
        <row r="186">
          <cell r="B186" t="str">
            <v>휘발유</v>
          </cell>
          <cell r="C186" t="str">
            <v>무연</v>
          </cell>
          <cell r="D186">
            <v>0.67400000000000004</v>
          </cell>
          <cell r="E186" t="str">
            <v>L</v>
          </cell>
          <cell r="F186">
            <v>1178.4000000000001</v>
          </cell>
          <cell r="G186">
            <v>794.2</v>
          </cell>
          <cell r="I186">
            <v>0</v>
          </cell>
          <cell r="K186">
            <v>0</v>
          </cell>
          <cell r="L186">
            <v>1178.4000000000001</v>
          </cell>
          <cell r="M186">
            <v>794.2</v>
          </cell>
        </row>
        <row r="187">
          <cell r="B187" t="str">
            <v>기구손료</v>
          </cell>
          <cell r="C187" t="str">
            <v>노무비의 3%</v>
          </cell>
          <cell r="D187">
            <v>1</v>
          </cell>
          <cell r="E187" t="str">
            <v>식</v>
          </cell>
          <cell r="G187">
            <v>0</v>
          </cell>
          <cell r="I187">
            <v>0</v>
          </cell>
          <cell r="J187">
            <v>1393.95</v>
          </cell>
          <cell r="K187">
            <v>1393.9</v>
          </cell>
          <cell r="L187">
            <v>1243</v>
          </cell>
          <cell r="M187">
            <v>1393.9</v>
          </cell>
        </row>
        <row r="188">
          <cell r="B188" t="str">
            <v>덤프트럭</v>
          </cell>
          <cell r="C188" t="str">
            <v>4.5TON</v>
          </cell>
          <cell r="D188">
            <v>5.5E-2</v>
          </cell>
          <cell r="E188" t="str">
            <v>대</v>
          </cell>
          <cell r="F188">
            <v>6967.0079999999998</v>
          </cell>
          <cell r="G188">
            <v>383.1</v>
          </cell>
          <cell r="H188">
            <v>13216</v>
          </cell>
          <cell r="I188">
            <v>726.8</v>
          </cell>
          <cell r="J188">
            <v>6318</v>
          </cell>
          <cell r="K188">
            <v>347.4</v>
          </cell>
          <cell r="L188">
            <v>26501.008000000002</v>
          </cell>
          <cell r="M188">
            <v>1457.3000000000002</v>
          </cell>
        </row>
        <row r="189">
          <cell r="B189" t="str">
            <v>소   계</v>
          </cell>
          <cell r="G189">
            <v>1196</v>
          </cell>
          <cell r="I189">
            <v>46465</v>
          </cell>
          <cell r="K189">
            <v>2552</v>
          </cell>
          <cell r="M189">
            <v>50213</v>
          </cell>
        </row>
      </sheetData>
      <sheetData sheetId="10" refreshError="1">
        <row r="1">
          <cell r="B1" t="str">
            <v>공   종</v>
          </cell>
          <cell r="C1" t="str">
            <v>규  격</v>
          </cell>
          <cell r="D1" t="str">
            <v>수 량</v>
          </cell>
          <cell r="E1" t="str">
            <v>단</v>
          </cell>
          <cell r="F1" t="str">
            <v>재  료  비</v>
          </cell>
          <cell r="H1" t="str">
            <v>노  무  비</v>
          </cell>
          <cell r="J1" t="str">
            <v>경     비</v>
          </cell>
          <cell r="L1" t="str">
            <v>합  계</v>
          </cell>
        </row>
        <row r="2">
          <cell r="E2" t="str">
            <v>위</v>
          </cell>
          <cell r="F2" t="str">
            <v>단 가</v>
          </cell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B3">
            <v>24</v>
          </cell>
          <cell r="C3" t="str">
            <v>간판석</v>
          </cell>
          <cell r="F3">
            <v>0</v>
          </cell>
          <cell r="G3" t="str">
            <v xml:space="preserve"> </v>
          </cell>
          <cell r="H3">
            <v>0</v>
          </cell>
          <cell r="I3" t="str">
            <v xml:space="preserve"> </v>
          </cell>
          <cell r="K3" t="str">
            <v xml:space="preserve"> </v>
          </cell>
          <cell r="M3" t="str">
            <v>개소당</v>
          </cell>
        </row>
        <row r="4">
          <cell r="B4" t="str">
            <v>터파기(인력)</v>
          </cell>
          <cell r="C4" t="str">
            <v>보통토사,0~1m,협소/독립</v>
          </cell>
          <cell r="D4">
            <v>1.232</v>
          </cell>
          <cell r="E4" t="str">
            <v>M3</v>
          </cell>
          <cell r="F4">
            <v>0</v>
          </cell>
          <cell r="G4">
            <v>0</v>
          </cell>
          <cell r="H4">
            <v>10474</v>
          </cell>
          <cell r="I4">
            <v>12903.9</v>
          </cell>
          <cell r="J4">
            <v>0</v>
          </cell>
          <cell r="K4">
            <v>0</v>
          </cell>
          <cell r="L4">
            <v>10474</v>
          </cell>
          <cell r="M4">
            <v>12903.9</v>
          </cell>
        </row>
        <row r="5">
          <cell r="B5" t="str">
            <v>잔토처리(인력)</v>
          </cell>
          <cell r="C5" t="str">
            <v>현장내</v>
          </cell>
          <cell r="D5">
            <v>0.63600000000000001</v>
          </cell>
          <cell r="E5" t="str">
            <v>M3</v>
          </cell>
          <cell r="F5">
            <v>0</v>
          </cell>
          <cell r="G5">
            <v>0</v>
          </cell>
          <cell r="H5">
            <v>10474</v>
          </cell>
          <cell r="I5">
            <v>6661.4</v>
          </cell>
          <cell r="J5">
            <v>0</v>
          </cell>
          <cell r="K5">
            <v>0</v>
          </cell>
          <cell r="L5">
            <v>10474</v>
          </cell>
          <cell r="M5">
            <v>6661.4</v>
          </cell>
        </row>
        <row r="6">
          <cell r="B6" t="str">
            <v>되메우기및다짐</v>
          </cell>
          <cell r="C6" t="str">
            <v>인력</v>
          </cell>
          <cell r="D6">
            <v>0.59599999999999997</v>
          </cell>
          <cell r="E6" t="str">
            <v>M3</v>
          </cell>
          <cell r="F6">
            <v>0</v>
          </cell>
          <cell r="G6">
            <v>0</v>
          </cell>
          <cell r="H6">
            <v>10997</v>
          </cell>
          <cell r="I6">
            <v>6554.2</v>
          </cell>
          <cell r="J6">
            <v>0</v>
          </cell>
          <cell r="K6">
            <v>0</v>
          </cell>
          <cell r="L6">
            <v>10997</v>
          </cell>
          <cell r="M6">
            <v>6554.2</v>
          </cell>
        </row>
        <row r="7">
          <cell r="B7" t="str">
            <v>원지반다짐</v>
          </cell>
          <cell r="C7" t="str">
            <v>진동롤러4.4TON,4회</v>
          </cell>
          <cell r="D7">
            <v>1.68</v>
          </cell>
          <cell r="E7" t="str">
            <v>M2</v>
          </cell>
          <cell r="F7">
            <v>18</v>
          </cell>
          <cell r="G7">
            <v>30.2</v>
          </cell>
          <cell r="H7">
            <v>135</v>
          </cell>
          <cell r="I7">
            <v>226.8</v>
          </cell>
          <cell r="J7">
            <v>43</v>
          </cell>
          <cell r="K7">
            <v>72.2</v>
          </cell>
          <cell r="L7">
            <v>196</v>
          </cell>
          <cell r="M7">
            <v>329.2</v>
          </cell>
        </row>
        <row r="8">
          <cell r="B8" t="str">
            <v>잡석다짐</v>
          </cell>
          <cell r="C8" t="str">
            <v>인력</v>
          </cell>
          <cell r="D8">
            <v>0.252</v>
          </cell>
          <cell r="E8" t="str">
            <v>M3</v>
          </cell>
          <cell r="F8">
            <v>12480</v>
          </cell>
          <cell r="G8">
            <v>3144.9</v>
          </cell>
          <cell r="H8">
            <v>57607</v>
          </cell>
          <cell r="I8">
            <v>14516.9</v>
          </cell>
          <cell r="J8">
            <v>1152</v>
          </cell>
          <cell r="K8">
            <v>290.3</v>
          </cell>
          <cell r="L8">
            <v>71239</v>
          </cell>
          <cell r="M8">
            <v>17952.099999999999</v>
          </cell>
        </row>
        <row r="9">
          <cell r="B9" t="str">
            <v>합판거푸집(6회)</v>
          </cell>
          <cell r="C9" t="str">
            <v>소형구조물</v>
          </cell>
          <cell r="D9">
            <v>1.1000000000000001</v>
          </cell>
          <cell r="E9" t="str">
            <v>M2</v>
          </cell>
          <cell r="F9">
            <v>4042</v>
          </cell>
          <cell r="G9">
            <v>4446.2</v>
          </cell>
          <cell r="H9">
            <v>16957</v>
          </cell>
          <cell r="I9">
            <v>18652.7</v>
          </cell>
          <cell r="J9">
            <v>0</v>
          </cell>
          <cell r="K9">
            <v>0</v>
          </cell>
          <cell r="L9">
            <v>20999</v>
          </cell>
          <cell r="M9">
            <v>23098.9</v>
          </cell>
        </row>
        <row r="10">
          <cell r="B10" t="str">
            <v>레 미 콘</v>
          </cell>
          <cell r="C10" t="str">
            <v>25-180- 8</v>
          </cell>
          <cell r="D10">
            <v>8.4000000000000005E-2</v>
          </cell>
          <cell r="E10" t="str">
            <v>M3</v>
          </cell>
          <cell r="F10">
            <v>47860</v>
          </cell>
          <cell r="G10">
            <v>4020.2</v>
          </cell>
          <cell r="I10">
            <v>0</v>
          </cell>
          <cell r="K10">
            <v>0</v>
          </cell>
          <cell r="L10">
            <v>47860</v>
          </cell>
          <cell r="M10">
            <v>4020.2</v>
          </cell>
        </row>
        <row r="11">
          <cell r="B11" t="str">
            <v>레 미 콘</v>
          </cell>
          <cell r="C11" t="str">
            <v>25-210- 12</v>
          </cell>
          <cell r="D11">
            <v>0.3</v>
          </cell>
          <cell r="E11" t="str">
            <v>M3</v>
          </cell>
          <cell r="F11">
            <v>52850</v>
          </cell>
          <cell r="G11">
            <v>15855</v>
          </cell>
          <cell r="I11">
            <v>0</v>
          </cell>
          <cell r="K11">
            <v>0</v>
          </cell>
          <cell r="L11">
            <v>52850</v>
          </cell>
          <cell r="M11">
            <v>15855</v>
          </cell>
        </row>
        <row r="12">
          <cell r="B12" t="str">
            <v>레미콘타설</v>
          </cell>
          <cell r="C12" t="str">
            <v>소형</v>
          </cell>
          <cell r="D12">
            <v>0.38400000000000001</v>
          </cell>
          <cell r="E12" t="str">
            <v>M3</v>
          </cell>
          <cell r="F12">
            <v>0</v>
          </cell>
          <cell r="G12">
            <v>0</v>
          </cell>
          <cell r="H12">
            <v>43151</v>
          </cell>
          <cell r="I12">
            <v>16569.900000000001</v>
          </cell>
          <cell r="J12">
            <v>0</v>
          </cell>
          <cell r="K12">
            <v>0</v>
          </cell>
          <cell r="L12">
            <v>43151</v>
          </cell>
          <cell r="M12">
            <v>16569.900000000001</v>
          </cell>
        </row>
        <row r="13">
          <cell r="B13" t="str">
            <v>간판석</v>
          </cell>
          <cell r="C13" t="str">
            <v>휘호석,800x1000x1700</v>
          </cell>
          <cell r="D13">
            <v>1</v>
          </cell>
          <cell r="E13" t="str">
            <v>EA</v>
          </cell>
          <cell r="F13">
            <v>5500000</v>
          </cell>
          <cell r="G13">
            <v>5500000</v>
          </cell>
          <cell r="I13">
            <v>0</v>
          </cell>
          <cell r="K13">
            <v>0</v>
          </cell>
          <cell r="L13">
            <v>5500000</v>
          </cell>
          <cell r="M13">
            <v>5500000</v>
          </cell>
        </row>
        <row r="14">
          <cell r="B14" t="str">
            <v>조경공</v>
          </cell>
          <cell r="D14">
            <v>2.79</v>
          </cell>
          <cell r="E14" t="str">
            <v>인</v>
          </cell>
          <cell r="G14">
            <v>0</v>
          </cell>
          <cell r="H14">
            <v>74900</v>
          </cell>
          <cell r="I14">
            <v>208971</v>
          </cell>
          <cell r="K14">
            <v>0</v>
          </cell>
          <cell r="L14">
            <v>74900</v>
          </cell>
          <cell r="M14">
            <v>208971</v>
          </cell>
        </row>
        <row r="15">
          <cell r="B15" t="str">
            <v>백호</v>
          </cell>
          <cell r="C15" t="str">
            <v>0.7㎥</v>
          </cell>
          <cell r="D15">
            <v>1.8939999999999999</v>
          </cell>
          <cell r="E15" t="str">
            <v>HR</v>
          </cell>
          <cell r="F15">
            <v>9477</v>
          </cell>
          <cell r="G15">
            <v>17949.400000000001</v>
          </cell>
          <cell r="H15">
            <v>24960</v>
          </cell>
          <cell r="I15">
            <v>47274.2</v>
          </cell>
          <cell r="J15">
            <v>16654</v>
          </cell>
          <cell r="K15">
            <v>31542.6</v>
          </cell>
          <cell r="L15">
            <v>51091</v>
          </cell>
          <cell r="M15">
            <v>96766.2</v>
          </cell>
        </row>
        <row r="16">
          <cell r="B16" t="str">
            <v>소  계</v>
          </cell>
          <cell r="G16">
            <v>5545445</v>
          </cell>
          <cell r="I16">
            <v>332331</v>
          </cell>
          <cell r="K16">
            <v>31905</v>
          </cell>
          <cell r="M16">
            <v>5909681</v>
          </cell>
        </row>
        <row r="18">
          <cell r="B18">
            <v>25</v>
          </cell>
          <cell r="C18" t="str">
            <v>볼라드</v>
          </cell>
          <cell r="G18" t="str">
            <v xml:space="preserve"> </v>
          </cell>
          <cell r="I18" t="str">
            <v xml:space="preserve"> </v>
          </cell>
          <cell r="K18" t="str">
            <v xml:space="preserve"> </v>
          </cell>
          <cell r="M18" t="str">
            <v>개소당</v>
          </cell>
        </row>
        <row r="19">
          <cell r="B19" t="str">
            <v>절취(인력)</v>
          </cell>
          <cell r="C19" t="str">
            <v>보통토사</v>
          </cell>
          <cell r="D19">
            <v>9.6000000000000002E-2</v>
          </cell>
          <cell r="E19" t="str">
            <v>M3</v>
          </cell>
          <cell r="F19">
            <v>0</v>
          </cell>
          <cell r="G19">
            <v>0</v>
          </cell>
          <cell r="H19">
            <v>8379</v>
          </cell>
          <cell r="I19">
            <v>804.3</v>
          </cell>
          <cell r="J19">
            <v>0</v>
          </cell>
          <cell r="K19">
            <v>0</v>
          </cell>
          <cell r="L19">
            <v>8379</v>
          </cell>
          <cell r="M19">
            <v>804.3</v>
          </cell>
        </row>
        <row r="20">
          <cell r="B20" t="str">
            <v>잔토처리(인력)</v>
          </cell>
          <cell r="C20" t="str">
            <v>현장내</v>
          </cell>
          <cell r="D20">
            <v>5.3999999999999999E-2</v>
          </cell>
          <cell r="E20" t="str">
            <v>M3</v>
          </cell>
          <cell r="F20">
            <v>0</v>
          </cell>
          <cell r="G20">
            <v>0</v>
          </cell>
          <cell r="H20">
            <v>10474</v>
          </cell>
          <cell r="I20">
            <v>565.5</v>
          </cell>
          <cell r="J20">
            <v>0</v>
          </cell>
          <cell r="K20">
            <v>0</v>
          </cell>
          <cell r="L20">
            <v>10474</v>
          </cell>
          <cell r="M20">
            <v>565.5</v>
          </cell>
        </row>
        <row r="21">
          <cell r="B21" t="str">
            <v>되메우기및다짐</v>
          </cell>
          <cell r="C21" t="str">
            <v>인력</v>
          </cell>
          <cell r="D21">
            <v>4.2000000000000003E-2</v>
          </cell>
          <cell r="E21" t="str">
            <v>M3</v>
          </cell>
          <cell r="F21">
            <v>0</v>
          </cell>
          <cell r="G21">
            <v>0</v>
          </cell>
          <cell r="H21">
            <v>10997</v>
          </cell>
          <cell r="I21">
            <v>461.8</v>
          </cell>
          <cell r="J21">
            <v>0</v>
          </cell>
          <cell r="K21">
            <v>0</v>
          </cell>
          <cell r="L21">
            <v>10997</v>
          </cell>
          <cell r="M21">
            <v>461.8</v>
          </cell>
        </row>
        <row r="22">
          <cell r="B22" t="str">
            <v>합판거푸집(6회)</v>
          </cell>
          <cell r="C22" t="str">
            <v>소형구조물</v>
          </cell>
          <cell r="D22">
            <v>0.36</v>
          </cell>
          <cell r="E22" t="str">
            <v>M2</v>
          </cell>
          <cell r="F22">
            <v>4042</v>
          </cell>
          <cell r="G22">
            <v>1455.1</v>
          </cell>
          <cell r="H22">
            <v>16957</v>
          </cell>
          <cell r="I22">
            <v>6104.5</v>
          </cell>
          <cell r="J22">
            <v>0</v>
          </cell>
          <cell r="K22">
            <v>0</v>
          </cell>
          <cell r="L22">
            <v>20999</v>
          </cell>
          <cell r="M22">
            <v>7559.6</v>
          </cell>
        </row>
        <row r="23">
          <cell r="B23" t="str">
            <v>레 미 콘</v>
          </cell>
          <cell r="C23" t="str">
            <v>25-180- 8</v>
          </cell>
          <cell r="D23">
            <v>5.3999999999999999E-2</v>
          </cell>
          <cell r="E23" t="str">
            <v>M3</v>
          </cell>
          <cell r="F23">
            <v>47860</v>
          </cell>
          <cell r="G23">
            <v>2584.4</v>
          </cell>
          <cell r="I23">
            <v>0</v>
          </cell>
          <cell r="K23">
            <v>0</v>
          </cell>
          <cell r="L23">
            <v>47860</v>
          </cell>
          <cell r="M23">
            <v>2584.4</v>
          </cell>
        </row>
        <row r="24">
          <cell r="B24" t="str">
            <v>레미콘타설</v>
          </cell>
          <cell r="C24" t="str">
            <v>소형</v>
          </cell>
          <cell r="D24">
            <v>5.3999999999999999E-2</v>
          </cell>
          <cell r="E24" t="str">
            <v>M3</v>
          </cell>
          <cell r="F24">
            <v>0</v>
          </cell>
          <cell r="G24">
            <v>0</v>
          </cell>
          <cell r="H24">
            <v>43151</v>
          </cell>
          <cell r="I24">
            <v>2330.1</v>
          </cell>
          <cell r="J24">
            <v>0</v>
          </cell>
          <cell r="K24">
            <v>0</v>
          </cell>
          <cell r="L24">
            <v>43151</v>
          </cell>
          <cell r="M24">
            <v>2330.1</v>
          </cell>
        </row>
        <row r="25">
          <cell r="B25" t="str">
            <v>볼라드통석</v>
          </cell>
          <cell r="C25" t="str">
            <v>400x400xH460</v>
          </cell>
          <cell r="D25">
            <v>1</v>
          </cell>
          <cell r="E25" t="str">
            <v>EA</v>
          </cell>
          <cell r="F25">
            <v>350000</v>
          </cell>
          <cell r="G25">
            <v>350000</v>
          </cell>
          <cell r="I25">
            <v>0</v>
          </cell>
          <cell r="K25">
            <v>0</v>
          </cell>
          <cell r="L25">
            <v>350000</v>
          </cell>
          <cell r="M25">
            <v>350000</v>
          </cell>
        </row>
        <row r="26">
          <cell r="B26" t="str">
            <v>화강석설치</v>
          </cell>
          <cell r="C26" t="str">
            <v>화강경계석설치준용</v>
          </cell>
          <cell r="D26">
            <v>7.2999999999999995E-2</v>
          </cell>
          <cell r="E26" t="str">
            <v>m3</v>
          </cell>
          <cell r="F26">
            <v>0</v>
          </cell>
          <cell r="G26">
            <v>0</v>
          </cell>
          <cell r="H26">
            <v>323539</v>
          </cell>
          <cell r="I26">
            <v>23618.3</v>
          </cell>
          <cell r="J26">
            <v>0</v>
          </cell>
          <cell r="K26">
            <v>0</v>
          </cell>
          <cell r="L26">
            <v>323539</v>
          </cell>
          <cell r="M26">
            <v>23618.3</v>
          </cell>
        </row>
        <row r="27">
          <cell r="B27" t="str">
            <v>소  계</v>
          </cell>
          <cell r="G27">
            <v>354039</v>
          </cell>
          <cell r="I27">
            <v>33884</v>
          </cell>
          <cell r="K27">
            <v>0</v>
          </cell>
          <cell r="M27">
            <v>387923</v>
          </cell>
        </row>
        <row r="29">
          <cell r="B29">
            <v>26</v>
          </cell>
          <cell r="C29" t="str">
            <v>막구조파고라</v>
          </cell>
          <cell r="G29" t="str">
            <v xml:space="preserve"> </v>
          </cell>
          <cell r="I29" t="str">
            <v xml:space="preserve"> </v>
          </cell>
          <cell r="K29" t="str">
            <v xml:space="preserve"> </v>
          </cell>
          <cell r="M29" t="str">
            <v>개소당</v>
          </cell>
        </row>
        <row r="30">
          <cell r="B30" t="str">
            <v>터파기(인력)</v>
          </cell>
          <cell r="C30" t="str">
            <v>보통토사,0~1m,협소/독립</v>
          </cell>
          <cell r="D30">
            <v>4.25</v>
          </cell>
          <cell r="E30" t="str">
            <v>M3</v>
          </cell>
          <cell r="F30">
            <v>0</v>
          </cell>
          <cell r="G30">
            <v>0</v>
          </cell>
          <cell r="H30">
            <v>10474</v>
          </cell>
          <cell r="I30">
            <v>44514.5</v>
          </cell>
          <cell r="J30">
            <v>0</v>
          </cell>
          <cell r="K30">
            <v>0</v>
          </cell>
          <cell r="L30">
            <v>10474</v>
          </cell>
          <cell r="M30">
            <v>44514.5</v>
          </cell>
        </row>
        <row r="31">
          <cell r="B31" t="str">
            <v>잔토처리(인력)</v>
          </cell>
          <cell r="C31" t="str">
            <v>현장내</v>
          </cell>
          <cell r="D31">
            <v>1.74</v>
          </cell>
          <cell r="E31" t="str">
            <v>M3</v>
          </cell>
          <cell r="F31">
            <v>0</v>
          </cell>
          <cell r="G31">
            <v>0</v>
          </cell>
          <cell r="H31">
            <v>10474</v>
          </cell>
          <cell r="I31">
            <v>18224.7</v>
          </cell>
          <cell r="J31">
            <v>0</v>
          </cell>
          <cell r="K31">
            <v>0</v>
          </cell>
          <cell r="L31">
            <v>10474</v>
          </cell>
          <cell r="M31">
            <v>18224.7</v>
          </cell>
        </row>
        <row r="32">
          <cell r="B32" t="str">
            <v>되메우기및다짐</v>
          </cell>
          <cell r="C32" t="str">
            <v>인력</v>
          </cell>
          <cell r="D32">
            <v>2.5099999999999998</v>
          </cell>
          <cell r="E32" t="str">
            <v>M3</v>
          </cell>
          <cell r="F32">
            <v>0</v>
          </cell>
          <cell r="G32">
            <v>0</v>
          </cell>
          <cell r="H32">
            <v>10997</v>
          </cell>
          <cell r="I32">
            <v>27602.400000000001</v>
          </cell>
          <cell r="J32">
            <v>0</v>
          </cell>
          <cell r="K32">
            <v>0</v>
          </cell>
          <cell r="L32">
            <v>10997</v>
          </cell>
          <cell r="M32">
            <v>27602.400000000001</v>
          </cell>
        </row>
        <row r="33">
          <cell r="B33" t="str">
            <v>잡석다짐</v>
          </cell>
          <cell r="C33" t="str">
            <v>인력</v>
          </cell>
          <cell r="D33">
            <v>0.48</v>
          </cell>
          <cell r="E33" t="str">
            <v>M3</v>
          </cell>
          <cell r="F33">
            <v>12480</v>
          </cell>
          <cell r="G33">
            <v>5990.4</v>
          </cell>
          <cell r="H33">
            <v>57607</v>
          </cell>
          <cell r="I33">
            <v>27651.3</v>
          </cell>
          <cell r="J33">
            <v>1152</v>
          </cell>
          <cell r="K33">
            <v>552.9</v>
          </cell>
          <cell r="L33">
            <v>71239</v>
          </cell>
          <cell r="M33">
            <v>34194.6</v>
          </cell>
        </row>
        <row r="34">
          <cell r="B34" t="str">
            <v>합판거푸집(6회)</v>
          </cell>
          <cell r="C34" t="str">
            <v>소형구조물</v>
          </cell>
          <cell r="D34">
            <v>8.4</v>
          </cell>
          <cell r="E34" t="str">
            <v>M2</v>
          </cell>
          <cell r="F34">
            <v>4042</v>
          </cell>
          <cell r="G34">
            <v>33952.800000000003</v>
          </cell>
          <cell r="H34">
            <v>16957</v>
          </cell>
          <cell r="I34">
            <v>142438.79999999999</v>
          </cell>
          <cell r="J34">
            <v>0</v>
          </cell>
          <cell r="K34">
            <v>0</v>
          </cell>
          <cell r="L34">
            <v>20999</v>
          </cell>
          <cell r="M34">
            <v>176391.59999999998</v>
          </cell>
        </row>
        <row r="35">
          <cell r="B35" t="str">
            <v>레 미 콘</v>
          </cell>
          <cell r="C35" t="str">
            <v>25-210- 12</v>
          </cell>
          <cell r="D35">
            <v>1.26</v>
          </cell>
          <cell r="E35" t="str">
            <v>M3</v>
          </cell>
          <cell r="F35">
            <v>52850</v>
          </cell>
          <cell r="G35">
            <v>66591</v>
          </cell>
          <cell r="I35">
            <v>0</v>
          </cell>
          <cell r="K35">
            <v>0</v>
          </cell>
          <cell r="L35">
            <v>52850</v>
          </cell>
          <cell r="M35">
            <v>66591</v>
          </cell>
        </row>
        <row r="36">
          <cell r="B36" t="str">
            <v>레미콘타설</v>
          </cell>
          <cell r="C36" t="str">
            <v>소형</v>
          </cell>
          <cell r="D36">
            <v>1.26</v>
          </cell>
          <cell r="E36" t="str">
            <v>M3</v>
          </cell>
          <cell r="F36">
            <v>0</v>
          </cell>
          <cell r="G36">
            <v>0</v>
          </cell>
          <cell r="H36">
            <v>43151</v>
          </cell>
          <cell r="I36">
            <v>54370.2</v>
          </cell>
          <cell r="J36">
            <v>0</v>
          </cell>
          <cell r="K36">
            <v>0</v>
          </cell>
          <cell r="L36">
            <v>43151</v>
          </cell>
          <cell r="M36">
            <v>54370.2</v>
          </cell>
        </row>
        <row r="37">
          <cell r="B37" t="str">
            <v>막구조파고라</v>
          </cell>
          <cell r="C37">
            <v>0</v>
          </cell>
          <cell r="D37">
            <v>1</v>
          </cell>
          <cell r="E37" t="str">
            <v>동</v>
          </cell>
          <cell r="F37">
            <v>20260000</v>
          </cell>
          <cell r="G37">
            <v>20260000</v>
          </cell>
          <cell r="I37">
            <v>0</v>
          </cell>
          <cell r="K37">
            <v>0</v>
          </cell>
          <cell r="L37">
            <v>20260000</v>
          </cell>
          <cell r="M37">
            <v>20260000</v>
          </cell>
        </row>
        <row r="38">
          <cell r="B38" t="str">
            <v>소  계</v>
          </cell>
          <cell r="G38">
            <v>20366534</v>
          </cell>
          <cell r="I38">
            <v>314801</v>
          </cell>
          <cell r="K38">
            <v>552</v>
          </cell>
          <cell r="M38">
            <v>20681887</v>
          </cell>
        </row>
        <row r="40">
          <cell r="B40">
            <v>27</v>
          </cell>
          <cell r="C40" t="str">
            <v>앉음벽</v>
          </cell>
          <cell r="G40" t="str">
            <v xml:space="preserve"> </v>
          </cell>
          <cell r="H40">
            <v>0</v>
          </cell>
          <cell r="I40" t="str">
            <v xml:space="preserve"> </v>
          </cell>
          <cell r="K40" t="str">
            <v xml:space="preserve"> </v>
          </cell>
          <cell r="M40" t="str">
            <v>개소당</v>
          </cell>
        </row>
        <row r="41">
          <cell r="B41" t="str">
            <v>터파기(인력)</v>
          </cell>
          <cell r="C41" t="str">
            <v>보통토사,0~1m,협소/독립</v>
          </cell>
          <cell r="D41">
            <v>1.4239999999999999</v>
          </cell>
          <cell r="E41" t="str">
            <v>M3</v>
          </cell>
          <cell r="F41">
            <v>0</v>
          </cell>
          <cell r="G41">
            <v>0</v>
          </cell>
          <cell r="H41">
            <v>10474</v>
          </cell>
          <cell r="I41">
            <v>14914.9</v>
          </cell>
          <cell r="J41">
            <v>0</v>
          </cell>
          <cell r="K41">
            <v>0</v>
          </cell>
          <cell r="L41">
            <v>10474</v>
          </cell>
          <cell r="M41">
            <v>14914.9</v>
          </cell>
        </row>
        <row r="42">
          <cell r="B42" t="str">
            <v>잔토처리(인력)</v>
          </cell>
          <cell r="C42" t="str">
            <v>현장내</v>
          </cell>
          <cell r="D42">
            <v>0.73499999999999999</v>
          </cell>
          <cell r="E42" t="str">
            <v>M3</v>
          </cell>
          <cell r="F42">
            <v>0</v>
          </cell>
          <cell r="G42">
            <v>0</v>
          </cell>
          <cell r="H42">
            <v>10474</v>
          </cell>
          <cell r="I42">
            <v>7698.3</v>
          </cell>
          <cell r="J42">
            <v>0</v>
          </cell>
          <cell r="K42">
            <v>0</v>
          </cell>
          <cell r="L42">
            <v>10474</v>
          </cell>
          <cell r="M42">
            <v>7698.3</v>
          </cell>
        </row>
        <row r="43">
          <cell r="B43" t="str">
            <v>되메우기및다짐</v>
          </cell>
          <cell r="C43" t="str">
            <v>인력</v>
          </cell>
          <cell r="D43">
            <v>0.68899999999999995</v>
          </cell>
          <cell r="E43" t="str">
            <v>M3</v>
          </cell>
          <cell r="F43">
            <v>0</v>
          </cell>
          <cell r="G43">
            <v>0</v>
          </cell>
          <cell r="H43">
            <v>10997</v>
          </cell>
          <cell r="I43">
            <v>7576.9</v>
          </cell>
          <cell r="J43">
            <v>0</v>
          </cell>
          <cell r="K43">
            <v>0</v>
          </cell>
          <cell r="L43">
            <v>10997</v>
          </cell>
          <cell r="M43">
            <v>7576.9</v>
          </cell>
        </row>
        <row r="44">
          <cell r="B44" t="str">
            <v>잡석다짐</v>
          </cell>
          <cell r="C44" t="str">
            <v>인력</v>
          </cell>
          <cell r="D44">
            <v>0.28599999999999998</v>
          </cell>
          <cell r="E44" t="str">
            <v>M3</v>
          </cell>
          <cell r="F44">
            <v>12480</v>
          </cell>
          <cell r="G44">
            <v>3569.2</v>
          </cell>
          <cell r="H44">
            <v>57607</v>
          </cell>
          <cell r="I44">
            <v>16475.599999999999</v>
          </cell>
          <cell r="J44">
            <v>1152</v>
          </cell>
          <cell r="K44">
            <v>329.4</v>
          </cell>
          <cell r="L44">
            <v>71239</v>
          </cell>
          <cell r="M44">
            <v>20374.2</v>
          </cell>
        </row>
        <row r="45">
          <cell r="B45" t="str">
            <v>합판거푸집(6회)</v>
          </cell>
          <cell r="C45" t="str">
            <v>소형구조물</v>
          </cell>
          <cell r="D45">
            <v>0.83</v>
          </cell>
          <cell r="E45" t="str">
            <v>M2</v>
          </cell>
          <cell r="F45">
            <v>4042</v>
          </cell>
          <cell r="G45">
            <v>3354.8</v>
          </cell>
          <cell r="H45">
            <v>16957</v>
          </cell>
          <cell r="I45">
            <v>14074.3</v>
          </cell>
          <cell r="J45">
            <v>0</v>
          </cell>
          <cell r="K45">
            <v>0</v>
          </cell>
          <cell r="L45">
            <v>20999</v>
          </cell>
          <cell r="M45">
            <v>17429.099999999999</v>
          </cell>
        </row>
        <row r="46">
          <cell r="B46" t="str">
            <v>레 미 콘</v>
          </cell>
          <cell r="C46" t="str">
            <v>25-180- 8</v>
          </cell>
          <cell r="D46">
            <v>9.5000000000000001E-2</v>
          </cell>
          <cell r="E46" t="str">
            <v>M3</v>
          </cell>
          <cell r="F46">
            <v>47860</v>
          </cell>
          <cell r="G46">
            <v>4546.7</v>
          </cell>
          <cell r="I46">
            <v>0</v>
          </cell>
          <cell r="K46">
            <v>0</v>
          </cell>
          <cell r="L46">
            <v>47860</v>
          </cell>
          <cell r="M46">
            <v>4546.7</v>
          </cell>
        </row>
        <row r="47">
          <cell r="B47" t="str">
            <v>레 미 콘</v>
          </cell>
          <cell r="C47" t="str">
            <v>25-210- 8</v>
          </cell>
          <cell r="D47">
            <v>0.19700000000000001</v>
          </cell>
          <cell r="E47" t="str">
            <v>M3</v>
          </cell>
          <cell r="F47">
            <v>51430</v>
          </cell>
          <cell r="G47">
            <v>10131.700000000001</v>
          </cell>
          <cell r="I47">
            <v>0</v>
          </cell>
          <cell r="K47">
            <v>0</v>
          </cell>
          <cell r="L47">
            <v>51430</v>
          </cell>
          <cell r="M47">
            <v>10131.700000000001</v>
          </cell>
        </row>
        <row r="48">
          <cell r="B48" t="str">
            <v>레미콘타설</v>
          </cell>
          <cell r="C48" t="str">
            <v>소형</v>
          </cell>
          <cell r="D48">
            <v>0.29199999999999998</v>
          </cell>
          <cell r="E48" t="str">
            <v>M3</v>
          </cell>
          <cell r="F48">
            <v>0</v>
          </cell>
          <cell r="G48">
            <v>0</v>
          </cell>
          <cell r="H48">
            <v>43151</v>
          </cell>
          <cell r="I48">
            <v>12600</v>
          </cell>
          <cell r="J48">
            <v>0</v>
          </cell>
          <cell r="K48">
            <v>0</v>
          </cell>
          <cell r="L48">
            <v>43151</v>
          </cell>
          <cell r="M48">
            <v>12600</v>
          </cell>
        </row>
        <row r="49">
          <cell r="B49" t="str">
            <v>이형철근</v>
          </cell>
          <cell r="C49" t="str">
            <v>D13</v>
          </cell>
          <cell r="D49">
            <v>11.548999999999999</v>
          </cell>
          <cell r="E49" t="str">
            <v>kg</v>
          </cell>
          <cell r="F49">
            <v>302</v>
          </cell>
          <cell r="G49">
            <v>3487.7</v>
          </cell>
          <cell r="I49">
            <v>0</v>
          </cell>
          <cell r="K49">
            <v>0</v>
          </cell>
          <cell r="L49">
            <v>302</v>
          </cell>
          <cell r="M49">
            <v>3487.7</v>
          </cell>
        </row>
        <row r="50">
          <cell r="B50" t="str">
            <v>철근가공및조립</v>
          </cell>
          <cell r="C50" t="str">
            <v>간단,소형</v>
          </cell>
          <cell r="D50">
            <v>11.212999999999999</v>
          </cell>
          <cell r="E50" t="str">
            <v>kg</v>
          </cell>
          <cell r="F50">
            <v>3</v>
          </cell>
          <cell r="G50">
            <v>33.6</v>
          </cell>
          <cell r="H50">
            <v>628</v>
          </cell>
          <cell r="I50">
            <v>7041.7</v>
          </cell>
          <cell r="J50">
            <v>13</v>
          </cell>
          <cell r="K50">
            <v>145.69999999999999</v>
          </cell>
          <cell r="L50">
            <v>644</v>
          </cell>
          <cell r="M50">
            <v>7221</v>
          </cell>
        </row>
        <row r="51">
          <cell r="B51" t="str">
            <v>철근운반</v>
          </cell>
          <cell r="C51" t="str">
            <v>10TON D/T, 30KM</v>
          </cell>
          <cell r="D51">
            <v>1.2E-2</v>
          </cell>
          <cell r="E51" t="str">
            <v>TON</v>
          </cell>
          <cell r="F51">
            <v>0</v>
          </cell>
          <cell r="G51">
            <v>0</v>
          </cell>
          <cell r="H51">
            <v>2513</v>
          </cell>
          <cell r="I51">
            <v>30.1</v>
          </cell>
          <cell r="J51">
            <v>11750</v>
          </cell>
          <cell r="K51">
            <v>141</v>
          </cell>
          <cell r="L51">
            <v>14263</v>
          </cell>
          <cell r="M51">
            <v>171.1</v>
          </cell>
        </row>
        <row r="52">
          <cell r="B52" t="str">
            <v>벽돌쌓기</v>
          </cell>
          <cell r="C52" t="str">
            <v>표준형,2.0B쌓기,5000매미만</v>
          </cell>
          <cell r="D52">
            <v>334</v>
          </cell>
          <cell r="E52" t="str">
            <v>매</v>
          </cell>
          <cell r="F52">
            <v>30</v>
          </cell>
          <cell r="G52">
            <v>10020</v>
          </cell>
          <cell r="H52">
            <v>181</v>
          </cell>
          <cell r="I52">
            <v>60454</v>
          </cell>
          <cell r="J52">
            <v>8</v>
          </cell>
          <cell r="K52">
            <v>2672</v>
          </cell>
          <cell r="L52">
            <v>219</v>
          </cell>
          <cell r="M52">
            <v>73146</v>
          </cell>
        </row>
        <row r="53">
          <cell r="B53" t="str">
            <v>벽돌바닥깔기</v>
          </cell>
          <cell r="C53" t="str">
            <v>표준형,모로세워깔기</v>
          </cell>
          <cell r="D53">
            <v>0.48</v>
          </cell>
          <cell r="E53" t="str">
            <v>m2</v>
          </cell>
          <cell r="F53">
            <v>3524</v>
          </cell>
          <cell r="G53">
            <v>1691.5</v>
          </cell>
          <cell r="H53">
            <v>23257</v>
          </cell>
          <cell r="I53">
            <v>11163.3</v>
          </cell>
          <cell r="J53">
            <v>1017</v>
          </cell>
          <cell r="K53">
            <v>488.1</v>
          </cell>
          <cell r="L53">
            <v>27798</v>
          </cell>
          <cell r="M53">
            <v>13342.9</v>
          </cell>
        </row>
        <row r="54">
          <cell r="B54" t="str">
            <v>점토벽돌</v>
          </cell>
          <cell r="C54" t="str">
            <v>190x90xT57,적</v>
          </cell>
          <cell r="D54">
            <v>381</v>
          </cell>
          <cell r="E54" t="str">
            <v>매</v>
          </cell>
          <cell r="F54">
            <v>230</v>
          </cell>
          <cell r="G54">
            <v>87630</v>
          </cell>
          <cell r="I54">
            <v>0</v>
          </cell>
          <cell r="K54">
            <v>0</v>
          </cell>
          <cell r="L54">
            <v>230</v>
          </cell>
          <cell r="M54">
            <v>87630</v>
          </cell>
        </row>
        <row r="55">
          <cell r="B55" t="str">
            <v>화강석두겁석</v>
          </cell>
          <cell r="C55" t="str">
            <v>410x410xT70, 포천석, 물갈기</v>
          </cell>
          <cell r="D55">
            <v>2</v>
          </cell>
          <cell r="E55" t="str">
            <v>EA</v>
          </cell>
          <cell r="F55">
            <v>50000</v>
          </cell>
          <cell r="G55">
            <v>100000</v>
          </cell>
          <cell r="I55">
            <v>0</v>
          </cell>
          <cell r="K55">
            <v>0</v>
          </cell>
          <cell r="L55">
            <v>50000</v>
          </cell>
          <cell r="M55">
            <v>100000</v>
          </cell>
        </row>
        <row r="56">
          <cell r="B56" t="str">
            <v>화강석설치</v>
          </cell>
          <cell r="C56" t="str">
            <v>화강경계석설치준용</v>
          </cell>
          <cell r="D56">
            <v>2.3E-2</v>
          </cell>
          <cell r="E56" t="str">
            <v>m3</v>
          </cell>
          <cell r="F56">
            <v>0</v>
          </cell>
          <cell r="G56">
            <v>0</v>
          </cell>
          <cell r="H56">
            <v>323539</v>
          </cell>
          <cell r="I56">
            <v>7441.3</v>
          </cell>
          <cell r="J56">
            <v>0</v>
          </cell>
          <cell r="K56">
            <v>0</v>
          </cell>
          <cell r="L56">
            <v>323539</v>
          </cell>
          <cell r="M56">
            <v>7441.3</v>
          </cell>
        </row>
        <row r="57">
          <cell r="B57" t="str">
            <v>고 철(고재처리)</v>
          </cell>
          <cell r="C57" t="str">
            <v>철재</v>
          </cell>
          <cell r="D57">
            <v>0.23499999999999999</v>
          </cell>
          <cell r="E57" t="str">
            <v>KG</v>
          </cell>
          <cell r="F57">
            <v>-160</v>
          </cell>
          <cell r="G57">
            <v>-37.6</v>
          </cell>
          <cell r="I57">
            <v>0</v>
          </cell>
          <cell r="K57">
            <v>0</v>
          </cell>
          <cell r="L57">
            <v>-160</v>
          </cell>
          <cell r="M57">
            <v>-37.6</v>
          </cell>
        </row>
        <row r="58">
          <cell r="B58" t="str">
            <v>소  계</v>
          </cell>
          <cell r="G58">
            <v>224427</v>
          </cell>
          <cell r="I58">
            <v>159470</v>
          </cell>
          <cell r="K58">
            <v>3776</v>
          </cell>
          <cell r="M58">
            <v>387673</v>
          </cell>
        </row>
        <row r="60">
          <cell r="B60">
            <v>28</v>
          </cell>
          <cell r="C60" t="str">
            <v>플랜터</v>
          </cell>
          <cell r="G60" t="str">
            <v xml:space="preserve"> </v>
          </cell>
          <cell r="H60">
            <v>0</v>
          </cell>
          <cell r="I60" t="str">
            <v xml:space="preserve"> </v>
          </cell>
          <cell r="K60" t="str">
            <v xml:space="preserve"> </v>
          </cell>
          <cell r="M60" t="str">
            <v>개소당</v>
          </cell>
        </row>
        <row r="61">
          <cell r="B61" t="str">
            <v>터파기(인력)</v>
          </cell>
          <cell r="C61" t="str">
            <v>보통토사,0~1m,협소/독립</v>
          </cell>
          <cell r="D61">
            <v>7.3890000000000002</v>
          </cell>
          <cell r="E61" t="str">
            <v>M3</v>
          </cell>
          <cell r="F61">
            <v>0</v>
          </cell>
          <cell r="G61">
            <v>0</v>
          </cell>
          <cell r="H61">
            <v>10474</v>
          </cell>
          <cell r="I61">
            <v>77392.3</v>
          </cell>
          <cell r="J61">
            <v>0</v>
          </cell>
          <cell r="K61">
            <v>0</v>
          </cell>
          <cell r="L61">
            <v>10474</v>
          </cell>
          <cell r="M61">
            <v>77392.3</v>
          </cell>
        </row>
        <row r="62">
          <cell r="B62" t="str">
            <v>잔토처리(인력)</v>
          </cell>
          <cell r="C62" t="str">
            <v>현장내</v>
          </cell>
          <cell r="D62">
            <v>4.3639999999999999</v>
          </cell>
          <cell r="E62" t="str">
            <v>M3</v>
          </cell>
          <cell r="F62">
            <v>0</v>
          </cell>
          <cell r="G62">
            <v>0</v>
          </cell>
          <cell r="H62">
            <v>10474</v>
          </cell>
          <cell r="I62">
            <v>45708.5</v>
          </cell>
          <cell r="J62">
            <v>0</v>
          </cell>
          <cell r="K62">
            <v>0</v>
          </cell>
          <cell r="L62">
            <v>10474</v>
          </cell>
          <cell r="M62">
            <v>45708.5</v>
          </cell>
        </row>
        <row r="63">
          <cell r="B63" t="str">
            <v>되메우기및다짐</v>
          </cell>
          <cell r="C63" t="str">
            <v>인력</v>
          </cell>
          <cell r="D63">
            <v>3.0249999999999999</v>
          </cell>
          <cell r="E63" t="str">
            <v>M3</v>
          </cell>
          <cell r="F63">
            <v>0</v>
          </cell>
          <cell r="G63">
            <v>0</v>
          </cell>
          <cell r="H63">
            <v>10997</v>
          </cell>
          <cell r="I63">
            <v>33265.9</v>
          </cell>
          <cell r="J63">
            <v>0</v>
          </cell>
          <cell r="K63">
            <v>0</v>
          </cell>
          <cell r="L63">
            <v>10997</v>
          </cell>
          <cell r="M63">
            <v>33265.9</v>
          </cell>
        </row>
        <row r="64">
          <cell r="B64" t="str">
            <v>잡석다짐</v>
          </cell>
          <cell r="C64" t="str">
            <v>인력</v>
          </cell>
          <cell r="D64">
            <v>2.0609999999999999</v>
          </cell>
          <cell r="E64" t="str">
            <v>M3</v>
          </cell>
          <cell r="F64">
            <v>12480</v>
          </cell>
          <cell r="G64">
            <v>25721.200000000001</v>
          </cell>
          <cell r="H64">
            <v>57607</v>
          </cell>
          <cell r="I64">
            <v>118728</v>
          </cell>
          <cell r="J64">
            <v>1152</v>
          </cell>
          <cell r="K64">
            <v>2374.1999999999998</v>
          </cell>
          <cell r="L64">
            <v>71239</v>
          </cell>
          <cell r="M64">
            <v>146823.40000000002</v>
          </cell>
        </row>
        <row r="65">
          <cell r="B65" t="str">
            <v>합판거푸집(6회)</v>
          </cell>
          <cell r="C65" t="str">
            <v>소형구조물</v>
          </cell>
          <cell r="D65">
            <v>5.39</v>
          </cell>
          <cell r="E65" t="str">
            <v>M2</v>
          </cell>
          <cell r="F65">
            <v>4042</v>
          </cell>
          <cell r="G65">
            <v>21786.3</v>
          </cell>
          <cell r="H65">
            <v>16957</v>
          </cell>
          <cell r="I65">
            <v>91398.2</v>
          </cell>
          <cell r="J65">
            <v>0</v>
          </cell>
          <cell r="K65">
            <v>0</v>
          </cell>
          <cell r="L65">
            <v>20999</v>
          </cell>
          <cell r="M65">
            <v>113184.5</v>
          </cell>
        </row>
        <row r="66">
          <cell r="B66" t="str">
            <v>레 미 콘</v>
          </cell>
          <cell r="C66" t="str">
            <v>25-180- 8</v>
          </cell>
          <cell r="D66">
            <v>1.5389999999999999</v>
          </cell>
          <cell r="E66" t="str">
            <v>M3</v>
          </cell>
          <cell r="F66">
            <v>47860</v>
          </cell>
          <cell r="G66">
            <v>73656.5</v>
          </cell>
          <cell r="I66">
            <v>0</v>
          </cell>
          <cell r="K66">
            <v>0</v>
          </cell>
          <cell r="L66">
            <v>47860</v>
          </cell>
          <cell r="M66">
            <v>73656.5</v>
          </cell>
        </row>
        <row r="67">
          <cell r="B67" t="str">
            <v>레미콘타설</v>
          </cell>
          <cell r="C67" t="str">
            <v>소형</v>
          </cell>
          <cell r="D67">
            <v>1.5389999999999999</v>
          </cell>
          <cell r="E67" t="str">
            <v>M3</v>
          </cell>
          <cell r="F67">
            <v>0</v>
          </cell>
          <cell r="G67">
            <v>0</v>
          </cell>
          <cell r="H67">
            <v>43151</v>
          </cell>
          <cell r="I67">
            <v>66409.3</v>
          </cell>
          <cell r="J67">
            <v>0</v>
          </cell>
          <cell r="K67">
            <v>0</v>
          </cell>
          <cell r="L67">
            <v>43151</v>
          </cell>
          <cell r="M67">
            <v>66409.3</v>
          </cell>
        </row>
        <row r="68">
          <cell r="B68" t="str">
            <v>치장쌓기및줄눈</v>
          </cell>
          <cell r="C68" t="str">
            <v>표준형,0.5B쌓기,5000매미만</v>
          </cell>
          <cell r="D68">
            <v>537</v>
          </cell>
          <cell r="E68" t="str">
            <v>매</v>
          </cell>
          <cell r="F68">
            <v>25</v>
          </cell>
          <cell r="G68">
            <v>13425</v>
          </cell>
          <cell r="H68">
            <v>433</v>
          </cell>
          <cell r="I68">
            <v>232521</v>
          </cell>
          <cell r="J68">
            <v>7</v>
          </cell>
          <cell r="K68">
            <v>3759</v>
          </cell>
          <cell r="L68">
            <v>465</v>
          </cell>
          <cell r="M68">
            <v>249705</v>
          </cell>
        </row>
        <row r="69">
          <cell r="B69" t="str">
            <v>벽돌쌓기</v>
          </cell>
          <cell r="C69" t="str">
            <v>표준형,0.5B쌓기,5000매미만</v>
          </cell>
          <cell r="D69">
            <v>100</v>
          </cell>
          <cell r="E69" t="str">
            <v>매</v>
          </cell>
          <cell r="F69">
            <v>21</v>
          </cell>
          <cell r="G69">
            <v>2100</v>
          </cell>
          <cell r="H69">
            <v>252</v>
          </cell>
          <cell r="I69">
            <v>25200</v>
          </cell>
          <cell r="J69">
            <v>6</v>
          </cell>
          <cell r="K69">
            <v>600</v>
          </cell>
          <cell r="L69">
            <v>279</v>
          </cell>
          <cell r="M69">
            <v>27900</v>
          </cell>
        </row>
        <row r="70">
          <cell r="B70" t="str">
            <v>벽돌쌓기</v>
          </cell>
          <cell r="C70" t="str">
            <v>표준형,1.0B쌓기,5000매미만</v>
          </cell>
          <cell r="D70">
            <v>1244</v>
          </cell>
          <cell r="E70" t="str">
            <v>매</v>
          </cell>
          <cell r="F70">
            <v>28</v>
          </cell>
          <cell r="G70">
            <v>34832</v>
          </cell>
          <cell r="H70">
            <v>231</v>
          </cell>
          <cell r="I70">
            <v>287364</v>
          </cell>
          <cell r="J70">
            <v>8</v>
          </cell>
          <cell r="K70">
            <v>9952</v>
          </cell>
          <cell r="L70">
            <v>267</v>
          </cell>
          <cell r="M70">
            <v>332148</v>
          </cell>
        </row>
        <row r="71">
          <cell r="B71" t="str">
            <v>벽돌바닥깔기</v>
          </cell>
          <cell r="C71" t="str">
            <v>표준형,모로세워깔기</v>
          </cell>
          <cell r="D71">
            <v>7.72</v>
          </cell>
          <cell r="E71" t="str">
            <v>m2</v>
          </cell>
          <cell r="F71">
            <v>3524</v>
          </cell>
          <cell r="G71">
            <v>27205.200000000001</v>
          </cell>
          <cell r="H71">
            <v>23257</v>
          </cell>
          <cell r="I71">
            <v>179544</v>
          </cell>
          <cell r="J71">
            <v>1017</v>
          </cell>
          <cell r="K71">
            <v>7851.2</v>
          </cell>
          <cell r="L71">
            <v>27798</v>
          </cell>
          <cell r="M71">
            <v>214600.40000000002</v>
          </cell>
        </row>
        <row r="72">
          <cell r="B72" t="str">
            <v>점토벽돌</v>
          </cell>
          <cell r="C72" t="str">
            <v>190x90xT57,수공</v>
          </cell>
          <cell r="D72">
            <v>277</v>
          </cell>
          <cell r="E72" t="str">
            <v>매</v>
          </cell>
          <cell r="F72">
            <v>230</v>
          </cell>
          <cell r="G72">
            <v>63710</v>
          </cell>
          <cell r="I72">
            <v>0</v>
          </cell>
          <cell r="K72">
            <v>0</v>
          </cell>
          <cell r="L72">
            <v>230</v>
          </cell>
          <cell r="M72">
            <v>63710</v>
          </cell>
        </row>
        <row r="73">
          <cell r="B73" t="str">
            <v>점토벽돌</v>
          </cell>
          <cell r="C73" t="str">
            <v>190x90xT57</v>
          </cell>
          <cell r="D73">
            <v>871</v>
          </cell>
          <cell r="E73" t="str">
            <v>매</v>
          </cell>
          <cell r="F73">
            <v>230</v>
          </cell>
          <cell r="G73">
            <v>200330</v>
          </cell>
          <cell r="I73">
            <v>0</v>
          </cell>
          <cell r="K73">
            <v>0</v>
          </cell>
          <cell r="L73">
            <v>230</v>
          </cell>
          <cell r="M73">
            <v>200330</v>
          </cell>
        </row>
        <row r="74">
          <cell r="B74" t="str">
            <v>시멘트벽돌</v>
          </cell>
          <cell r="C74" t="str">
            <v>190x90xT57</v>
          </cell>
          <cell r="D74">
            <v>1384</v>
          </cell>
          <cell r="E74" t="str">
            <v>매</v>
          </cell>
          <cell r="F74">
            <v>45</v>
          </cell>
          <cell r="G74">
            <v>62280</v>
          </cell>
          <cell r="I74">
            <v>0</v>
          </cell>
          <cell r="K74">
            <v>0</v>
          </cell>
          <cell r="L74">
            <v>45</v>
          </cell>
          <cell r="M74">
            <v>62280</v>
          </cell>
        </row>
        <row r="75">
          <cell r="B75" t="str">
            <v>방수몰탈</v>
          </cell>
          <cell r="C75" t="str">
            <v>1:1, THK20, 붙임</v>
          </cell>
          <cell r="D75">
            <v>0.184</v>
          </cell>
          <cell r="E75" t="str">
            <v>m3</v>
          </cell>
          <cell r="F75">
            <v>338116</v>
          </cell>
          <cell r="G75">
            <v>62213.3</v>
          </cell>
          <cell r="H75">
            <v>65134</v>
          </cell>
          <cell r="I75">
            <v>11984.6</v>
          </cell>
          <cell r="J75">
            <v>23962</v>
          </cell>
          <cell r="K75">
            <v>4409</v>
          </cell>
          <cell r="L75">
            <v>427212</v>
          </cell>
          <cell r="M75">
            <v>78606.900000000009</v>
          </cell>
        </row>
        <row r="76">
          <cell r="B76" t="str">
            <v>방수몰탈바름</v>
          </cell>
          <cell r="C76" t="str">
            <v>T18,(1:1), THK20, 붙임</v>
          </cell>
          <cell r="D76">
            <v>10.26</v>
          </cell>
          <cell r="E76" t="str">
            <v>m2</v>
          </cell>
          <cell r="F76">
            <v>0</v>
          </cell>
          <cell r="G76">
            <v>0</v>
          </cell>
          <cell r="H76">
            <v>9596</v>
          </cell>
          <cell r="I76">
            <v>98454.9</v>
          </cell>
          <cell r="J76">
            <v>0</v>
          </cell>
          <cell r="K76">
            <v>0</v>
          </cell>
          <cell r="L76">
            <v>9596</v>
          </cell>
          <cell r="M76">
            <v>98454.9</v>
          </cell>
        </row>
        <row r="77">
          <cell r="B77" t="str">
            <v>몰     탈</v>
          </cell>
          <cell r="C77" t="str">
            <v>1:3, THK12, 보호</v>
          </cell>
          <cell r="D77">
            <v>0.123</v>
          </cell>
          <cell r="E77" t="str">
            <v>M3</v>
          </cell>
          <cell r="F77">
            <v>42996</v>
          </cell>
          <cell r="G77">
            <v>5288.5</v>
          </cell>
          <cell r="H77">
            <v>55599</v>
          </cell>
          <cell r="I77">
            <v>6838.6</v>
          </cell>
          <cell r="J77">
            <v>12417</v>
          </cell>
          <cell r="K77">
            <v>1527.2</v>
          </cell>
          <cell r="L77">
            <v>111012</v>
          </cell>
          <cell r="M77">
            <v>13654.300000000001</v>
          </cell>
        </row>
        <row r="78">
          <cell r="B78" t="str">
            <v>화강석두겁석</v>
          </cell>
          <cell r="C78" t="str">
            <v>410x410xT70, 포천석, 물갈기</v>
          </cell>
          <cell r="D78">
            <v>3</v>
          </cell>
          <cell r="E78" t="str">
            <v>EA</v>
          </cell>
          <cell r="F78">
            <v>50000</v>
          </cell>
          <cell r="G78">
            <v>150000</v>
          </cell>
          <cell r="I78">
            <v>0</v>
          </cell>
          <cell r="K78">
            <v>0</v>
          </cell>
          <cell r="L78">
            <v>50000</v>
          </cell>
          <cell r="M78">
            <v>150000</v>
          </cell>
        </row>
        <row r="79">
          <cell r="B79" t="str">
            <v>화강석두겁석</v>
          </cell>
          <cell r="C79" t="str">
            <v>670x670xT90, 포천석, 물갈기</v>
          </cell>
          <cell r="D79">
            <v>2</v>
          </cell>
          <cell r="E79" t="str">
            <v>EA</v>
          </cell>
          <cell r="F79">
            <v>60000</v>
          </cell>
          <cell r="G79">
            <v>120000</v>
          </cell>
          <cell r="I79">
            <v>0</v>
          </cell>
          <cell r="K79">
            <v>0</v>
          </cell>
          <cell r="L79">
            <v>60000</v>
          </cell>
          <cell r="M79">
            <v>120000</v>
          </cell>
        </row>
        <row r="80">
          <cell r="B80" t="str">
            <v>화강석설치</v>
          </cell>
          <cell r="C80" t="str">
            <v>화강경계석설치준용</v>
          </cell>
          <cell r="D80">
            <v>0.13300000000000001</v>
          </cell>
          <cell r="E80" t="str">
            <v>m3</v>
          </cell>
          <cell r="F80">
            <v>0</v>
          </cell>
          <cell r="G80">
            <v>0</v>
          </cell>
          <cell r="H80">
            <v>323539</v>
          </cell>
          <cell r="I80">
            <v>43030.6</v>
          </cell>
          <cell r="J80">
            <v>0</v>
          </cell>
          <cell r="K80">
            <v>0</v>
          </cell>
          <cell r="L80">
            <v>323539</v>
          </cell>
          <cell r="M80">
            <v>43030.6</v>
          </cell>
        </row>
        <row r="81">
          <cell r="B81" t="str">
            <v>PVC PIPE</v>
          </cell>
          <cell r="C81" t="str">
            <v>D20</v>
          </cell>
          <cell r="D81">
            <v>3.7</v>
          </cell>
          <cell r="E81" t="str">
            <v>m</v>
          </cell>
          <cell r="F81">
            <v>420</v>
          </cell>
          <cell r="G81">
            <v>1554</v>
          </cell>
          <cell r="I81">
            <v>0</v>
          </cell>
          <cell r="K81">
            <v>0</v>
          </cell>
          <cell r="L81">
            <v>420</v>
          </cell>
          <cell r="M81">
            <v>1554</v>
          </cell>
        </row>
        <row r="82">
          <cell r="B82" t="str">
            <v>소  계</v>
          </cell>
          <cell r="G82">
            <v>864102</v>
          </cell>
          <cell r="I82">
            <v>1317839</v>
          </cell>
          <cell r="K82">
            <v>30472</v>
          </cell>
          <cell r="M82">
            <v>2212413</v>
          </cell>
        </row>
        <row r="84">
          <cell r="B84">
            <v>29</v>
          </cell>
          <cell r="C84" t="str">
            <v>스탠드</v>
          </cell>
          <cell r="E84" t="str">
            <v xml:space="preserve"> </v>
          </cell>
          <cell r="G84" t="str">
            <v xml:space="preserve"> </v>
          </cell>
          <cell r="H84">
            <v>0</v>
          </cell>
          <cell r="I84" t="str">
            <v xml:space="preserve"> </v>
          </cell>
          <cell r="K84" t="str">
            <v xml:space="preserve"> </v>
          </cell>
          <cell r="M84" t="str">
            <v>개소당</v>
          </cell>
        </row>
        <row r="85">
          <cell r="B85" t="str">
            <v>스탠드관람석</v>
          </cell>
          <cell r="C85">
            <v>0</v>
          </cell>
          <cell r="D85">
            <v>19.8</v>
          </cell>
          <cell r="E85" t="str">
            <v>m</v>
          </cell>
          <cell r="F85">
            <v>121868</v>
          </cell>
          <cell r="G85">
            <v>2412986.4</v>
          </cell>
          <cell r="H85">
            <v>165445</v>
          </cell>
          <cell r="I85">
            <v>3275811</v>
          </cell>
          <cell r="J85">
            <v>3869</v>
          </cell>
          <cell r="K85">
            <v>76606.2</v>
          </cell>
          <cell r="L85">
            <v>291182</v>
          </cell>
          <cell r="M85">
            <v>5765403.6000000006</v>
          </cell>
        </row>
        <row r="86">
          <cell r="B86" t="str">
            <v>스탠드계단</v>
          </cell>
          <cell r="C86">
            <v>0</v>
          </cell>
          <cell r="D86">
            <v>3</v>
          </cell>
          <cell r="E86" t="str">
            <v>개소</v>
          </cell>
          <cell r="F86">
            <v>301588</v>
          </cell>
          <cell r="G86">
            <v>904764</v>
          </cell>
          <cell r="H86">
            <v>319242</v>
          </cell>
          <cell r="I86">
            <v>957726</v>
          </cell>
          <cell r="J86">
            <v>7698</v>
          </cell>
          <cell r="K86">
            <v>23094</v>
          </cell>
          <cell r="L86">
            <v>628528</v>
          </cell>
          <cell r="M86">
            <v>1885584</v>
          </cell>
        </row>
        <row r="87">
          <cell r="B87" t="str">
            <v>스탠드날개벽</v>
          </cell>
          <cell r="C87">
            <v>0</v>
          </cell>
          <cell r="D87">
            <v>2</v>
          </cell>
          <cell r="E87" t="str">
            <v>개소</v>
          </cell>
          <cell r="F87">
            <v>133988</v>
          </cell>
          <cell r="G87">
            <v>267976</v>
          </cell>
          <cell r="H87">
            <v>233393</v>
          </cell>
          <cell r="I87">
            <v>466786</v>
          </cell>
          <cell r="J87">
            <v>4297</v>
          </cell>
          <cell r="K87">
            <v>8594</v>
          </cell>
          <cell r="L87">
            <v>371678</v>
          </cell>
          <cell r="M87">
            <v>743356</v>
          </cell>
        </row>
        <row r="88">
          <cell r="B88" t="str">
            <v>소  계</v>
          </cell>
          <cell r="G88">
            <v>3585726</v>
          </cell>
          <cell r="I88">
            <v>4700323</v>
          </cell>
          <cell r="K88">
            <v>108294</v>
          </cell>
          <cell r="M88">
            <v>8394343</v>
          </cell>
        </row>
        <row r="91">
          <cell r="B91">
            <v>30</v>
          </cell>
          <cell r="C91" t="str">
            <v>스탠드관람석</v>
          </cell>
          <cell r="M91" t="str">
            <v>m당</v>
          </cell>
        </row>
        <row r="92">
          <cell r="B92" t="str">
            <v>터파기(인력)</v>
          </cell>
          <cell r="C92" t="str">
            <v>보통토사,0~1m,협소/독립</v>
          </cell>
          <cell r="D92">
            <v>1.008</v>
          </cell>
          <cell r="E92" t="str">
            <v>M3</v>
          </cell>
          <cell r="F92">
            <v>0</v>
          </cell>
          <cell r="G92">
            <v>0</v>
          </cell>
          <cell r="H92">
            <v>10474</v>
          </cell>
          <cell r="I92">
            <v>10557.7</v>
          </cell>
          <cell r="J92">
            <v>0</v>
          </cell>
          <cell r="K92">
            <v>0</v>
          </cell>
          <cell r="L92">
            <v>10474</v>
          </cell>
          <cell r="M92">
            <v>10557.7</v>
          </cell>
        </row>
        <row r="93">
          <cell r="B93" t="str">
            <v>잔토처리(인력)</v>
          </cell>
          <cell r="C93" t="str">
            <v>현장내</v>
          </cell>
          <cell r="D93">
            <v>0.88</v>
          </cell>
          <cell r="E93" t="str">
            <v>M3</v>
          </cell>
          <cell r="F93">
            <v>0</v>
          </cell>
          <cell r="G93">
            <v>0</v>
          </cell>
          <cell r="H93">
            <v>10474</v>
          </cell>
          <cell r="I93">
            <v>9217.1</v>
          </cell>
          <cell r="J93">
            <v>0</v>
          </cell>
          <cell r="K93">
            <v>0</v>
          </cell>
          <cell r="L93">
            <v>10474</v>
          </cell>
          <cell r="M93">
            <v>9217.1</v>
          </cell>
        </row>
        <row r="94">
          <cell r="B94" t="str">
            <v>되메우기및다짐</v>
          </cell>
          <cell r="C94" t="str">
            <v>인력</v>
          </cell>
          <cell r="D94">
            <v>0.128</v>
          </cell>
          <cell r="E94" t="str">
            <v>M3</v>
          </cell>
          <cell r="F94">
            <v>0</v>
          </cell>
          <cell r="G94">
            <v>0</v>
          </cell>
          <cell r="H94">
            <v>10997</v>
          </cell>
          <cell r="I94">
            <v>1407.6</v>
          </cell>
          <cell r="J94">
            <v>0</v>
          </cell>
          <cell r="K94">
            <v>0</v>
          </cell>
          <cell r="L94">
            <v>10997</v>
          </cell>
          <cell r="M94">
            <v>1407.6</v>
          </cell>
        </row>
        <row r="95">
          <cell r="B95" t="str">
            <v>잡석다짐</v>
          </cell>
          <cell r="C95" t="str">
            <v>인력</v>
          </cell>
          <cell r="D95">
            <v>0.33</v>
          </cell>
          <cell r="E95" t="str">
            <v>M3</v>
          </cell>
          <cell r="F95">
            <v>12480</v>
          </cell>
          <cell r="G95">
            <v>4118.3999999999996</v>
          </cell>
          <cell r="H95">
            <v>57607</v>
          </cell>
          <cell r="I95">
            <v>19010.3</v>
          </cell>
          <cell r="J95">
            <v>1152</v>
          </cell>
          <cell r="K95">
            <v>380.1</v>
          </cell>
          <cell r="L95">
            <v>71239</v>
          </cell>
          <cell r="M95">
            <v>23508.799999999996</v>
          </cell>
        </row>
        <row r="96">
          <cell r="B96" t="str">
            <v>합판거푸집(6회)</v>
          </cell>
          <cell r="C96" t="str">
            <v>소형구조물</v>
          </cell>
          <cell r="D96">
            <v>1.28</v>
          </cell>
          <cell r="E96" t="str">
            <v>M2</v>
          </cell>
          <cell r="F96">
            <v>4042</v>
          </cell>
          <cell r="G96">
            <v>5173.7</v>
          </cell>
          <cell r="H96">
            <v>16957</v>
          </cell>
          <cell r="I96">
            <v>21704.9</v>
          </cell>
          <cell r="J96">
            <v>0</v>
          </cell>
          <cell r="K96">
            <v>0</v>
          </cell>
          <cell r="L96">
            <v>20999</v>
          </cell>
          <cell r="M96">
            <v>26878.600000000002</v>
          </cell>
        </row>
        <row r="97">
          <cell r="B97" t="str">
            <v>레 미 콘</v>
          </cell>
          <cell r="C97" t="str">
            <v>25-180- 8</v>
          </cell>
          <cell r="D97">
            <v>0.11</v>
          </cell>
          <cell r="E97" t="str">
            <v>M3</v>
          </cell>
          <cell r="F97">
            <v>47860</v>
          </cell>
          <cell r="G97">
            <v>5264.6</v>
          </cell>
          <cell r="I97">
            <v>0</v>
          </cell>
          <cell r="K97">
            <v>0</v>
          </cell>
          <cell r="L97">
            <v>47860</v>
          </cell>
          <cell r="M97">
            <v>5264.6</v>
          </cell>
        </row>
        <row r="98">
          <cell r="B98" t="str">
            <v>레 미 콘</v>
          </cell>
          <cell r="C98" t="str">
            <v>25-210- 8</v>
          </cell>
          <cell r="D98">
            <v>0.56499999999999995</v>
          </cell>
          <cell r="E98" t="str">
            <v>M3</v>
          </cell>
          <cell r="F98">
            <v>51430</v>
          </cell>
          <cell r="G98">
            <v>29057.9</v>
          </cell>
          <cell r="I98">
            <v>0</v>
          </cell>
          <cell r="K98">
            <v>0</v>
          </cell>
          <cell r="L98">
            <v>51430</v>
          </cell>
          <cell r="M98">
            <v>29057.9</v>
          </cell>
        </row>
        <row r="99">
          <cell r="B99" t="str">
            <v>레미콘타설</v>
          </cell>
          <cell r="C99" t="str">
            <v>소형</v>
          </cell>
          <cell r="D99">
            <v>0.67500000000000004</v>
          </cell>
          <cell r="E99" t="str">
            <v>M3</v>
          </cell>
          <cell r="F99">
            <v>0</v>
          </cell>
          <cell r="G99">
            <v>0</v>
          </cell>
          <cell r="H99">
            <v>43151</v>
          </cell>
          <cell r="I99">
            <v>29126.9</v>
          </cell>
          <cell r="J99">
            <v>0</v>
          </cell>
          <cell r="K99">
            <v>0</v>
          </cell>
          <cell r="L99">
            <v>43151</v>
          </cell>
          <cell r="M99">
            <v>29126.9</v>
          </cell>
        </row>
        <row r="100">
          <cell r="B100" t="str">
            <v>이형철근</v>
          </cell>
          <cell r="C100" t="str">
            <v>D13</v>
          </cell>
          <cell r="D100">
            <v>19.472000000000001</v>
          </cell>
          <cell r="E100" t="str">
            <v>kg</v>
          </cell>
          <cell r="F100">
            <v>302</v>
          </cell>
          <cell r="G100">
            <v>5880.5</v>
          </cell>
          <cell r="I100">
            <v>0</v>
          </cell>
          <cell r="K100">
            <v>0</v>
          </cell>
          <cell r="L100">
            <v>302</v>
          </cell>
          <cell r="M100">
            <v>5880.5</v>
          </cell>
        </row>
        <row r="101">
          <cell r="B101" t="str">
            <v>철근가공및조립</v>
          </cell>
          <cell r="C101" t="str">
            <v>간단,소형</v>
          </cell>
          <cell r="D101">
            <v>18.905000000000001</v>
          </cell>
          <cell r="E101" t="str">
            <v>kg</v>
          </cell>
          <cell r="F101">
            <v>3</v>
          </cell>
          <cell r="G101">
            <v>56.7</v>
          </cell>
          <cell r="H101">
            <v>628</v>
          </cell>
          <cell r="I101">
            <v>11872.3</v>
          </cell>
          <cell r="J101">
            <v>13</v>
          </cell>
          <cell r="K101">
            <v>245.7</v>
          </cell>
          <cell r="L101">
            <v>644</v>
          </cell>
          <cell r="M101">
            <v>12174.7</v>
          </cell>
        </row>
        <row r="102">
          <cell r="B102" t="str">
            <v>철근운반</v>
          </cell>
          <cell r="C102" t="str">
            <v>10TON D/T, 30KM</v>
          </cell>
          <cell r="D102">
            <v>1.9E-2</v>
          </cell>
          <cell r="E102" t="str">
            <v>TON</v>
          </cell>
          <cell r="F102">
            <v>0</v>
          </cell>
          <cell r="G102">
            <v>0</v>
          </cell>
          <cell r="H102">
            <v>2513</v>
          </cell>
          <cell r="I102">
            <v>47.7</v>
          </cell>
          <cell r="J102">
            <v>11750</v>
          </cell>
          <cell r="K102">
            <v>223.2</v>
          </cell>
          <cell r="L102">
            <v>14263</v>
          </cell>
          <cell r="M102">
            <v>270.89999999999998</v>
          </cell>
        </row>
        <row r="103">
          <cell r="B103" t="str">
            <v>몰     탈</v>
          </cell>
          <cell r="C103" t="str">
            <v>1:3</v>
          </cell>
          <cell r="D103">
            <v>6.3E-2</v>
          </cell>
          <cell r="E103" t="str">
            <v>M3</v>
          </cell>
          <cell r="F103">
            <v>42996</v>
          </cell>
          <cell r="G103">
            <v>2708.7</v>
          </cell>
          <cell r="H103">
            <v>55599</v>
          </cell>
          <cell r="I103">
            <v>3502.7</v>
          </cell>
          <cell r="J103">
            <v>12417</v>
          </cell>
          <cell r="K103">
            <v>782.2</v>
          </cell>
          <cell r="L103">
            <v>111012</v>
          </cell>
          <cell r="M103">
            <v>6993.5999999999995</v>
          </cell>
        </row>
        <row r="104">
          <cell r="B104" t="str">
            <v>벽돌쌓기</v>
          </cell>
          <cell r="C104" t="str">
            <v>표준형,0.5B쌓기,5000매미만</v>
          </cell>
          <cell r="D104">
            <v>68</v>
          </cell>
          <cell r="E104" t="str">
            <v>매</v>
          </cell>
          <cell r="F104">
            <v>21</v>
          </cell>
          <cell r="G104">
            <v>1428</v>
          </cell>
          <cell r="H104">
            <v>252</v>
          </cell>
          <cell r="I104">
            <v>17136</v>
          </cell>
          <cell r="J104">
            <v>6</v>
          </cell>
          <cell r="K104">
            <v>408</v>
          </cell>
          <cell r="L104">
            <v>279</v>
          </cell>
          <cell r="M104">
            <v>18972</v>
          </cell>
        </row>
        <row r="105">
          <cell r="B105" t="str">
            <v>벽돌바닥깔기</v>
          </cell>
          <cell r="C105" t="str">
            <v>표준형,모로세워깔기</v>
          </cell>
          <cell r="D105">
            <v>1.8</v>
          </cell>
          <cell r="E105" t="str">
            <v>m2</v>
          </cell>
          <cell r="F105">
            <v>3524</v>
          </cell>
          <cell r="G105">
            <v>6343.2</v>
          </cell>
          <cell r="H105">
            <v>23257</v>
          </cell>
          <cell r="I105">
            <v>41862.6</v>
          </cell>
          <cell r="J105">
            <v>1017</v>
          </cell>
          <cell r="K105">
            <v>1830.6</v>
          </cell>
          <cell r="L105">
            <v>27798</v>
          </cell>
          <cell r="M105">
            <v>50036.399999999994</v>
          </cell>
        </row>
        <row r="106">
          <cell r="B106" t="str">
            <v>점토벽돌</v>
          </cell>
          <cell r="C106" t="str">
            <v>190x90xT57,코너R</v>
          </cell>
          <cell r="D106">
            <v>44</v>
          </cell>
          <cell r="E106" t="str">
            <v>매</v>
          </cell>
          <cell r="F106">
            <v>560</v>
          </cell>
          <cell r="G106">
            <v>24640</v>
          </cell>
          <cell r="I106">
            <v>0</v>
          </cell>
          <cell r="K106">
            <v>0</v>
          </cell>
          <cell r="L106">
            <v>560</v>
          </cell>
          <cell r="M106">
            <v>24640</v>
          </cell>
        </row>
        <row r="107">
          <cell r="B107" t="str">
            <v>점토벽돌</v>
          </cell>
          <cell r="C107" t="str">
            <v>190x90xT57,적</v>
          </cell>
          <cell r="D107">
            <v>162</v>
          </cell>
          <cell r="E107" t="str">
            <v>매</v>
          </cell>
          <cell r="F107">
            <v>230</v>
          </cell>
          <cell r="G107">
            <v>37260</v>
          </cell>
          <cell r="I107">
            <v>0</v>
          </cell>
          <cell r="K107">
            <v>0</v>
          </cell>
          <cell r="L107">
            <v>230</v>
          </cell>
          <cell r="M107">
            <v>37260</v>
          </cell>
        </row>
        <row r="108">
          <cell r="B108" t="str">
            <v>고 철(고재처리)</v>
          </cell>
          <cell r="C108" t="str">
            <v>철재</v>
          </cell>
          <cell r="D108">
            <v>0.39600000000000002</v>
          </cell>
          <cell r="E108" t="str">
            <v>KG</v>
          </cell>
          <cell r="F108">
            <v>-160</v>
          </cell>
          <cell r="G108">
            <v>-63.3</v>
          </cell>
          <cell r="I108">
            <v>0</v>
          </cell>
          <cell r="K108">
            <v>0</v>
          </cell>
          <cell r="L108">
            <v>-160</v>
          </cell>
          <cell r="M108">
            <v>-63.3</v>
          </cell>
        </row>
        <row r="109">
          <cell r="B109" t="str">
            <v>소   계</v>
          </cell>
          <cell r="G109">
            <v>121868</v>
          </cell>
          <cell r="I109">
            <v>165445</v>
          </cell>
          <cell r="K109">
            <v>3869</v>
          </cell>
          <cell r="M109">
            <v>291182</v>
          </cell>
        </row>
        <row r="111">
          <cell r="B111">
            <v>31</v>
          </cell>
          <cell r="C111" t="str">
            <v>스탠드계단</v>
          </cell>
          <cell r="F111">
            <v>0</v>
          </cell>
          <cell r="G111" t="str">
            <v xml:space="preserve"> </v>
          </cell>
          <cell r="H111">
            <v>0</v>
          </cell>
          <cell r="I111" t="str">
            <v xml:space="preserve"> </v>
          </cell>
          <cell r="K111" t="str">
            <v xml:space="preserve"> </v>
          </cell>
          <cell r="M111" t="str">
            <v>개소당</v>
          </cell>
        </row>
        <row r="112">
          <cell r="B112" t="str">
            <v>터파기(인력)</v>
          </cell>
          <cell r="C112" t="str">
            <v>보통토사,0~1m,협소/독립</v>
          </cell>
          <cell r="D112">
            <v>2.016</v>
          </cell>
          <cell r="E112" t="str">
            <v>M3</v>
          </cell>
          <cell r="F112">
            <v>0</v>
          </cell>
          <cell r="G112">
            <v>0</v>
          </cell>
          <cell r="H112">
            <v>10474</v>
          </cell>
          <cell r="I112">
            <v>21115.5</v>
          </cell>
          <cell r="J112">
            <v>0</v>
          </cell>
          <cell r="K112">
            <v>0</v>
          </cell>
          <cell r="L112">
            <v>10474</v>
          </cell>
          <cell r="M112">
            <v>21115.5</v>
          </cell>
        </row>
        <row r="113">
          <cell r="B113" t="str">
            <v>잔토처리(인력)</v>
          </cell>
          <cell r="C113" t="str">
            <v>현장내</v>
          </cell>
          <cell r="D113">
            <v>1.76</v>
          </cell>
          <cell r="E113" t="str">
            <v>M3</v>
          </cell>
          <cell r="F113">
            <v>0</v>
          </cell>
          <cell r="G113">
            <v>0</v>
          </cell>
          <cell r="H113">
            <v>10474</v>
          </cell>
          <cell r="I113">
            <v>18434.2</v>
          </cell>
          <cell r="J113">
            <v>0</v>
          </cell>
          <cell r="K113">
            <v>0</v>
          </cell>
          <cell r="L113">
            <v>10474</v>
          </cell>
          <cell r="M113">
            <v>18434.2</v>
          </cell>
        </row>
        <row r="114">
          <cell r="B114" t="str">
            <v>되메우기및다짐</v>
          </cell>
          <cell r="C114" t="str">
            <v>인력</v>
          </cell>
          <cell r="D114">
            <v>0.25600000000000001</v>
          </cell>
          <cell r="E114" t="str">
            <v>M3</v>
          </cell>
          <cell r="F114">
            <v>0</v>
          </cell>
          <cell r="G114">
            <v>0</v>
          </cell>
          <cell r="H114">
            <v>10997</v>
          </cell>
          <cell r="I114">
            <v>2815.2</v>
          </cell>
          <cell r="J114">
            <v>0</v>
          </cell>
          <cell r="K114">
            <v>0</v>
          </cell>
          <cell r="L114">
            <v>10997</v>
          </cell>
          <cell r="M114">
            <v>2815.2</v>
          </cell>
        </row>
        <row r="115">
          <cell r="B115" t="str">
            <v>잡석다짐</v>
          </cell>
          <cell r="C115" t="str">
            <v>인력</v>
          </cell>
          <cell r="D115">
            <v>0.66</v>
          </cell>
          <cell r="E115" t="str">
            <v>M3</v>
          </cell>
          <cell r="F115">
            <v>12480</v>
          </cell>
          <cell r="G115">
            <v>8236.7999999999993</v>
          </cell>
          <cell r="H115">
            <v>57607</v>
          </cell>
          <cell r="I115">
            <v>38020.6</v>
          </cell>
          <cell r="J115">
            <v>1152</v>
          </cell>
          <cell r="K115">
            <v>760.3</v>
          </cell>
          <cell r="L115">
            <v>71239</v>
          </cell>
          <cell r="M115">
            <v>47017.7</v>
          </cell>
        </row>
        <row r="116">
          <cell r="B116" t="str">
            <v>합판거푸집(6회)</v>
          </cell>
          <cell r="C116" t="str">
            <v>소형구조물</v>
          </cell>
          <cell r="D116">
            <v>2.56</v>
          </cell>
          <cell r="E116" t="str">
            <v>M2</v>
          </cell>
          <cell r="F116">
            <v>4042</v>
          </cell>
          <cell r="G116">
            <v>10347.5</v>
          </cell>
          <cell r="H116">
            <v>16957</v>
          </cell>
          <cell r="I116">
            <v>43409.9</v>
          </cell>
          <cell r="J116">
            <v>0</v>
          </cell>
          <cell r="K116">
            <v>0</v>
          </cell>
          <cell r="L116">
            <v>20999</v>
          </cell>
          <cell r="M116">
            <v>53757.4</v>
          </cell>
        </row>
        <row r="117">
          <cell r="B117" t="str">
            <v>레 미 콘</v>
          </cell>
          <cell r="C117" t="str">
            <v>25-180- 8</v>
          </cell>
          <cell r="D117">
            <v>0.22</v>
          </cell>
          <cell r="E117" t="str">
            <v>M3</v>
          </cell>
          <cell r="F117">
            <v>47860</v>
          </cell>
          <cell r="G117">
            <v>10529.2</v>
          </cell>
          <cell r="I117">
            <v>0</v>
          </cell>
          <cell r="K117">
            <v>0</v>
          </cell>
          <cell r="L117">
            <v>47860</v>
          </cell>
          <cell r="M117">
            <v>10529.2</v>
          </cell>
        </row>
        <row r="118">
          <cell r="B118" t="str">
            <v>레 미 콘</v>
          </cell>
          <cell r="C118" t="str">
            <v>25-210- 8</v>
          </cell>
          <cell r="D118">
            <v>0.89200000000000002</v>
          </cell>
          <cell r="E118" t="str">
            <v>M3</v>
          </cell>
          <cell r="F118">
            <v>51430</v>
          </cell>
          <cell r="G118">
            <v>45875.5</v>
          </cell>
          <cell r="I118">
            <v>0</v>
          </cell>
          <cell r="K118">
            <v>0</v>
          </cell>
          <cell r="L118">
            <v>51430</v>
          </cell>
          <cell r="M118">
            <v>45875.5</v>
          </cell>
        </row>
        <row r="119">
          <cell r="B119" t="str">
            <v>레미콘타설</v>
          </cell>
          <cell r="C119" t="str">
            <v>소형</v>
          </cell>
          <cell r="D119">
            <v>1.1120000000000001</v>
          </cell>
          <cell r="E119" t="str">
            <v>M3</v>
          </cell>
          <cell r="F119">
            <v>0</v>
          </cell>
          <cell r="G119">
            <v>0</v>
          </cell>
          <cell r="H119">
            <v>43151</v>
          </cell>
          <cell r="I119">
            <v>47983.9</v>
          </cell>
          <cell r="J119">
            <v>0</v>
          </cell>
          <cell r="K119">
            <v>0</v>
          </cell>
          <cell r="L119">
            <v>43151</v>
          </cell>
          <cell r="M119">
            <v>47983.9</v>
          </cell>
        </row>
        <row r="120">
          <cell r="B120" t="str">
            <v>이형철근</v>
          </cell>
          <cell r="C120" t="str">
            <v>D13</v>
          </cell>
          <cell r="D120">
            <v>37.098999999999997</v>
          </cell>
          <cell r="E120" t="str">
            <v>kg</v>
          </cell>
          <cell r="F120">
            <v>302</v>
          </cell>
          <cell r="G120">
            <v>11203.8</v>
          </cell>
          <cell r="I120">
            <v>0</v>
          </cell>
          <cell r="K120">
            <v>0</v>
          </cell>
          <cell r="L120">
            <v>302</v>
          </cell>
          <cell r="M120">
            <v>11203.8</v>
          </cell>
        </row>
        <row r="121">
          <cell r="B121" t="str">
            <v>철근가공및조립</v>
          </cell>
          <cell r="C121" t="str">
            <v>간단,소형</v>
          </cell>
          <cell r="D121">
            <v>36.018999999999998</v>
          </cell>
          <cell r="E121" t="str">
            <v>kg</v>
          </cell>
          <cell r="F121">
            <v>3</v>
          </cell>
          <cell r="G121">
            <v>108</v>
          </cell>
          <cell r="H121">
            <v>628</v>
          </cell>
          <cell r="I121">
            <v>22619.9</v>
          </cell>
          <cell r="J121">
            <v>13</v>
          </cell>
          <cell r="K121">
            <v>468.2</v>
          </cell>
          <cell r="L121">
            <v>644</v>
          </cell>
          <cell r="M121">
            <v>23196.100000000002</v>
          </cell>
        </row>
        <row r="122">
          <cell r="B122" t="str">
            <v>철근운반</v>
          </cell>
          <cell r="C122" t="str">
            <v>10TON D/T, 30KM</v>
          </cell>
          <cell r="D122">
            <v>3.6999999999999998E-2</v>
          </cell>
          <cell r="E122" t="str">
            <v>TON</v>
          </cell>
          <cell r="F122">
            <v>0</v>
          </cell>
          <cell r="G122">
            <v>0</v>
          </cell>
          <cell r="H122">
            <v>2513</v>
          </cell>
          <cell r="I122">
            <v>92.9</v>
          </cell>
          <cell r="J122">
            <v>11750</v>
          </cell>
          <cell r="K122">
            <v>434.7</v>
          </cell>
          <cell r="L122">
            <v>14263</v>
          </cell>
          <cell r="M122">
            <v>527.6</v>
          </cell>
        </row>
        <row r="123">
          <cell r="B123" t="str">
            <v>몰     탈</v>
          </cell>
          <cell r="C123" t="str">
            <v>1:3</v>
          </cell>
          <cell r="D123">
            <v>0.126</v>
          </cell>
          <cell r="E123" t="str">
            <v>M3</v>
          </cell>
          <cell r="F123">
            <v>42996</v>
          </cell>
          <cell r="G123">
            <v>5417.4</v>
          </cell>
          <cell r="H123">
            <v>55599</v>
          </cell>
          <cell r="I123">
            <v>7005.4</v>
          </cell>
          <cell r="J123">
            <v>12417</v>
          </cell>
          <cell r="K123">
            <v>1564.5</v>
          </cell>
          <cell r="L123">
            <v>111012</v>
          </cell>
          <cell r="M123">
            <v>13987.3</v>
          </cell>
        </row>
        <row r="124">
          <cell r="B124" t="str">
            <v>벽돌쌓기</v>
          </cell>
          <cell r="C124" t="str">
            <v>표준형,0.5B쌓기,5000매미만</v>
          </cell>
          <cell r="D124">
            <v>135</v>
          </cell>
          <cell r="E124" t="str">
            <v>매</v>
          </cell>
          <cell r="F124">
            <v>21</v>
          </cell>
          <cell r="G124">
            <v>2835</v>
          </cell>
          <cell r="H124">
            <v>252</v>
          </cell>
          <cell r="I124">
            <v>34020</v>
          </cell>
          <cell r="J124">
            <v>6</v>
          </cell>
          <cell r="K124">
            <v>810</v>
          </cell>
          <cell r="L124">
            <v>279</v>
          </cell>
          <cell r="M124">
            <v>37665</v>
          </cell>
        </row>
        <row r="125">
          <cell r="B125" t="str">
            <v>벽돌바닥깔기</v>
          </cell>
          <cell r="C125" t="str">
            <v>표준형,모로세워깔기</v>
          </cell>
          <cell r="D125">
            <v>3.6</v>
          </cell>
          <cell r="E125" t="str">
            <v>m2</v>
          </cell>
          <cell r="F125">
            <v>3524</v>
          </cell>
          <cell r="G125">
            <v>12686.4</v>
          </cell>
          <cell r="H125">
            <v>23257</v>
          </cell>
          <cell r="I125">
            <v>83725.2</v>
          </cell>
          <cell r="J125">
            <v>1017</v>
          </cell>
          <cell r="K125">
            <v>3661.2</v>
          </cell>
          <cell r="L125">
            <v>27798</v>
          </cell>
          <cell r="M125">
            <v>100072.79999999999</v>
          </cell>
        </row>
        <row r="126">
          <cell r="B126" t="str">
            <v>점토벽돌</v>
          </cell>
          <cell r="C126" t="str">
            <v>190x90xT57,코너R</v>
          </cell>
          <cell r="D126">
            <v>176</v>
          </cell>
          <cell r="E126" t="str">
            <v>매</v>
          </cell>
          <cell r="F126">
            <v>560</v>
          </cell>
          <cell r="G126">
            <v>98560</v>
          </cell>
          <cell r="I126">
            <v>0</v>
          </cell>
          <cell r="K126">
            <v>0</v>
          </cell>
          <cell r="L126">
            <v>560</v>
          </cell>
          <cell r="M126">
            <v>98560</v>
          </cell>
        </row>
        <row r="127">
          <cell r="B127" t="str">
            <v>점토벽돌</v>
          </cell>
          <cell r="C127" t="str">
            <v>190x90xT57,적</v>
          </cell>
          <cell r="D127">
            <v>417</v>
          </cell>
          <cell r="E127" t="str">
            <v>매</v>
          </cell>
          <cell r="F127">
            <v>230</v>
          </cell>
          <cell r="G127">
            <v>95910</v>
          </cell>
          <cell r="I127">
            <v>0</v>
          </cell>
          <cell r="K127">
            <v>0</v>
          </cell>
          <cell r="L127">
            <v>230</v>
          </cell>
          <cell r="M127">
            <v>95910</v>
          </cell>
        </row>
        <row r="128">
          <cell r="B128" t="str">
            <v>고 철(고재처리)</v>
          </cell>
          <cell r="C128" t="str">
            <v>철재</v>
          </cell>
          <cell r="D128">
            <v>0.755</v>
          </cell>
          <cell r="E128" t="str">
            <v>KG</v>
          </cell>
          <cell r="F128">
            <v>-160</v>
          </cell>
          <cell r="G128">
            <v>-120.8</v>
          </cell>
          <cell r="I128">
            <v>0</v>
          </cell>
          <cell r="K128">
            <v>0</v>
          </cell>
          <cell r="L128">
            <v>-160</v>
          </cell>
          <cell r="M128">
            <v>-120.8</v>
          </cell>
        </row>
        <row r="129">
          <cell r="B129" t="str">
            <v>소  계</v>
          </cell>
          <cell r="G129">
            <v>301588</v>
          </cell>
          <cell r="I129">
            <v>319242</v>
          </cell>
          <cell r="K129">
            <v>7698</v>
          </cell>
          <cell r="M129">
            <v>628528</v>
          </cell>
        </row>
        <row r="131">
          <cell r="B131">
            <v>32</v>
          </cell>
          <cell r="C131" t="str">
            <v>스탠드날개벽</v>
          </cell>
          <cell r="F131">
            <v>0</v>
          </cell>
          <cell r="G131" t="str">
            <v xml:space="preserve"> </v>
          </cell>
          <cell r="H131">
            <v>0</v>
          </cell>
          <cell r="I131" t="str">
            <v xml:space="preserve"> </v>
          </cell>
          <cell r="K131" t="str">
            <v xml:space="preserve"> </v>
          </cell>
          <cell r="M131" t="str">
            <v>개소당</v>
          </cell>
        </row>
        <row r="132">
          <cell r="B132" t="str">
            <v>터파기(인력)</v>
          </cell>
          <cell r="C132" t="str">
            <v>보통토사,0~1m,협소/독립</v>
          </cell>
          <cell r="D132">
            <v>2.0790000000000002</v>
          </cell>
          <cell r="E132" t="str">
            <v>M3</v>
          </cell>
          <cell r="F132">
            <v>0</v>
          </cell>
          <cell r="G132">
            <v>0</v>
          </cell>
          <cell r="H132">
            <v>10474</v>
          </cell>
          <cell r="I132">
            <v>21775.4</v>
          </cell>
          <cell r="J132">
            <v>0</v>
          </cell>
          <cell r="K132">
            <v>0</v>
          </cell>
          <cell r="L132">
            <v>10474</v>
          </cell>
          <cell r="M132">
            <v>21775.4</v>
          </cell>
        </row>
        <row r="133">
          <cell r="B133" t="str">
            <v>잔토처리(인력)</v>
          </cell>
          <cell r="C133" t="str">
            <v>현장내</v>
          </cell>
          <cell r="D133">
            <v>1.173</v>
          </cell>
          <cell r="E133" t="str">
            <v>M3</v>
          </cell>
          <cell r="F133">
            <v>0</v>
          </cell>
          <cell r="G133">
            <v>0</v>
          </cell>
          <cell r="H133">
            <v>10474</v>
          </cell>
          <cell r="I133">
            <v>12286</v>
          </cell>
          <cell r="J133">
            <v>0</v>
          </cell>
          <cell r="K133">
            <v>0</v>
          </cell>
          <cell r="L133">
            <v>10474</v>
          </cell>
          <cell r="M133">
            <v>12286</v>
          </cell>
        </row>
        <row r="134">
          <cell r="B134" t="str">
            <v>되메우기및다짐</v>
          </cell>
          <cell r="C134" t="str">
            <v>인력</v>
          </cell>
          <cell r="D134">
            <v>0.90600000000000003</v>
          </cell>
          <cell r="E134" t="str">
            <v>M3</v>
          </cell>
          <cell r="F134">
            <v>0</v>
          </cell>
          <cell r="G134">
            <v>0</v>
          </cell>
          <cell r="H134">
            <v>10997</v>
          </cell>
          <cell r="I134">
            <v>9963.2000000000007</v>
          </cell>
          <cell r="J134">
            <v>0</v>
          </cell>
          <cell r="K134">
            <v>0</v>
          </cell>
          <cell r="L134">
            <v>10997</v>
          </cell>
          <cell r="M134">
            <v>9963.2000000000007</v>
          </cell>
        </row>
        <row r="135">
          <cell r="B135" t="str">
            <v>잡석다짐</v>
          </cell>
          <cell r="C135" t="str">
            <v>인력</v>
          </cell>
          <cell r="D135">
            <v>0.45</v>
          </cell>
          <cell r="E135" t="str">
            <v>M3</v>
          </cell>
          <cell r="F135">
            <v>12480</v>
          </cell>
          <cell r="G135">
            <v>5616</v>
          </cell>
          <cell r="H135">
            <v>57607</v>
          </cell>
          <cell r="I135">
            <v>25923.1</v>
          </cell>
          <cell r="J135">
            <v>1152</v>
          </cell>
          <cell r="K135">
            <v>518.4</v>
          </cell>
          <cell r="L135">
            <v>71239</v>
          </cell>
          <cell r="M135">
            <v>32057.5</v>
          </cell>
        </row>
        <row r="136">
          <cell r="B136" t="str">
            <v>합판거푸집(6회)</v>
          </cell>
          <cell r="C136" t="str">
            <v>소형구조물</v>
          </cell>
          <cell r="D136">
            <v>2.88</v>
          </cell>
          <cell r="E136" t="str">
            <v>M2</v>
          </cell>
          <cell r="F136">
            <v>4042</v>
          </cell>
          <cell r="G136">
            <v>11640.9</v>
          </cell>
          <cell r="H136">
            <v>16957</v>
          </cell>
          <cell r="I136">
            <v>48836.1</v>
          </cell>
          <cell r="J136">
            <v>0</v>
          </cell>
          <cell r="K136">
            <v>0</v>
          </cell>
          <cell r="L136">
            <v>20999</v>
          </cell>
          <cell r="M136">
            <v>60477</v>
          </cell>
        </row>
        <row r="137">
          <cell r="B137" t="str">
            <v>레 미 콘</v>
          </cell>
          <cell r="C137" t="str">
            <v>25-180- 8</v>
          </cell>
          <cell r="D137">
            <v>0.112</v>
          </cell>
          <cell r="E137" t="str">
            <v>M3</v>
          </cell>
          <cell r="F137">
            <v>47860</v>
          </cell>
          <cell r="G137">
            <v>5360.3</v>
          </cell>
          <cell r="I137">
            <v>0</v>
          </cell>
          <cell r="K137">
            <v>0</v>
          </cell>
          <cell r="L137">
            <v>47860</v>
          </cell>
          <cell r="M137">
            <v>5360.3</v>
          </cell>
        </row>
        <row r="138">
          <cell r="B138" t="str">
            <v>레 미 콘</v>
          </cell>
          <cell r="C138" t="str">
            <v>25-210- 8</v>
          </cell>
          <cell r="D138">
            <v>0.46700000000000003</v>
          </cell>
          <cell r="E138" t="str">
            <v>M3</v>
          </cell>
          <cell r="F138">
            <v>51430</v>
          </cell>
          <cell r="G138">
            <v>24017.8</v>
          </cell>
          <cell r="I138">
            <v>0</v>
          </cell>
          <cell r="K138">
            <v>0</v>
          </cell>
          <cell r="L138">
            <v>51430</v>
          </cell>
          <cell r="M138">
            <v>24017.8</v>
          </cell>
        </row>
        <row r="139">
          <cell r="B139" t="str">
            <v>레미콘타설</v>
          </cell>
          <cell r="C139" t="str">
            <v>소형</v>
          </cell>
          <cell r="D139">
            <v>0.57899999999999996</v>
          </cell>
          <cell r="E139" t="str">
            <v>M3</v>
          </cell>
          <cell r="F139">
            <v>0</v>
          </cell>
          <cell r="G139">
            <v>0</v>
          </cell>
          <cell r="H139">
            <v>43151</v>
          </cell>
          <cell r="I139">
            <v>24984.400000000001</v>
          </cell>
          <cell r="J139">
            <v>0</v>
          </cell>
          <cell r="K139">
            <v>0</v>
          </cell>
          <cell r="L139">
            <v>43151</v>
          </cell>
          <cell r="M139">
            <v>24984.400000000001</v>
          </cell>
        </row>
        <row r="140">
          <cell r="B140" t="str">
            <v>이형철근</v>
          </cell>
          <cell r="C140" t="str">
            <v>D13</v>
          </cell>
          <cell r="D140">
            <v>40.500999999999998</v>
          </cell>
          <cell r="E140" t="str">
            <v>kg</v>
          </cell>
          <cell r="F140">
            <v>302</v>
          </cell>
          <cell r="G140">
            <v>12231.3</v>
          </cell>
          <cell r="I140">
            <v>0</v>
          </cell>
          <cell r="K140">
            <v>0</v>
          </cell>
          <cell r="L140">
            <v>302</v>
          </cell>
          <cell r="M140">
            <v>12231.3</v>
          </cell>
        </row>
        <row r="141">
          <cell r="B141" t="str">
            <v>철근가공및조립</v>
          </cell>
          <cell r="C141" t="str">
            <v>간단,소형</v>
          </cell>
          <cell r="D141">
            <v>39.322000000000003</v>
          </cell>
          <cell r="E141" t="str">
            <v>kg</v>
          </cell>
          <cell r="F141">
            <v>3</v>
          </cell>
          <cell r="G141">
            <v>117.9</v>
          </cell>
          <cell r="H141">
            <v>628</v>
          </cell>
          <cell r="I141">
            <v>24694.2</v>
          </cell>
          <cell r="J141">
            <v>13</v>
          </cell>
          <cell r="K141">
            <v>511.1</v>
          </cell>
          <cell r="L141">
            <v>644</v>
          </cell>
          <cell r="M141">
            <v>25323.200000000001</v>
          </cell>
        </row>
        <row r="142">
          <cell r="B142" t="str">
            <v>철근운반</v>
          </cell>
          <cell r="C142" t="str">
            <v>10TON D/T, 30KM</v>
          </cell>
          <cell r="D142">
            <v>4.1000000000000002E-2</v>
          </cell>
          <cell r="E142" t="str">
            <v>TON</v>
          </cell>
          <cell r="F142">
            <v>0</v>
          </cell>
          <cell r="G142">
            <v>0</v>
          </cell>
          <cell r="H142">
            <v>2513</v>
          </cell>
          <cell r="I142">
            <v>103</v>
          </cell>
          <cell r="J142">
            <v>11750</v>
          </cell>
          <cell r="K142">
            <v>481.7</v>
          </cell>
          <cell r="L142">
            <v>14263</v>
          </cell>
          <cell r="M142">
            <v>584.70000000000005</v>
          </cell>
        </row>
        <row r="143">
          <cell r="B143" t="str">
            <v>몰     탈</v>
          </cell>
          <cell r="C143" t="str">
            <v>1:3</v>
          </cell>
          <cell r="D143">
            <v>6.4000000000000001E-2</v>
          </cell>
          <cell r="E143" t="str">
            <v>M3</v>
          </cell>
          <cell r="F143">
            <v>42996</v>
          </cell>
          <cell r="G143">
            <v>2751.7</v>
          </cell>
          <cell r="H143">
            <v>55599</v>
          </cell>
          <cell r="I143">
            <v>3558.3</v>
          </cell>
          <cell r="J143">
            <v>12417</v>
          </cell>
          <cell r="K143">
            <v>794.6</v>
          </cell>
          <cell r="L143">
            <v>111012</v>
          </cell>
          <cell r="M143">
            <v>7104.6</v>
          </cell>
        </row>
        <row r="144">
          <cell r="B144" t="str">
            <v>벽돌쌓기</v>
          </cell>
          <cell r="C144" t="str">
            <v>표준형,0.5B쌓기,5000매미만</v>
          </cell>
          <cell r="D144">
            <v>137</v>
          </cell>
          <cell r="E144" t="str">
            <v>매</v>
          </cell>
          <cell r="F144">
            <v>21</v>
          </cell>
          <cell r="G144">
            <v>2877</v>
          </cell>
          <cell r="H144">
            <v>252</v>
          </cell>
          <cell r="I144">
            <v>34524</v>
          </cell>
          <cell r="J144">
            <v>6</v>
          </cell>
          <cell r="K144">
            <v>822</v>
          </cell>
          <cell r="L144">
            <v>279</v>
          </cell>
          <cell r="M144">
            <v>38223</v>
          </cell>
        </row>
        <row r="145">
          <cell r="B145" t="str">
            <v>벽돌바닥깔기</v>
          </cell>
          <cell r="C145" t="str">
            <v>표준형,모로세워깔기</v>
          </cell>
          <cell r="D145">
            <v>1.1499999999999999</v>
          </cell>
          <cell r="E145" t="str">
            <v>m2</v>
          </cell>
          <cell r="F145">
            <v>3524</v>
          </cell>
          <cell r="G145">
            <v>4052.6</v>
          </cell>
          <cell r="H145">
            <v>23257</v>
          </cell>
          <cell r="I145">
            <v>26745.5</v>
          </cell>
          <cell r="J145">
            <v>1017</v>
          </cell>
          <cell r="K145">
            <v>1169.5</v>
          </cell>
          <cell r="L145">
            <v>27798</v>
          </cell>
          <cell r="M145">
            <v>31967.599999999999</v>
          </cell>
        </row>
        <row r="146">
          <cell r="B146" t="str">
            <v>점토벽돌</v>
          </cell>
          <cell r="C146" t="str">
            <v>190x90xT57,코너R</v>
          </cell>
          <cell r="D146">
            <v>77</v>
          </cell>
          <cell r="E146" t="str">
            <v>매</v>
          </cell>
          <cell r="F146">
            <v>560</v>
          </cell>
          <cell r="G146">
            <v>43120</v>
          </cell>
          <cell r="I146">
            <v>0</v>
          </cell>
          <cell r="K146">
            <v>0</v>
          </cell>
          <cell r="L146">
            <v>560</v>
          </cell>
          <cell r="M146">
            <v>43120</v>
          </cell>
        </row>
        <row r="147">
          <cell r="B147" t="str">
            <v>점토벽돌</v>
          </cell>
          <cell r="C147" t="str">
            <v>190x90xT57,적</v>
          </cell>
          <cell r="D147">
            <v>84</v>
          </cell>
          <cell r="E147" t="str">
            <v>매</v>
          </cell>
          <cell r="F147">
            <v>230</v>
          </cell>
          <cell r="G147">
            <v>19320</v>
          </cell>
          <cell r="I147">
            <v>0</v>
          </cell>
          <cell r="K147">
            <v>0</v>
          </cell>
          <cell r="L147">
            <v>230</v>
          </cell>
          <cell r="M147">
            <v>19320</v>
          </cell>
        </row>
        <row r="148">
          <cell r="B148" t="str">
            <v>시멘트벽돌</v>
          </cell>
          <cell r="C148" t="str">
            <v>190x90xT57</v>
          </cell>
          <cell r="D148">
            <v>67</v>
          </cell>
          <cell r="E148" t="str">
            <v>매</v>
          </cell>
          <cell r="F148">
            <v>45</v>
          </cell>
          <cell r="G148">
            <v>3015</v>
          </cell>
          <cell r="I148">
            <v>0</v>
          </cell>
          <cell r="K148">
            <v>0</v>
          </cell>
          <cell r="L148">
            <v>45</v>
          </cell>
          <cell r="M148">
            <v>3015</v>
          </cell>
        </row>
        <row r="149">
          <cell r="B149" t="str">
            <v>고 철(고재처리)</v>
          </cell>
          <cell r="C149" t="str">
            <v>철재</v>
          </cell>
          <cell r="D149">
            <v>0.82499999999999996</v>
          </cell>
          <cell r="E149" t="str">
            <v>KG</v>
          </cell>
          <cell r="F149">
            <v>-160</v>
          </cell>
          <cell r="G149">
            <v>-132</v>
          </cell>
          <cell r="I149">
            <v>0</v>
          </cell>
          <cell r="K149">
            <v>0</v>
          </cell>
          <cell r="L149">
            <v>-160</v>
          </cell>
          <cell r="M149">
            <v>-132</v>
          </cell>
        </row>
        <row r="150">
          <cell r="B150" t="str">
            <v>소  계</v>
          </cell>
          <cell r="G150">
            <v>133988</v>
          </cell>
          <cell r="I150">
            <v>233393</v>
          </cell>
          <cell r="K150">
            <v>4297</v>
          </cell>
          <cell r="M150">
            <v>371678</v>
          </cell>
        </row>
        <row r="152">
          <cell r="B152">
            <v>33</v>
          </cell>
          <cell r="C152" t="str">
            <v>자연석쌓기</v>
          </cell>
          <cell r="E152" t="str">
            <v>20ton이상</v>
          </cell>
          <cell r="G152" t="str">
            <v xml:space="preserve"> </v>
          </cell>
          <cell r="I152" t="str">
            <v xml:space="preserve"> </v>
          </cell>
          <cell r="K152" t="str">
            <v xml:space="preserve"> </v>
          </cell>
          <cell r="M152" t="str">
            <v>m당</v>
          </cell>
        </row>
        <row r="153">
          <cell r="B153" t="str">
            <v>자연석</v>
          </cell>
          <cell r="C153" t="str">
            <v>500x600x700</v>
          </cell>
          <cell r="D153">
            <v>1.9219999999999999</v>
          </cell>
          <cell r="E153" t="str">
            <v>ton</v>
          </cell>
          <cell r="F153">
            <v>42000</v>
          </cell>
          <cell r="G153">
            <v>80724</v>
          </cell>
          <cell r="I153">
            <v>0</v>
          </cell>
          <cell r="K153">
            <v>0</v>
          </cell>
          <cell r="L153">
            <v>42000</v>
          </cell>
          <cell r="M153">
            <v>80724</v>
          </cell>
        </row>
        <row r="154">
          <cell r="B154" t="str">
            <v>조경공</v>
          </cell>
          <cell r="D154">
            <v>1.998</v>
          </cell>
          <cell r="E154" t="str">
            <v>인</v>
          </cell>
          <cell r="G154">
            <v>0</v>
          </cell>
          <cell r="H154">
            <v>74900</v>
          </cell>
          <cell r="I154">
            <v>149650.20000000001</v>
          </cell>
          <cell r="K154">
            <v>0</v>
          </cell>
          <cell r="L154">
            <v>74900</v>
          </cell>
          <cell r="M154">
            <v>149650.20000000001</v>
          </cell>
        </row>
        <row r="155">
          <cell r="B155" t="str">
            <v>백호</v>
          </cell>
          <cell r="C155" t="str">
            <v>0.7㎥</v>
          </cell>
          <cell r="D155">
            <v>1.3140000000000001</v>
          </cell>
          <cell r="E155" t="str">
            <v>HR</v>
          </cell>
          <cell r="F155">
            <v>9477</v>
          </cell>
          <cell r="G155">
            <v>12452.7</v>
          </cell>
          <cell r="H155">
            <v>24960</v>
          </cell>
          <cell r="I155">
            <v>32797.4</v>
          </cell>
          <cell r="J155">
            <v>16654</v>
          </cell>
          <cell r="K155">
            <v>21883.3</v>
          </cell>
          <cell r="L155">
            <v>51091</v>
          </cell>
          <cell r="M155">
            <v>67133.400000000009</v>
          </cell>
        </row>
        <row r="156">
          <cell r="B156" t="str">
            <v>산 철 쭉 식재</v>
          </cell>
          <cell r="C156" t="str">
            <v>H0.3 x W0.3</v>
          </cell>
          <cell r="D156">
            <v>2</v>
          </cell>
          <cell r="E156" t="str">
            <v>주</v>
          </cell>
          <cell r="F156">
            <v>1345</v>
          </cell>
          <cell r="G156">
            <v>2690</v>
          </cell>
          <cell r="H156">
            <v>1340</v>
          </cell>
          <cell r="I156">
            <v>2680</v>
          </cell>
          <cell r="J156">
            <v>0</v>
          </cell>
          <cell r="K156">
            <v>0</v>
          </cell>
          <cell r="L156">
            <v>2685</v>
          </cell>
          <cell r="M156">
            <v>5370</v>
          </cell>
        </row>
        <row r="157">
          <cell r="B157" t="str">
            <v>회 양 목 식재</v>
          </cell>
          <cell r="C157" t="str">
            <v>H0.3 x W0.3</v>
          </cell>
          <cell r="D157">
            <v>1</v>
          </cell>
          <cell r="E157" t="str">
            <v>주</v>
          </cell>
          <cell r="F157">
            <v>2975</v>
          </cell>
          <cell r="G157">
            <v>2975</v>
          </cell>
          <cell r="H157">
            <v>1340</v>
          </cell>
          <cell r="I157">
            <v>1340</v>
          </cell>
          <cell r="J157">
            <v>0</v>
          </cell>
          <cell r="K157">
            <v>0</v>
          </cell>
          <cell r="L157">
            <v>4315</v>
          </cell>
          <cell r="M157">
            <v>4315</v>
          </cell>
        </row>
        <row r="158">
          <cell r="B158" t="str">
            <v>소  계</v>
          </cell>
          <cell r="G158">
            <v>98841</v>
          </cell>
          <cell r="I158">
            <v>186467</v>
          </cell>
          <cell r="K158">
            <v>21883</v>
          </cell>
          <cell r="M158">
            <v>307191</v>
          </cell>
        </row>
        <row r="160">
          <cell r="B160">
            <v>34</v>
          </cell>
          <cell r="C160" t="str">
            <v>휀스</v>
          </cell>
          <cell r="E160" t="str">
            <v>H600xL2.0m</v>
          </cell>
          <cell r="G160" t="str">
            <v xml:space="preserve"> </v>
          </cell>
          <cell r="I160" t="str">
            <v xml:space="preserve"> </v>
          </cell>
          <cell r="K160" t="str">
            <v xml:space="preserve"> </v>
          </cell>
          <cell r="M160" t="str">
            <v>m당</v>
          </cell>
        </row>
        <row r="161">
          <cell r="B161" t="str">
            <v>터파기(인력)</v>
          </cell>
          <cell r="C161" t="str">
            <v>보통토사,0~1m,협소/독립</v>
          </cell>
          <cell r="D161">
            <v>0.105</v>
          </cell>
          <cell r="E161" t="str">
            <v>M3</v>
          </cell>
          <cell r="F161">
            <v>0</v>
          </cell>
          <cell r="G161">
            <v>0</v>
          </cell>
          <cell r="H161">
            <v>10474</v>
          </cell>
          <cell r="I161">
            <v>1099.7</v>
          </cell>
          <cell r="J161">
            <v>0</v>
          </cell>
          <cell r="K161">
            <v>0</v>
          </cell>
          <cell r="L161">
            <v>10474</v>
          </cell>
          <cell r="M161">
            <v>1099.7</v>
          </cell>
        </row>
        <row r="162">
          <cell r="B162" t="str">
            <v>잔토처리(인력)</v>
          </cell>
          <cell r="C162" t="str">
            <v>현장내</v>
          </cell>
          <cell r="D162">
            <v>1.4999999999999999E-2</v>
          </cell>
          <cell r="E162" t="str">
            <v>M3</v>
          </cell>
          <cell r="F162">
            <v>0</v>
          </cell>
          <cell r="G162">
            <v>0</v>
          </cell>
          <cell r="H162">
            <v>10474</v>
          </cell>
          <cell r="I162">
            <v>157.1</v>
          </cell>
          <cell r="J162">
            <v>0</v>
          </cell>
          <cell r="K162">
            <v>0</v>
          </cell>
          <cell r="L162">
            <v>10474</v>
          </cell>
          <cell r="M162">
            <v>157.1</v>
          </cell>
        </row>
        <row r="163">
          <cell r="B163" t="str">
            <v>되메우기및다짐</v>
          </cell>
          <cell r="C163" t="str">
            <v>인력</v>
          </cell>
          <cell r="D163">
            <v>0.09</v>
          </cell>
          <cell r="E163" t="str">
            <v>M3</v>
          </cell>
          <cell r="F163">
            <v>0</v>
          </cell>
          <cell r="G163">
            <v>0</v>
          </cell>
          <cell r="H163">
            <v>10997</v>
          </cell>
          <cell r="I163">
            <v>989.7</v>
          </cell>
          <cell r="J163">
            <v>0</v>
          </cell>
          <cell r="K163">
            <v>0</v>
          </cell>
          <cell r="L163">
            <v>10997</v>
          </cell>
          <cell r="M163">
            <v>989.7</v>
          </cell>
        </row>
        <row r="164">
          <cell r="B164" t="str">
            <v>합판거푸집(6회)</v>
          </cell>
          <cell r="C164" t="str">
            <v>소형구조물</v>
          </cell>
          <cell r="D164">
            <v>0.25</v>
          </cell>
          <cell r="E164" t="str">
            <v>M2</v>
          </cell>
          <cell r="F164">
            <v>4042</v>
          </cell>
          <cell r="G164">
            <v>1010.5</v>
          </cell>
          <cell r="H164">
            <v>16957</v>
          </cell>
          <cell r="I164">
            <v>4239.2</v>
          </cell>
          <cell r="J164">
            <v>0</v>
          </cell>
          <cell r="K164">
            <v>0</v>
          </cell>
          <cell r="L164">
            <v>20999</v>
          </cell>
          <cell r="M164">
            <v>5249.7</v>
          </cell>
        </row>
        <row r="165">
          <cell r="B165" t="str">
            <v>레 미 콘</v>
          </cell>
          <cell r="C165" t="str">
            <v>25-180- 8</v>
          </cell>
          <cell r="D165">
            <v>1.4999999999999999E-2</v>
          </cell>
          <cell r="E165" t="str">
            <v>M3</v>
          </cell>
          <cell r="F165">
            <v>47860</v>
          </cell>
          <cell r="G165">
            <v>717.9</v>
          </cell>
          <cell r="I165">
            <v>0</v>
          </cell>
          <cell r="K165">
            <v>0</v>
          </cell>
          <cell r="L165">
            <v>47860</v>
          </cell>
          <cell r="M165">
            <v>717.9</v>
          </cell>
        </row>
        <row r="166">
          <cell r="B166" t="str">
            <v>레미콘타설</v>
          </cell>
          <cell r="C166" t="str">
            <v>소형</v>
          </cell>
          <cell r="D166">
            <v>1.4999999999999999E-2</v>
          </cell>
          <cell r="E166" t="str">
            <v>M3</v>
          </cell>
          <cell r="F166">
            <v>0</v>
          </cell>
          <cell r="G166">
            <v>0</v>
          </cell>
          <cell r="H166">
            <v>43151</v>
          </cell>
          <cell r="I166">
            <v>647.20000000000005</v>
          </cell>
          <cell r="J166">
            <v>0</v>
          </cell>
          <cell r="K166">
            <v>0</v>
          </cell>
          <cell r="L166">
            <v>43151</v>
          </cell>
          <cell r="M166">
            <v>647.20000000000005</v>
          </cell>
        </row>
        <row r="167">
          <cell r="B167" t="str">
            <v>휀스</v>
          </cell>
          <cell r="C167" t="str">
            <v>H600x2m/경간</v>
          </cell>
          <cell r="D167">
            <v>1</v>
          </cell>
          <cell r="E167" t="str">
            <v>m</v>
          </cell>
          <cell r="F167">
            <v>122800</v>
          </cell>
          <cell r="G167">
            <v>122800</v>
          </cell>
          <cell r="I167">
            <v>0</v>
          </cell>
          <cell r="K167">
            <v>0</v>
          </cell>
          <cell r="L167">
            <v>122800</v>
          </cell>
          <cell r="M167">
            <v>122800</v>
          </cell>
        </row>
        <row r="168">
          <cell r="B168" t="str">
            <v>특별인부</v>
          </cell>
          <cell r="C168" t="str">
            <v>휀스설치</v>
          </cell>
          <cell r="D168">
            <v>0.115</v>
          </cell>
          <cell r="E168" t="str">
            <v>인</v>
          </cell>
          <cell r="G168">
            <v>0</v>
          </cell>
          <cell r="H168">
            <v>66050</v>
          </cell>
          <cell r="I168">
            <v>7595.7</v>
          </cell>
          <cell r="K168">
            <v>0</v>
          </cell>
          <cell r="L168">
            <v>66050</v>
          </cell>
          <cell r="M168">
            <v>7595.7</v>
          </cell>
        </row>
        <row r="169">
          <cell r="B169" t="str">
            <v>보통인부</v>
          </cell>
          <cell r="C169" t="str">
            <v>"</v>
          </cell>
          <cell r="D169">
            <v>0.11</v>
          </cell>
          <cell r="E169" t="str">
            <v>인</v>
          </cell>
          <cell r="G169">
            <v>0</v>
          </cell>
          <cell r="H169">
            <v>52370</v>
          </cell>
          <cell r="I169">
            <v>5760.7</v>
          </cell>
          <cell r="K169">
            <v>0</v>
          </cell>
          <cell r="L169">
            <v>52370</v>
          </cell>
          <cell r="M169">
            <v>5760.7</v>
          </cell>
        </row>
        <row r="170">
          <cell r="B170" t="str">
            <v>소  계</v>
          </cell>
          <cell r="G170">
            <v>124528</v>
          </cell>
          <cell r="I170">
            <v>20489</v>
          </cell>
          <cell r="K170">
            <v>0</v>
          </cell>
          <cell r="M170">
            <v>145017</v>
          </cell>
        </row>
        <row r="172">
          <cell r="B172">
            <v>35</v>
          </cell>
          <cell r="C172" t="str">
            <v>집수정</v>
          </cell>
          <cell r="E172" t="str">
            <v>800x800xH1000</v>
          </cell>
          <cell r="G172" t="str">
            <v xml:space="preserve"> </v>
          </cell>
          <cell r="I172" t="str">
            <v xml:space="preserve"> </v>
          </cell>
          <cell r="K172" t="str">
            <v xml:space="preserve"> </v>
          </cell>
          <cell r="M172" t="str">
            <v>개소당</v>
          </cell>
        </row>
        <row r="173">
          <cell r="B173" t="str">
            <v>기계터파기</v>
          </cell>
          <cell r="C173" t="str">
            <v>BH0.7(90%)+인력(10%)</v>
          </cell>
          <cell r="D173">
            <v>1.9430000000000001</v>
          </cell>
          <cell r="E173" t="str">
            <v>M3</v>
          </cell>
          <cell r="F173">
            <v>137.41071428571428</v>
          </cell>
          <cell r="G173">
            <v>266.89999999999998</v>
          </cell>
          <cell r="H173">
            <v>1408.9047619047619</v>
          </cell>
          <cell r="I173">
            <v>2737.5</v>
          </cell>
          <cell r="J173">
            <v>241.47283272283272</v>
          </cell>
          <cell r="K173">
            <v>469.1</v>
          </cell>
          <cell r="L173">
            <v>1787.7883089133088</v>
          </cell>
          <cell r="M173">
            <v>3473.5</v>
          </cell>
        </row>
        <row r="174">
          <cell r="B174" t="str">
            <v>기계잔토처리</v>
          </cell>
          <cell r="C174" t="str">
            <v>BH0.7(90%)+인력(10%)</v>
          </cell>
          <cell r="D174">
            <v>0.84399999999999997</v>
          </cell>
          <cell r="E174" t="str">
            <v>M3</v>
          </cell>
          <cell r="F174">
            <v>127.59566326530614</v>
          </cell>
          <cell r="G174">
            <v>107.6</v>
          </cell>
          <cell r="H174">
            <v>1383.0544217687075</v>
          </cell>
          <cell r="I174">
            <v>1167.2</v>
          </cell>
          <cell r="J174">
            <v>224.22477324263042</v>
          </cell>
          <cell r="K174">
            <v>189.2</v>
          </cell>
          <cell r="L174">
            <v>1734.8748582766439</v>
          </cell>
          <cell r="M174">
            <v>1464</v>
          </cell>
        </row>
        <row r="175">
          <cell r="B175" t="str">
            <v>기계되메우고다짐</v>
          </cell>
          <cell r="C175" t="str">
            <v>BH0.7(90%)+인력(10%)</v>
          </cell>
          <cell r="D175">
            <v>1.099</v>
          </cell>
          <cell r="E175" t="str">
            <v>M3</v>
          </cell>
          <cell r="F175">
            <v>141.77295918367349</v>
          </cell>
          <cell r="G175">
            <v>155.80000000000001</v>
          </cell>
          <cell r="H175">
            <v>1472</v>
          </cell>
          <cell r="I175">
            <v>1617.7</v>
          </cell>
          <cell r="J175">
            <v>249</v>
          </cell>
          <cell r="K175">
            <v>273.60000000000002</v>
          </cell>
          <cell r="L175">
            <v>1862.7729591836735</v>
          </cell>
          <cell r="M175">
            <v>2047.1</v>
          </cell>
        </row>
        <row r="176">
          <cell r="B176" t="str">
            <v>사각맨홀</v>
          </cell>
          <cell r="C176" t="str">
            <v>800x800x1000</v>
          </cell>
          <cell r="D176">
            <v>1</v>
          </cell>
          <cell r="E176" t="str">
            <v>조</v>
          </cell>
          <cell r="F176">
            <v>110000</v>
          </cell>
          <cell r="G176">
            <v>110000</v>
          </cell>
          <cell r="I176">
            <v>0</v>
          </cell>
          <cell r="K176">
            <v>0</v>
          </cell>
          <cell r="L176">
            <v>110000</v>
          </cell>
          <cell r="M176">
            <v>110000</v>
          </cell>
        </row>
        <row r="177">
          <cell r="B177" t="str">
            <v>배관공</v>
          </cell>
          <cell r="C177" t="str">
            <v>휀스설치</v>
          </cell>
          <cell r="D177">
            <v>0.4</v>
          </cell>
          <cell r="E177" t="str">
            <v>인</v>
          </cell>
          <cell r="G177">
            <v>0</v>
          </cell>
          <cell r="H177">
            <v>73500</v>
          </cell>
          <cell r="I177">
            <v>29400</v>
          </cell>
          <cell r="K177">
            <v>0</v>
          </cell>
          <cell r="L177">
            <v>73500</v>
          </cell>
          <cell r="M177">
            <v>29400</v>
          </cell>
        </row>
        <row r="178">
          <cell r="B178" t="str">
            <v>보통인부</v>
          </cell>
          <cell r="C178" t="str">
            <v>"</v>
          </cell>
          <cell r="D178">
            <v>1.03</v>
          </cell>
          <cell r="E178" t="str">
            <v>인</v>
          </cell>
          <cell r="G178">
            <v>0</v>
          </cell>
          <cell r="H178">
            <v>52370</v>
          </cell>
          <cell r="I178">
            <v>53941.1</v>
          </cell>
          <cell r="K178">
            <v>0</v>
          </cell>
          <cell r="L178">
            <v>52370</v>
          </cell>
          <cell r="M178">
            <v>53941.1</v>
          </cell>
        </row>
        <row r="179">
          <cell r="B179" t="str">
            <v>크레인트럭</v>
          </cell>
          <cell r="C179" t="str">
            <v>10TON</v>
          </cell>
          <cell r="D179">
            <v>0.57999999999999996</v>
          </cell>
          <cell r="E179" t="str">
            <v>HR</v>
          </cell>
          <cell r="F179">
            <v>4783.1000000000004</v>
          </cell>
          <cell r="G179">
            <v>2774.1</v>
          </cell>
          <cell r="H179">
            <v>30114.400000000001</v>
          </cell>
          <cell r="I179">
            <v>17466.3</v>
          </cell>
          <cell r="J179">
            <v>21210</v>
          </cell>
          <cell r="K179">
            <v>12301.8</v>
          </cell>
          <cell r="L179">
            <v>56107.5</v>
          </cell>
          <cell r="M179">
            <v>32542.199999999997</v>
          </cell>
        </row>
        <row r="180">
          <cell r="B180" t="str">
            <v>소  계</v>
          </cell>
          <cell r="G180">
            <v>113304</v>
          </cell>
          <cell r="I180">
            <v>106329</v>
          </cell>
          <cell r="K180">
            <v>13233</v>
          </cell>
          <cell r="M180">
            <v>232866</v>
          </cell>
        </row>
        <row r="182">
          <cell r="B182">
            <v>36</v>
          </cell>
          <cell r="C182" t="str">
            <v>빗물받이</v>
          </cell>
          <cell r="E182" t="str">
            <v>PE제품</v>
          </cell>
          <cell r="G182" t="str">
            <v xml:space="preserve"> </v>
          </cell>
          <cell r="I182" t="str">
            <v xml:space="preserve"> </v>
          </cell>
          <cell r="K182" t="str">
            <v xml:space="preserve"> </v>
          </cell>
          <cell r="M182" t="str">
            <v>개소당</v>
          </cell>
        </row>
        <row r="183">
          <cell r="B183" t="str">
            <v>터파기(인력)</v>
          </cell>
          <cell r="C183" t="str">
            <v>보통토사,0~1m,협소/독립</v>
          </cell>
          <cell r="D183">
            <v>0.77100000000000002</v>
          </cell>
          <cell r="E183" t="str">
            <v>M3</v>
          </cell>
          <cell r="F183">
            <v>0</v>
          </cell>
          <cell r="G183">
            <v>0</v>
          </cell>
          <cell r="H183">
            <v>10474</v>
          </cell>
          <cell r="I183">
            <v>8075.4</v>
          </cell>
          <cell r="J183">
            <v>0</v>
          </cell>
          <cell r="K183">
            <v>0</v>
          </cell>
          <cell r="L183">
            <v>10474</v>
          </cell>
          <cell r="M183">
            <v>8075.4</v>
          </cell>
        </row>
        <row r="184">
          <cell r="B184" t="str">
            <v>잔토처리(인력)</v>
          </cell>
          <cell r="C184" t="str">
            <v>현장내</v>
          </cell>
          <cell r="D184">
            <v>0.22700000000000001</v>
          </cell>
          <cell r="E184" t="str">
            <v>M3</v>
          </cell>
          <cell r="F184">
            <v>0</v>
          </cell>
          <cell r="G184">
            <v>0</v>
          </cell>
          <cell r="H184">
            <v>10474</v>
          </cell>
          <cell r="I184">
            <v>2377.5</v>
          </cell>
          <cell r="J184">
            <v>0</v>
          </cell>
          <cell r="K184">
            <v>0</v>
          </cell>
          <cell r="L184">
            <v>10474</v>
          </cell>
          <cell r="M184">
            <v>2377.5</v>
          </cell>
        </row>
        <row r="185">
          <cell r="B185" t="str">
            <v>되메우기및다짐</v>
          </cell>
          <cell r="C185" t="str">
            <v>인력</v>
          </cell>
          <cell r="D185">
            <v>0.54400000000000004</v>
          </cell>
          <cell r="E185" t="str">
            <v>M3</v>
          </cell>
          <cell r="F185">
            <v>0</v>
          </cell>
          <cell r="G185">
            <v>0</v>
          </cell>
          <cell r="H185">
            <v>10997</v>
          </cell>
          <cell r="I185">
            <v>5982.3</v>
          </cell>
          <cell r="J185">
            <v>0</v>
          </cell>
          <cell r="K185">
            <v>0</v>
          </cell>
          <cell r="L185">
            <v>10997</v>
          </cell>
          <cell r="M185">
            <v>5982.3</v>
          </cell>
        </row>
        <row r="186">
          <cell r="B186" t="str">
            <v>빗물받이</v>
          </cell>
          <cell r="C186" t="str">
            <v>PE, 430x530xH970</v>
          </cell>
          <cell r="D186">
            <v>1</v>
          </cell>
          <cell r="E186" t="str">
            <v>조</v>
          </cell>
          <cell r="F186">
            <v>33000</v>
          </cell>
          <cell r="G186">
            <v>33000</v>
          </cell>
          <cell r="I186">
            <v>0</v>
          </cell>
          <cell r="K186">
            <v>0</v>
          </cell>
          <cell r="L186">
            <v>33000</v>
          </cell>
          <cell r="M186">
            <v>33000</v>
          </cell>
        </row>
        <row r="187">
          <cell r="B187" t="str">
            <v>보통인부</v>
          </cell>
          <cell r="C187" t="str">
            <v>"</v>
          </cell>
          <cell r="D187">
            <v>0.2</v>
          </cell>
          <cell r="E187" t="str">
            <v>인</v>
          </cell>
          <cell r="G187">
            <v>0</v>
          </cell>
          <cell r="H187">
            <v>52370</v>
          </cell>
          <cell r="I187">
            <v>10474</v>
          </cell>
          <cell r="K187">
            <v>0</v>
          </cell>
          <cell r="L187">
            <v>52370</v>
          </cell>
          <cell r="M187">
            <v>10474</v>
          </cell>
        </row>
        <row r="188">
          <cell r="B188" t="str">
            <v>소  계</v>
          </cell>
          <cell r="G188">
            <v>33000</v>
          </cell>
          <cell r="I188">
            <v>26909</v>
          </cell>
          <cell r="K188">
            <v>0</v>
          </cell>
          <cell r="M188">
            <v>59909</v>
          </cell>
        </row>
        <row r="190">
          <cell r="B190">
            <v>37</v>
          </cell>
          <cell r="C190" t="str">
            <v>트렌치</v>
          </cell>
          <cell r="E190" t="str">
            <v>D250xL2.5m</v>
          </cell>
          <cell r="G190" t="str">
            <v xml:space="preserve"> </v>
          </cell>
          <cell r="H190">
            <v>0</v>
          </cell>
          <cell r="I190" t="str">
            <v xml:space="preserve"> </v>
          </cell>
          <cell r="K190" t="str">
            <v xml:space="preserve"> </v>
          </cell>
          <cell r="M190" t="str">
            <v>m당</v>
          </cell>
        </row>
        <row r="191">
          <cell r="B191" t="str">
            <v>기계터파기</v>
          </cell>
          <cell r="C191" t="str">
            <v>BH0.7(90%)+인력(10%)</v>
          </cell>
          <cell r="D191">
            <v>0.52400000000000002</v>
          </cell>
          <cell r="E191" t="str">
            <v>M3</v>
          </cell>
          <cell r="F191">
            <v>137.41071428571428</v>
          </cell>
          <cell r="G191">
            <v>72</v>
          </cell>
          <cell r="H191">
            <v>1408.9047619047619</v>
          </cell>
          <cell r="I191">
            <v>738.2</v>
          </cell>
          <cell r="J191">
            <v>241.47283272283272</v>
          </cell>
          <cell r="K191">
            <v>126.5</v>
          </cell>
          <cell r="L191">
            <v>1787.7883089133088</v>
          </cell>
          <cell r="M191">
            <v>936.7</v>
          </cell>
        </row>
        <row r="192">
          <cell r="B192" t="str">
            <v>기계잔토처리</v>
          </cell>
          <cell r="C192" t="str">
            <v>BH0.7(90%)+인력(10%)</v>
          </cell>
          <cell r="D192">
            <v>0.17599999999999999</v>
          </cell>
          <cell r="E192" t="str">
            <v>M3</v>
          </cell>
          <cell r="F192">
            <v>127.59566326530614</v>
          </cell>
          <cell r="G192">
            <v>22.4</v>
          </cell>
          <cell r="H192">
            <v>1383.0544217687075</v>
          </cell>
          <cell r="I192">
            <v>243.4</v>
          </cell>
          <cell r="J192">
            <v>224.22477324263042</v>
          </cell>
          <cell r="K192">
            <v>39.4</v>
          </cell>
          <cell r="L192">
            <v>1734.8748582766439</v>
          </cell>
          <cell r="M192">
            <v>305.2</v>
          </cell>
        </row>
        <row r="193">
          <cell r="B193" t="str">
            <v>기계되메우고다짐</v>
          </cell>
          <cell r="C193" t="str">
            <v>BH0.7(90%)+인력(10%)</v>
          </cell>
          <cell r="D193">
            <v>0.34799999999999998</v>
          </cell>
          <cell r="E193" t="str">
            <v>M3</v>
          </cell>
          <cell r="F193">
            <v>141.77295918367349</v>
          </cell>
          <cell r="G193">
            <v>49.3</v>
          </cell>
          <cell r="H193">
            <v>1472</v>
          </cell>
          <cell r="I193">
            <v>512.20000000000005</v>
          </cell>
          <cell r="J193">
            <v>249</v>
          </cell>
          <cell r="K193">
            <v>86.6</v>
          </cell>
          <cell r="L193">
            <v>1862.7729591836735</v>
          </cell>
          <cell r="M193">
            <v>648.1</v>
          </cell>
        </row>
        <row r="194">
          <cell r="B194" t="str">
            <v>합판거푸집(6회)</v>
          </cell>
          <cell r="C194" t="str">
            <v>소형구조물</v>
          </cell>
          <cell r="D194">
            <v>0.2</v>
          </cell>
          <cell r="E194" t="str">
            <v>M2</v>
          </cell>
          <cell r="F194">
            <v>4042</v>
          </cell>
          <cell r="G194">
            <v>808.4</v>
          </cell>
          <cell r="H194">
            <v>16957</v>
          </cell>
          <cell r="I194">
            <v>3391.4</v>
          </cell>
          <cell r="J194">
            <v>0</v>
          </cell>
          <cell r="K194">
            <v>0</v>
          </cell>
          <cell r="L194">
            <v>20999</v>
          </cell>
          <cell r="M194">
            <v>4199.8</v>
          </cell>
        </row>
        <row r="195">
          <cell r="B195" t="str">
            <v>레 미 콘</v>
          </cell>
          <cell r="C195" t="str">
            <v>25-180- 8</v>
          </cell>
          <cell r="D195">
            <v>5.3999999999999999E-2</v>
          </cell>
          <cell r="E195" t="str">
            <v>M3</v>
          </cell>
          <cell r="F195">
            <v>47860</v>
          </cell>
          <cell r="G195">
            <v>2584.4</v>
          </cell>
          <cell r="I195">
            <v>0</v>
          </cell>
          <cell r="K195">
            <v>0</v>
          </cell>
          <cell r="L195">
            <v>47860</v>
          </cell>
          <cell r="M195">
            <v>2584.4</v>
          </cell>
        </row>
        <row r="196">
          <cell r="B196" t="str">
            <v>레미콘타설</v>
          </cell>
          <cell r="C196" t="str">
            <v>소형</v>
          </cell>
          <cell r="D196">
            <v>5.3999999999999999E-2</v>
          </cell>
          <cell r="E196" t="str">
            <v>M3</v>
          </cell>
          <cell r="F196">
            <v>0</v>
          </cell>
          <cell r="G196">
            <v>0</v>
          </cell>
          <cell r="H196">
            <v>43151</v>
          </cell>
          <cell r="I196">
            <v>2330.1</v>
          </cell>
          <cell r="J196">
            <v>0</v>
          </cell>
          <cell r="K196">
            <v>0</v>
          </cell>
          <cell r="L196">
            <v>43151</v>
          </cell>
          <cell r="M196">
            <v>2330.1</v>
          </cell>
        </row>
        <row r="197">
          <cell r="B197" t="str">
            <v>원심력사각수로관</v>
          </cell>
          <cell r="C197" t="str">
            <v>D250xL2.5m</v>
          </cell>
          <cell r="D197">
            <v>0.4</v>
          </cell>
          <cell r="E197" t="str">
            <v>본</v>
          </cell>
          <cell r="F197">
            <v>71680</v>
          </cell>
          <cell r="G197">
            <v>28672</v>
          </cell>
          <cell r="I197">
            <v>0</v>
          </cell>
          <cell r="K197">
            <v>0</v>
          </cell>
          <cell r="L197">
            <v>71680</v>
          </cell>
          <cell r="M197">
            <v>28672</v>
          </cell>
        </row>
        <row r="198">
          <cell r="B198" t="str">
            <v>배관공</v>
          </cell>
          <cell r="D198">
            <v>0.06</v>
          </cell>
          <cell r="E198" t="str">
            <v>인</v>
          </cell>
          <cell r="G198">
            <v>0</v>
          </cell>
          <cell r="H198">
            <v>73500</v>
          </cell>
          <cell r="I198">
            <v>4410</v>
          </cell>
          <cell r="K198">
            <v>0</v>
          </cell>
          <cell r="L198">
            <v>73500</v>
          </cell>
          <cell r="M198">
            <v>4410</v>
          </cell>
        </row>
        <row r="199">
          <cell r="B199" t="str">
            <v>보통인부</v>
          </cell>
          <cell r="D199">
            <v>0.35199999999999998</v>
          </cell>
          <cell r="E199" t="str">
            <v>인</v>
          </cell>
          <cell r="G199">
            <v>0</v>
          </cell>
          <cell r="H199">
            <v>52370</v>
          </cell>
          <cell r="I199">
            <v>18434.2</v>
          </cell>
          <cell r="K199">
            <v>0</v>
          </cell>
          <cell r="L199">
            <v>52370</v>
          </cell>
          <cell r="M199">
            <v>18434.2</v>
          </cell>
        </row>
        <row r="200">
          <cell r="B200" t="str">
            <v>몰     탈</v>
          </cell>
          <cell r="C200" t="str">
            <v>1:2</v>
          </cell>
          <cell r="D200">
            <v>1.6000000000000001E-3</v>
          </cell>
          <cell r="E200" t="str">
            <v>M3</v>
          </cell>
          <cell r="F200">
            <v>52283</v>
          </cell>
          <cell r="G200">
            <v>83.6</v>
          </cell>
          <cell r="H200">
            <v>55247</v>
          </cell>
          <cell r="I200">
            <v>88.3</v>
          </cell>
          <cell r="J200">
            <v>15739</v>
          </cell>
          <cell r="K200">
            <v>25.1</v>
          </cell>
          <cell r="L200">
            <v>123269</v>
          </cell>
          <cell r="M200">
            <v>196.99999999999997</v>
          </cell>
        </row>
        <row r="201">
          <cell r="B201" t="str">
            <v>소  계</v>
          </cell>
          <cell r="G201">
            <v>32292</v>
          </cell>
          <cell r="I201">
            <v>30147</v>
          </cell>
          <cell r="K201">
            <v>277</v>
          </cell>
          <cell r="M201">
            <v>62716</v>
          </cell>
        </row>
        <row r="203">
          <cell r="B203">
            <v>38</v>
          </cell>
          <cell r="C203" t="str">
            <v>연결관A</v>
          </cell>
          <cell r="E203" t="str">
            <v>흄관,D250xL2.5m</v>
          </cell>
          <cell r="G203" t="str">
            <v xml:space="preserve"> </v>
          </cell>
          <cell r="H203">
            <v>0</v>
          </cell>
          <cell r="I203" t="str">
            <v xml:space="preserve"> </v>
          </cell>
          <cell r="K203" t="str">
            <v xml:space="preserve"> </v>
          </cell>
          <cell r="M203" t="str">
            <v>m당</v>
          </cell>
        </row>
        <row r="204">
          <cell r="B204" t="str">
            <v>기계터파기</v>
          </cell>
          <cell r="C204" t="str">
            <v>BH0.7(90%)+인력(10%)</v>
          </cell>
          <cell r="D204">
            <v>0.45</v>
          </cell>
          <cell r="E204" t="str">
            <v>M3</v>
          </cell>
          <cell r="F204">
            <v>137.41071428571428</v>
          </cell>
          <cell r="G204">
            <v>61.8</v>
          </cell>
          <cell r="H204">
            <v>1408.9047619047619</v>
          </cell>
          <cell r="I204">
            <v>634</v>
          </cell>
          <cell r="J204">
            <v>241.47283272283272</v>
          </cell>
          <cell r="K204">
            <v>108.6</v>
          </cell>
          <cell r="L204">
            <v>1787.7883089133088</v>
          </cell>
          <cell r="M204">
            <v>804.4</v>
          </cell>
        </row>
        <row r="205">
          <cell r="B205" t="str">
            <v>기계잔토처리</v>
          </cell>
          <cell r="C205" t="str">
            <v>BH0.7(90%)+인력(10%)</v>
          </cell>
          <cell r="D205">
            <v>4.9000000000000002E-2</v>
          </cell>
          <cell r="E205" t="str">
            <v>M3</v>
          </cell>
          <cell r="F205">
            <v>127.59566326530614</v>
          </cell>
          <cell r="G205">
            <v>6.2</v>
          </cell>
          <cell r="H205">
            <v>1383.0544217687075</v>
          </cell>
          <cell r="I205">
            <v>67.7</v>
          </cell>
          <cell r="J205">
            <v>224.22477324263042</v>
          </cell>
          <cell r="K205">
            <v>10.9</v>
          </cell>
          <cell r="L205">
            <v>1734.8748582766439</v>
          </cell>
          <cell r="M205">
            <v>84.800000000000011</v>
          </cell>
        </row>
        <row r="206">
          <cell r="B206" t="str">
            <v>기계되메우고다짐</v>
          </cell>
          <cell r="C206" t="str">
            <v>BH0.7(90%)+인력(10%)</v>
          </cell>
          <cell r="D206">
            <v>0.40100000000000002</v>
          </cell>
          <cell r="E206" t="str">
            <v>M3</v>
          </cell>
          <cell r="F206">
            <v>141.77295918367349</v>
          </cell>
          <cell r="G206">
            <v>56.8</v>
          </cell>
          <cell r="H206">
            <v>1472</v>
          </cell>
          <cell r="I206">
            <v>590.20000000000005</v>
          </cell>
          <cell r="J206">
            <v>249</v>
          </cell>
          <cell r="K206">
            <v>99.8</v>
          </cell>
          <cell r="L206">
            <v>1862.7729591836735</v>
          </cell>
          <cell r="M206">
            <v>746.8</v>
          </cell>
        </row>
        <row r="207">
          <cell r="B207" t="str">
            <v>흄관</v>
          </cell>
          <cell r="C207" t="str">
            <v>D250xL2.5m</v>
          </cell>
          <cell r="D207">
            <v>1.05</v>
          </cell>
          <cell r="E207" t="str">
            <v>m</v>
          </cell>
          <cell r="F207">
            <v>10332</v>
          </cell>
          <cell r="G207">
            <v>10848.6</v>
          </cell>
          <cell r="I207">
            <v>0</v>
          </cell>
          <cell r="K207">
            <v>0</v>
          </cell>
          <cell r="L207">
            <v>10332</v>
          </cell>
          <cell r="M207">
            <v>10848.6</v>
          </cell>
        </row>
        <row r="208">
          <cell r="B208" t="str">
            <v>몰     탈</v>
          </cell>
          <cell r="C208" t="str">
            <v>1:2</v>
          </cell>
          <cell r="D208">
            <v>1.6000000000000001E-3</v>
          </cell>
          <cell r="E208" t="str">
            <v>M3</v>
          </cell>
          <cell r="F208">
            <v>52283</v>
          </cell>
          <cell r="G208">
            <v>83.6</v>
          </cell>
          <cell r="H208">
            <v>55247</v>
          </cell>
          <cell r="I208">
            <v>88.3</v>
          </cell>
          <cell r="J208">
            <v>15739</v>
          </cell>
          <cell r="K208">
            <v>25.1</v>
          </cell>
          <cell r="L208">
            <v>123269</v>
          </cell>
          <cell r="M208">
            <v>196.99999999999997</v>
          </cell>
        </row>
        <row r="209">
          <cell r="B209" t="str">
            <v>배관공</v>
          </cell>
          <cell r="D209">
            <v>0.1</v>
          </cell>
          <cell r="E209" t="str">
            <v>인</v>
          </cell>
          <cell r="G209">
            <v>0</v>
          </cell>
          <cell r="H209">
            <v>73500</v>
          </cell>
          <cell r="I209">
            <v>7350</v>
          </cell>
          <cell r="K209">
            <v>0</v>
          </cell>
          <cell r="L209">
            <v>73500</v>
          </cell>
          <cell r="M209">
            <v>7350</v>
          </cell>
        </row>
        <row r="210">
          <cell r="B210" t="str">
            <v>보통인부</v>
          </cell>
          <cell r="D210">
            <v>0.372</v>
          </cell>
          <cell r="E210" t="str">
            <v>인</v>
          </cell>
          <cell r="G210">
            <v>0</v>
          </cell>
          <cell r="H210">
            <v>52370</v>
          </cell>
          <cell r="I210">
            <v>19481.599999999999</v>
          </cell>
          <cell r="K210">
            <v>0</v>
          </cell>
          <cell r="L210">
            <v>52370</v>
          </cell>
          <cell r="M210">
            <v>19481.599999999999</v>
          </cell>
        </row>
        <row r="211">
          <cell r="B211" t="str">
            <v>소  계</v>
          </cell>
          <cell r="G211">
            <v>11057</v>
          </cell>
          <cell r="I211">
            <v>28211</v>
          </cell>
          <cell r="K211">
            <v>244</v>
          </cell>
          <cell r="M211">
            <v>39512</v>
          </cell>
        </row>
        <row r="213">
          <cell r="B213">
            <v>39</v>
          </cell>
          <cell r="C213" t="str">
            <v>연결관B</v>
          </cell>
          <cell r="E213" t="str">
            <v>PE이중벽관,D150</v>
          </cell>
          <cell r="G213" t="str">
            <v xml:space="preserve"> </v>
          </cell>
          <cell r="H213">
            <v>0</v>
          </cell>
          <cell r="I213" t="str">
            <v xml:space="preserve"> </v>
          </cell>
          <cell r="K213" t="str">
            <v xml:space="preserve"> </v>
          </cell>
          <cell r="M213" t="str">
            <v>m당</v>
          </cell>
        </row>
        <row r="214">
          <cell r="B214" t="str">
            <v>기계터파기</v>
          </cell>
          <cell r="C214" t="str">
            <v>BH0.7(90%)+인력(10%)</v>
          </cell>
          <cell r="D214">
            <v>0.218</v>
          </cell>
          <cell r="E214" t="str">
            <v>M3</v>
          </cell>
          <cell r="F214">
            <v>137.41071428571428</v>
          </cell>
          <cell r="G214">
            <v>29.9</v>
          </cell>
          <cell r="H214">
            <v>1408.9047619047619</v>
          </cell>
          <cell r="I214">
            <v>307.10000000000002</v>
          </cell>
          <cell r="J214">
            <v>241.47283272283272</v>
          </cell>
          <cell r="K214">
            <v>52.6</v>
          </cell>
          <cell r="L214">
            <v>1787.7883089133088</v>
          </cell>
          <cell r="M214">
            <v>389.6</v>
          </cell>
        </row>
        <row r="215">
          <cell r="B215" t="str">
            <v>기계잔토처리</v>
          </cell>
          <cell r="C215" t="str">
            <v>BH0.7(90%)+인력(10%)</v>
          </cell>
          <cell r="D215">
            <v>1.7000000000000001E-2</v>
          </cell>
          <cell r="E215" t="str">
            <v>M3</v>
          </cell>
          <cell r="F215">
            <v>127.59566326530614</v>
          </cell>
          <cell r="G215">
            <v>2.1</v>
          </cell>
          <cell r="H215">
            <v>1383.0544217687075</v>
          </cell>
          <cell r="I215">
            <v>23.5</v>
          </cell>
          <cell r="J215">
            <v>224.22477324263042</v>
          </cell>
          <cell r="K215">
            <v>3.8</v>
          </cell>
          <cell r="L215">
            <v>1734.8748582766439</v>
          </cell>
          <cell r="M215">
            <v>29.400000000000002</v>
          </cell>
        </row>
        <row r="216">
          <cell r="B216" t="str">
            <v>기계되메우고다짐</v>
          </cell>
          <cell r="C216" t="str">
            <v>BH0.7(90%)+인력(10%)</v>
          </cell>
          <cell r="D216">
            <v>0.20100000000000001</v>
          </cell>
          <cell r="E216" t="str">
            <v>M3</v>
          </cell>
          <cell r="F216">
            <v>141.77295918367349</v>
          </cell>
          <cell r="G216">
            <v>28.4</v>
          </cell>
          <cell r="H216">
            <v>1472</v>
          </cell>
          <cell r="I216">
            <v>295.8</v>
          </cell>
          <cell r="J216">
            <v>249</v>
          </cell>
          <cell r="K216">
            <v>50</v>
          </cell>
          <cell r="L216">
            <v>1862.7729591836735</v>
          </cell>
          <cell r="M216">
            <v>374.2</v>
          </cell>
        </row>
        <row r="217">
          <cell r="B217" t="str">
            <v>PE 이중벽관</v>
          </cell>
          <cell r="C217" t="str">
            <v>Φ150</v>
          </cell>
          <cell r="D217">
            <v>1.05</v>
          </cell>
          <cell r="E217" t="str">
            <v>m</v>
          </cell>
          <cell r="F217">
            <v>12000</v>
          </cell>
          <cell r="G217">
            <v>12600</v>
          </cell>
          <cell r="I217">
            <v>0</v>
          </cell>
          <cell r="K217">
            <v>0</v>
          </cell>
          <cell r="L217">
            <v>12000</v>
          </cell>
          <cell r="M217">
            <v>12600</v>
          </cell>
        </row>
        <row r="218">
          <cell r="B218" t="str">
            <v>배관공</v>
          </cell>
          <cell r="D218">
            <v>2E-3</v>
          </cell>
          <cell r="E218" t="str">
            <v>인</v>
          </cell>
          <cell r="G218">
            <v>0</v>
          </cell>
          <cell r="H218">
            <v>73500</v>
          </cell>
          <cell r="I218">
            <v>147</v>
          </cell>
          <cell r="K218">
            <v>0</v>
          </cell>
          <cell r="L218">
            <v>73500</v>
          </cell>
          <cell r="M218">
            <v>147</v>
          </cell>
        </row>
        <row r="219">
          <cell r="B219" t="str">
            <v>보통인부</v>
          </cell>
          <cell r="D219">
            <v>2E-3</v>
          </cell>
          <cell r="E219" t="str">
            <v>인</v>
          </cell>
          <cell r="G219">
            <v>0</v>
          </cell>
          <cell r="H219">
            <v>52370</v>
          </cell>
          <cell r="I219">
            <v>104.7</v>
          </cell>
          <cell r="K219">
            <v>0</v>
          </cell>
          <cell r="L219">
            <v>52370</v>
          </cell>
          <cell r="M219">
            <v>104.7</v>
          </cell>
        </row>
        <row r="220">
          <cell r="B220" t="str">
            <v>소  계</v>
          </cell>
          <cell r="G220">
            <v>12660</v>
          </cell>
          <cell r="I220">
            <v>878</v>
          </cell>
          <cell r="K220">
            <v>106</v>
          </cell>
          <cell r="M220">
            <v>13644</v>
          </cell>
        </row>
        <row r="223">
          <cell r="B223">
            <v>40</v>
          </cell>
          <cell r="C223" t="str">
            <v>소형고압블럭포장</v>
          </cell>
          <cell r="E223" t="str">
            <v>I-2형,T60,회색</v>
          </cell>
          <cell r="M223" t="str">
            <v>m2당</v>
          </cell>
        </row>
        <row r="224">
          <cell r="B224" t="str">
            <v>기계터파기</v>
          </cell>
          <cell r="C224" t="str">
            <v>BH0.7(90%)+인력(10%)</v>
          </cell>
          <cell r="D224">
            <v>0.2</v>
          </cell>
          <cell r="E224" t="str">
            <v>M3</v>
          </cell>
          <cell r="F224">
            <v>137.41071428571428</v>
          </cell>
          <cell r="G224">
            <v>27.4</v>
          </cell>
          <cell r="H224">
            <v>1408.9047619047619</v>
          </cell>
          <cell r="I224">
            <v>281.7</v>
          </cell>
          <cell r="J224">
            <v>241.47283272283272</v>
          </cell>
          <cell r="K224">
            <v>48.2</v>
          </cell>
          <cell r="L224">
            <v>1787.7883089133088</v>
          </cell>
          <cell r="M224">
            <v>357.29999999999995</v>
          </cell>
        </row>
        <row r="225">
          <cell r="B225" t="str">
            <v>기계잔토처리</v>
          </cell>
          <cell r="C225" t="str">
            <v>BH0.7(90%)+인력(10%)</v>
          </cell>
          <cell r="D225">
            <v>0.2</v>
          </cell>
          <cell r="E225" t="str">
            <v>M3</v>
          </cell>
          <cell r="F225">
            <v>127.59566326530614</v>
          </cell>
          <cell r="G225">
            <v>25.5</v>
          </cell>
          <cell r="H225">
            <v>1383.0544217687075</v>
          </cell>
          <cell r="I225">
            <v>276.60000000000002</v>
          </cell>
          <cell r="J225">
            <v>224.22477324263042</v>
          </cell>
          <cell r="K225">
            <v>44.8</v>
          </cell>
          <cell r="L225">
            <v>1734.8748582766439</v>
          </cell>
          <cell r="M225">
            <v>346.90000000000003</v>
          </cell>
        </row>
        <row r="226">
          <cell r="B226" t="str">
            <v>원지반다짐</v>
          </cell>
          <cell r="C226" t="str">
            <v>진동롤러4.4TON,4회</v>
          </cell>
          <cell r="D226">
            <v>1</v>
          </cell>
          <cell r="E226" t="str">
            <v>M2</v>
          </cell>
          <cell r="F226">
            <v>18</v>
          </cell>
          <cell r="G226">
            <v>18</v>
          </cell>
          <cell r="H226">
            <v>135</v>
          </cell>
          <cell r="I226">
            <v>135</v>
          </cell>
          <cell r="J226">
            <v>43</v>
          </cell>
          <cell r="K226">
            <v>43</v>
          </cell>
          <cell r="L226">
            <v>196</v>
          </cell>
          <cell r="M226">
            <v>196</v>
          </cell>
        </row>
        <row r="227">
          <cell r="B227" t="str">
            <v>잡석다짐</v>
          </cell>
          <cell r="C227" t="str">
            <v>인력</v>
          </cell>
          <cell r="D227">
            <v>0.1</v>
          </cell>
          <cell r="E227" t="str">
            <v>M3</v>
          </cell>
          <cell r="F227">
            <v>12480</v>
          </cell>
          <cell r="G227">
            <v>1248</v>
          </cell>
          <cell r="H227">
            <v>57607</v>
          </cell>
          <cell r="I227">
            <v>5760.7</v>
          </cell>
          <cell r="J227">
            <v>1152</v>
          </cell>
          <cell r="K227">
            <v>115.2</v>
          </cell>
          <cell r="L227">
            <v>71239</v>
          </cell>
          <cell r="M227">
            <v>7123.9</v>
          </cell>
        </row>
        <row r="228">
          <cell r="B228" t="str">
            <v>모   래</v>
          </cell>
          <cell r="C228">
            <v>0</v>
          </cell>
          <cell r="D228">
            <v>4.1000000000000002E-2</v>
          </cell>
          <cell r="E228" t="str">
            <v>M3</v>
          </cell>
          <cell r="F228">
            <v>7500</v>
          </cell>
          <cell r="G228">
            <v>307.5</v>
          </cell>
          <cell r="I228">
            <v>0</v>
          </cell>
          <cell r="K228">
            <v>0</v>
          </cell>
          <cell r="L228">
            <v>7500</v>
          </cell>
          <cell r="M228">
            <v>307.5</v>
          </cell>
        </row>
        <row r="229">
          <cell r="B229" t="str">
            <v>모래운반</v>
          </cell>
          <cell r="C229" t="str">
            <v>8TON D/T</v>
          </cell>
          <cell r="D229">
            <v>4.1000000000000002E-2</v>
          </cell>
          <cell r="E229" t="str">
            <v>M3</v>
          </cell>
          <cell r="F229">
            <v>2865</v>
          </cell>
          <cell r="G229">
            <v>117.4</v>
          </cell>
          <cell r="H229">
            <v>2936</v>
          </cell>
          <cell r="I229">
            <v>120.3</v>
          </cell>
          <cell r="J229">
            <v>1680</v>
          </cell>
          <cell r="K229">
            <v>68.8</v>
          </cell>
          <cell r="L229">
            <v>7481</v>
          </cell>
          <cell r="M229">
            <v>306.5</v>
          </cell>
        </row>
        <row r="230">
          <cell r="B230" t="str">
            <v>보통인부</v>
          </cell>
          <cell r="C230" t="str">
            <v>모래부설</v>
          </cell>
          <cell r="D230">
            <v>5.0000000000000001E-3</v>
          </cell>
          <cell r="E230" t="str">
            <v>인</v>
          </cell>
          <cell r="G230">
            <v>0</v>
          </cell>
          <cell r="H230">
            <v>52370</v>
          </cell>
          <cell r="I230">
            <v>261.8</v>
          </cell>
          <cell r="K230">
            <v>0</v>
          </cell>
          <cell r="L230">
            <v>52370</v>
          </cell>
          <cell r="M230">
            <v>261.8</v>
          </cell>
        </row>
        <row r="231">
          <cell r="B231" t="str">
            <v>소형고압블럭</v>
          </cell>
          <cell r="C231" t="str">
            <v>T60,I-2형,회색</v>
          </cell>
          <cell r="D231">
            <v>1</v>
          </cell>
          <cell r="E231" t="str">
            <v>m2</v>
          </cell>
          <cell r="F231">
            <v>5500</v>
          </cell>
          <cell r="G231">
            <v>5500</v>
          </cell>
          <cell r="I231">
            <v>0</v>
          </cell>
          <cell r="K231">
            <v>0</v>
          </cell>
          <cell r="L231">
            <v>5500</v>
          </cell>
          <cell r="M231">
            <v>5500</v>
          </cell>
        </row>
        <row r="232">
          <cell r="B232" t="str">
            <v>특별인부</v>
          </cell>
          <cell r="D232">
            <v>3.1E-2</v>
          </cell>
          <cell r="E232" t="str">
            <v>인</v>
          </cell>
          <cell r="G232">
            <v>0</v>
          </cell>
          <cell r="H232">
            <v>66050</v>
          </cell>
          <cell r="I232">
            <v>2047.5</v>
          </cell>
          <cell r="K232">
            <v>0</v>
          </cell>
          <cell r="L232">
            <v>66050</v>
          </cell>
          <cell r="M232">
            <v>2047.5</v>
          </cell>
        </row>
        <row r="233">
          <cell r="B233" t="str">
            <v>보통인부</v>
          </cell>
          <cell r="D233">
            <v>9.1999999999999998E-2</v>
          </cell>
          <cell r="E233" t="str">
            <v>인</v>
          </cell>
          <cell r="G233">
            <v>0</v>
          </cell>
          <cell r="H233">
            <v>52370</v>
          </cell>
          <cell r="I233">
            <v>4818</v>
          </cell>
          <cell r="K233">
            <v>0</v>
          </cell>
          <cell r="L233">
            <v>52370</v>
          </cell>
          <cell r="M233">
            <v>4818</v>
          </cell>
        </row>
        <row r="234">
          <cell r="B234" t="str">
            <v>포장면다짐</v>
          </cell>
          <cell r="C234" t="str">
            <v>PC1.5TON,3회</v>
          </cell>
          <cell r="D234">
            <v>1</v>
          </cell>
          <cell r="E234" t="str">
            <v>M2</v>
          </cell>
          <cell r="F234">
            <v>11</v>
          </cell>
          <cell r="G234">
            <v>11</v>
          </cell>
          <cell r="H234">
            <v>106</v>
          </cell>
          <cell r="I234">
            <v>106</v>
          </cell>
          <cell r="J234">
            <v>4</v>
          </cell>
          <cell r="K234">
            <v>4</v>
          </cell>
          <cell r="L234">
            <v>121</v>
          </cell>
          <cell r="M234">
            <v>121</v>
          </cell>
        </row>
        <row r="235">
          <cell r="B235" t="str">
            <v>소  계</v>
          </cell>
          <cell r="G235">
            <v>7254</v>
          </cell>
          <cell r="I235">
            <v>13807</v>
          </cell>
          <cell r="K235">
            <v>324</v>
          </cell>
          <cell r="M235">
            <v>21385</v>
          </cell>
        </row>
        <row r="237">
          <cell r="B237">
            <v>41</v>
          </cell>
          <cell r="C237" t="str">
            <v>소형고압블럭포장</v>
          </cell>
          <cell r="E237" t="str">
            <v>I-2형,T60,흑,적,갈색</v>
          </cell>
          <cell r="M237" t="str">
            <v>m2당</v>
          </cell>
        </row>
        <row r="238">
          <cell r="B238" t="str">
            <v>기계터파기</v>
          </cell>
          <cell r="C238" t="str">
            <v>BH0.7(90%)+인력(10%)</v>
          </cell>
          <cell r="D238">
            <v>0.2</v>
          </cell>
          <cell r="E238" t="str">
            <v>M3</v>
          </cell>
          <cell r="F238">
            <v>137.41071428571428</v>
          </cell>
          <cell r="G238">
            <v>27.4</v>
          </cell>
          <cell r="H238">
            <v>1408.9047619047619</v>
          </cell>
          <cell r="I238">
            <v>281.7</v>
          </cell>
          <cell r="J238">
            <v>241.47283272283272</v>
          </cell>
          <cell r="K238">
            <v>48.2</v>
          </cell>
          <cell r="L238">
            <v>1787.7883089133088</v>
          </cell>
          <cell r="M238">
            <v>357.29999999999995</v>
          </cell>
        </row>
        <row r="239">
          <cell r="B239" t="str">
            <v>기계잔토처리</v>
          </cell>
          <cell r="C239" t="str">
            <v>BH0.7(90%)+인력(10%)</v>
          </cell>
          <cell r="D239">
            <v>0.2</v>
          </cell>
          <cell r="E239" t="str">
            <v>M3</v>
          </cell>
          <cell r="F239">
            <v>127.59566326530614</v>
          </cell>
          <cell r="G239">
            <v>25.5</v>
          </cell>
          <cell r="H239">
            <v>1383.0544217687075</v>
          </cell>
          <cell r="I239">
            <v>276.60000000000002</v>
          </cell>
          <cell r="J239">
            <v>224.22477324263042</v>
          </cell>
          <cell r="K239">
            <v>44.8</v>
          </cell>
          <cell r="L239">
            <v>1734.8748582766439</v>
          </cell>
          <cell r="M239">
            <v>346.90000000000003</v>
          </cell>
        </row>
        <row r="240">
          <cell r="B240" t="str">
            <v>원지반다짐</v>
          </cell>
          <cell r="C240" t="str">
            <v>진동롤러4.4TON,4회</v>
          </cell>
          <cell r="D240">
            <v>1</v>
          </cell>
          <cell r="E240" t="str">
            <v>M2</v>
          </cell>
          <cell r="F240">
            <v>18</v>
          </cell>
          <cell r="G240">
            <v>18</v>
          </cell>
          <cell r="H240">
            <v>135</v>
          </cell>
          <cell r="I240">
            <v>135</v>
          </cell>
          <cell r="J240">
            <v>43</v>
          </cell>
          <cell r="K240">
            <v>43</v>
          </cell>
          <cell r="L240">
            <v>196</v>
          </cell>
          <cell r="M240">
            <v>196</v>
          </cell>
        </row>
        <row r="241">
          <cell r="B241" t="str">
            <v>잡석다짐</v>
          </cell>
          <cell r="C241" t="str">
            <v>인력</v>
          </cell>
          <cell r="D241">
            <v>0.1</v>
          </cell>
          <cell r="E241" t="str">
            <v>M3</v>
          </cell>
          <cell r="F241">
            <v>12480</v>
          </cell>
          <cell r="G241">
            <v>1248</v>
          </cell>
          <cell r="H241">
            <v>57607</v>
          </cell>
          <cell r="I241">
            <v>5760.7</v>
          </cell>
          <cell r="J241">
            <v>1152</v>
          </cell>
          <cell r="K241">
            <v>115.2</v>
          </cell>
          <cell r="L241">
            <v>71239</v>
          </cell>
          <cell r="M241">
            <v>7123.9</v>
          </cell>
        </row>
        <row r="242">
          <cell r="B242" t="str">
            <v>모   래</v>
          </cell>
          <cell r="C242">
            <v>0</v>
          </cell>
          <cell r="D242">
            <v>4.1000000000000002E-2</v>
          </cell>
          <cell r="E242" t="str">
            <v>M3</v>
          </cell>
          <cell r="F242">
            <v>7500</v>
          </cell>
          <cell r="G242">
            <v>307.5</v>
          </cell>
          <cell r="I242">
            <v>0</v>
          </cell>
          <cell r="K242">
            <v>0</v>
          </cell>
          <cell r="L242">
            <v>7500</v>
          </cell>
          <cell r="M242">
            <v>307.5</v>
          </cell>
        </row>
        <row r="243">
          <cell r="B243" t="str">
            <v>모래운반</v>
          </cell>
          <cell r="C243" t="str">
            <v>8TON D/T</v>
          </cell>
          <cell r="D243">
            <v>4.1000000000000002E-2</v>
          </cell>
          <cell r="E243" t="str">
            <v>M3</v>
          </cell>
          <cell r="F243">
            <v>2865</v>
          </cell>
          <cell r="G243">
            <v>117.4</v>
          </cell>
          <cell r="H243">
            <v>2936</v>
          </cell>
          <cell r="I243">
            <v>120.3</v>
          </cell>
          <cell r="J243">
            <v>1680</v>
          </cell>
          <cell r="K243">
            <v>68.8</v>
          </cell>
          <cell r="L243">
            <v>7481</v>
          </cell>
          <cell r="M243">
            <v>306.5</v>
          </cell>
        </row>
        <row r="244">
          <cell r="B244" t="str">
            <v>보통인부</v>
          </cell>
          <cell r="C244" t="str">
            <v>모래부설</v>
          </cell>
          <cell r="D244">
            <v>5.0000000000000001E-3</v>
          </cell>
          <cell r="E244" t="str">
            <v>인</v>
          </cell>
          <cell r="G244">
            <v>0</v>
          </cell>
          <cell r="H244">
            <v>52370</v>
          </cell>
          <cell r="I244">
            <v>261.8</v>
          </cell>
          <cell r="K244">
            <v>0</v>
          </cell>
          <cell r="L244">
            <v>52370</v>
          </cell>
          <cell r="M244">
            <v>261.8</v>
          </cell>
        </row>
        <row r="245">
          <cell r="B245" t="str">
            <v>소형고압블럭</v>
          </cell>
          <cell r="C245" t="str">
            <v>T60,I-2형,흑,적,갈색</v>
          </cell>
          <cell r="D245">
            <v>1</v>
          </cell>
          <cell r="E245" t="str">
            <v>m2</v>
          </cell>
          <cell r="F245">
            <v>6000</v>
          </cell>
          <cell r="G245">
            <v>6000</v>
          </cell>
          <cell r="I245">
            <v>0</v>
          </cell>
          <cell r="K245">
            <v>0</v>
          </cell>
          <cell r="L245">
            <v>6000</v>
          </cell>
          <cell r="M245">
            <v>6000</v>
          </cell>
        </row>
        <row r="246">
          <cell r="B246" t="str">
            <v>특별인부</v>
          </cell>
          <cell r="D246">
            <v>3.1E-2</v>
          </cell>
          <cell r="E246" t="str">
            <v>인</v>
          </cell>
          <cell r="G246">
            <v>0</v>
          </cell>
          <cell r="H246">
            <v>66050</v>
          </cell>
          <cell r="I246">
            <v>2047.5</v>
          </cell>
          <cell r="K246">
            <v>0</v>
          </cell>
          <cell r="L246">
            <v>66050</v>
          </cell>
          <cell r="M246">
            <v>2047.5</v>
          </cell>
        </row>
        <row r="247">
          <cell r="B247" t="str">
            <v>보통인부</v>
          </cell>
          <cell r="D247">
            <v>9.1999999999999998E-2</v>
          </cell>
          <cell r="E247" t="str">
            <v>인</v>
          </cell>
          <cell r="G247">
            <v>0</v>
          </cell>
          <cell r="H247">
            <v>52370</v>
          </cell>
          <cell r="I247">
            <v>4818</v>
          </cell>
          <cell r="K247">
            <v>0</v>
          </cell>
          <cell r="L247">
            <v>52370</v>
          </cell>
          <cell r="M247">
            <v>4818</v>
          </cell>
        </row>
        <row r="248">
          <cell r="B248" t="str">
            <v>포장면다짐</v>
          </cell>
          <cell r="C248" t="str">
            <v>PC1.5TON,3회</v>
          </cell>
          <cell r="D248">
            <v>1</v>
          </cell>
          <cell r="E248" t="str">
            <v>M2</v>
          </cell>
          <cell r="F248">
            <v>11</v>
          </cell>
          <cell r="G248">
            <v>11</v>
          </cell>
          <cell r="H248">
            <v>106</v>
          </cell>
          <cell r="I248">
            <v>106</v>
          </cell>
          <cell r="J248">
            <v>4</v>
          </cell>
          <cell r="K248">
            <v>4</v>
          </cell>
          <cell r="L248">
            <v>121</v>
          </cell>
          <cell r="M248">
            <v>121</v>
          </cell>
        </row>
        <row r="249">
          <cell r="B249" t="str">
            <v>소  계</v>
          </cell>
          <cell r="G249">
            <v>7754</v>
          </cell>
          <cell r="I249">
            <v>13807</v>
          </cell>
          <cell r="K249">
            <v>324</v>
          </cell>
          <cell r="M249">
            <v>21885</v>
          </cell>
        </row>
        <row r="251">
          <cell r="B251">
            <v>42</v>
          </cell>
          <cell r="C251" t="str">
            <v>고무블럭포장</v>
          </cell>
          <cell r="M251" t="str">
            <v>m2당</v>
          </cell>
        </row>
        <row r="252">
          <cell r="B252" t="str">
            <v>기계터파기</v>
          </cell>
          <cell r="C252" t="str">
            <v>BH0.7(90%)+인력(10%)</v>
          </cell>
          <cell r="D252">
            <v>0.24</v>
          </cell>
          <cell r="E252" t="str">
            <v>M3</v>
          </cell>
          <cell r="F252">
            <v>137.41071428571428</v>
          </cell>
          <cell r="G252">
            <v>32.9</v>
          </cell>
          <cell r="H252">
            <v>1408.9047619047619</v>
          </cell>
          <cell r="I252">
            <v>338.1</v>
          </cell>
          <cell r="J252">
            <v>241.47283272283272</v>
          </cell>
          <cell r="K252">
            <v>57.9</v>
          </cell>
          <cell r="L252">
            <v>1787.7883089133088</v>
          </cell>
          <cell r="M252">
            <v>428.9</v>
          </cell>
        </row>
        <row r="253">
          <cell r="B253" t="str">
            <v>기계잔토처리</v>
          </cell>
          <cell r="C253" t="str">
            <v>BH0.7(90%)+인력(10%)</v>
          </cell>
          <cell r="D253">
            <v>0.24</v>
          </cell>
          <cell r="E253" t="str">
            <v>M3</v>
          </cell>
          <cell r="F253">
            <v>127.59566326530614</v>
          </cell>
          <cell r="G253">
            <v>30.6</v>
          </cell>
          <cell r="H253">
            <v>1383.0544217687075</v>
          </cell>
          <cell r="I253">
            <v>331.9</v>
          </cell>
          <cell r="J253">
            <v>224.22477324263042</v>
          </cell>
          <cell r="K253">
            <v>53.8</v>
          </cell>
          <cell r="L253">
            <v>1734.8748582766439</v>
          </cell>
          <cell r="M253">
            <v>416.3</v>
          </cell>
        </row>
        <row r="254">
          <cell r="B254" t="str">
            <v>원지반다짐</v>
          </cell>
          <cell r="C254" t="str">
            <v>진동롤러4.4TON,4회</v>
          </cell>
          <cell r="D254">
            <v>1</v>
          </cell>
          <cell r="E254" t="str">
            <v>M2</v>
          </cell>
          <cell r="F254">
            <v>18</v>
          </cell>
          <cell r="G254">
            <v>18</v>
          </cell>
          <cell r="H254">
            <v>135</v>
          </cell>
          <cell r="I254">
            <v>135</v>
          </cell>
          <cell r="J254">
            <v>43</v>
          </cell>
          <cell r="K254">
            <v>43</v>
          </cell>
          <cell r="L254">
            <v>196</v>
          </cell>
          <cell r="M254">
            <v>196</v>
          </cell>
        </row>
        <row r="255">
          <cell r="B255" t="str">
            <v>잡석다짐</v>
          </cell>
          <cell r="C255" t="str">
            <v>인력</v>
          </cell>
          <cell r="D255">
            <v>0.15</v>
          </cell>
          <cell r="E255" t="str">
            <v>M3</v>
          </cell>
          <cell r="F255">
            <v>12480</v>
          </cell>
          <cell r="G255">
            <v>1872</v>
          </cell>
          <cell r="H255">
            <v>57607</v>
          </cell>
          <cell r="I255">
            <v>8641</v>
          </cell>
          <cell r="J255">
            <v>1152</v>
          </cell>
          <cell r="K255">
            <v>172.8</v>
          </cell>
          <cell r="L255">
            <v>71239</v>
          </cell>
          <cell r="M255">
            <v>10685.8</v>
          </cell>
        </row>
        <row r="256">
          <cell r="B256" t="str">
            <v>모   래</v>
          </cell>
          <cell r="C256">
            <v>0</v>
          </cell>
          <cell r="D256">
            <v>4.1000000000000002E-2</v>
          </cell>
          <cell r="E256" t="str">
            <v>M3</v>
          </cell>
          <cell r="F256">
            <v>7500</v>
          </cell>
          <cell r="G256">
            <v>307.5</v>
          </cell>
          <cell r="I256">
            <v>0</v>
          </cell>
          <cell r="K256">
            <v>0</v>
          </cell>
          <cell r="L256">
            <v>7500</v>
          </cell>
          <cell r="M256">
            <v>307.5</v>
          </cell>
        </row>
        <row r="257">
          <cell r="B257" t="str">
            <v>모래운반</v>
          </cell>
          <cell r="C257" t="str">
            <v>8TON D/T</v>
          </cell>
          <cell r="D257">
            <v>4.1000000000000002E-2</v>
          </cell>
          <cell r="E257" t="str">
            <v>M3</v>
          </cell>
          <cell r="F257">
            <v>2865</v>
          </cell>
          <cell r="G257">
            <v>117.4</v>
          </cell>
          <cell r="H257">
            <v>2936</v>
          </cell>
          <cell r="I257">
            <v>120.3</v>
          </cell>
          <cell r="J257">
            <v>1680</v>
          </cell>
          <cell r="K257">
            <v>68.8</v>
          </cell>
          <cell r="L257">
            <v>7481</v>
          </cell>
          <cell r="M257">
            <v>306.5</v>
          </cell>
        </row>
        <row r="258">
          <cell r="B258" t="str">
            <v>보통인부</v>
          </cell>
          <cell r="C258" t="str">
            <v>모래부설</v>
          </cell>
          <cell r="D258">
            <v>5.0000000000000001E-3</v>
          </cell>
          <cell r="E258" t="str">
            <v>인</v>
          </cell>
          <cell r="G258">
            <v>0</v>
          </cell>
          <cell r="H258">
            <v>52370</v>
          </cell>
          <cell r="I258">
            <v>261.8</v>
          </cell>
          <cell r="K258">
            <v>0</v>
          </cell>
          <cell r="L258">
            <v>52370</v>
          </cell>
          <cell r="M258">
            <v>261.8</v>
          </cell>
        </row>
        <row r="259">
          <cell r="B259" t="str">
            <v>고무매트</v>
          </cell>
          <cell r="C259" t="str">
            <v>500x500xT45,컬러</v>
          </cell>
          <cell r="D259">
            <v>1.03</v>
          </cell>
          <cell r="E259" t="str">
            <v>m2</v>
          </cell>
          <cell r="F259">
            <v>54000</v>
          </cell>
          <cell r="G259">
            <v>55620</v>
          </cell>
          <cell r="I259">
            <v>0</v>
          </cell>
          <cell r="K259">
            <v>0</v>
          </cell>
          <cell r="L259">
            <v>54000</v>
          </cell>
          <cell r="M259">
            <v>55620</v>
          </cell>
        </row>
        <row r="260">
          <cell r="B260" t="str">
            <v>특별인부</v>
          </cell>
          <cell r="D260">
            <v>0.09</v>
          </cell>
          <cell r="E260" t="str">
            <v>인</v>
          </cell>
          <cell r="G260">
            <v>0</v>
          </cell>
          <cell r="H260">
            <v>66050</v>
          </cell>
          <cell r="I260">
            <v>5944.5</v>
          </cell>
          <cell r="K260">
            <v>0</v>
          </cell>
          <cell r="L260">
            <v>66050</v>
          </cell>
          <cell r="M260">
            <v>5944.5</v>
          </cell>
        </row>
        <row r="261">
          <cell r="B261" t="str">
            <v>보통인부</v>
          </cell>
          <cell r="D261">
            <v>0.02</v>
          </cell>
          <cell r="E261" t="str">
            <v>인</v>
          </cell>
          <cell r="G261">
            <v>0</v>
          </cell>
          <cell r="H261">
            <v>52370</v>
          </cell>
          <cell r="I261">
            <v>1047.4000000000001</v>
          </cell>
          <cell r="K261">
            <v>0</v>
          </cell>
          <cell r="L261">
            <v>52370</v>
          </cell>
          <cell r="M261">
            <v>1047.4000000000001</v>
          </cell>
        </row>
        <row r="262">
          <cell r="B262" t="str">
            <v>포장면다짐</v>
          </cell>
          <cell r="C262" t="str">
            <v>PC1.5TON,3회</v>
          </cell>
          <cell r="D262">
            <v>1</v>
          </cell>
          <cell r="E262" t="str">
            <v>M2</v>
          </cell>
          <cell r="F262">
            <v>11</v>
          </cell>
          <cell r="G262">
            <v>11</v>
          </cell>
          <cell r="H262">
            <v>106</v>
          </cell>
          <cell r="I262">
            <v>106</v>
          </cell>
          <cell r="J262">
            <v>4</v>
          </cell>
          <cell r="K262">
            <v>4</v>
          </cell>
          <cell r="L262">
            <v>121</v>
          </cell>
          <cell r="M262">
            <v>121</v>
          </cell>
        </row>
        <row r="263">
          <cell r="B263" t="str">
            <v>소  계</v>
          </cell>
          <cell r="G263">
            <v>58009</v>
          </cell>
          <cell r="I263">
            <v>16926</v>
          </cell>
          <cell r="K263">
            <v>400</v>
          </cell>
          <cell r="M263">
            <v>75335</v>
          </cell>
        </row>
        <row r="265">
          <cell r="B265">
            <v>43</v>
          </cell>
          <cell r="C265" t="str">
            <v>우레탄포장</v>
          </cell>
          <cell r="E265" t="str">
            <v>T5.0mm</v>
          </cell>
          <cell r="M265" t="str">
            <v>m2당</v>
          </cell>
        </row>
        <row r="266">
          <cell r="B266" t="str">
            <v>기계터파기</v>
          </cell>
          <cell r="C266" t="str">
            <v>BH0.7(90%)+인력(10%)</v>
          </cell>
          <cell r="D266">
            <v>0.35</v>
          </cell>
          <cell r="E266" t="str">
            <v>M3</v>
          </cell>
          <cell r="F266">
            <v>137.41071428571428</v>
          </cell>
          <cell r="G266">
            <v>48</v>
          </cell>
          <cell r="H266">
            <v>1408.9047619047619</v>
          </cell>
          <cell r="I266">
            <v>493.1</v>
          </cell>
          <cell r="J266">
            <v>241.47283272283272</v>
          </cell>
          <cell r="K266">
            <v>84.5</v>
          </cell>
          <cell r="L266">
            <v>1787.7883089133088</v>
          </cell>
          <cell r="M266">
            <v>625.6</v>
          </cell>
        </row>
        <row r="267">
          <cell r="B267" t="str">
            <v>기계잔토처리</v>
          </cell>
          <cell r="C267" t="str">
            <v>BH0.7(90%)+인력(10%)</v>
          </cell>
          <cell r="D267">
            <v>0.35</v>
          </cell>
          <cell r="E267" t="str">
            <v>M3</v>
          </cell>
          <cell r="F267">
            <v>127.59566326530614</v>
          </cell>
          <cell r="G267">
            <v>44.6</v>
          </cell>
          <cell r="H267">
            <v>1383.0544217687075</v>
          </cell>
          <cell r="I267">
            <v>484</v>
          </cell>
          <cell r="J267">
            <v>224.22477324263042</v>
          </cell>
          <cell r="K267">
            <v>78.400000000000006</v>
          </cell>
          <cell r="L267">
            <v>1734.8748582766439</v>
          </cell>
          <cell r="M267">
            <v>607</v>
          </cell>
        </row>
        <row r="268">
          <cell r="B268" t="str">
            <v>원지반다짐</v>
          </cell>
          <cell r="C268" t="str">
            <v>진동롤러4.4TON,4회</v>
          </cell>
          <cell r="D268">
            <v>1</v>
          </cell>
          <cell r="E268" t="str">
            <v>M2</v>
          </cell>
          <cell r="F268">
            <v>18</v>
          </cell>
          <cell r="G268">
            <v>18</v>
          </cell>
          <cell r="H268">
            <v>135</v>
          </cell>
          <cell r="I268">
            <v>135</v>
          </cell>
          <cell r="J268">
            <v>43</v>
          </cell>
          <cell r="K268">
            <v>43</v>
          </cell>
          <cell r="L268">
            <v>196</v>
          </cell>
          <cell r="M268">
            <v>196</v>
          </cell>
        </row>
        <row r="269">
          <cell r="B269" t="str">
            <v>혼합골재</v>
          </cell>
          <cell r="C269" t="str">
            <v>A급기층재</v>
          </cell>
          <cell r="D269">
            <v>0.22</v>
          </cell>
          <cell r="E269" t="str">
            <v>M3</v>
          </cell>
          <cell r="F269">
            <v>7000</v>
          </cell>
          <cell r="G269">
            <v>1540</v>
          </cell>
          <cell r="I269">
            <v>0</v>
          </cell>
          <cell r="K269">
            <v>0</v>
          </cell>
          <cell r="L269">
            <v>7000</v>
          </cell>
          <cell r="M269">
            <v>1540</v>
          </cell>
        </row>
        <row r="270">
          <cell r="B270" t="str">
            <v>혼합골재포설 및 다짐</v>
          </cell>
          <cell r="C270" t="str">
            <v>T200</v>
          </cell>
          <cell r="D270">
            <v>0.2</v>
          </cell>
          <cell r="E270" t="str">
            <v>M3</v>
          </cell>
          <cell r="F270">
            <v>539.40277777777783</v>
          </cell>
          <cell r="G270">
            <v>107.8</v>
          </cell>
          <cell r="H270">
            <v>1975.5444444444445</v>
          </cell>
          <cell r="I270">
            <v>395.1</v>
          </cell>
          <cell r="J270">
            <v>711.34722222222217</v>
          </cell>
          <cell r="K270">
            <v>142.19999999999999</v>
          </cell>
          <cell r="L270">
            <v>3226.2944444444443</v>
          </cell>
          <cell r="M270">
            <v>645.1</v>
          </cell>
        </row>
        <row r="271">
          <cell r="B271" t="str">
            <v>방습필름깔기</v>
          </cell>
          <cell r="C271">
            <v>0</v>
          </cell>
          <cell r="D271">
            <v>1</v>
          </cell>
          <cell r="E271" t="str">
            <v>m2</v>
          </cell>
          <cell r="F271">
            <v>106</v>
          </cell>
          <cell r="G271">
            <v>106</v>
          </cell>
          <cell r="H271">
            <v>209</v>
          </cell>
          <cell r="I271">
            <v>209</v>
          </cell>
          <cell r="J271">
            <v>0</v>
          </cell>
          <cell r="K271">
            <v>0</v>
          </cell>
          <cell r="L271">
            <v>315</v>
          </cell>
          <cell r="M271">
            <v>315</v>
          </cell>
        </row>
        <row r="272">
          <cell r="B272" t="str">
            <v>와이어메쉬바닥깔기</v>
          </cell>
          <cell r="C272" t="str">
            <v>#8x150x150</v>
          </cell>
          <cell r="D272">
            <v>1</v>
          </cell>
          <cell r="E272" t="str">
            <v>m2</v>
          </cell>
          <cell r="F272">
            <v>814</v>
          </cell>
          <cell r="G272">
            <v>814</v>
          </cell>
          <cell r="H272">
            <v>792</v>
          </cell>
          <cell r="I272">
            <v>792</v>
          </cell>
          <cell r="J272">
            <v>0</v>
          </cell>
          <cell r="K272">
            <v>0</v>
          </cell>
          <cell r="L272">
            <v>1606</v>
          </cell>
          <cell r="M272">
            <v>1606</v>
          </cell>
        </row>
        <row r="273">
          <cell r="B273" t="str">
            <v>레 미 콘</v>
          </cell>
          <cell r="C273" t="str">
            <v>25-180- 8</v>
          </cell>
          <cell r="D273">
            <v>0.15</v>
          </cell>
          <cell r="E273" t="str">
            <v>M3</v>
          </cell>
          <cell r="F273">
            <v>47860</v>
          </cell>
          <cell r="G273">
            <v>7179</v>
          </cell>
          <cell r="I273">
            <v>0</v>
          </cell>
          <cell r="K273">
            <v>0</v>
          </cell>
          <cell r="L273">
            <v>47860</v>
          </cell>
          <cell r="M273">
            <v>7179</v>
          </cell>
        </row>
        <row r="274">
          <cell r="B274" t="str">
            <v>레미콘타설</v>
          </cell>
          <cell r="C274" t="str">
            <v>소형</v>
          </cell>
          <cell r="D274">
            <v>0.15</v>
          </cell>
          <cell r="E274" t="str">
            <v>M3</v>
          </cell>
          <cell r="F274">
            <v>0</v>
          </cell>
          <cell r="G274">
            <v>0</v>
          </cell>
          <cell r="H274">
            <v>43151</v>
          </cell>
          <cell r="I274">
            <v>6472.6</v>
          </cell>
          <cell r="J274">
            <v>0</v>
          </cell>
          <cell r="K274">
            <v>0</v>
          </cell>
          <cell r="L274">
            <v>43151</v>
          </cell>
          <cell r="M274">
            <v>6472.6</v>
          </cell>
        </row>
        <row r="275">
          <cell r="B275" t="str">
            <v>우레탄포장</v>
          </cell>
          <cell r="C275" t="str">
            <v>T5mm</v>
          </cell>
          <cell r="D275">
            <v>1</v>
          </cell>
          <cell r="E275" t="str">
            <v>m2</v>
          </cell>
          <cell r="F275">
            <v>43000</v>
          </cell>
          <cell r="G275">
            <v>43000</v>
          </cell>
          <cell r="I275">
            <v>0</v>
          </cell>
          <cell r="K275">
            <v>0</v>
          </cell>
          <cell r="L275">
            <v>43000</v>
          </cell>
          <cell r="M275">
            <v>43000</v>
          </cell>
        </row>
        <row r="276">
          <cell r="B276" t="str">
            <v>소  계</v>
          </cell>
          <cell r="G276">
            <v>52857</v>
          </cell>
          <cell r="I276">
            <v>8980</v>
          </cell>
          <cell r="K276">
            <v>348</v>
          </cell>
          <cell r="M276">
            <v>62185</v>
          </cell>
        </row>
        <row r="278">
          <cell r="B278">
            <v>44</v>
          </cell>
          <cell r="C278" t="str">
            <v>경계블럭</v>
          </cell>
          <cell r="E278" t="str">
            <v>190x160xT100</v>
          </cell>
          <cell r="G278" t="str">
            <v xml:space="preserve"> </v>
          </cell>
          <cell r="H278">
            <v>0</v>
          </cell>
          <cell r="I278" t="str">
            <v xml:space="preserve"> </v>
          </cell>
          <cell r="K278" t="str">
            <v xml:space="preserve"> </v>
          </cell>
          <cell r="M278" t="str">
            <v>m당</v>
          </cell>
        </row>
        <row r="279">
          <cell r="B279" t="str">
            <v>터파기(인력)</v>
          </cell>
          <cell r="C279" t="str">
            <v>보통토사,0~1m,협소/독립</v>
          </cell>
          <cell r="D279">
            <v>0.13300000000000001</v>
          </cell>
          <cell r="E279" t="str">
            <v>M3</v>
          </cell>
          <cell r="F279">
            <v>0</v>
          </cell>
          <cell r="G279">
            <v>0</v>
          </cell>
          <cell r="H279">
            <v>10474</v>
          </cell>
          <cell r="I279">
            <v>1393</v>
          </cell>
          <cell r="J279">
            <v>0</v>
          </cell>
          <cell r="K279">
            <v>0</v>
          </cell>
          <cell r="L279">
            <v>10474</v>
          </cell>
          <cell r="M279">
            <v>1393</v>
          </cell>
        </row>
        <row r="280">
          <cell r="B280" t="str">
            <v>잔토처리(인력)</v>
          </cell>
          <cell r="C280" t="str">
            <v>현장내</v>
          </cell>
          <cell r="D280">
            <v>4.7E-2</v>
          </cell>
          <cell r="E280" t="str">
            <v>M3</v>
          </cell>
          <cell r="F280">
            <v>0</v>
          </cell>
          <cell r="G280">
            <v>0</v>
          </cell>
          <cell r="H280">
            <v>10474</v>
          </cell>
          <cell r="I280">
            <v>492.2</v>
          </cell>
          <cell r="J280">
            <v>0</v>
          </cell>
          <cell r="K280">
            <v>0</v>
          </cell>
          <cell r="L280">
            <v>10474</v>
          </cell>
          <cell r="M280">
            <v>492.2</v>
          </cell>
        </row>
        <row r="281">
          <cell r="B281" t="str">
            <v>되메우기및다짐</v>
          </cell>
          <cell r="C281" t="str">
            <v>인력</v>
          </cell>
          <cell r="D281">
            <v>8.5999999999999993E-2</v>
          </cell>
          <cell r="E281" t="str">
            <v>M3</v>
          </cell>
          <cell r="F281">
            <v>0</v>
          </cell>
          <cell r="G281">
            <v>0</v>
          </cell>
          <cell r="H281">
            <v>10997</v>
          </cell>
          <cell r="I281">
            <v>945.7</v>
          </cell>
          <cell r="J281">
            <v>0</v>
          </cell>
          <cell r="K281">
            <v>0</v>
          </cell>
          <cell r="L281">
            <v>10997</v>
          </cell>
          <cell r="M281">
            <v>945.7</v>
          </cell>
        </row>
        <row r="282">
          <cell r="B282" t="str">
            <v>합판거푸집(6회)</v>
          </cell>
          <cell r="C282" t="str">
            <v>소형구조물</v>
          </cell>
          <cell r="D282">
            <v>0.3</v>
          </cell>
          <cell r="E282" t="str">
            <v>M2</v>
          </cell>
          <cell r="F282">
            <v>4042</v>
          </cell>
          <cell r="G282">
            <v>1212.5999999999999</v>
          </cell>
          <cell r="H282">
            <v>16957</v>
          </cell>
          <cell r="I282">
            <v>5087.1000000000004</v>
          </cell>
          <cell r="J282">
            <v>0</v>
          </cell>
          <cell r="K282">
            <v>0</v>
          </cell>
          <cell r="L282">
            <v>20999</v>
          </cell>
          <cell r="M282">
            <v>6299.7000000000007</v>
          </cell>
        </row>
        <row r="283">
          <cell r="B283" t="str">
            <v>레 미 콘</v>
          </cell>
          <cell r="C283" t="str">
            <v>25-180- 8</v>
          </cell>
          <cell r="D283">
            <v>4.7E-2</v>
          </cell>
          <cell r="E283" t="str">
            <v>M3</v>
          </cell>
          <cell r="F283">
            <v>47860</v>
          </cell>
          <cell r="G283">
            <v>2249.4</v>
          </cell>
          <cell r="I283">
            <v>0</v>
          </cell>
          <cell r="K283">
            <v>0</v>
          </cell>
          <cell r="L283">
            <v>47860</v>
          </cell>
          <cell r="M283">
            <v>2249.4</v>
          </cell>
        </row>
        <row r="284">
          <cell r="B284" t="str">
            <v>레미콘타설</v>
          </cell>
          <cell r="C284" t="str">
            <v>무근</v>
          </cell>
          <cell r="D284">
            <v>4.7E-2</v>
          </cell>
          <cell r="E284" t="str">
            <v>M3</v>
          </cell>
          <cell r="F284">
            <v>0</v>
          </cell>
          <cell r="G284">
            <v>0</v>
          </cell>
          <cell r="H284">
            <v>27362</v>
          </cell>
          <cell r="I284">
            <v>1286</v>
          </cell>
          <cell r="J284">
            <v>0</v>
          </cell>
          <cell r="K284">
            <v>0</v>
          </cell>
          <cell r="L284">
            <v>27362</v>
          </cell>
          <cell r="M284">
            <v>1286</v>
          </cell>
        </row>
        <row r="285">
          <cell r="B285" t="str">
            <v>녹지경계블럭</v>
          </cell>
          <cell r="C285" t="str">
            <v>190x160xT100</v>
          </cell>
          <cell r="D285">
            <v>10</v>
          </cell>
          <cell r="E285" t="str">
            <v>매</v>
          </cell>
          <cell r="F285">
            <v>550</v>
          </cell>
          <cell r="G285">
            <v>5500</v>
          </cell>
          <cell r="I285">
            <v>0</v>
          </cell>
          <cell r="K285">
            <v>0</v>
          </cell>
          <cell r="L285">
            <v>550</v>
          </cell>
          <cell r="M285">
            <v>5500</v>
          </cell>
        </row>
        <row r="286">
          <cell r="B286" t="str">
            <v>특별인부</v>
          </cell>
          <cell r="D286">
            <v>5.0000000000000001E-3</v>
          </cell>
          <cell r="E286" t="str">
            <v>인</v>
          </cell>
          <cell r="G286">
            <v>0</v>
          </cell>
          <cell r="H286">
            <v>66050</v>
          </cell>
          <cell r="I286">
            <v>330.2</v>
          </cell>
          <cell r="K286">
            <v>0</v>
          </cell>
          <cell r="L286">
            <v>66050</v>
          </cell>
          <cell r="M286">
            <v>330.2</v>
          </cell>
        </row>
        <row r="287">
          <cell r="B287" t="str">
            <v>보통인부</v>
          </cell>
          <cell r="D287">
            <v>1.7000000000000001E-2</v>
          </cell>
          <cell r="E287" t="str">
            <v>인</v>
          </cell>
          <cell r="G287">
            <v>0</v>
          </cell>
          <cell r="H287">
            <v>52370</v>
          </cell>
          <cell r="I287">
            <v>890.2</v>
          </cell>
          <cell r="K287">
            <v>0</v>
          </cell>
          <cell r="L287">
            <v>52370</v>
          </cell>
          <cell r="M287">
            <v>890.2</v>
          </cell>
        </row>
        <row r="288">
          <cell r="B288" t="str">
            <v>몰     탈</v>
          </cell>
          <cell r="C288" t="str">
            <v>1:2, 이음</v>
          </cell>
          <cell r="D288">
            <v>1E-3</v>
          </cell>
          <cell r="E288" t="str">
            <v>M3</v>
          </cell>
          <cell r="F288">
            <v>52283</v>
          </cell>
          <cell r="G288">
            <v>52.2</v>
          </cell>
          <cell r="H288">
            <v>55247</v>
          </cell>
          <cell r="I288">
            <v>55.2</v>
          </cell>
          <cell r="J288">
            <v>15739</v>
          </cell>
          <cell r="K288">
            <v>15.7</v>
          </cell>
          <cell r="L288">
            <v>123269</v>
          </cell>
          <cell r="M288">
            <v>123.10000000000001</v>
          </cell>
        </row>
        <row r="289">
          <cell r="B289" t="str">
            <v>몰     탈</v>
          </cell>
          <cell r="C289" t="str">
            <v>1:3, 붙임</v>
          </cell>
          <cell r="D289">
            <v>8.9999999999999993E-3</v>
          </cell>
          <cell r="E289" t="str">
            <v>M3</v>
          </cell>
          <cell r="F289">
            <v>42996</v>
          </cell>
          <cell r="G289">
            <v>386.9</v>
          </cell>
          <cell r="H289">
            <v>55599</v>
          </cell>
          <cell r="I289">
            <v>500.3</v>
          </cell>
          <cell r="J289">
            <v>12417</v>
          </cell>
          <cell r="K289">
            <v>111.7</v>
          </cell>
          <cell r="L289">
            <v>111012</v>
          </cell>
          <cell r="M289">
            <v>998.90000000000009</v>
          </cell>
        </row>
        <row r="290">
          <cell r="B290" t="str">
            <v>소  계</v>
          </cell>
          <cell r="G290">
            <v>9401</v>
          </cell>
          <cell r="I290">
            <v>10979</v>
          </cell>
          <cell r="K290">
            <v>127</v>
          </cell>
          <cell r="M290">
            <v>20508</v>
          </cell>
        </row>
        <row r="292">
          <cell r="B292">
            <v>45</v>
          </cell>
          <cell r="C292" t="str">
            <v>포장경계</v>
          </cell>
          <cell r="E292" t="str">
            <v>100x100x1000</v>
          </cell>
          <cell r="G292" t="str">
            <v xml:space="preserve"> </v>
          </cell>
          <cell r="H292">
            <v>0</v>
          </cell>
          <cell r="I292" t="str">
            <v xml:space="preserve"> </v>
          </cell>
          <cell r="K292" t="str">
            <v xml:space="preserve"> </v>
          </cell>
          <cell r="M292" t="str">
            <v>m당</v>
          </cell>
        </row>
        <row r="293">
          <cell r="B293" t="str">
            <v>합판거푸집(6회)</v>
          </cell>
          <cell r="C293" t="str">
            <v>소형구조물</v>
          </cell>
          <cell r="D293">
            <v>0.28000000000000003</v>
          </cell>
          <cell r="E293" t="str">
            <v>M2</v>
          </cell>
          <cell r="F293">
            <v>4042</v>
          </cell>
          <cell r="G293">
            <v>1131.7</v>
          </cell>
          <cell r="H293">
            <v>16957</v>
          </cell>
          <cell r="I293">
            <v>4747.8999999999996</v>
          </cell>
          <cell r="J293">
            <v>0</v>
          </cell>
          <cell r="K293">
            <v>0</v>
          </cell>
          <cell r="L293">
            <v>20999</v>
          </cell>
          <cell r="M293">
            <v>5879.5999999999995</v>
          </cell>
        </row>
        <row r="294">
          <cell r="B294" t="str">
            <v>레 미 콘</v>
          </cell>
          <cell r="C294" t="str">
            <v>25-180- 8</v>
          </cell>
          <cell r="D294">
            <v>2.8000000000000001E-2</v>
          </cell>
          <cell r="E294" t="str">
            <v>M3</v>
          </cell>
          <cell r="F294">
            <v>47860</v>
          </cell>
          <cell r="G294">
            <v>1340</v>
          </cell>
          <cell r="I294">
            <v>0</v>
          </cell>
          <cell r="K294">
            <v>0</v>
          </cell>
          <cell r="L294">
            <v>47860</v>
          </cell>
          <cell r="M294">
            <v>1340</v>
          </cell>
        </row>
        <row r="295">
          <cell r="B295" t="str">
            <v>레미콘타설</v>
          </cell>
          <cell r="C295" t="str">
            <v>무근</v>
          </cell>
          <cell r="D295">
            <v>2.8000000000000001E-2</v>
          </cell>
          <cell r="E295" t="str">
            <v>M3</v>
          </cell>
          <cell r="F295">
            <v>0</v>
          </cell>
          <cell r="G295">
            <v>0</v>
          </cell>
          <cell r="H295">
            <v>27362</v>
          </cell>
          <cell r="I295">
            <v>766.1</v>
          </cell>
          <cell r="J295">
            <v>0</v>
          </cell>
          <cell r="K295">
            <v>0</v>
          </cell>
          <cell r="L295">
            <v>27362</v>
          </cell>
          <cell r="M295">
            <v>766.1</v>
          </cell>
        </row>
        <row r="296">
          <cell r="B296" t="str">
            <v>화강석경계석</v>
          </cell>
          <cell r="C296" t="str">
            <v>100x100x1000</v>
          </cell>
          <cell r="D296">
            <v>1</v>
          </cell>
          <cell r="E296" t="str">
            <v>m</v>
          </cell>
          <cell r="F296">
            <v>6220</v>
          </cell>
          <cell r="G296">
            <v>6220</v>
          </cell>
          <cell r="I296">
            <v>0</v>
          </cell>
          <cell r="K296">
            <v>0</v>
          </cell>
          <cell r="L296">
            <v>6220</v>
          </cell>
          <cell r="M296">
            <v>6220</v>
          </cell>
        </row>
        <row r="297">
          <cell r="B297" t="str">
            <v>특별인부</v>
          </cell>
          <cell r="D297">
            <v>2.3E-2</v>
          </cell>
          <cell r="E297" t="str">
            <v>인</v>
          </cell>
          <cell r="G297">
            <v>0</v>
          </cell>
          <cell r="H297">
            <v>66050</v>
          </cell>
          <cell r="I297">
            <v>1519.1</v>
          </cell>
          <cell r="K297">
            <v>0</v>
          </cell>
          <cell r="L297">
            <v>66050</v>
          </cell>
          <cell r="M297">
            <v>1519.1</v>
          </cell>
        </row>
        <row r="298">
          <cell r="B298" t="str">
            <v>보통인부</v>
          </cell>
          <cell r="D298">
            <v>3.1E-2</v>
          </cell>
          <cell r="E298" t="str">
            <v>인</v>
          </cell>
          <cell r="G298">
            <v>0</v>
          </cell>
          <cell r="H298">
            <v>52370</v>
          </cell>
          <cell r="I298">
            <v>1623.4</v>
          </cell>
          <cell r="K298">
            <v>0</v>
          </cell>
          <cell r="L298">
            <v>52370</v>
          </cell>
          <cell r="M298">
            <v>1623.4</v>
          </cell>
        </row>
        <row r="299">
          <cell r="B299" t="str">
            <v>소  계</v>
          </cell>
          <cell r="G299">
            <v>8691</v>
          </cell>
          <cell r="I299">
            <v>8656</v>
          </cell>
          <cell r="K299">
            <v>0</v>
          </cell>
          <cell r="M299">
            <v>17348</v>
          </cell>
        </row>
      </sheetData>
      <sheetData sheetId="11" refreshError="1">
        <row r="1">
          <cell r="B1" t="str">
            <v>공   종</v>
          </cell>
          <cell r="C1" t="str">
            <v>규  격</v>
          </cell>
          <cell r="D1" t="str">
            <v>수 량</v>
          </cell>
          <cell r="E1" t="str">
            <v>단</v>
          </cell>
          <cell r="F1" t="str">
            <v>재  료  비</v>
          </cell>
          <cell r="H1" t="str">
            <v>노  무  비</v>
          </cell>
          <cell r="J1" t="str">
            <v>경     비</v>
          </cell>
          <cell r="L1" t="str">
            <v>합  계</v>
          </cell>
        </row>
        <row r="2">
          <cell r="E2" t="str">
            <v>위</v>
          </cell>
          <cell r="F2" t="str">
            <v>단 가</v>
          </cell>
          <cell r="G2" t="str">
            <v>금 액</v>
          </cell>
          <cell r="H2" t="str">
            <v>단 가</v>
          </cell>
          <cell r="I2" t="str">
            <v>금 액</v>
          </cell>
          <cell r="J2" t="str">
            <v>단 가</v>
          </cell>
          <cell r="K2" t="str">
            <v>금 액</v>
          </cell>
          <cell r="L2" t="str">
            <v>단 가</v>
          </cell>
          <cell r="M2" t="str">
            <v>금 액</v>
          </cell>
        </row>
        <row r="3">
          <cell r="B3">
            <v>46</v>
          </cell>
          <cell r="C3" t="str">
            <v>터파기(인력)</v>
          </cell>
          <cell r="D3" t="str">
            <v>보통토사,0~1m,협소/독립</v>
          </cell>
          <cell r="M3" t="str">
            <v>M3당</v>
          </cell>
        </row>
        <row r="4">
          <cell r="B4" t="str">
            <v>보통인부</v>
          </cell>
          <cell r="D4">
            <v>0.2</v>
          </cell>
          <cell r="E4" t="str">
            <v>인</v>
          </cell>
          <cell r="G4">
            <v>0</v>
          </cell>
          <cell r="H4">
            <v>52370</v>
          </cell>
          <cell r="I4">
            <v>10474</v>
          </cell>
          <cell r="K4">
            <v>0</v>
          </cell>
          <cell r="L4">
            <v>52370</v>
          </cell>
          <cell r="M4">
            <v>10474</v>
          </cell>
        </row>
        <row r="5">
          <cell r="B5" t="str">
            <v>소   계</v>
          </cell>
          <cell r="G5">
            <v>0</v>
          </cell>
          <cell r="I5">
            <v>10474</v>
          </cell>
          <cell r="K5">
            <v>0</v>
          </cell>
          <cell r="M5">
            <v>10474</v>
          </cell>
        </row>
        <row r="6">
          <cell r="G6">
            <v>0</v>
          </cell>
          <cell r="I6">
            <v>0</v>
          </cell>
          <cell r="K6">
            <v>0</v>
          </cell>
          <cell r="M6">
            <v>0</v>
          </cell>
        </row>
        <row r="7">
          <cell r="B7">
            <v>47</v>
          </cell>
          <cell r="C7" t="str">
            <v>절취(인력)</v>
          </cell>
          <cell r="D7" t="str">
            <v>보통토사</v>
          </cell>
          <cell r="M7" t="str">
            <v>M3당</v>
          </cell>
        </row>
        <row r="8">
          <cell r="B8" t="str">
            <v>보통인부</v>
          </cell>
          <cell r="D8">
            <v>0.16</v>
          </cell>
          <cell r="E8" t="str">
            <v>인</v>
          </cell>
          <cell r="G8">
            <v>0</v>
          </cell>
          <cell r="H8">
            <v>52370</v>
          </cell>
          <cell r="I8">
            <v>8379.2000000000007</v>
          </cell>
          <cell r="K8">
            <v>0</v>
          </cell>
          <cell r="L8">
            <v>52370</v>
          </cell>
          <cell r="M8">
            <v>8379.2000000000007</v>
          </cell>
        </row>
        <row r="9">
          <cell r="B9" t="str">
            <v>소   계</v>
          </cell>
          <cell r="G9">
            <v>0</v>
          </cell>
          <cell r="I9">
            <v>8379</v>
          </cell>
          <cell r="K9">
            <v>0</v>
          </cell>
          <cell r="M9">
            <v>8379</v>
          </cell>
        </row>
        <row r="11">
          <cell r="B11">
            <v>48</v>
          </cell>
          <cell r="C11" t="str">
            <v>잔토처리(인력)</v>
          </cell>
          <cell r="D11" t="str">
            <v>현장내</v>
          </cell>
          <cell r="M11" t="str">
            <v>M3당</v>
          </cell>
        </row>
        <row r="12">
          <cell r="B12" t="str">
            <v>보통인부</v>
          </cell>
          <cell r="D12">
            <v>0.2</v>
          </cell>
          <cell r="E12" t="str">
            <v>인</v>
          </cell>
          <cell r="G12">
            <v>0</v>
          </cell>
          <cell r="H12">
            <v>52370</v>
          </cell>
          <cell r="I12">
            <v>10474</v>
          </cell>
          <cell r="K12">
            <v>0</v>
          </cell>
          <cell r="L12">
            <v>52370</v>
          </cell>
          <cell r="M12">
            <v>10474</v>
          </cell>
        </row>
        <row r="13">
          <cell r="B13" t="str">
            <v>소   계</v>
          </cell>
          <cell r="G13">
            <v>0</v>
          </cell>
          <cell r="I13">
            <v>10474</v>
          </cell>
          <cell r="K13">
            <v>0</v>
          </cell>
          <cell r="M13">
            <v>10474</v>
          </cell>
        </row>
        <row r="15">
          <cell r="B15">
            <v>49</v>
          </cell>
          <cell r="C15" t="str">
            <v>되메우기및다짐</v>
          </cell>
          <cell r="D15" t="str">
            <v>인력</v>
          </cell>
          <cell r="M15" t="str">
            <v>M3당</v>
          </cell>
        </row>
        <row r="16">
          <cell r="B16" t="str">
            <v>보통인부</v>
          </cell>
          <cell r="C16" t="str">
            <v>되메우기</v>
          </cell>
          <cell r="D16">
            <v>0.21</v>
          </cell>
          <cell r="E16" t="str">
            <v>인</v>
          </cell>
          <cell r="G16">
            <v>0</v>
          </cell>
          <cell r="H16">
            <v>52370</v>
          </cell>
          <cell r="I16">
            <v>10997.7</v>
          </cell>
          <cell r="K16">
            <v>0</v>
          </cell>
          <cell r="L16">
            <v>52370</v>
          </cell>
          <cell r="M16">
            <v>10997.7</v>
          </cell>
        </row>
        <row r="17">
          <cell r="B17" t="str">
            <v>소   계</v>
          </cell>
          <cell r="G17">
            <v>0</v>
          </cell>
          <cell r="I17">
            <v>10997</v>
          </cell>
          <cell r="K17">
            <v>0</v>
          </cell>
          <cell r="M17">
            <v>10997</v>
          </cell>
        </row>
        <row r="19">
          <cell r="B19">
            <v>50</v>
          </cell>
          <cell r="C19" t="str">
            <v>자갈부설</v>
          </cell>
          <cell r="M19" t="str">
            <v>M3당</v>
          </cell>
        </row>
        <row r="20">
          <cell r="B20" t="str">
            <v>보통인부</v>
          </cell>
          <cell r="C20" t="str">
            <v>소운반,부설</v>
          </cell>
          <cell r="D20">
            <v>1.1000000000000001</v>
          </cell>
          <cell r="E20" t="str">
            <v>인</v>
          </cell>
          <cell r="G20">
            <v>0</v>
          </cell>
          <cell r="H20">
            <v>52370</v>
          </cell>
          <cell r="I20">
            <v>57607</v>
          </cell>
          <cell r="K20">
            <v>0</v>
          </cell>
          <cell r="L20">
            <v>52370</v>
          </cell>
          <cell r="M20">
            <v>57607</v>
          </cell>
        </row>
        <row r="21">
          <cell r="B21" t="str">
            <v>자갈운반</v>
          </cell>
          <cell r="C21" t="str">
            <v>8TON D/T</v>
          </cell>
          <cell r="D21">
            <v>1.06</v>
          </cell>
          <cell r="E21" t="str">
            <v>M3</v>
          </cell>
          <cell r="F21">
            <v>3168.0707616707618</v>
          </cell>
          <cell r="G21">
            <v>3358.1</v>
          </cell>
          <cell r="H21">
            <v>3247.1744471744469</v>
          </cell>
          <cell r="I21">
            <v>3442</v>
          </cell>
          <cell r="J21">
            <v>1858.2309582309581</v>
          </cell>
          <cell r="K21">
            <v>1969.7</v>
          </cell>
          <cell r="L21">
            <v>8273.4761670761654</v>
          </cell>
          <cell r="M21">
            <v>8769.8000000000011</v>
          </cell>
        </row>
        <row r="22">
          <cell r="B22" t="str">
            <v>소   계</v>
          </cell>
          <cell r="G22">
            <v>3358</v>
          </cell>
          <cell r="I22">
            <v>61049</v>
          </cell>
          <cell r="K22">
            <v>1969</v>
          </cell>
          <cell r="M22">
            <v>66376</v>
          </cell>
        </row>
        <row r="24">
          <cell r="G24">
            <v>0</v>
          </cell>
          <cell r="I24">
            <v>0</v>
          </cell>
          <cell r="K24">
            <v>0</v>
          </cell>
          <cell r="M24">
            <v>0</v>
          </cell>
        </row>
        <row r="25">
          <cell r="B25">
            <v>51</v>
          </cell>
          <cell r="C25" t="str">
            <v>잡석다짐</v>
          </cell>
          <cell r="D25" t="str">
            <v>인력</v>
          </cell>
          <cell r="M25" t="str">
            <v>M3당</v>
          </cell>
        </row>
        <row r="26">
          <cell r="B26" t="str">
            <v>자   갈</v>
          </cell>
          <cell r="C26" t="str">
            <v>#57(Φ25mm)</v>
          </cell>
          <cell r="D26">
            <v>1.04</v>
          </cell>
          <cell r="E26" t="str">
            <v>M3</v>
          </cell>
          <cell r="F26">
            <v>12000</v>
          </cell>
          <cell r="G26">
            <v>12480</v>
          </cell>
          <cell r="I26">
            <v>0</v>
          </cell>
          <cell r="K26">
            <v>0</v>
          </cell>
          <cell r="L26">
            <v>12000</v>
          </cell>
          <cell r="M26">
            <v>12480</v>
          </cell>
        </row>
        <row r="27">
          <cell r="B27" t="str">
            <v>보통인부</v>
          </cell>
          <cell r="C27" t="str">
            <v>소운반,부설</v>
          </cell>
          <cell r="D27">
            <v>1.1000000000000001</v>
          </cell>
          <cell r="E27" t="str">
            <v>인</v>
          </cell>
          <cell r="G27">
            <v>0</v>
          </cell>
          <cell r="H27">
            <v>52370</v>
          </cell>
          <cell r="I27">
            <v>57607</v>
          </cell>
          <cell r="K27">
            <v>0</v>
          </cell>
          <cell r="L27">
            <v>52370</v>
          </cell>
          <cell r="M27">
            <v>57607</v>
          </cell>
        </row>
        <row r="28">
          <cell r="B28" t="str">
            <v>기구손료</v>
          </cell>
          <cell r="C28" t="str">
            <v>노력품의2%</v>
          </cell>
          <cell r="D28">
            <v>0.02</v>
          </cell>
          <cell r="E28" t="str">
            <v>식</v>
          </cell>
          <cell r="G28">
            <v>0</v>
          </cell>
          <cell r="I28">
            <v>0</v>
          </cell>
          <cell r="J28">
            <v>57607</v>
          </cell>
          <cell r="K28">
            <v>1152.0999999999999</v>
          </cell>
          <cell r="L28">
            <v>57607</v>
          </cell>
          <cell r="M28">
            <v>1152.0999999999999</v>
          </cell>
        </row>
        <row r="29">
          <cell r="B29" t="str">
            <v>소   계</v>
          </cell>
          <cell r="G29">
            <v>12480</v>
          </cell>
          <cell r="I29">
            <v>57607</v>
          </cell>
          <cell r="K29">
            <v>1152</v>
          </cell>
          <cell r="M29">
            <v>71239</v>
          </cell>
        </row>
        <row r="31">
          <cell r="B31">
            <v>52</v>
          </cell>
          <cell r="C31" t="str">
            <v>몰     탈</v>
          </cell>
          <cell r="D31" t="str">
            <v>1:1</v>
          </cell>
          <cell r="M31" t="str">
            <v>M3당</v>
          </cell>
        </row>
        <row r="32">
          <cell r="B32" t="str">
            <v>시 멘 트</v>
          </cell>
          <cell r="C32" t="str">
            <v>40KG/포</v>
          </cell>
          <cell r="D32">
            <v>1093</v>
          </cell>
          <cell r="E32" t="str">
            <v>KG</v>
          </cell>
          <cell r="F32">
            <v>61.95</v>
          </cell>
          <cell r="G32">
            <v>67711.3</v>
          </cell>
          <cell r="I32">
            <v>0</v>
          </cell>
          <cell r="K32">
            <v>0</v>
          </cell>
          <cell r="L32">
            <v>61.95</v>
          </cell>
          <cell r="M32">
            <v>67711.3</v>
          </cell>
        </row>
        <row r="33">
          <cell r="B33" t="str">
            <v>시멘트운반</v>
          </cell>
          <cell r="C33" t="str">
            <v>4TON D/T</v>
          </cell>
          <cell r="D33">
            <v>1093</v>
          </cell>
          <cell r="E33" t="str">
            <v>KG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20.725000000000001</v>
          </cell>
          <cell r="K33">
            <v>22652.400000000001</v>
          </cell>
          <cell r="L33">
            <v>20.725000000000001</v>
          </cell>
          <cell r="M33">
            <v>22652.400000000001</v>
          </cell>
        </row>
        <row r="34">
          <cell r="B34" t="str">
            <v>모   래</v>
          </cell>
          <cell r="C34">
            <v>0</v>
          </cell>
          <cell r="D34">
            <v>0.78</v>
          </cell>
          <cell r="E34" t="str">
            <v>M3</v>
          </cell>
          <cell r="F34">
            <v>7500</v>
          </cell>
          <cell r="G34">
            <v>5850</v>
          </cell>
          <cell r="I34">
            <v>0</v>
          </cell>
          <cell r="K34">
            <v>0</v>
          </cell>
          <cell r="L34">
            <v>7500</v>
          </cell>
          <cell r="M34">
            <v>5850</v>
          </cell>
        </row>
        <row r="35">
          <cell r="B35" t="str">
            <v>모래운반</v>
          </cell>
          <cell r="C35" t="str">
            <v>8TON D/T</v>
          </cell>
          <cell r="D35">
            <v>0.78</v>
          </cell>
          <cell r="E35" t="str">
            <v>M3</v>
          </cell>
          <cell r="F35">
            <v>2865</v>
          </cell>
          <cell r="G35">
            <v>2234.6999999999998</v>
          </cell>
          <cell r="H35">
            <v>2936</v>
          </cell>
          <cell r="I35">
            <v>2290</v>
          </cell>
          <cell r="J35">
            <v>1680</v>
          </cell>
          <cell r="K35">
            <v>1310.4000000000001</v>
          </cell>
          <cell r="L35">
            <v>7481</v>
          </cell>
          <cell r="M35">
            <v>5835.1</v>
          </cell>
        </row>
        <row r="36">
          <cell r="B36" t="str">
            <v>보통인부</v>
          </cell>
          <cell r="C36" t="str">
            <v xml:space="preserve"> </v>
          </cell>
          <cell r="D36">
            <v>1</v>
          </cell>
          <cell r="E36" t="str">
            <v>인</v>
          </cell>
          <cell r="G36">
            <v>0</v>
          </cell>
          <cell r="H36">
            <v>52370</v>
          </cell>
          <cell r="I36">
            <v>52370</v>
          </cell>
          <cell r="K36">
            <v>0</v>
          </cell>
          <cell r="L36">
            <v>52370</v>
          </cell>
          <cell r="M36">
            <v>52370</v>
          </cell>
        </row>
        <row r="37">
          <cell r="B37" t="str">
            <v>소   계</v>
          </cell>
          <cell r="G37">
            <v>75796</v>
          </cell>
          <cell r="I37">
            <v>54660</v>
          </cell>
          <cell r="K37">
            <v>23962</v>
          </cell>
          <cell r="M37">
            <v>154418</v>
          </cell>
        </row>
        <row r="39">
          <cell r="B39">
            <v>53</v>
          </cell>
          <cell r="C39" t="str">
            <v>몰     탈</v>
          </cell>
          <cell r="D39" t="str">
            <v>1:2</v>
          </cell>
          <cell r="M39" t="str">
            <v>M3당</v>
          </cell>
        </row>
        <row r="40">
          <cell r="B40" t="str">
            <v>시 멘 트</v>
          </cell>
          <cell r="C40" t="str">
            <v>40KG/포</v>
          </cell>
          <cell r="D40">
            <v>680</v>
          </cell>
          <cell r="E40" t="str">
            <v>KG</v>
          </cell>
          <cell r="F40">
            <v>61.95</v>
          </cell>
          <cell r="G40">
            <v>42126</v>
          </cell>
          <cell r="I40">
            <v>0</v>
          </cell>
          <cell r="K40">
            <v>0</v>
          </cell>
          <cell r="L40">
            <v>61.95</v>
          </cell>
          <cell r="M40">
            <v>42126</v>
          </cell>
        </row>
        <row r="41">
          <cell r="B41" t="str">
            <v>시멘트운반</v>
          </cell>
          <cell r="C41" t="str">
            <v>4TON D/T</v>
          </cell>
          <cell r="D41">
            <v>680</v>
          </cell>
          <cell r="E41" t="str">
            <v>KG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20.725000000000001</v>
          </cell>
          <cell r="K41">
            <v>14093</v>
          </cell>
          <cell r="L41">
            <v>20.725000000000001</v>
          </cell>
          <cell r="M41">
            <v>14093</v>
          </cell>
        </row>
        <row r="42">
          <cell r="B42" t="str">
            <v>모   래</v>
          </cell>
          <cell r="C42">
            <v>0</v>
          </cell>
          <cell r="D42">
            <v>0.98</v>
          </cell>
          <cell r="E42" t="str">
            <v>M3</v>
          </cell>
          <cell r="F42">
            <v>7500</v>
          </cell>
          <cell r="G42">
            <v>7350</v>
          </cell>
          <cell r="I42">
            <v>0</v>
          </cell>
          <cell r="K42">
            <v>0</v>
          </cell>
          <cell r="L42">
            <v>7500</v>
          </cell>
          <cell r="M42">
            <v>7350</v>
          </cell>
        </row>
        <row r="43">
          <cell r="B43" t="str">
            <v>모래운반</v>
          </cell>
          <cell r="C43" t="str">
            <v>8TON D/T</v>
          </cell>
          <cell r="D43">
            <v>0.98</v>
          </cell>
          <cell r="E43" t="str">
            <v>M3</v>
          </cell>
          <cell r="F43">
            <v>2865</v>
          </cell>
          <cell r="G43">
            <v>2807.7</v>
          </cell>
          <cell r="H43">
            <v>2936</v>
          </cell>
          <cell r="I43">
            <v>2877.2</v>
          </cell>
          <cell r="J43">
            <v>1680</v>
          </cell>
          <cell r="K43">
            <v>1646.4</v>
          </cell>
          <cell r="L43">
            <v>7481</v>
          </cell>
          <cell r="M43">
            <v>7331.2999999999993</v>
          </cell>
        </row>
        <row r="44">
          <cell r="B44" t="str">
            <v>보통인부</v>
          </cell>
          <cell r="C44" t="str">
            <v xml:space="preserve"> </v>
          </cell>
          <cell r="D44">
            <v>1</v>
          </cell>
          <cell r="E44" t="str">
            <v>인</v>
          </cell>
          <cell r="G44">
            <v>0</v>
          </cell>
          <cell r="H44">
            <v>52370</v>
          </cell>
          <cell r="I44">
            <v>52370</v>
          </cell>
          <cell r="K44">
            <v>0</v>
          </cell>
          <cell r="L44">
            <v>52370</v>
          </cell>
          <cell r="M44">
            <v>52370</v>
          </cell>
        </row>
        <row r="45">
          <cell r="B45" t="str">
            <v>소   계</v>
          </cell>
          <cell r="G45">
            <v>52283</v>
          </cell>
          <cell r="I45">
            <v>55247</v>
          </cell>
          <cell r="K45">
            <v>15739</v>
          </cell>
          <cell r="M45">
            <v>123269</v>
          </cell>
        </row>
        <row r="47">
          <cell r="B47">
            <v>54</v>
          </cell>
          <cell r="C47" t="str">
            <v>몰     탈</v>
          </cell>
          <cell r="D47" t="str">
            <v>1:3</v>
          </cell>
          <cell r="M47" t="str">
            <v>M3당</v>
          </cell>
        </row>
        <row r="48">
          <cell r="B48" t="str">
            <v>시 멘 트</v>
          </cell>
          <cell r="C48" t="str">
            <v>40KG/포</v>
          </cell>
          <cell r="D48">
            <v>510</v>
          </cell>
          <cell r="E48" t="str">
            <v>KG</v>
          </cell>
          <cell r="F48">
            <v>61.95</v>
          </cell>
          <cell r="G48">
            <v>31594.5</v>
          </cell>
          <cell r="I48">
            <v>0</v>
          </cell>
          <cell r="K48">
            <v>0</v>
          </cell>
          <cell r="L48">
            <v>61.95</v>
          </cell>
          <cell r="M48">
            <v>31594.5</v>
          </cell>
        </row>
        <row r="49">
          <cell r="B49" t="str">
            <v>시멘트운반</v>
          </cell>
          <cell r="C49" t="str">
            <v>4TON D/T</v>
          </cell>
          <cell r="D49">
            <v>510</v>
          </cell>
          <cell r="E49" t="str">
            <v>KG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20.725000000000001</v>
          </cell>
          <cell r="K49">
            <v>10569.7</v>
          </cell>
          <cell r="L49">
            <v>20.725000000000001</v>
          </cell>
          <cell r="M49">
            <v>10569.7</v>
          </cell>
        </row>
        <row r="50">
          <cell r="B50" t="str">
            <v>모   래</v>
          </cell>
          <cell r="C50">
            <v>0</v>
          </cell>
          <cell r="D50">
            <v>1.1000000000000001</v>
          </cell>
          <cell r="E50" t="str">
            <v>M3</v>
          </cell>
          <cell r="F50">
            <v>7500</v>
          </cell>
          <cell r="G50">
            <v>8250</v>
          </cell>
          <cell r="I50">
            <v>0</v>
          </cell>
          <cell r="K50">
            <v>0</v>
          </cell>
          <cell r="L50">
            <v>7500</v>
          </cell>
          <cell r="M50">
            <v>8250</v>
          </cell>
        </row>
        <row r="51">
          <cell r="B51" t="str">
            <v>모래운반</v>
          </cell>
          <cell r="C51" t="str">
            <v>8TON D/T</v>
          </cell>
          <cell r="D51">
            <v>1.1000000000000001</v>
          </cell>
          <cell r="E51" t="str">
            <v>M3</v>
          </cell>
          <cell r="F51">
            <v>2865</v>
          </cell>
          <cell r="G51">
            <v>3151.5</v>
          </cell>
          <cell r="H51">
            <v>2936</v>
          </cell>
          <cell r="I51">
            <v>3229.6</v>
          </cell>
          <cell r="J51">
            <v>1680</v>
          </cell>
          <cell r="K51">
            <v>1848</v>
          </cell>
          <cell r="L51">
            <v>7481</v>
          </cell>
          <cell r="M51">
            <v>8229.1</v>
          </cell>
        </row>
        <row r="52">
          <cell r="B52" t="str">
            <v>보통인부</v>
          </cell>
          <cell r="C52" t="str">
            <v xml:space="preserve"> </v>
          </cell>
          <cell r="D52">
            <v>1</v>
          </cell>
          <cell r="E52" t="str">
            <v>인</v>
          </cell>
          <cell r="G52">
            <v>0</v>
          </cell>
          <cell r="H52">
            <v>52370</v>
          </cell>
          <cell r="I52">
            <v>52370</v>
          </cell>
          <cell r="K52">
            <v>0</v>
          </cell>
          <cell r="L52">
            <v>52370</v>
          </cell>
          <cell r="M52">
            <v>52370</v>
          </cell>
        </row>
        <row r="53">
          <cell r="B53" t="str">
            <v>소   계</v>
          </cell>
          <cell r="G53">
            <v>42996</v>
          </cell>
          <cell r="I53">
            <v>55599</v>
          </cell>
          <cell r="K53">
            <v>12417</v>
          </cell>
          <cell r="M53">
            <v>111012</v>
          </cell>
        </row>
        <row r="55">
          <cell r="B55">
            <v>55</v>
          </cell>
          <cell r="C55" t="str">
            <v>레미콘타설</v>
          </cell>
          <cell r="D55" t="str">
            <v>무근</v>
          </cell>
          <cell r="M55" t="str">
            <v>M3당</v>
          </cell>
        </row>
        <row r="56">
          <cell r="B56" t="str">
            <v>콘크리트공</v>
          </cell>
          <cell r="C56" t="str">
            <v xml:space="preserve"> </v>
          </cell>
          <cell r="D56">
            <v>0.15</v>
          </cell>
          <cell r="E56" t="str">
            <v>인</v>
          </cell>
          <cell r="G56">
            <v>0</v>
          </cell>
          <cell r="H56">
            <v>88150</v>
          </cell>
          <cell r="I56">
            <v>13222.5</v>
          </cell>
          <cell r="K56">
            <v>0</v>
          </cell>
          <cell r="L56">
            <v>88150</v>
          </cell>
          <cell r="M56">
            <v>13222.5</v>
          </cell>
        </row>
        <row r="57">
          <cell r="B57" t="str">
            <v>보통인부</v>
          </cell>
          <cell r="C57" t="str">
            <v xml:space="preserve"> </v>
          </cell>
          <cell r="D57">
            <v>0.27</v>
          </cell>
          <cell r="E57" t="str">
            <v>인</v>
          </cell>
          <cell r="G57">
            <v>0</v>
          </cell>
          <cell r="H57">
            <v>52370</v>
          </cell>
          <cell r="I57">
            <v>14139.9</v>
          </cell>
          <cell r="K57">
            <v>0</v>
          </cell>
          <cell r="L57">
            <v>52370</v>
          </cell>
          <cell r="M57">
            <v>14139.9</v>
          </cell>
        </row>
        <row r="58">
          <cell r="B58" t="str">
            <v>소   계</v>
          </cell>
          <cell r="G58">
            <v>0</v>
          </cell>
          <cell r="I58">
            <v>27362</v>
          </cell>
          <cell r="K58">
            <v>0</v>
          </cell>
          <cell r="M58">
            <v>27362</v>
          </cell>
        </row>
        <row r="59">
          <cell r="G59">
            <v>0</v>
          </cell>
          <cell r="I59">
            <v>0</v>
          </cell>
          <cell r="K59">
            <v>0</v>
          </cell>
          <cell r="M59">
            <v>0</v>
          </cell>
        </row>
        <row r="60">
          <cell r="B60">
            <v>56</v>
          </cell>
          <cell r="C60" t="str">
            <v>레미콘타설</v>
          </cell>
          <cell r="D60" t="str">
            <v>소형</v>
          </cell>
          <cell r="M60" t="str">
            <v>M3당</v>
          </cell>
        </row>
        <row r="61">
          <cell r="B61" t="str">
            <v>콘크리트공</v>
          </cell>
          <cell r="C61" t="str">
            <v xml:space="preserve"> </v>
          </cell>
          <cell r="D61">
            <v>0.24</v>
          </cell>
          <cell r="E61" t="str">
            <v>인</v>
          </cell>
          <cell r="G61">
            <v>0</v>
          </cell>
          <cell r="H61">
            <v>88150</v>
          </cell>
          <cell r="I61">
            <v>21156</v>
          </cell>
          <cell r="K61">
            <v>0</v>
          </cell>
          <cell r="L61">
            <v>88150</v>
          </cell>
          <cell r="M61">
            <v>21156</v>
          </cell>
        </row>
        <row r="62">
          <cell r="B62" t="str">
            <v>보통인부</v>
          </cell>
          <cell r="C62" t="str">
            <v xml:space="preserve"> </v>
          </cell>
          <cell r="D62">
            <v>0.42</v>
          </cell>
          <cell r="E62" t="str">
            <v>인</v>
          </cell>
          <cell r="G62">
            <v>0</v>
          </cell>
          <cell r="H62">
            <v>52370</v>
          </cell>
          <cell r="I62">
            <v>21995.4</v>
          </cell>
          <cell r="K62">
            <v>0</v>
          </cell>
          <cell r="L62">
            <v>52370</v>
          </cell>
          <cell r="M62">
            <v>21995.4</v>
          </cell>
        </row>
        <row r="63">
          <cell r="B63" t="str">
            <v>소   계</v>
          </cell>
          <cell r="G63">
            <v>0</v>
          </cell>
          <cell r="I63">
            <v>43151</v>
          </cell>
          <cell r="K63">
            <v>0</v>
          </cell>
          <cell r="M63">
            <v>43151</v>
          </cell>
        </row>
        <row r="65">
          <cell r="B65">
            <v>57</v>
          </cell>
          <cell r="C65" t="str">
            <v>합판거푸집(1회)</v>
          </cell>
          <cell r="D65" t="str">
            <v>보통</v>
          </cell>
          <cell r="M65" t="str">
            <v>M2당</v>
          </cell>
        </row>
        <row r="66">
          <cell r="B66" t="str">
            <v>합   판</v>
          </cell>
          <cell r="C66" t="str">
            <v>내수 12MM</v>
          </cell>
          <cell r="D66">
            <v>1.03</v>
          </cell>
          <cell r="E66" t="str">
            <v>M2</v>
          </cell>
          <cell r="F66">
            <v>5555</v>
          </cell>
          <cell r="G66">
            <v>5721.6</v>
          </cell>
          <cell r="I66">
            <v>0</v>
          </cell>
          <cell r="K66">
            <v>0</v>
          </cell>
          <cell r="L66">
            <v>5555</v>
          </cell>
          <cell r="M66">
            <v>5721.6</v>
          </cell>
        </row>
        <row r="67">
          <cell r="B67" t="str">
            <v>각재(외송)</v>
          </cell>
          <cell r="C67" t="str">
            <v>상품</v>
          </cell>
          <cell r="D67">
            <v>3.7999999999999999E-2</v>
          </cell>
          <cell r="E67" t="str">
            <v>M3</v>
          </cell>
          <cell r="F67">
            <v>235294</v>
          </cell>
          <cell r="G67">
            <v>8941.1</v>
          </cell>
          <cell r="I67">
            <v>0</v>
          </cell>
          <cell r="K67">
            <v>0</v>
          </cell>
          <cell r="L67">
            <v>235294</v>
          </cell>
          <cell r="M67">
            <v>8941.1</v>
          </cell>
        </row>
        <row r="68">
          <cell r="B68" t="str">
            <v>철   선</v>
          </cell>
          <cell r="C68" t="str">
            <v># 8(Φ4.0mm)</v>
          </cell>
          <cell r="D68">
            <v>0.28999999999999998</v>
          </cell>
          <cell r="E68" t="str">
            <v>KG</v>
          </cell>
          <cell r="F68">
            <v>462</v>
          </cell>
          <cell r="G68">
            <v>133.9</v>
          </cell>
          <cell r="I68">
            <v>0</v>
          </cell>
          <cell r="K68">
            <v>0</v>
          </cell>
          <cell r="L68">
            <v>462</v>
          </cell>
          <cell r="M68">
            <v>133.9</v>
          </cell>
        </row>
        <row r="69">
          <cell r="B69" t="str">
            <v>철   못</v>
          </cell>
          <cell r="C69" t="str">
            <v>N 75</v>
          </cell>
          <cell r="D69">
            <v>0.2</v>
          </cell>
          <cell r="E69" t="str">
            <v>KG</v>
          </cell>
          <cell r="F69">
            <v>560</v>
          </cell>
          <cell r="G69">
            <v>112</v>
          </cell>
          <cell r="I69">
            <v>0</v>
          </cell>
          <cell r="K69">
            <v>0</v>
          </cell>
          <cell r="L69">
            <v>560</v>
          </cell>
          <cell r="M69">
            <v>112</v>
          </cell>
        </row>
        <row r="70">
          <cell r="B70" t="str">
            <v>박 리 제</v>
          </cell>
          <cell r="C70" t="str">
            <v>목재용</v>
          </cell>
          <cell r="D70">
            <v>0.19</v>
          </cell>
          <cell r="E70" t="str">
            <v>L</v>
          </cell>
          <cell r="F70">
            <v>600</v>
          </cell>
          <cell r="G70">
            <v>114</v>
          </cell>
          <cell r="I70">
            <v>0</v>
          </cell>
          <cell r="K70">
            <v>0</v>
          </cell>
          <cell r="L70">
            <v>600</v>
          </cell>
          <cell r="M70">
            <v>114</v>
          </cell>
        </row>
        <row r="71">
          <cell r="B71" t="str">
            <v>형틀목공</v>
          </cell>
          <cell r="C71" t="str">
            <v xml:space="preserve"> </v>
          </cell>
          <cell r="D71">
            <v>0.3</v>
          </cell>
          <cell r="E71" t="str">
            <v>인</v>
          </cell>
          <cell r="G71">
            <v>0</v>
          </cell>
          <cell r="H71">
            <v>92240</v>
          </cell>
          <cell r="I71">
            <v>27672</v>
          </cell>
          <cell r="K71">
            <v>0</v>
          </cell>
          <cell r="L71">
            <v>92240</v>
          </cell>
          <cell r="M71">
            <v>27672</v>
          </cell>
        </row>
        <row r="72">
          <cell r="B72" t="str">
            <v>보통인부</v>
          </cell>
          <cell r="C72" t="str">
            <v xml:space="preserve"> </v>
          </cell>
          <cell r="D72">
            <v>0.25</v>
          </cell>
          <cell r="E72" t="str">
            <v>인</v>
          </cell>
          <cell r="G72">
            <v>0</v>
          </cell>
          <cell r="H72">
            <v>52370</v>
          </cell>
          <cell r="I72">
            <v>13092.5</v>
          </cell>
          <cell r="K72">
            <v>0</v>
          </cell>
          <cell r="L72">
            <v>52370</v>
          </cell>
          <cell r="M72">
            <v>13092.5</v>
          </cell>
        </row>
        <row r="73">
          <cell r="B73" t="str">
            <v>고재처리</v>
          </cell>
          <cell r="C73" t="str">
            <v>합판+각재의 23%</v>
          </cell>
          <cell r="D73">
            <v>-0.23</v>
          </cell>
          <cell r="E73" t="str">
            <v>식</v>
          </cell>
          <cell r="F73">
            <v>14662.7</v>
          </cell>
          <cell r="G73">
            <v>-3372.4</v>
          </cell>
          <cell r="I73">
            <v>0</v>
          </cell>
          <cell r="K73">
            <v>0</v>
          </cell>
          <cell r="L73">
            <v>14662.7</v>
          </cell>
          <cell r="M73">
            <v>-3372.4</v>
          </cell>
        </row>
        <row r="74">
          <cell r="B74" t="str">
            <v>소   계</v>
          </cell>
          <cell r="G74">
            <v>11650</v>
          </cell>
          <cell r="I74">
            <v>40764</v>
          </cell>
          <cell r="K74">
            <v>0</v>
          </cell>
          <cell r="M74">
            <v>52414</v>
          </cell>
        </row>
        <row r="76">
          <cell r="B76">
            <v>58</v>
          </cell>
          <cell r="C76" t="str">
            <v>합판거푸집(6회)</v>
          </cell>
          <cell r="D76" t="str">
            <v>보통</v>
          </cell>
          <cell r="M76" t="str">
            <v>M2당</v>
          </cell>
        </row>
        <row r="77">
          <cell r="B77" t="str">
            <v>재   료   비</v>
          </cell>
          <cell r="C77" t="str">
            <v>1회의 34.7%</v>
          </cell>
          <cell r="D77">
            <v>1</v>
          </cell>
          <cell r="E77" t="str">
            <v>식</v>
          </cell>
          <cell r="F77">
            <v>11650</v>
          </cell>
          <cell r="G77">
            <v>4042.5</v>
          </cell>
          <cell r="H77">
            <v>0</v>
          </cell>
          <cell r="I77">
            <v>0</v>
          </cell>
          <cell r="K77">
            <v>0</v>
          </cell>
          <cell r="L77">
            <v>11650</v>
          </cell>
          <cell r="M77">
            <v>4042.5</v>
          </cell>
        </row>
        <row r="78">
          <cell r="B78" t="str">
            <v>노   무   비</v>
          </cell>
          <cell r="C78" t="str">
            <v>1회의 32%</v>
          </cell>
          <cell r="D78">
            <v>1</v>
          </cell>
          <cell r="E78" t="str">
            <v>식</v>
          </cell>
          <cell r="F78">
            <v>0</v>
          </cell>
          <cell r="G78">
            <v>0</v>
          </cell>
          <cell r="H78">
            <v>40764</v>
          </cell>
          <cell r="I78">
            <v>13044.4</v>
          </cell>
          <cell r="K78">
            <v>0</v>
          </cell>
          <cell r="L78">
            <v>40764</v>
          </cell>
          <cell r="M78">
            <v>13044.4</v>
          </cell>
        </row>
        <row r="79">
          <cell r="B79" t="str">
            <v>소   계</v>
          </cell>
          <cell r="G79">
            <v>4042</v>
          </cell>
          <cell r="I79">
            <v>13044</v>
          </cell>
          <cell r="K79">
            <v>0</v>
          </cell>
          <cell r="M79">
            <v>17086</v>
          </cell>
        </row>
        <row r="81">
          <cell r="B81">
            <v>59</v>
          </cell>
          <cell r="C81" t="str">
            <v>합판거푸집(1회)</v>
          </cell>
          <cell r="D81" t="str">
            <v>소형구조물</v>
          </cell>
          <cell r="M81" t="str">
            <v>M2당</v>
          </cell>
        </row>
        <row r="82">
          <cell r="B82" t="str">
            <v>합   판</v>
          </cell>
          <cell r="C82" t="str">
            <v>내수 12MM</v>
          </cell>
          <cell r="D82">
            <v>1.03</v>
          </cell>
          <cell r="E82" t="str">
            <v>M2</v>
          </cell>
          <cell r="F82">
            <v>5555</v>
          </cell>
          <cell r="G82">
            <v>5721.6</v>
          </cell>
          <cell r="I82">
            <v>0</v>
          </cell>
          <cell r="K82">
            <v>0</v>
          </cell>
          <cell r="L82">
            <v>5555</v>
          </cell>
          <cell r="M82">
            <v>5721.6</v>
          </cell>
        </row>
        <row r="83">
          <cell r="B83" t="str">
            <v>각재(외송)</v>
          </cell>
          <cell r="C83" t="str">
            <v>상품</v>
          </cell>
          <cell r="D83">
            <v>3.7999999999999999E-2</v>
          </cell>
          <cell r="E83" t="str">
            <v>M3</v>
          </cell>
          <cell r="F83">
            <v>235294</v>
          </cell>
          <cell r="G83">
            <v>8941.1</v>
          </cell>
          <cell r="I83">
            <v>0</v>
          </cell>
          <cell r="K83">
            <v>0</v>
          </cell>
          <cell r="L83">
            <v>235294</v>
          </cell>
          <cell r="M83">
            <v>8941.1</v>
          </cell>
        </row>
        <row r="84">
          <cell r="B84" t="str">
            <v>철   선</v>
          </cell>
          <cell r="C84" t="str">
            <v># 8(Φ4.0mm)</v>
          </cell>
          <cell r="D84">
            <v>0.28999999999999998</v>
          </cell>
          <cell r="E84" t="str">
            <v>KG</v>
          </cell>
          <cell r="F84">
            <v>462</v>
          </cell>
          <cell r="G84">
            <v>133.9</v>
          </cell>
          <cell r="I84">
            <v>0</v>
          </cell>
          <cell r="K84">
            <v>0</v>
          </cell>
          <cell r="L84">
            <v>462</v>
          </cell>
          <cell r="M84">
            <v>133.9</v>
          </cell>
        </row>
        <row r="85">
          <cell r="B85" t="str">
            <v>철   못</v>
          </cell>
          <cell r="C85" t="str">
            <v>N 75</v>
          </cell>
          <cell r="D85">
            <v>0.2</v>
          </cell>
          <cell r="E85" t="str">
            <v>KG</v>
          </cell>
          <cell r="F85">
            <v>560</v>
          </cell>
          <cell r="G85">
            <v>112</v>
          </cell>
          <cell r="I85">
            <v>0</v>
          </cell>
          <cell r="K85">
            <v>0</v>
          </cell>
          <cell r="L85">
            <v>560</v>
          </cell>
          <cell r="M85">
            <v>112</v>
          </cell>
        </row>
        <row r="86">
          <cell r="B86" t="str">
            <v>박 리 제</v>
          </cell>
          <cell r="C86" t="str">
            <v>목재용</v>
          </cell>
          <cell r="D86">
            <v>0.19</v>
          </cell>
          <cell r="E86" t="str">
            <v>L</v>
          </cell>
          <cell r="F86">
            <v>600</v>
          </cell>
          <cell r="G86">
            <v>114</v>
          </cell>
          <cell r="I86">
            <v>0</v>
          </cell>
          <cell r="K86">
            <v>0</v>
          </cell>
          <cell r="L86">
            <v>600</v>
          </cell>
          <cell r="M86">
            <v>114</v>
          </cell>
        </row>
        <row r="87">
          <cell r="B87" t="str">
            <v>형틀목공</v>
          </cell>
          <cell r="C87" t="str">
            <v xml:space="preserve"> </v>
          </cell>
          <cell r="D87">
            <v>0.39</v>
          </cell>
          <cell r="E87" t="str">
            <v>인</v>
          </cell>
          <cell r="G87">
            <v>0</v>
          </cell>
          <cell r="H87">
            <v>92240</v>
          </cell>
          <cell r="I87">
            <v>35973.599999999999</v>
          </cell>
          <cell r="K87">
            <v>0</v>
          </cell>
          <cell r="L87">
            <v>92240</v>
          </cell>
          <cell r="M87">
            <v>35973.599999999999</v>
          </cell>
        </row>
        <row r="88">
          <cell r="B88" t="str">
            <v>보통인부</v>
          </cell>
          <cell r="C88" t="str">
            <v xml:space="preserve"> </v>
          </cell>
          <cell r="D88">
            <v>0.32500000000000001</v>
          </cell>
          <cell r="E88" t="str">
            <v>인</v>
          </cell>
          <cell r="G88">
            <v>0</v>
          </cell>
          <cell r="H88">
            <v>52370</v>
          </cell>
          <cell r="I88">
            <v>17020.2</v>
          </cell>
          <cell r="K88">
            <v>0</v>
          </cell>
          <cell r="L88">
            <v>52370</v>
          </cell>
          <cell r="M88">
            <v>17020.2</v>
          </cell>
        </row>
        <row r="89">
          <cell r="B89" t="str">
            <v>고재처리</v>
          </cell>
          <cell r="C89" t="str">
            <v>합판+각재의 23%</v>
          </cell>
          <cell r="D89">
            <v>-0.23</v>
          </cell>
          <cell r="E89" t="str">
            <v>식</v>
          </cell>
          <cell r="F89">
            <v>14662.7</v>
          </cell>
          <cell r="G89">
            <v>-3372.4</v>
          </cell>
          <cell r="I89">
            <v>0</v>
          </cell>
          <cell r="K89">
            <v>0</v>
          </cell>
          <cell r="L89">
            <v>14662.7</v>
          </cell>
          <cell r="M89">
            <v>-3372.4</v>
          </cell>
        </row>
        <row r="90">
          <cell r="B90" t="str">
            <v>소   계</v>
          </cell>
          <cell r="G90">
            <v>11650</v>
          </cell>
          <cell r="I90">
            <v>52993</v>
          </cell>
          <cell r="K90">
            <v>0</v>
          </cell>
          <cell r="M90">
            <v>64643</v>
          </cell>
        </row>
        <row r="91">
          <cell r="B91">
            <v>60</v>
          </cell>
          <cell r="C91" t="str">
            <v>합판거푸집(6회)</v>
          </cell>
          <cell r="D91" t="str">
            <v>소형구조물</v>
          </cell>
          <cell r="M91" t="str">
            <v>M2당</v>
          </cell>
        </row>
        <row r="92">
          <cell r="B92" t="str">
            <v>재   료   비</v>
          </cell>
          <cell r="C92" t="str">
            <v>1회의 34.7%</v>
          </cell>
          <cell r="D92">
            <v>1</v>
          </cell>
          <cell r="E92" t="str">
            <v>식</v>
          </cell>
          <cell r="F92">
            <v>11650</v>
          </cell>
          <cell r="G92">
            <v>4042.5</v>
          </cell>
          <cell r="H92">
            <v>0</v>
          </cell>
          <cell r="I92">
            <v>0</v>
          </cell>
          <cell r="K92">
            <v>0</v>
          </cell>
          <cell r="L92">
            <v>11650</v>
          </cell>
          <cell r="M92">
            <v>4042.5</v>
          </cell>
        </row>
        <row r="93">
          <cell r="B93" t="str">
            <v>노   무   비</v>
          </cell>
          <cell r="C93" t="str">
            <v>1회의 32%</v>
          </cell>
          <cell r="D93">
            <v>1</v>
          </cell>
          <cell r="E93" t="str">
            <v>식</v>
          </cell>
          <cell r="F93">
            <v>0</v>
          </cell>
          <cell r="G93">
            <v>0</v>
          </cell>
          <cell r="H93">
            <v>52993</v>
          </cell>
          <cell r="I93">
            <v>16957.7</v>
          </cell>
          <cell r="K93">
            <v>0</v>
          </cell>
          <cell r="L93">
            <v>52993</v>
          </cell>
          <cell r="M93">
            <v>16957.7</v>
          </cell>
        </row>
        <row r="94">
          <cell r="B94" t="str">
            <v>소   계</v>
          </cell>
          <cell r="G94">
            <v>4042</v>
          </cell>
          <cell r="I94">
            <v>16957</v>
          </cell>
          <cell r="K94">
            <v>0</v>
          </cell>
          <cell r="M94">
            <v>20999</v>
          </cell>
        </row>
        <row r="95">
          <cell r="G95">
            <v>0</v>
          </cell>
          <cell r="I95">
            <v>0</v>
          </cell>
          <cell r="K95">
            <v>0</v>
          </cell>
          <cell r="M95">
            <v>0</v>
          </cell>
        </row>
        <row r="96">
          <cell r="B96">
            <v>61</v>
          </cell>
          <cell r="C96" t="str">
            <v>철근가공및조립</v>
          </cell>
          <cell r="D96" t="str">
            <v>간단,소형</v>
          </cell>
          <cell r="M96" t="str">
            <v>kg당</v>
          </cell>
        </row>
        <row r="97">
          <cell r="B97" t="str">
            <v>철   선</v>
          </cell>
          <cell r="C97" t="str">
            <v>#20(Φ0.9mm)</v>
          </cell>
          <cell r="D97">
            <v>5</v>
          </cell>
          <cell r="E97" t="str">
            <v>KG</v>
          </cell>
          <cell r="F97">
            <v>520</v>
          </cell>
          <cell r="G97">
            <v>2600</v>
          </cell>
          <cell r="I97">
            <v>0</v>
          </cell>
          <cell r="K97">
            <v>0</v>
          </cell>
          <cell r="L97">
            <v>520</v>
          </cell>
          <cell r="M97">
            <v>2600</v>
          </cell>
        </row>
        <row r="98">
          <cell r="B98" t="str">
            <v>철근공</v>
          </cell>
          <cell r="C98" t="str">
            <v xml:space="preserve"> </v>
          </cell>
          <cell r="D98">
            <v>5.0999999999999996</v>
          </cell>
          <cell r="E98" t="str">
            <v>인</v>
          </cell>
          <cell r="F98">
            <v>0</v>
          </cell>
          <cell r="G98">
            <v>0</v>
          </cell>
          <cell r="H98">
            <v>93840</v>
          </cell>
          <cell r="I98">
            <v>478584</v>
          </cell>
          <cell r="K98">
            <v>0</v>
          </cell>
          <cell r="L98">
            <v>93840</v>
          </cell>
          <cell r="M98">
            <v>478584</v>
          </cell>
        </row>
        <row r="99">
          <cell r="B99" t="str">
            <v>보통인부</v>
          </cell>
          <cell r="C99" t="str">
            <v xml:space="preserve"> </v>
          </cell>
          <cell r="D99">
            <v>2.8499999999999996</v>
          </cell>
          <cell r="E99" t="str">
            <v>인</v>
          </cell>
          <cell r="G99">
            <v>0</v>
          </cell>
          <cell r="H99">
            <v>52370</v>
          </cell>
          <cell r="I99">
            <v>149254.5</v>
          </cell>
          <cell r="K99">
            <v>0</v>
          </cell>
          <cell r="L99">
            <v>52370</v>
          </cell>
          <cell r="M99">
            <v>149254.5</v>
          </cell>
        </row>
        <row r="100">
          <cell r="B100" t="str">
            <v>공구손료</v>
          </cell>
          <cell r="C100" t="str">
            <v>노무비의 2%</v>
          </cell>
          <cell r="D100">
            <v>1</v>
          </cell>
          <cell r="E100" t="str">
            <v>식</v>
          </cell>
          <cell r="G100">
            <v>0</v>
          </cell>
          <cell r="I100">
            <v>0</v>
          </cell>
          <cell r="J100">
            <v>12556.7</v>
          </cell>
          <cell r="K100">
            <v>12556.7</v>
          </cell>
          <cell r="L100">
            <v>12556.7</v>
          </cell>
          <cell r="M100">
            <v>12556.7</v>
          </cell>
        </row>
        <row r="101">
          <cell r="B101" t="str">
            <v>TON당 소계</v>
          </cell>
          <cell r="G101">
            <v>2600</v>
          </cell>
          <cell r="I101">
            <v>627839</v>
          </cell>
          <cell r="K101">
            <v>12557</v>
          </cell>
          <cell r="M101">
            <v>642996</v>
          </cell>
        </row>
        <row r="102">
          <cell r="B102" t="str">
            <v>KG당 소계</v>
          </cell>
          <cell r="G102">
            <v>3</v>
          </cell>
          <cell r="I102">
            <v>628</v>
          </cell>
          <cell r="K102">
            <v>13</v>
          </cell>
          <cell r="M102">
            <v>644</v>
          </cell>
        </row>
        <row r="104">
          <cell r="B104">
            <v>62</v>
          </cell>
          <cell r="C104" t="str">
            <v>잡철물제작설치</v>
          </cell>
          <cell r="D104" t="str">
            <v>철재, 간단</v>
          </cell>
          <cell r="M104" t="str">
            <v>kg당</v>
          </cell>
        </row>
        <row r="105">
          <cell r="B105" t="str">
            <v>용 접 봉</v>
          </cell>
          <cell r="C105" t="str">
            <v>KSE4301 Φ4.0</v>
          </cell>
          <cell r="D105">
            <v>15.71</v>
          </cell>
          <cell r="E105" t="str">
            <v>Kg</v>
          </cell>
          <cell r="F105">
            <v>1170</v>
          </cell>
          <cell r="G105">
            <v>18380.7</v>
          </cell>
          <cell r="I105">
            <v>0</v>
          </cell>
          <cell r="K105">
            <v>0</v>
          </cell>
          <cell r="L105">
            <v>1170</v>
          </cell>
          <cell r="M105">
            <v>18380.7</v>
          </cell>
        </row>
        <row r="106">
          <cell r="B106" t="str">
            <v>산   소</v>
          </cell>
          <cell r="C106" t="str">
            <v>공업용 6000L</v>
          </cell>
          <cell r="D106">
            <v>5355</v>
          </cell>
          <cell r="E106" t="str">
            <v>L</v>
          </cell>
          <cell r="F106">
            <v>2.5</v>
          </cell>
          <cell r="G106">
            <v>13387.5</v>
          </cell>
          <cell r="I106">
            <v>0</v>
          </cell>
          <cell r="K106">
            <v>0</v>
          </cell>
          <cell r="L106">
            <v>2.5</v>
          </cell>
          <cell r="M106">
            <v>13387.5</v>
          </cell>
        </row>
        <row r="107">
          <cell r="B107" t="str">
            <v>아세틸렌</v>
          </cell>
          <cell r="C107" t="str">
            <v>용접용 98%</v>
          </cell>
          <cell r="D107">
            <v>2.4</v>
          </cell>
          <cell r="E107" t="str">
            <v>Kg</v>
          </cell>
          <cell r="F107">
            <v>9200</v>
          </cell>
          <cell r="G107">
            <v>22080</v>
          </cell>
          <cell r="I107">
            <v>0</v>
          </cell>
          <cell r="K107">
            <v>0</v>
          </cell>
          <cell r="L107">
            <v>9200</v>
          </cell>
          <cell r="M107">
            <v>22080</v>
          </cell>
        </row>
        <row r="108">
          <cell r="B108" t="str">
            <v>전 기 료</v>
          </cell>
          <cell r="C108" t="str">
            <v>일반적용</v>
          </cell>
          <cell r="D108">
            <v>107.1</v>
          </cell>
          <cell r="E108" t="str">
            <v>KW/H</v>
          </cell>
          <cell r="G108">
            <v>0</v>
          </cell>
          <cell r="I108">
            <v>0</v>
          </cell>
          <cell r="J108">
            <v>810</v>
          </cell>
          <cell r="K108">
            <v>86751</v>
          </cell>
          <cell r="L108">
            <v>810</v>
          </cell>
          <cell r="M108">
            <v>86751</v>
          </cell>
        </row>
        <row r="109">
          <cell r="B109" t="str">
            <v>철공</v>
          </cell>
          <cell r="C109" t="str">
            <v xml:space="preserve"> </v>
          </cell>
          <cell r="D109">
            <v>21.8</v>
          </cell>
          <cell r="E109" t="str">
            <v>인</v>
          </cell>
          <cell r="G109">
            <v>0</v>
          </cell>
          <cell r="H109">
            <v>90900</v>
          </cell>
          <cell r="I109">
            <v>1981620</v>
          </cell>
          <cell r="K109">
            <v>0</v>
          </cell>
          <cell r="L109">
            <v>90900</v>
          </cell>
          <cell r="M109">
            <v>1981620</v>
          </cell>
        </row>
        <row r="110">
          <cell r="B110" t="str">
            <v>보통인부</v>
          </cell>
          <cell r="C110" t="str">
            <v xml:space="preserve"> </v>
          </cell>
          <cell r="D110">
            <v>0.56000000000000005</v>
          </cell>
          <cell r="E110" t="str">
            <v>인</v>
          </cell>
          <cell r="G110">
            <v>0</v>
          </cell>
          <cell r="H110">
            <v>52370</v>
          </cell>
          <cell r="I110">
            <v>29327.200000000001</v>
          </cell>
          <cell r="K110">
            <v>0</v>
          </cell>
          <cell r="L110">
            <v>52370</v>
          </cell>
          <cell r="M110">
            <v>29327.200000000001</v>
          </cell>
        </row>
        <row r="111">
          <cell r="B111" t="str">
            <v>용접공</v>
          </cell>
          <cell r="C111" t="str">
            <v xml:space="preserve"> </v>
          </cell>
          <cell r="D111">
            <v>2.21</v>
          </cell>
          <cell r="E111" t="str">
            <v>인</v>
          </cell>
          <cell r="G111">
            <v>0</v>
          </cell>
          <cell r="H111">
            <v>82490</v>
          </cell>
          <cell r="I111">
            <v>182302.9</v>
          </cell>
          <cell r="K111">
            <v>0</v>
          </cell>
          <cell r="L111">
            <v>82490</v>
          </cell>
          <cell r="M111">
            <v>182302.9</v>
          </cell>
        </row>
        <row r="112">
          <cell r="B112" t="str">
            <v>특별인부</v>
          </cell>
          <cell r="C112" t="str">
            <v xml:space="preserve"> </v>
          </cell>
          <cell r="D112">
            <v>0.63</v>
          </cell>
          <cell r="E112" t="str">
            <v>인</v>
          </cell>
          <cell r="G112">
            <v>0</v>
          </cell>
          <cell r="H112">
            <v>66050</v>
          </cell>
          <cell r="I112">
            <v>41611.5</v>
          </cell>
          <cell r="K112">
            <v>0</v>
          </cell>
          <cell r="L112">
            <v>66050</v>
          </cell>
          <cell r="M112">
            <v>41611.5</v>
          </cell>
        </row>
        <row r="113">
          <cell r="B113" t="str">
            <v>기구손료</v>
          </cell>
          <cell r="C113" t="str">
            <v>품의 3%</v>
          </cell>
          <cell r="D113">
            <v>1</v>
          </cell>
          <cell r="E113" t="str">
            <v>식</v>
          </cell>
          <cell r="G113">
            <v>0</v>
          </cell>
          <cell r="I113">
            <v>0</v>
          </cell>
          <cell r="J113">
            <v>67045.8</v>
          </cell>
          <cell r="K113">
            <v>67045.8</v>
          </cell>
          <cell r="L113">
            <v>67045.8</v>
          </cell>
          <cell r="M113">
            <v>67045.8</v>
          </cell>
        </row>
        <row r="114">
          <cell r="B114" t="str">
            <v>TON당 소계</v>
          </cell>
          <cell r="G114">
            <v>53848</v>
          </cell>
          <cell r="I114">
            <v>2234862</v>
          </cell>
          <cell r="K114">
            <v>153797</v>
          </cell>
          <cell r="M114">
            <v>2442507</v>
          </cell>
        </row>
        <row r="115">
          <cell r="B115" t="str">
            <v>KG당 소계</v>
          </cell>
          <cell r="G115">
            <v>54</v>
          </cell>
          <cell r="I115">
            <v>2235</v>
          </cell>
          <cell r="K115">
            <v>154</v>
          </cell>
          <cell r="M115">
            <v>2443</v>
          </cell>
        </row>
        <row r="117">
          <cell r="B117">
            <v>63</v>
          </cell>
          <cell r="C117" t="str">
            <v>잡철물제작설치</v>
          </cell>
          <cell r="D117" t="str">
            <v>스텐, 간단</v>
          </cell>
          <cell r="M117" t="str">
            <v>kg당</v>
          </cell>
        </row>
        <row r="118">
          <cell r="B118" t="str">
            <v>용 접 봉</v>
          </cell>
          <cell r="C118" t="str">
            <v>KSE4301 Φ4.0</v>
          </cell>
          <cell r="D118">
            <v>18.48</v>
          </cell>
          <cell r="E118" t="str">
            <v>Kg</v>
          </cell>
          <cell r="F118">
            <v>1170</v>
          </cell>
          <cell r="G118">
            <v>21621.599999999999</v>
          </cell>
          <cell r="I118">
            <v>0</v>
          </cell>
          <cell r="K118">
            <v>0</v>
          </cell>
          <cell r="L118">
            <v>1170</v>
          </cell>
          <cell r="M118">
            <v>21621.599999999999</v>
          </cell>
        </row>
        <row r="119">
          <cell r="B119" t="str">
            <v>산   소</v>
          </cell>
          <cell r="C119" t="str">
            <v>공업용 6000L</v>
          </cell>
          <cell r="D119">
            <v>23537</v>
          </cell>
          <cell r="E119" t="str">
            <v>L</v>
          </cell>
          <cell r="F119">
            <v>2.5</v>
          </cell>
          <cell r="G119">
            <v>58842.5</v>
          </cell>
          <cell r="I119">
            <v>0</v>
          </cell>
          <cell r="K119">
            <v>0</v>
          </cell>
          <cell r="L119">
            <v>2.5</v>
          </cell>
          <cell r="M119">
            <v>58842.5</v>
          </cell>
        </row>
        <row r="120">
          <cell r="B120" t="str">
            <v>아세틸렌</v>
          </cell>
          <cell r="C120" t="str">
            <v>용접용 98%</v>
          </cell>
          <cell r="D120">
            <v>2.8</v>
          </cell>
          <cell r="E120" t="str">
            <v>Kg</v>
          </cell>
          <cell r="F120">
            <v>9200</v>
          </cell>
          <cell r="G120">
            <v>25760</v>
          </cell>
          <cell r="I120">
            <v>0</v>
          </cell>
          <cell r="K120">
            <v>0</v>
          </cell>
          <cell r="L120">
            <v>9200</v>
          </cell>
          <cell r="M120">
            <v>25760</v>
          </cell>
        </row>
        <row r="121">
          <cell r="B121" t="str">
            <v>전 기 료</v>
          </cell>
          <cell r="C121" t="str">
            <v>일반적용</v>
          </cell>
          <cell r="D121">
            <v>126</v>
          </cell>
          <cell r="E121" t="str">
            <v>KW/H</v>
          </cell>
          <cell r="G121">
            <v>0</v>
          </cell>
          <cell r="I121">
            <v>0</v>
          </cell>
          <cell r="J121">
            <v>810</v>
          </cell>
          <cell r="K121">
            <v>102060</v>
          </cell>
          <cell r="L121">
            <v>810</v>
          </cell>
          <cell r="M121">
            <v>102060</v>
          </cell>
        </row>
        <row r="122">
          <cell r="B122" t="str">
            <v>철판공</v>
          </cell>
          <cell r="C122" t="str">
            <v xml:space="preserve"> </v>
          </cell>
          <cell r="D122">
            <v>27.65</v>
          </cell>
          <cell r="E122" t="str">
            <v>인</v>
          </cell>
          <cell r="G122">
            <v>0</v>
          </cell>
          <cell r="H122">
            <v>83750</v>
          </cell>
          <cell r="I122">
            <v>2315687.5</v>
          </cell>
          <cell r="K122">
            <v>0</v>
          </cell>
          <cell r="L122">
            <v>83750</v>
          </cell>
          <cell r="M122">
            <v>2315687.5</v>
          </cell>
        </row>
        <row r="123">
          <cell r="B123" t="str">
            <v>보통인부</v>
          </cell>
          <cell r="C123" t="str">
            <v xml:space="preserve"> </v>
          </cell>
          <cell r="D123">
            <v>0.66</v>
          </cell>
          <cell r="E123" t="str">
            <v>인</v>
          </cell>
          <cell r="G123">
            <v>0</v>
          </cell>
          <cell r="H123">
            <v>52370</v>
          </cell>
          <cell r="I123">
            <v>34564.199999999997</v>
          </cell>
          <cell r="K123">
            <v>0</v>
          </cell>
          <cell r="L123">
            <v>52370</v>
          </cell>
          <cell r="M123">
            <v>34564.199999999997</v>
          </cell>
        </row>
        <row r="124">
          <cell r="B124" t="str">
            <v>용접공</v>
          </cell>
          <cell r="C124" t="str">
            <v xml:space="preserve"> </v>
          </cell>
          <cell r="D124">
            <v>2.6</v>
          </cell>
          <cell r="E124" t="str">
            <v>인</v>
          </cell>
          <cell r="G124">
            <v>0</v>
          </cell>
          <cell r="H124">
            <v>82490</v>
          </cell>
          <cell r="I124">
            <v>214474</v>
          </cell>
          <cell r="K124">
            <v>0</v>
          </cell>
          <cell r="L124">
            <v>82490</v>
          </cell>
          <cell r="M124">
            <v>214474</v>
          </cell>
        </row>
        <row r="125">
          <cell r="B125" t="str">
            <v>특별인부</v>
          </cell>
          <cell r="C125" t="str">
            <v xml:space="preserve"> </v>
          </cell>
          <cell r="D125">
            <v>0.74</v>
          </cell>
          <cell r="E125" t="str">
            <v>인</v>
          </cell>
          <cell r="G125">
            <v>0</v>
          </cell>
          <cell r="H125">
            <v>66050</v>
          </cell>
          <cell r="I125">
            <v>48877</v>
          </cell>
          <cell r="K125">
            <v>0</v>
          </cell>
          <cell r="L125">
            <v>66050</v>
          </cell>
          <cell r="M125">
            <v>48877</v>
          </cell>
        </row>
        <row r="126">
          <cell r="B126" t="str">
            <v>기구손료</v>
          </cell>
          <cell r="C126" t="str">
            <v>품의 3%</v>
          </cell>
          <cell r="D126">
            <v>1</v>
          </cell>
          <cell r="E126" t="str">
            <v>식</v>
          </cell>
          <cell r="G126">
            <v>0</v>
          </cell>
          <cell r="I126">
            <v>0</v>
          </cell>
          <cell r="J126">
            <v>78408</v>
          </cell>
          <cell r="K126">
            <v>78408</v>
          </cell>
          <cell r="L126">
            <v>78408</v>
          </cell>
          <cell r="M126">
            <v>78408</v>
          </cell>
        </row>
        <row r="127">
          <cell r="B127" t="str">
            <v>TON당 소계</v>
          </cell>
          <cell r="G127">
            <v>106224</v>
          </cell>
          <cell r="I127">
            <v>2613603</v>
          </cell>
          <cell r="K127">
            <v>180468</v>
          </cell>
          <cell r="M127">
            <v>2900295</v>
          </cell>
        </row>
        <row r="128">
          <cell r="B128" t="str">
            <v>KG당 소계</v>
          </cell>
          <cell r="G128">
            <v>106</v>
          </cell>
          <cell r="I128">
            <v>2614</v>
          </cell>
          <cell r="K128">
            <v>180</v>
          </cell>
          <cell r="M128">
            <v>2900</v>
          </cell>
        </row>
        <row r="130">
          <cell r="B130">
            <v>64</v>
          </cell>
          <cell r="C130" t="str">
            <v>잡철물제작설치</v>
          </cell>
          <cell r="D130" t="str">
            <v>스텐, 복잡</v>
          </cell>
          <cell r="M130" t="str">
            <v>kg당</v>
          </cell>
        </row>
        <row r="131">
          <cell r="B131" t="str">
            <v>재   료   비</v>
          </cell>
          <cell r="C131" t="str">
            <v>간단의 140%</v>
          </cell>
          <cell r="D131">
            <v>1</v>
          </cell>
          <cell r="E131" t="str">
            <v>식</v>
          </cell>
          <cell r="F131">
            <v>106</v>
          </cell>
          <cell r="G131">
            <v>148.4</v>
          </cell>
          <cell r="H131">
            <v>0</v>
          </cell>
          <cell r="I131">
            <v>0</v>
          </cell>
          <cell r="K131">
            <v>0</v>
          </cell>
          <cell r="L131">
            <v>106</v>
          </cell>
          <cell r="M131">
            <v>148.4</v>
          </cell>
        </row>
        <row r="132">
          <cell r="B132" t="str">
            <v>노   무   비</v>
          </cell>
          <cell r="C132" t="str">
            <v>간단의 140%</v>
          </cell>
          <cell r="D132">
            <v>1</v>
          </cell>
          <cell r="E132" t="str">
            <v>식</v>
          </cell>
          <cell r="F132">
            <v>0</v>
          </cell>
          <cell r="G132">
            <v>0</v>
          </cell>
          <cell r="H132">
            <v>2614</v>
          </cell>
          <cell r="I132">
            <v>3659.6</v>
          </cell>
          <cell r="K132">
            <v>0</v>
          </cell>
          <cell r="L132">
            <v>2614</v>
          </cell>
          <cell r="M132">
            <v>3659.6</v>
          </cell>
        </row>
        <row r="133">
          <cell r="B133" t="str">
            <v>경        비</v>
          </cell>
          <cell r="C133" t="str">
            <v>간단의 140%</v>
          </cell>
          <cell r="D133">
            <v>1</v>
          </cell>
          <cell r="E133" t="str">
            <v>식</v>
          </cell>
          <cell r="F133">
            <v>0</v>
          </cell>
          <cell r="G133">
            <v>0</v>
          </cell>
          <cell r="I133">
            <v>0</v>
          </cell>
          <cell r="J133">
            <v>180</v>
          </cell>
          <cell r="K133">
            <v>252</v>
          </cell>
          <cell r="L133">
            <v>180</v>
          </cell>
          <cell r="M133">
            <v>252</v>
          </cell>
        </row>
        <row r="134">
          <cell r="B134" t="str">
            <v>KG당 소계</v>
          </cell>
          <cell r="G134">
            <v>148</v>
          </cell>
          <cell r="I134">
            <v>3659</v>
          </cell>
          <cell r="K134">
            <v>252</v>
          </cell>
          <cell r="M134">
            <v>4059</v>
          </cell>
        </row>
        <row r="135">
          <cell r="B135">
            <v>65</v>
          </cell>
          <cell r="C135" t="str">
            <v>화강석설치</v>
          </cell>
          <cell r="D135" t="str">
            <v>화강경계석설치준용</v>
          </cell>
          <cell r="M135" t="str">
            <v>m3당</v>
          </cell>
        </row>
        <row r="136">
          <cell r="B136" t="str">
            <v>특별인부</v>
          </cell>
          <cell r="D136">
            <v>2.3809999999999998</v>
          </cell>
          <cell r="E136" t="str">
            <v>인</v>
          </cell>
          <cell r="G136">
            <v>0</v>
          </cell>
          <cell r="H136">
            <v>66050</v>
          </cell>
          <cell r="I136">
            <v>157265</v>
          </cell>
          <cell r="K136">
            <v>0</v>
          </cell>
          <cell r="L136">
            <v>66050</v>
          </cell>
          <cell r="M136">
            <v>157265</v>
          </cell>
        </row>
        <row r="137">
          <cell r="B137" t="str">
            <v>보통인부</v>
          </cell>
          <cell r="D137">
            <v>3.1749999999999998</v>
          </cell>
          <cell r="E137" t="str">
            <v>인</v>
          </cell>
          <cell r="G137">
            <v>0</v>
          </cell>
          <cell r="H137">
            <v>52370</v>
          </cell>
          <cell r="I137">
            <v>166274.70000000001</v>
          </cell>
          <cell r="K137">
            <v>0</v>
          </cell>
          <cell r="L137">
            <v>52370</v>
          </cell>
          <cell r="M137">
            <v>166274.70000000001</v>
          </cell>
        </row>
        <row r="138">
          <cell r="B138" t="str">
            <v>소   계</v>
          </cell>
          <cell r="G138">
            <v>0</v>
          </cell>
          <cell r="I138">
            <v>323539</v>
          </cell>
          <cell r="K138">
            <v>0</v>
          </cell>
          <cell r="M138">
            <v>323539</v>
          </cell>
        </row>
        <row r="140">
          <cell r="B140">
            <v>66</v>
          </cell>
          <cell r="C140" t="str">
            <v>타일붙임</v>
          </cell>
          <cell r="D140" t="str">
            <v>바름두께12mm,벽,특수타일(50%할증)</v>
          </cell>
          <cell r="M140" t="str">
            <v>m2당</v>
          </cell>
        </row>
        <row r="141">
          <cell r="B141" t="str">
            <v>몰     탈</v>
          </cell>
          <cell r="C141" t="str">
            <v>1:3</v>
          </cell>
          <cell r="D141">
            <v>1.4E-2</v>
          </cell>
          <cell r="E141" t="str">
            <v>M3</v>
          </cell>
          <cell r="F141">
            <v>42996</v>
          </cell>
          <cell r="G141">
            <v>601.9</v>
          </cell>
          <cell r="H141">
            <v>55599</v>
          </cell>
          <cell r="I141">
            <v>778.3</v>
          </cell>
          <cell r="J141">
            <v>12417</v>
          </cell>
          <cell r="K141">
            <v>173.8</v>
          </cell>
          <cell r="L141">
            <v>111012</v>
          </cell>
          <cell r="M141">
            <v>1553.9999999999998</v>
          </cell>
        </row>
        <row r="142">
          <cell r="B142" t="str">
            <v>몰     탈</v>
          </cell>
          <cell r="C142" t="str">
            <v>1:1</v>
          </cell>
          <cell r="D142">
            <v>5.0000000000000001E-3</v>
          </cell>
          <cell r="E142" t="str">
            <v>M3</v>
          </cell>
          <cell r="F142">
            <v>75796</v>
          </cell>
          <cell r="G142">
            <v>378.9</v>
          </cell>
          <cell r="H142">
            <v>54660</v>
          </cell>
          <cell r="I142">
            <v>273.3</v>
          </cell>
          <cell r="J142">
            <v>23962</v>
          </cell>
          <cell r="K142">
            <v>119.8</v>
          </cell>
          <cell r="L142">
            <v>154418</v>
          </cell>
          <cell r="M142">
            <v>772</v>
          </cell>
        </row>
        <row r="143">
          <cell r="B143" t="str">
            <v>타일공</v>
          </cell>
          <cell r="D143">
            <v>0.44999999999999996</v>
          </cell>
          <cell r="E143" t="str">
            <v>인</v>
          </cell>
          <cell r="G143">
            <v>0</v>
          </cell>
          <cell r="H143">
            <v>98190</v>
          </cell>
          <cell r="I143">
            <v>44185.5</v>
          </cell>
          <cell r="K143">
            <v>0</v>
          </cell>
          <cell r="L143">
            <v>98190</v>
          </cell>
          <cell r="M143">
            <v>44185.5</v>
          </cell>
        </row>
        <row r="144">
          <cell r="B144" t="str">
            <v>줄눈공</v>
          </cell>
          <cell r="D144">
            <v>4.4999999999999998E-2</v>
          </cell>
          <cell r="E144" t="str">
            <v>인</v>
          </cell>
          <cell r="G144">
            <v>0</v>
          </cell>
          <cell r="H144">
            <v>79870</v>
          </cell>
          <cell r="I144">
            <v>3594.1</v>
          </cell>
          <cell r="K144">
            <v>0</v>
          </cell>
          <cell r="L144">
            <v>79870</v>
          </cell>
          <cell r="M144">
            <v>3594.1</v>
          </cell>
        </row>
        <row r="145">
          <cell r="B145" t="str">
            <v>보통인부</v>
          </cell>
          <cell r="C145" t="str">
            <v>붙임+청소</v>
          </cell>
          <cell r="D145">
            <v>0.22499999999999998</v>
          </cell>
          <cell r="E145" t="str">
            <v>인</v>
          </cell>
          <cell r="G145">
            <v>0</v>
          </cell>
          <cell r="H145">
            <v>52370</v>
          </cell>
          <cell r="I145">
            <v>11783.2</v>
          </cell>
          <cell r="K145">
            <v>0</v>
          </cell>
          <cell r="L145">
            <v>52370</v>
          </cell>
          <cell r="M145">
            <v>11783.2</v>
          </cell>
        </row>
        <row r="146">
          <cell r="B146" t="str">
            <v>보통인부</v>
          </cell>
          <cell r="C146" t="str">
            <v>소운반</v>
          </cell>
          <cell r="D146">
            <v>0.06</v>
          </cell>
          <cell r="E146" t="str">
            <v>인</v>
          </cell>
          <cell r="G146">
            <v>0</v>
          </cell>
          <cell r="H146">
            <v>52370</v>
          </cell>
          <cell r="I146">
            <v>3142.2</v>
          </cell>
          <cell r="K146">
            <v>0</v>
          </cell>
          <cell r="L146">
            <v>52370</v>
          </cell>
          <cell r="M146">
            <v>3142.2</v>
          </cell>
        </row>
        <row r="147">
          <cell r="B147" t="str">
            <v>공구손료</v>
          </cell>
          <cell r="C147" t="str">
            <v>노무비의 3%</v>
          </cell>
          <cell r="D147">
            <v>1</v>
          </cell>
          <cell r="E147" t="str">
            <v>식</v>
          </cell>
          <cell r="G147">
            <v>0</v>
          </cell>
          <cell r="I147">
            <v>0</v>
          </cell>
          <cell r="J147">
            <v>63756</v>
          </cell>
          <cell r="K147">
            <v>1912</v>
          </cell>
          <cell r="M147">
            <v>1912</v>
          </cell>
        </row>
        <row r="148">
          <cell r="B148" t="str">
            <v>소   계</v>
          </cell>
          <cell r="G148">
            <v>980</v>
          </cell>
          <cell r="I148">
            <v>63756</v>
          </cell>
          <cell r="K148">
            <v>2205</v>
          </cell>
          <cell r="M148">
            <v>66941</v>
          </cell>
        </row>
        <row r="150">
          <cell r="B150">
            <v>67</v>
          </cell>
          <cell r="C150" t="str">
            <v>벽돌쌓기</v>
          </cell>
          <cell r="D150" t="str">
            <v>표준형,0.5B쌓기,5000매미만</v>
          </cell>
          <cell r="M150" t="str">
            <v>매당</v>
          </cell>
        </row>
        <row r="151">
          <cell r="B151" t="str">
            <v>시 멘 트</v>
          </cell>
          <cell r="C151" t="str">
            <v>40KG/포</v>
          </cell>
          <cell r="D151">
            <v>127.5</v>
          </cell>
          <cell r="E151" t="str">
            <v>KG</v>
          </cell>
          <cell r="F151">
            <v>61.95</v>
          </cell>
          <cell r="G151">
            <v>7898.6</v>
          </cell>
          <cell r="I151">
            <v>0</v>
          </cell>
          <cell r="K151">
            <v>0</v>
          </cell>
          <cell r="L151">
            <v>61.95</v>
          </cell>
          <cell r="M151">
            <v>7898.6</v>
          </cell>
        </row>
        <row r="152">
          <cell r="B152" t="str">
            <v>모   래</v>
          </cell>
          <cell r="C152">
            <v>0</v>
          </cell>
          <cell r="D152">
            <v>0.27500000000000002</v>
          </cell>
          <cell r="E152" t="str">
            <v>M3</v>
          </cell>
          <cell r="F152">
            <v>7500</v>
          </cell>
          <cell r="G152">
            <v>2062.5</v>
          </cell>
          <cell r="I152">
            <v>0</v>
          </cell>
          <cell r="K152">
            <v>0</v>
          </cell>
          <cell r="L152">
            <v>7500</v>
          </cell>
          <cell r="M152">
            <v>2062.5</v>
          </cell>
        </row>
        <row r="153">
          <cell r="B153" t="str">
            <v>시멘트운반</v>
          </cell>
          <cell r="C153" t="str">
            <v>4TON D/T</v>
          </cell>
          <cell r="D153">
            <v>127.5</v>
          </cell>
          <cell r="E153" t="str">
            <v>KG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20.725000000000001</v>
          </cell>
          <cell r="K153">
            <v>2642.4</v>
          </cell>
          <cell r="L153">
            <v>20.725000000000001</v>
          </cell>
          <cell r="M153">
            <v>2642.4</v>
          </cell>
        </row>
        <row r="154">
          <cell r="B154" t="str">
            <v>모래운반</v>
          </cell>
          <cell r="C154" t="str">
            <v>8TON D/T</v>
          </cell>
          <cell r="D154">
            <v>0.27500000000000002</v>
          </cell>
          <cell r="E154" t="str">
            <v>M3</v>
          </cell>
          <cell r="F154">
            <v>2865</v>
          </cell>
          <cell r="G154">
            <v>787.8</v>
          </cell>
          <cell r="H154">
            <v>2936</v>
          </cell>
          <cell r="I154">
            <v>807.4</v>
          </cell>
          <cell r="J154">
            <v>1680</v>
          </cell>
          <cell r="K154">
            <v>462</v>
          </cell>
          <cell r="L154">
            <v>7481</v>
          </cell>
          <cell r="M154">
            <v>2057.1999999999998</v>
          </cell>
        </row>
        <row r="155">
          <cell r="B155" t="str">
            <v>몰     탈</v>
          </cell>
          <cell r="C155" t="str">
            <v>1:3</v>
          </cell>
          <cell r="D155">
            <v>0.25</v>
          </cell>
          <cell r="E155" t="str">
            <v>M3</v>
          </cell>
          <cell r="F155">
            <v>42996</v>
          </cell>
          <cell r="G155">
            <v>10749</v>
          </cell>
          <cell r="H155">
            <v>55599</v>
          </cell>
          <cell r="I155">
            <v>13899.7</v>
          </cell>
          <cell r="J155">
            <v>12417</v>
          </cell>
          <cell r="K155">
            <v>3104.2</v>
          </cell>
          <cell r="L155">
            <v>111012</v>
          </cell>
          <cell r="M155">
            <v>27752.9</v>
          </cell>
        </row>
        <row r="156">
          <cell r="B156" t="str">
            <v>조적공</v>
          </cell>
          <cell r="C156" t="str">
            <v>5천매미만15% 가산</v>
          </cell>
          <cell r="D156">
            <v>2.0699999999999998</v>
          </cell>
          <cell r="E156" t="str">
            <v>인</v>
          </cell>
          <cell r="G156">
            <v>0</v>
          </cell>
          <cell r="H156">
            <v>85900</v>
          </cell>
          <cell r="I156">
            <v>177813</v>
          </cell>
          <cell r="K156">
            <v>0</v>
          </cell>
          <cell r="L156">
            <v>85900</v>
          </cell>
          <cell r="M156">
            <v>177813</v>
          </cell>
        </row>
        <row r="157">
          <cell r="B157" t="str">
            <v>보통인부</v>
          </cell>
          <cell r="C157" t="str">
            <v>5천매미만15% 가산</v>
          </cell>
          <cell r="D157">
            <v>1.1499999999999999</v>
          </cell>
          <cell r="E157" t="str">
            <v>인</v>
          </cell>
          <cell r="G157">
            <v>0</v>
          </cell>
          <cell r="H157">
            <v>52370</v>
          </cell>
          <cell r="I157">
            <v>60225.5</v>
          </cell>
          <cell r="K157">
            <v>0</v>
          </cell>
          <cell r="L157">
            <v>52370</v>
          </cell>
          <cell r="M157">
            <v>60225.5</v>
          </cell>
        </row>
        <row r="158">
          <cell r="B158" t="str">
            <v>1000매당 소계</v>
          </cell>
          <cell r="G158">
            <v>21497</v>
          </cell>
          <cell r="I158">
            <v>252745</v>
          </cell>
          <cell r="K158">
            <v>6208</v>
          </cell>
          <cell r="M158">
            <v>280450</v>
          </cell>
        </row>
        <row r="159">
          <cell r="B159" t="str">
            <v>1매당 소계</v>
          </cell>
          <cell r="G159">
            <v>21</v>
          </cell>
          <cell r="I159">
            <v>252</v>
          </cell>
          <cell r="K159">
            <v>6</v>
          </cell>
          <cell r="M159">
            <v>279</v>
          </cell>
        </row>
        <row r="161">
          <cell r="B161">
            <v>68</v>
          </cell>
          <cell r="C161" t="str">
            <v>벽돌쌓기</v>
          </cell>
          <cell r="D161" t="str">
            <v>표준형,1.0B쌓기,5000매미만</v>
          </cell>
          <cell r="M161" t="str">
            <v>매당</v>
          </cell>
        </row>
        <row r="162">
          <cell r="B162" t="str">
            <v>시 멘 트</v>
          </cell>
          <cell r="C162" t="str">
            <v>40KG/포</v>
          </cell>
          <cell r="D162">
            <v>168.3</v>
          </cell>
          <cell r="E162" t="str">
            <v>KG</v>
          </cell>
          <cell r="F162">
            <v>61.95</v>
          </cell>
          <cell r="G162">
            <v>10426.1</v>
          </cell>
          <cell r="I162">
            <v>0</v>
          </cell>
          <cell r="K162">
            <v>0</v>
          </cell>
          <cell r="L162">
            <v>61.95</v>
          </cell>
          <cell r="M162">
            <v>10426.1</v>
          </cell>
        </row>
        <row r="163">
          <cell r="B163" t="str">
            <v>모   래</v>
          </cell>
          <cell r="C163">
            <v>0</v>
          </cell>
          <cell r="D163">
            <v>0.36299999999999999</v>
          </cell>
          <cell r="E163" t="str">
            <v>M3</v>
          </cell>
          <cell r="F163">
            <v>7500</v>
          </cell>
          <cell r="G163">
            <v>2722.5</v>
          </cell>
          <cell r="I163">
            <v>0</v>
          </cell>
          <cell r="K163">
            <v>0</v>
          </cell>
          <cell r="L163">
            <v>7500</v>
          </cell>
          <cell r="M163">
            <v>2722.5</v>
          </cell>
        </row>
        <row r="164">
          <cell r="B164" t="str">
            <v>시멘트운반</v>
          </cell>
          <cell r="C164" t="str">
            <v>4TON D/T</v>
          </cell>
          <cell r="D164">
            <v>168.3</v>
          </cell>
          <cell r="E164" t="str">
            <v>KG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20.725000000000001</v>
          </cell>
          <cell r="K164">
            <v>3488</v>
          </cell>
          <cell r="L164">
            <v>20.725000000000001</v>
          </cell>
          <cell r="M164">
            <v>3488</v>
          </cell>
        </row>
        <row r="165">
          <cell r="B165" t="str">
            <v>모래운반</v>
          </cell>
          <cell r="C165" t="str">
            <v>8TON D/T</v>
          </cell>
          <cell r="D165">
            <v>0.36299999999999999</v>
          </cell>
          <cell r="E165" t="str">
            <v>M3</v>
          </cell>
          <cell r="F165">
            <v>2865</v>
          </cell>
          <cell r="G165">
            <v>1039.9000000000001</v>
          </cell>
          <cell r="H165">
            <v>2936</v>
          </cell>
          <cell r="I165">
            <v>1065.7</v>
          </cell>
          <cell r="J165">
            <v>1680</v>
          </cell>
          <cell r="K165">
            <v>609.79999999999995</v>
          </cell>
          <cell r="L165">
            <v>7481</v>
          </cell>
          <cell r="M165">
            <v>2715.4000000000005</v>
          </cell>
        </row>
        <row r="166">
          <cell r="B166" t="str">
            <v>몰     탈</v>
          </cell>
          <cell r="C166" t="str">
            <v>1:3</v>
          </cell>
          <cell r="D166">
            <v>0.33</v>
          </cell>
          <cell r="E166" t="str">
            <v>M3</v>
          </cell>
          <cell r="F166">
            <v>42996</v>
          </cell>
          <cell r="G166">
            <v>14188.6</v>
          </cell>
          <cell r="H166">
            <v>55599</v>
          </cell>
          <cell r="I166">
            <v>18347.599999999999</v>
          </cell>
          <cell r="J166">
            <v>12417</v>
          </cell>
          <cell r="K166">
            <v>4097.6000000000004</v>
          </cell>
          <cell r="L166">
            <v>111012</v>
          </cell>
          <cell r="M166">
            <v>36633.799999999996</v>
          </cell>
        </row>
        <row r="167">
          <cell r="B167" t="str">
            <v>조적공</v>
          </cell>
          <cell r="C167" t="str">
            <v>5천매미만15% 가산</v>
          </cell>
          <cell r="D167">
            <v>1.8399999999999999</v>
          </cell>
          <cell r="E167" t="str">
            <v>인</v>
          </cell>
          <cell r="G167">
            <v>0</v>
          </cell>
          <cell r="H167">
            <v>85900</v>
          </cell>
          <cell r="I167">
            <v>158056</v>
          </cell>
          <cell r="K167">
            <v>0</v>
          </cell>
          <cell r="L167">
            <v>85900</v>
          </cell>
          <cell r="M167">
            <v>158056</v>
          </cell>
        </row>
        <row r="168">
          <cell r="B168" t="str">
            <v>보통인부</v>
          </cell>
          <cell r="C168" t="str">
            <v>5천매미만15% 가산</v>
          </cell>
          <cell r="D168">
            <v>1.0349999999999999</v>
          </cell>
          <cell r="E168" t="str">
            <v>인</v>
          </cell>
          <cell r="G168">
            <v>0</v>
          </cell>
          <cell r="H168">
            <v>52370</v>
          </cell>
          <cell r="I168">
            <v>54202.9</v>
          </cell>
          <cell r="K168">
            <v>0</v>
          </cell>
          <cell r="L168">
            <v>52370</v>
          </cell>
          <cell r="M168">
            <v>54202.9</v>
          </cell>
        </row>
        <row r="169">
          <cell r="B169" t="str">
            <v>1000매당 소계</v>
          </cell>
          <cell r="G169">
            <v>28377</v>
          </cell>
          <cell r="I169">
            <v>231672</v>
          </cell>
          <cell r="K169">
            <v>8195</v>
          </cell>
          <cell r="M169">
            <v>268244</v>
          </cell>
        </row>
        <row r="170">
          <cell r="B170" t="str">
            <v>1매당 소계</v>
          </cell>
          <cell r="G170">
            <v>28</v>
          </cell>
          <cell r="I170">
            <v>231</v>
          </cell>
          <cell r="K170">
            <v>8</v>
          </cell>
          <cell r="M170">
            <v>267</v>
          </cell>
        </row>
        <row r="172">
          <cell r="B172">
            <v>69</v>
          </cell>
          <cell r="C172" t="str">
            <v>벽돌쌓기</v>
          </cell>
          <cell r="D172" t="str">
            <v>표준형,2.0B쌓기,5000매미만</v>
          </cell>
          <cell r="M172" t="str">
            <v>매당</v>
          </cell>
        </row>
        <row r="173">
          <cell r="B173" t="str">
            <v>시 멘 트</v>
          </cell>
          <cell r="C173" t="str">
            <v>40KG/포</v>
          </cell>
          <cell r="D173">
            <v>183.6</v>
          </cell>
          <cell r="E173" t="str">
            <v>KG</v>
          </cell>
          <cell r="F173">
            <v>61.95</v>
          </cell>
          <cell r="G173">
            <v>11374</v>
          </cell>
          <cell r="I173">
            <v>0</v>
          </cell>
          <cell r="K173">
            <v>0</v>
          </cell>
          <cell r="L173">
            <v>61.95</v>
          </cell>
          <cell r="M173">
            <v>11374</v>
          </cell>
        </row>
        <row r="174">
          <cell r="B174" t="str">
            <v>모   래</v>
          </cell>
          <cell r="C174">
            <v>0</v>
          </cell>
          <cell r="D174">
            <v>0.39600000000000002</v>
          </cell>
          <cell r="E174" t="str">
            <v>M3</v>
          </cell>
          <cell r="F174">
            <v>7500</v>
          </cell>
          <cell r="G174">
            <v>2970</v>
          </cell>
          <cell r="I174">
            <v>0</v>
          </cell>
          <cell r="K174">
            <v>0</v>
          </cell>
          <cell r="L174">
            <v>7500</v>
          </cell>
          <cell r="M174">
            <v>2970</v>
          </cell>
        </row>
        <row r="175">
          <cell r="B175" t="str">
            <v>시멘트운반</v>
          </cell>
          <cell r="C175" t="str">
            <v>4TON D/T</v>
          </cell>
          <cell r="D175">
            <v>183.6</v>
          </cell>
          <cell r="E175" t="str">
            <v>KG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20.725000000000001</v>
          </cell>
          <cell r="K175">
            <v>3805.1</v>
          </cell>
          <cell r="L175">
            <v>20.725000000000001</v>
          </cell>
          <cell r="M175">
            <v>3805.1</v>
          </cell>
        </row>
        <row r="176">
          <cell r="B176" t="str">
            <v>모래운반</v>
          </cell>
          <cell r="C176" t="str">
            <v>8TON D/T</v>
          </cell>
          <cell r="D176">
            <v>0.39600000000000002</v>
          </cell>
          <cell r="E176" t="str">
            <v>M3</v>
          </cell>
          <cell r="F176">
            <v>2865</v>
          </cell>
          <cell r="G176">
            <v>1134.5</v>
          </cell>
          <cell r="H176">
            <v>2936</v>
          </cell>
          <cell r="I176">
            <v>1162.5999999999999</v>
          </cell>
          <cell r="J176">
            <v>1680</v>
          </cell>
          <cell r="K176">
            <v>665.2</v>
          </cell>
          <cell r="L176">
            <v>7481</v>
          </cell>
          <cell r="M176">
            <v>2962.3</v>
          </cell>
        </row>
        <row r="177">
          <cell r="B177" t="str">
            <v>몰     탈</v>
          </cell>
          <cell r="C177" t="str">
            <v>1:3</v>
          </cell>
          <cell r="D177">
            <v>0.36</v>
          </cell>
          <cell r="E177" t="str">
            <v>M3</v>
          </cell>
          <cell r="F177">
            <v>42996</v>
          </cell>
          <cell r="G177">
            <v>15478.5</v>
          </cell>
          <cell r="H177">
            <v>55599</v>
          </cell>
          <cell r="I177">
            <v>20015.599999999999</v>
          </cell>
          <cell r="J177">
            <v>12417</v>
          </cell>
          <cell r="K177">
            <v>4470.1000000000004</v>
          </cell>
          <cell r="L177">
            <v>111012</v>
          </cell>
          <cell r="M177">
            <v>39964.199999999997</v>
          </cell>
        </row>
        <row r="178">
          <cell r="B178" t="str">
            <v>조적공</v>
          </cell>
          <cell r="C178" t="str">
            <v>5천매미만15% 가산</v>
          </cell>
          <cell r="D178">
            <v>1.38</v>
          </cell>
          <cell r="E178" t="str">
            <v>인</v>
          </cell>
          <cell r="G178">
            <v>0</v>
          </cell>
          <cell r="H178">
            <v>85900</v>
          </cell>
          <cell r="I178">
            <v>118542</v>
          </cell>
          <cell r="K178">
            <v>0</v>
          </cell>
          <cell r="L178">
            <v>85900</v>
          </cell>
          <cell r="M178">
            <v>118542</v>
          </cell>
        </row>
        <row r="179">
          <cell r="B179" t="str">
            <v>보통인부</v>
          </cell>
          <cell r="C179" t="str">
            <v>5천매미만15% 가산</v>
          </cell>
          <cell r="D179">
            <v>0.80499999999999994</v>
          </cell>
          <cell r="E179" t="str">
            <v>인</v>
          </cell>
          <cell r="G179">
            <v>0</v>
          </cell>
          <cell r="H179">
            <v>52370</v>
          </cell>
          <cell r="I179">
            <v>42157.8</v>
          </cell>
          <cell r="K179">
            <v>0</v>
          </cell>
          <cell r="L179">
            <v>52370</v>
          </cell>
          <cell r="M179">
            <v>42157.8</v>
          </cell>
        </row>
        <row r="180">
          <cell r="B180" t="str">
            <v>1000매당 소계</v>
          </cell>
          <cell r="G180">
            <v>30957</v>
          </cell>
          <cell r="I180">
            <v>181878</v>
          </cell>
          <cell r="K180">
            <v>8940</v>
          </cell>
          <cell r="M180">
            <v>221775</v>
          </cell>
        </row>
        <row r="181">
          <cell r="B181" t="str">
            <v>1매당 소계</v>
          </cell>
          <cell r="G181">
            <v>30</v>
          </cell>
          <cell r="I181">
            <v>181</v>
          </cell>
          <cell r="K181">
            <v>8</v>
          </cell>
          <cell r="M181">
            <v>219</v>
          </cell>
        </row>
        <row r="183">
          <cell r="B183">
            <v>70</v>
          </cell>
          <cell r="C183" t="str">
            <v>치장쌓기및줄눈</v>
          </cell>
          <cell r="D183" t="str">
            <v>표준형,0.5B쌓기,5000매미만</v>
          </cell>
          <cell r="M183" t="str">
            <v>매당</v>
          </cell>
        </row>
        <row r="184">
          <cell r="B184" t="str">
            <v>시 멘 트</v>
          </cell>
          <cell r="C184" t="str">
            <v>40KG/포</v>
          </cell>
          <cell r="D184">
            <v>165.76</v>
          </cell>
          <cell r="E184" t="str">
            <v>KG</v>
          </cell>
          <cell r="F184">
            <v>61.95</v>
          </cell>
          <cell r="G184">
            <v>10268.799999999999</v>
          </cell>
          <cell r="I184">
            <v>0</v>
          </cell>
          <cell r="K184">
            <v>0</v>
          </cell>
          <cell r="L184">
            <v>61.95</v>
          </cell>
          <cell r="M184">
            <v>10268.799999999999</v>
          </cell>
        </row>
        <row r="185">
          <cell r="B185" t="str">
            <v>모   래</v>
          </cell>
          <cell r="C185">
            <v>0</v>
          </cell>
          <cell r="D185">
            <v>0.30230000000000001</v>
          </cell>
          <cell r="E185" t="str">
            <v>M3</v>
          </cell>
          <cell r="F185">
            <v>7500</v>
          </cell>
          <cell r="G185">
            <v>2267.1999999999998</v>
          </cell>
          <cell r="I185">
            <v>0</v>
          </cell>
          <cell r="K185">
            <v>0</v>
          </cell>
          <cell r="L185">
            <v>7500</v>
          </cell>
          <cell r="M185">
            <v>2267.1999999999998</v>
          </cell>
        </row>
        <row r="186">
          <cell r="B186" t="str">
            <v>시멘트운반</v>
          </cell>
          <cell r="C186" t="str">
            <v>4TON D/T</v>
          </cell>
          <cell r="D186">
            <v>165.76</v>
          </cell>
          <cell r="E186" t="str">
            <v>KG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20.725000000000001</v>
          </cell>
          <cell r="K186">
            <v>3435.3</v>
          </cell>
          <cell r="L186">
            <v>20.725000000000001</v>
          </cell>
          <cell r="M186">
            <v>3435.3</v>
          </cell>
        </row>
        <row r="187">
          <cell r="B187" t="str">
            <v>모래운반</v>
          </cell>
          <cell r="C187" t="str">
            <v>8TON D/T</v>
          </cell>
          <cell r="D187">
            <v>0.30230000000000001</v>
          </cell>
          <cell r="E187" t="str">
            <v>M3</v>
          </cell>
          <cell r="F187">
            <v>2865</v>
          </cell>
          <cell r="G187">
            <v>866</v>
          </cell>
          <cell r="H187">
            <v>2936</v>
          </cell>
          <cell r="I187">
            <v>887.5</v>
          </cell>
          <cell r="J187">
            <v>1680</v>
          </cell>
          <cell r="K187">
            <v>507.8</v>
          </cell>
          <cell r="L187">
            <v>7481</v>
          </cell>
          <cell r="M187">
            <v>2261.3000000000002</v>
          </cell>
        </row>
        <row r="188">
          <cell r="B188" t="str">
            <v>몰     탈</v>
          </cell>
          <cell r="C188" t="str">
            <v>1:3</v>
          </cell>
          <cell r="D188">
            <v>0.28500000000000003</v>
          </cell>
          <cell r="E188" t="str">
            <v>M3</v>
          </cell>
          <cell r="F188">
            <v>42996</v>
          </cell>
          <cell r="G188">
            <v>12253.8</v>
          </cell>
          <cell r="H188">
            <v>55599</v>
          </cell>
          <cell r="I188">
            <v>15845.7</v>
          </cell>
          <cell r="J188">
            <v>12417</v>
          </cell>
          <cell r="K188">
            <v>3538.8</v>
          </cell>
          <cell r="L188">
            <v>111012</v>
          </cell>
          <cell r="M188">
            <v>31638.3</v>
          </cell>
        </row>
        <row r="189">
          <cell r="B189" t="str">
            <v>치장벽돌공</v>
          </cell>
          <cell r="C189" t="str">
            <v>5천매미만15% 가산</v>
          </cell>
          <cell r="D189">
            <v>2.9</v>
          </cell>
          <cell r="E189" t="str">
            <v>인</v>
          </cell>
          <cell r="G189">
            <v>0</v>
          </cell>
          <cell r="H189">
            <v>86480</v>
          </cell>
          <cell r="I189">
            <v>250792</v>
          </cell>
          <cell r="K189">
            <v>0</v>
          </cell>
          <cell r="L189">
            <v>86480</v>
          </cell>
          <cell r="M189">
            <v>250792</v>
          </cell>
        </row>
        <row r="190">
          <cell r="B190" t="str">
            <v>보통인부</v>
          </cell>
          <cell r="C190" t="str">
            <v>5천매미만15% 가산</v>
          </cell>
          <cell r="D190">
            <v>1.5</v>
          </cell>
          <cell r="E190" t="str">
            <v>인</v>
          </cell>
          <cell r="G190">
            <v>0</v>
          </cell>
          <cell r="H190">
            <v>52370</v>
          </cell>
          <cell r="I190">
            <v>78555</v>
          </cell>
          <cell r="K190">
            <v>0</v>
          </cell>
          <cell r="L190">
            <v>52370</v>
          </cell>
          <cell r="M190">
            <v>78555</v>
          </cell>
        </row>
        <row r="191">
          <cell r="B191" t="str">
            <v>보통인부</v>
          </cell>
          <cell r="C191" t="str">
            <v>몰탈닦기</v>
          </cell>
          <cell r="D191">
            <v>0.3</v>
          </cell>
          <cell r="E191" t="str">
            <v>인</v>
          </cell>
          <cell r="G191">
            <v>0</v>
          </cell>
          <cell r="H191">
            <v>52370</v>
          </cell>
          <cell r="I191">
            <v>15711</v>
          </cell>
          <cell r="K191">
            <v>0</v>
          </cell>
          <cell r="L191">
            <v>52370</v>
          </cell>
          <cell r="M191">
            <v>15711</v>
          </cell>
        </row>
        <row r="192">
          <cell r="B192" t="str">
            <v>줄눈공</v>
          </cell>
          <cell r="D192">
            <v>0.9</v>
          </cell>
          <cell r="E192" t="str">
            <v>인</v>
          </cell>
          <cell r="G192">
            <v>0</v>
          </cell>
          <cell r="H192">
            <v>79870</v>
          </cell>
          <cell r="I192">
            <v>71883</v>
          </cell>
          <cell r="K192">
            <v>0</v>
          </cell>
          <cell r="L192">
            <v>79870</v>
          </cell>
          <cell r="M192">
            <v>71883</v>
          </cell>
        </row>
        <row r="193">
          <cell r="B193" t="str">
            <v>1000매당 소계</v>
          </cell>
          <cell r="G193">
            <v>25655</v>
          </cell>
          <cell r="I193">
            <v>433674</v>
          </cell>
          <cell r="K193">
            <v>7481</v>
          </cell>
          <cell r="M193">
            <v>466810</v>
          </cell>
        </row>
        <row r="194">
          <cell r="B194" t="str">
            <v>1매당 소계</v>
          </cell>
          <cell r="G194">
            <v>25</v>
          </cell>
          <cell r="I194">
            <v>433</v>
          </cell>
          <cell r="K194">
            <v>7</v>
          </cell>
          <cell r="M194">
            <v>465</v>
          </cell>
        </row>
        <row r="196">
          <cell r="B196">
            <v>71</v>
          </cell>
          <cell r="C196" t="str">
            <v>벽돌바닥깔기</v>
          </cell>
          <cell r="D196" t="str">
            <v>표준형,모로세워깔기</v>
          </cell>
          <cell r="M196" t="str">
            <v>m2당</v>
          </cell>
        </row>
        <row r="197">
          <cell r="B197" t="str">
            <v>시 멘 트</v>
          </cell>
          <cell r="C197" t="str">
            <v>40KG/포</v>
          </cell>
          <cell r="D197">
            <v>20.91</v>
          </cell>
          <cell r="E197" t="str">
            <v>KG</v>
          </cell>
          <cell r="F197">
            <v>61.95</v>
          </cell>
          <cell r="G197">
            <v>1295.3</v>
          </cell>
          <cell r="I197">
            <v>0</v>
          </cell>
          <cell r="K197">
            <v>0</v>
          </cell>
          <cell r="L197">
            <v>61.95</v>
          </cell>
          <cell r="M197">
            <v>1295.3</v>
          </cell>
        </row>
        <row r="198">
          <cell r="B198" t="str">
            <v>모   래</v>
          </cell>
          <cell r="C198">
            <v>0</v>
          </cell>
          <cell r="D198">
            <v>4.4999999999999998E-2</v>
          </cell>
          <cell r="E198" t="str">
            <v>M3</v>
          </cell>
          <cell r="F198">
            <v>7500</v>
          </cell>
          <cell r="G198">
            <v>337.5</v>
          </cell>
          <cell r="I198">
            <v>0</v>
          </cell>
          <cell r="K198">
            <v>0</v>
          </cell>
          <cell r="L198">
            <v>7500</v>
          </cell>
          <cell r="M198">
            <v>337.5</v>
          </cell>
        </row>
        <row r="199">
          <cell r="B199" t="str">
            <v>시멘트운반</v>
          </cell>
          <cell r="C199" t="str">
            <v>4TON D/T</v>
          </cell>
          <cell r="D199">
            <v>20.91</v>
          </cell>
          <cell r="E199" t="str">
            <v>KG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20.725000000000001</v>
          </cell>
          <cell r="K199">
            <v>433.3</v>
          </cell>
          <cell r="L199">
            <v>20.725000000000001</v>
          </cell>
          <cell r="M199">
            <v>433.3</v>
          </cell>
        </row>
        <row r="200">
          <cell r="B200" t="str">
            <v>모래운반</v>
          </cell>
          <cell r="C200" t="str">
            <v>8TON D/T</v>
          </cell>
          <cell r="D200">
            <v>4.4999999999999998E-2</v>
          </cell>
          <cell r="E200" t="str">
            <v>M3</v>
          </cell>
          <cell r="F200">
            <v>2865</v>
          </cell>
          <cell r="G200">
            <v>128.9</v>
          </cell>
          <cell r="H200">
            <v>2936</v>
          </cell>
          <cell r="I200">
            <v>132.1</v>
          </cell>
          <cell r="J200">
            <v>1680</v>
          </cell>
          <cell r="K200">
            <v>75.599999999999994</v>
          </cell>
          <cell r="L200">
            <v>7481</v>
          </cell>
          <cell r="M200">
            <v>336.6</v>
          </cell>
        </row>
        <row r="201">
          <cell r="B201" t="str">
            <v>몰     탈</v>
          </cell>
          <cell r="C201" t="str">
            <v>1:3</v>
          </cell>
          <cell r="D201">
            <v>4.1000000000000002E-2</v>
          </cell>
          <cell r="E201" t="str">
            <v>M3</v>
          </cell>
          <cell r="F201">
            <v>42996</v>
          </cell>
          <cell r="G201">
            <v>1762.8</v>
          </cell>
          <cell r="H201">
            <v>55599</v>
          </cell>
          <cell r="I201">
            <v>2279.5</v>
          </cell>
          <cell r="J201">
            <v>12417</v>
          </cell>
          <cell r="K201">
            <v>509</v>
          </cell>
          <cell r="L201">
            <v>111012</v>
          </cell>
          <cell r="M201">
            <v>4551.3</v>
          </cell>
        </row>
        <row r="202">
          <cell r="B202" t="str">
            <v>조적공</v>
          </cell>
          <cell r="D202">
            <v>0.2</v>
          </cell>
          <cell r="E202" t="str">
            <v>인</v>
          </cell>
          <cell r="G202">
            <v>0</v>
          </cell>
          <cell r="H202">
            <v>85900</v>
          </cell>
          <cell r="I202">
            <v>17180</v>
          </cell>
          <cell r="K202">
            <v>0</v>
          </cell>
          <cell r="L202">
            <v>85900</v>
          </cell>
          <cell r="M202">
            <v>17180</v>
          </cell>
        </row>
        <row r="203">
          <cell r="B203" t="str">
            <v>보통인부</v>
          </cell>
          <cell r="D203">
            <v>7.0000000000000007E-2</v>
          </cell>
          <cell r="E203" t="str">
            <v>인</v>
          </cell>
          <cell r="G203">
            <v>0</v>
          </cell>
          <cell r="H203">
            <v>52370</v>
          </cell>
          <cell r="I203">
            <v>3665.9</v>
          </cell>
          <cell r="K203">
            <v>0</v>
          </cell>
          <cell r="L203">
            <v>52370</v>
          </cell>
          <cell r="M203">
            <v>3665.9</v>
          </cell>
        </row>
        <row r="204">
          <cell r="B204" t="str">
            <v>소   계</v>
          </cell>
          <cell r="G204">
            <v>3524</v>
          </cell>
          <cell r="I204">
            <v>23257</v>
          </cell>
          <cell r="K204">
            <v>1017</v>
          </cell>
          <cell r="M204">
            <v>27798</v>
          </cell>
        </row>
        <row r="206">
          <cell r="B206">
            <v>72</v>
          </cell>
          <cell r="C206" t="str">
            <v>방수몰탈</v>
          </cell>
          <cell r="D206" t="str">
            <v>1:1</v>
          </cell>
          <cell r="M206" t="str">
            <v>m3당</v>
          </cell>
        </row>
        <row r="207">
          <cell r="B207" t="str">
            <v>시 멘 트</v>
          </cell>
          <cell r="C207" t="str">
            <v>40KG/포</v>
          </cell>
          <cell r="D207">
            <v>1093</v>
          </cell>
          <cell r="E207" t="str">
            <v>KG</v>
          </cell>
          <cell r="F207">
            <v>61.95</v>
          </cell>
          <cell r="G207">
            <v>67711.3</v>
          </cell>
          <cell r="I207">
            <v>0</v>
          </cell>
          <cell r="K207">
            <v>0</v>
          </cell>
          <cell r="L207">
            <v>61.95</v>
          </cell>
          <cell r="M207">
            <v>67711.3</v>
          </cell>
        </row>
        <row r="208">
          <cell r="B208" t="str">
            <v>모   래</v>
          </cell>
          <cell r="C208">
            <v>0</v>
          </cell>
          <cell r="D208">
            <v>0.78</v>
          </cell>
          <cell r="E208" t="str">
            <v>M3</v>
          </cell>
          <cell r="F208">
            <v>7500</v>
          </cell>
          <cell r="G208">
            <v>5850</v>
          </cell>
          <cell r="I208">
            <v>0</v>
          </cell>
          <cell r="K208">
            <v>0</v>
          </cell>
          <cell r="L208">
            <v>7500</v>
          </cell>
          <cell r="M208">
            <v>5850</v>
          </cell>
        </row>
        <row r="209">
          <cell r="B209" t="str">
            <v>시멘트운반</v>
          </cell>
          <cell r="C209" t="str">
            <v>4TON D/T</v>
          </cell>
          <cell r="D209">
            <v>1093</v>
          </cell>
          <cell r="E209" t="str">
            <v>KG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20.725000000000001</v>
          </cell>
          <cell r="K209">
            <v>22652.400000000001</v>
          </cell>
          <cell r="L209">
            <v>20.725000000000001</v>
          </cell>
          <cell r="M209">
            <v>22652.400000000001</v>
          </cell>
        </row>
        <row r="210">
          <cell r="B210" t="str">
            <v>모래운반</v>
          </cell>
          <cell r="C210" t="str">
            <v>8TON D/T</v>
          </cell>
          <cell r="D210">
            <v>0.78</v>
          </cell>
          <cell r="E210" t="str">
            <v>M3</v>
          </cell>
          <cell r="F210">
            <v>2865</v>
          </cell>
          <cell r="G210">
            <v>2234.6999999999998</v>
          </cell>
          <cell r="H210">
            <v>2936</v>
          </cell>
          <cell r="I210">
            <v>2290</v>
          </cell>
          <cell r="J210">
            <v>1680</v>
          </cell>
          <cell r="K210">
            <v>1310.4000000000001</v>
          </cell>
          <cell r="L210">
            <v>7481</v>
          </cell>
          <cell r="M210">
            <v>5835.1</v>
          </cell>
        </row>
        <row r="211">
          <cell r="B211" t="str">
            <v>방수제</v>
          </cell>
          <cell r="C211">
            <v>0</v>
          </cell>
          <cell r="D211">
            <v>163.95</v>
          </cell>
          <cell r="E211" t="str">
            <v>kg</v>
          </cell>
          <cell r="F211">
            <v>1600</v>
          </cell>
          <cell r="G211">
            <v>262320</v>
          </cell>
          <cell r="I211">
            <v>0</v>
          </cell>
          <cell r="K211">
            <v>0</v>
          </cell>
          <cell r="L211">
            <v>1600</v>
          </cell>
          <cell r="M211">
            <v>262320</v>
          </cell>
        </row>
        <row r="212">
          <cell r="B212" t="str">
            <v>보통인부</v>
          </cell>
          <cell r="D212">
            <v>1.2</v>
          </cell>
          <cell r="E212" t="str">
            <v>인</v>
          </cell>
          <cell r="G212">
            <v>0</v>
          </cell>
          <cell r="H212">
            <v>52370</v>
          </cell>
          <cell r="I212">
            <v>62844</v>
          </cell>
          <cell r="K212">
            <v>0</v>
          </cell>
          <cell r="L212">
            <v>52370</v>
          </cell>
          <cell r="M212">
            <v>62844</v>
          </cell>
        </row>
        <row r="213">
          <cell r="B213" t="str">
            <v>소   계</v>
          </cell>
          <cell r="G213">
            <v>338116</v>
          </cell>
          <cell r="I213">
            <v>65134</v>
          </cell>
          <cell r="K213">
            <v>23962</v>
          </cell>
          <cell r="M213">
            <v>427212</v>
          </cell>
        </row>
        <row r="215">
          <cell r="B215">
            <v>73</v>
          </cell>
          <cell r="C215" t="str">
            <v>방수몰탈바름</v>
          </cell>
          <cell r="D215" t="str">
            <v>T18,(1:1)</v>
          </cell>
          <cell r="M215" t="str">
            <v>m2당</v>
          </cell>
        </row>
        <row r="216">
          <cell r="B216" t="str">
            <v>미장공</v>
          </cell>
          <cell r="D216">
            <v>0.08</v>
          </cell>
          <cell r="E216" t="str">
            <v>인</v>
          </cell>
          <cell r="G216">
            <v>0</v>
          </cell>
          <cell r="H216">
            <v>87220</v>
          </cell>
          <cell r="I216">
            <v>6977.6</v>
          </cell>
          <cell r="K216">
            <v>0</v>
          </cell>
          <cell r="L216">
            <v>87220</v>
          </cell>
          <cell r="M216">
            <v>6977.6</v>
          </cell>
        </row>
        <row r="217">
          <cell r="B217" t="str">
            <v>보통인부</v>
          </cell>
          <cell r="D217">
            <v>0.05</v>
          </cell>
          <cell r="E217" t="str">
            <v>인</v>
          </cell>
          <cell r="G217">
            <v>0</v>
          </cell>
          <cell r="H217">
            <v>52370</v>
          </cell>
          <cell r="I217">
            <v>2618.5</v>
          </cell>
          <cell r="K217">
            <v>0</v>
          </cell>
          <cell r="L217">
            <v>52370</v>
          </cell>
          <cell r="M217">
            <v>2618.5</v>
          </cell>
        </row>
        <row r="218">
          <cell r="B218" t="str">
            <v>소   계</v>
          </cell>
          <cell r="G218">
            <v>0</v>
          </cell>
          <cell r="I218">
            <v>9596</v>
          </cell>
          <cell r="K218">
            <v>0</v>
          </cell>
          <cell r="M218">
            <v>9596</v>
          </cell>
        </row>
        <row r="220">
          <cell r="B220">
            <v>74</v>
          </cell>
          <cell r="C220" t="str">
            <v>와이어메쉬바닥깔기</v>
          </cell>
          <cell r="E220" t="str">
            <v>#8x150x150</v>
          </cell>
          <cell r="M220" t="str">
            <v>m2당</v>
          </cell>
        </row>
        <row r="221">
          <cell r="B221" t="str">
            <v>와이어메쉬</v>
          </cell>
          <cell r="C221" t="str">
            <v>#8,15x150</v>
          </cell>
          <cell r="D221">
            <v>1.1599999999999999</v>
          </cell>
          <cell r="E221" t="str">
            <v>m2</v>
          </cell>
          <cell r="F221">
            <v>680</v>
          </cell>
          <cell r="G221">
            <v>788.8</v>
          </cell>
          <cell r="I221">
            <v>0</v>
          </cell>
          <cell r="K221">
            <v>0</v>
          </cell>
          <cell r="L221">
            <v>680</v>
          </cell>
          <cell r="M221">
            <v>788.8</v>
          </cell>
        </row>
        <row r="222">
          <cell r="B222" t="str">
            <v>철   선</v>
          </cell>
          <cell r="C222" t="str">
            <v>#20(Φ0.9mm)</v>
          </cell>
          <cell r="D222">
            <v>0.05</v>
          </cell>
          <cell r="E222" t="str">
            <v>KG</v>
          </cell>
          <cell r="F222">
            <v>520</v>
          </cell>
          <cell r="G222">
            <v>26</v>
          </cell>
          <cell r="I222">
            <v>0</v>
          </cell>
          <cell r="K222">
            <v>0</v>
          </cell>
          <cell r="L222">
            <v>520</v>
          </cell>
          <cell r="M222">
            <v>26</v>
          </cell>
        </row>
        <row r="223">
          <cell r="B223" t="str">
            <v>특별인부</v>
          </cell>
          <cell r="D223">
            <v>1.2E-2</v>
          </cell>
          <cell r="E223" t="str">
            <v>인</v>
          </cell>
          <cell r="G223">
            <v>0</v>
          </cell>
          <cell r="H223">
            <v>66050</v>
          </cell>
          <cell r="I223">
            <v>792.6</v>
          </cell>
          <cell r="K223">
            <v>0</v>
          </cell>
          <cell r="L223">
            <v>66050</v>
          </cell>
          <cell r="M223">
            <v>792.6</v>
          </cell>
        </row>
        <row r="224">
          <cell r="B224" t="str">
            <v>소   계</v>
          </cell>
          <cell r="G224">
            <v>814</v>
          </cell>
          <cell r="I224">
            <v>792</v>
          </cell>
          <cell r="K224">
            <v>0</v>
          </cell>
          <cell r="M224">
            <v>1606</v>
          </cell>
        </row>
        <row r="226">
          <cell r="B226">
            <v>75</v>
          </cell>
          <cell r="C226" t="str">
            <v>방습필름깔기</v>
          </cell>
          <cell r="M226" t="str">
            <v>m2당</v>
          </cell>
        </row>
        <row r="227">
          <cell r="B227" t="str">
            <v>PE필름</v>
          </cell>
          <cell r="C227" t="str">
            <v>T0.03</v>
          </cell>
          <cell r="D227">
            <v>1.1000000000000001</v>
          </cell>
          <cell r="E227" t="str">
            <v>m2</v>
          </cell>
          <cell r="F227">
            <v>97</v>
          </cell>
          <cell r="G227">
            <v>106.7</v>
          </cell>
          <cell r="I227">
            <v>0</v>
          </cell>
          <cell r="K227">
            <v>0</v>
          </cell>
          <cell r="L227">
            <v>97</v>
          </cell>
          <cell r="M227">
            <v>106.7</v>
          </cell>
        </row>
        <row r="228">
          <cell r="B228" t="str">
            <v>보통인부</v>
          </cell>
          <cell r="C228" t="str">
            <v>품12-17-1준용</v>
          </cell>
          <cell r="D228">
            <v>4.0000000000000001E-3</v>
          </cell>
          <cell r="E228" t="str">
            <v>인</v>
          </cell>
          <cell r="G228">
            <v>0</v>
          </cell>
          <cell r="H228">
            <v>52370</v>
          </cell>
          <cell r="I228">
            <v>209.4</v>
          </cell>
          <cell r="K228">
            <v>0</v>
          </cell>
          <cell r="L228">
            <v>52370</v>
          </cell>
          <cell r="M228">
            <v>209.4</v>
          </cell>
        </row>
        <row r="229">
          <cell r="B229" t="str">
            <v>소   계</v>
          </cell>
          <cell r="G229">
            <v>106</v>
          </cell>
          <cell r="I229">
            <v>209</v>
          </cell>
          <cell r="J229">
            <v>0</v>
          </cell>
          <cell r="K229">
            <v>0</v>
          </cell>
          <cell r="M229">
            <v>316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아름마을(선경APT)"/>
      <sheetName val="견적서(양식DN-S-01) (2)"/>
      <sheetName val="내역서(양식DN-S-02)"/>
      <sheetName val="일위대가(양식DN-S-03)"/>
      <sheetName val="사각파고라"/>
      <sheetName val="내역서"/>
      <sheetName val="기초일위대가 (2)"/>
      <sheetName val="비교"/>
      <sheetName val="공사원가"/>
      <sheetName val="견적서"/>
      <sheetName val="기초일위대가"/>
      <sheetName val="산출근거서(장미터널)"/>
      <sheetName val="산출근거서(그늘시렁A) "/>
      <sheetName val="산출근거서(그늘시렁B)"/>
      <sheetName val="산출근거서(그늘시렁C)"/>
      <sheetName val="산출근거서(사각파고라)"/>
      <sheetName val="산출근거서(등의자)"/>
      <sheetName val="단가비교"/>
      <sheetName val="노임단가"/>
      <sheetName val="VXXXXX"/>
      <sheetName val="일위대가"/>
      <sheetName val="일위대가(내역)"/>
      <sheetName val="내࣭서"/>
      <sheetName val="기초일위"/>
      <sheetName val="시설일위"/>
      <sheetName val="식재일위"/>
      <sheetName val="일위목록"/>
      <sheetName val="총괄내역서"/>
      <sheetName val="소일위대가코드표"/>
      <sheetName val="조명일위"/>
      <sheetName val="기초목"/>
      <sheetName val="단위중량"/>
      <sheetName val="9509"/>
      <sheetName val="단가"/>
      <sheetName val="SORCE1"/>
      <sheetName val="중기조종사 단위단가"/>
      <sheetName val="대로근거"/>
      <sheetName val="견적서(양식DN-S-01)_(2)"/>
      <sheetName val="기초일위대가_(2)"/>
      <sheetName val="산출근거서(그늘시렁A)_"/>
      <sheetName val="노임이"/>
      <sheetName val="00노임기준"/>
      <sheetName val="1공구산출내역서"/>
      <sheetName val="경상직원"/>
      <sheetName val="데이타"/>
      <sheetName val="노무비단가"/>
      <sheetName val="공통자료"/>
      <sheetName val="내역전기"/>
      <sheetName val="별표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설물총괄"/>
      <sheetName val="단위수량산출"/>
      <sheetName val="Sheet1"/>
      <sheetName val="시설물"/>
      <sheetName val="내역서"/>
      <sheetName val="9811"/>
      <sheetName val="현장관리비"/>
      <sheetName val="일위대가목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"/>
      <sheetName val="실정내역"/>
      <sheetName val="현장관리비"/>
      <sheetName val="수질정화시설"/>
      <sheetName val="집계표"/>
      <sheetName val="대비"/>
      <sheetName val="기초일위"/>
      <sheetName val="시설일위"/>
      <sheetName val="식재일위"/>
      <sheetName val="일위목록"/>
      <sheetName val="용지매수"/>
      <sheetName val="총괄표"/>
      <sheetName val="06 일위대가목록"/>
      <sheetName val="관급"/>
      <sheetName val="조명일위"/>
      <sheetName val="데리네이타현황"/>
      <sheetName val="3연box"/>
      <sheetName val="단 bo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목록"/>
      <sheetName val="토공단가"/>
      <sheetName val="배수단가"/>
      <sheetName val="부대단가"/>
      <sheetName val="운반거리(자갈)"/>
      <sheetName val="Sheet1"/>
      <sheetName val="Sheet2"/>
      <sheetName val="Sheet3"/>
      <sheetName val="소일위대가코드표"/>
      <sheetName val="기초일위"/>
      <sheetName val="시설일위"/>
      <sheetName val="식재일위"/>
      <sheetName val="일위목록"/>
      <sheetName val="매매"/>
      <sheetName val="전신"/>
      <sheetName val="경산"/>
      <sheetName val="암거단위-1련"/>
      <sheetName val="내역서"/>
      <sheetName val="J형측구단위수량"/>
      <sheetName val="데리네이타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포장수량집계"/>
      <sheetName val="진입도로2포장"/>
      <sheetName val="주차장포장"/>
      <sheetName val="콘크리트포장"/>
      <sheetName val="ILP포장"/>
      <sheetName val="경계석단위수량"/>
      <sheetName val="차선도색집계"/>
      <sheetName val="차선(진입도로2)"/>
      <sheetName val="차선도색단위수량"/>
      <sheetName val="포장공제수량집계"/>
      <sheetName val="우수받이공제수량집계"/>
      <sheetName val="맨홀공제수량집계"/>
      <sheetName val="맨홀공제단위수량"/>
      <sheetName val="보도공제면적"/>
      <sheetName val="보도공제단위수량"/>
      <sheetName val="간지"/>
      <sheetName val="내역서"/>
      <sheetName val="기초일위"/>
      <sheetName val="시설일위"/>
      <sheetName val="식재일위"/>
      <sheetName val="일위목록"/>
      <sheetName val="내역"/>
      <sheetName val="현장관리비"/>
      <sheetName val="토사(P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총괄내역"/>
      <sheetName val="내역서"/>
      <sheetName val="일위대가"/>
      <sheetName val="보도공제면적"/>
      <sheetName val="집계표"/>
      <sheetName val="내역"/>
      <sheetName val="일위목록"/>
      <sheetName val="공원전기521"/>
      <sheetName val="노임단가"/>
      <sheetName val="진주방향"/>
      <sheetName val="마산방향"/>
      <sheetName val="마산방향철근집계"/>
      <sheetName val="공구원가계산"/>
      <sheetName val="단가산출목록표"/>
      <sheetName val="2000년1차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예산총괄표"/>
      <sheetName val="실행예산총괄표-시설물"/>
      <sheetName val="실행예산총괄표-식재"/>
      <sheetName val="실행내역 "/>
      <sheetName val="수목실행총괄"/>
      <sheetName val="수목실행세부"/>
      <sheetName val="시설물총괄"/>
      <sheetName val="시설물세부"/>
      <sheetName val="Sheet1"/>
      <sheetName val="Sheet2"/>
      <sheetName val="Sheet3"/>
      <sheetName val="일위대가표"/>
      <sheetName val="ABUT수량-A1"/>
      <sheetName val="토사(PE)"/>
      <sheetName val="실행내역"/>
      <sheetName val="수목데이타 "/>
      <sheetName val="부분별수량산출(조합기초)"/>
      <sheetName val="몰탈재료산출"/>
      <sheetName val="연습"/>
      <sheetName val="조명시설"/>
      <sheetName val="공주-교대(A1)"/>
      <sheetName val="지급자재"/>
      <sheetName val="총괄내역서"/>
      <sheetName val="법면"/>
      <sheetName val="부대공"/>
      <sheetName val="구조물공"/>
      <sheetName val="중기일위대가"/>
      <sheetName val="포장공"/>
      <sheetName val="토공"/>
      <sheetName val="배수공1"/>
      <sheetName val="9811"/>
      <sheetName val="집계표"/>
      <sheetName val="토목"/>
      <sheetName val="관급"/>
      <sheetName val="자료"/>
      <sheetName val="고창터널(고창방향)"/>
      <sheetName val="보도공제면적"/>
      <sheetName val="기초일위"/>
      <sheetName val="시설일위"/>
      <sheetName val="조명일위"/>
      <sheetName val="회관내역"/>
      <sheetName val="회관내역 (2)"/>
      <sheetName val="공동내역"/>
      <sheetName val="공동내역 (2)"/>
      <sheetName val="쉼터내역"/>
      <sheetName val="쉼터내역 (2)"/>
      <sheetName val="대가표(품셈)"/>
      <sheetName val="잡비계산"/>
      <sheetName val="품셈"/>
      <sheetName val="내역"/>
      <sheetName val="식재일위"/>
      <sheetName val="일위대가"/>
      <sheetName val="중기조종사 단위단가"/>
      <sheetName val="노임단가"/>
      <sheetName val="DATE"/>
      <sheetName val="9509"/>
      <sheetName val="경산"/>
      <sheetName val="INPUT"/>
      <sheetName val="대로근거"/>
      <sheetName val="기초목"/>
      <sheetName val="기계경비"/>
      <sheetName val="일위목록"/>
      <sheetName val="소일위대가코드표"/>
      <sheetName val="TOTAL3"/>
      <sheetName val="소방"/>
      <sheetName val="현장관리비"/>
      <sheetName val="단가산출1"/>
      <sheetName val="단가산출2"/>
      <sheetName val="중기사용료산출근거"/>
      <sheetName val="일위(토,포,부)"/>
      <sheetName val="단가산출"/>
      <sheetName val="기본1"/>
      <sheetName val="수정일위대가"/>
    </sheetNames>
    <sheetDataSet>
      <sheetData sheetId="0"/>
      <sheetData sheetId="1"/>
      <sheetData sheetId="2"/>
      <sheetData sheetId="3" refreshError="1">
        <row r="2">
          <cell r="A2" t="str">
            <v>품  명</v>
          </cell>
        </row>
        <row r="5">
          <cell r="A5" t="str">
            <v xml:space="preserve">인천국제공항 배후지원단지 기반시설공사 (3공구) </v>
          </cell>
        </row>
        <row r="6">
          <cell r="A6" t="str">
            <v>1. 수목식재공사</v>
          </cell>
        </row>
        <row r="7">
          <cell r="A7" t="str">
            <v>2. 수목이식공사</v>
          </cell>
        </row>
        <row r="8">
          <cell r="A8" t="str">
            <v>3. 시설물공사</v>
          </cell>
        </row>
        <row r="9">
          <cell r="A9" t="str">
            <v>4. 포장공사</v>
          </cell>
        </row>
        <row r="10">
          <cell r="A10" t="str">
            <v>5. 우배수공사</v>
          </cell>
        </row>
        <row r="11">
          <cell r="A11" t="str">
            <v>6. 식재지조성공사</v>
          </cell>
        </row>
        <row r="12">
          <cell r="A12" t="str">
            <v>7. 부대공사</v>
          </cell>
        </row>
        <row r="13">
          <cell r="A13" t="str">
            <v>소   계</v>
          </cell>
        </row>
        <row r="14">
          <cell r="A14" t="str">
            <v>간접노무비 : 직노*14%</v>
          </cell>
        </row>
        <row r="15">
          <cell r="A15" t="str">
            <v>산재보험료 : (직노+간노)*2.9%</v>
          </cell>
        </row>
        <row r="16">
          <cell r="A16" t="str">
            <v>안전관리비 : (직노+직재+공단지급자재대)*0.91%+1,647,000</v>
          </cell>
        </row>
        <row r="17">
          <cell r="A17" t="str">
            <v>기 타 경 비 : (노무+직재)*8%</v>
          </cell>
        </row>
        <row r="18">
          <cell r="A18" t="str">
            <v>누     계</v>
          </cell>
        </row>
        <row r="19">
          <cell r="A19" t="str">
            <v>일반관리비 : 순공사원가*1.3%</v>
          </cell>
        </row>
        <row r="20">
          <cell r="A20" t="str">
            <v>계</v>
          </cell>
        </row>
        <row r="21">
          <cell r="A21" t="str">
            <v>이윤 : (계-재료비)*1.05%이내</v>
          </cell>
        </row>
        <row r="22">
          <cell r="A22" t="str">
            <v>8. 운반비(도선료)</v>
          </cell>
        </row>
        <row r="23">
          <cell r="A23" t="str">
            <v>9. 이식수목할증</v>
          </cell>
        </row>
        <row r="24">
          <cell r="A24" t="str">
            <v>합     계</v>
          </cell>
        </row>
        <row r="25">
          <cell r="A25" t="str">
            <v>부가가치세(10%)</v>
          </cell>
        </row>
        <row r="26">
          <cell r="A26" t="str">
            <v>공사원가</v>
          </cell>
        </row>
        <row r="27">
          <cell r="A27" t="str">
            <v>10. 공단지급자재</v>
          </cell>
        </row>
        <row r="28">
          <cell r="A28" t="str">
            <v>⊙ 공사경비및 현장관리비</v>
          </cell>
        </row>
        <row r="29">
          <cell r="A29" t="str">
            <v>총공사비</v>
          </cell>
        </row>
        <row r="30">
          <cell r="A30" t="str">
            <v>1. 수목식재공사</v>
          </cell>
        </row>
        <row r="31">
          <cell r="A31" t="str">
            <v>1) 어린이공원 Ⅰ</v>
          </cell>
        </row>
        <row r="32">
          <cell r="A32" t="str">
            <v>2) 어린이공원 Ⅱ</v>
          </cell>
        </row>
        <row r="33">
          <cell r="A33" t="str">
            <v>3) 어린이공원 Ⅲ</v>
          </cell>
        </row>
        <row r="34">
          <cell r="A34" t="str">
            <v>4) 어린이공원 Ⅳ</v>
          </cell>
        </row>
        <row r="35">
          <cell r="A35" t="str">
            <v>5) 어린이공원 Ⅴ</v>
          </cell>
        </row>
        <row r="36">
          <cell r="A36" t="str">
            <v>6) 어린이공원 Ⅶ</v>
          </cell>
        </row>
        <row r="37">
          <cell r="A37" t="str">
            <v>7)10M시설녹지 1지역</v>
          </cell>
        </row>
        <row r="38">
          <cell r="A38" t="str">
            <v>8)10M시설녹지2지역</v>
          </cell>
        </row>
        <row r="39">
          <cell r="A39" t="str">
            <v>9) 가로수</v>
          </cell>
        </row>
        <row r="40">
          <cell r="A40" t="str">
            <v>10) 보행자전용도로</v>
          </cell>
        </row>
        <row r="41">
          <cell r="A41" t="str">
            <v>11) 경관녹지 Ⅰ</v>
          </cell>
        </row>
        <row r="42">
          <cell r="A42" t="str">
            <v>12) 경관녹지 Ⅱ</v>
          </cell>
        </row>
        <row r="43">
          <cell r="A43" t="str">
            <v>13) 경관녹지 Ⅲ</v>
          </cell>
        </row>
        <row r="44">
          <cell r="A44" t="str">
            <v>14) 경관녹지 Ⅳ</v>
          </cell>
        </row>
        <row r="45">
          <cell r="A45" t="str">
            <v>15)100M시설녹지</v>
          </cell>
        </row>
        <row r="46">
          <cell r="A46" t="str">
            <v>◎ 지주목</v>
          </cell>
        </row>
        <row r="51">
          <cell r="A51" t="str">
            <v>◎ 유기질비료</v>
          </cell>
        </row>
        <row r="53">
          <cell r="A53" t="str">
            <v>1) 어린이공원 Ⅰ</v>
          </cell>
        </row>
        <row r="54">
          <cell r="A54" t="str">
            <v>감나무</v>
          </cell>
        </row>
        <row r="55">
          <cell r="A55" t="str">
            <v>고로쇠나무</v>
          </cell>
        </row>
        <row r="56">
          <cell r="A56" t="str">
            <v>때죽나무</v>
          </cell>
        </row>
        <row r="57">
          <cell r="A57" t="str">
            <v>모감주나무</v>
          </cell>
        </row>
        <row r="58">
          <cell r="A58" t="str">
            <v>살구나무</v>
          </cell>
        </row>
        <row r="59">
          <cell r="A59" t="str">
            <v>신갈나무</v>
          </cell>
        </row>
        <row r="60">
          <cell r="A60" t="str">
            <v>청단풍</v>
          </cell>
        </row>
        <row r="61">
          <cell r="A61" t="str">
            <v>눈주목</v>
          </cell>
        </row>
        <row r="62">
          <cell r="A62" t="str">
            <v>회양목</v>
          </cell>
        </row>
        <row r="63">
          <cell r="A63" t="str">
            <v>진달래</v>
          </cell>
        </row>
        <row r="64">
          <cell r="A64" t="str">
            <v>잔  디</v>
          </cell>
        </row>
        <row r="67">
          <cell r="A67" t="str">
            <v>2) 어린이공원 Ⅱ</v>
          </cell>
        </row>
        <row r="68">
          <cell r="A68" t="str">
            <v>살구나무</v>
          </cell>
        </row>
        <row r="69">
          <cell r="A69" t="str">
            <v>참느릅나무</v>
          </cell>
        </row>
        <row r="70">
          <cell r="A70" t="str">
            <v>참느릅나무               (사각지주목)</v>
          </cell>
        </row>
        <row r="71">
          <cell r="A71" t="str">
            <v>수수꽃다리</v>
          </cell>
        </row>
        <row r="72">
          <cell r="A72" t="str">
            <v>진달래</v>
          </cell>
        </row>
        <row r="73">
          <cell r="A73" t="str">
            <v>흰말채나무</v>
          </cell>
        </row>
        <row r="74">
          <cell r="A74" t="str">
            <v>잔디</v>
          </cell>
        </row>
        <row r="76">
          <cell r="A76" t="str">
            <v>3) 어린이공원 Ⅲ</v>
          </cell>
        </row>
        <row r="77">
          <cell r="A77" t="str">
            <v>감나무</v>
          </cell>
        </row>
        <row r="78">
          <cell r="A78" t="str">
            <v>고로쇠나무</v>
          </cell>
        </row>
        <row r="79">
          <cell r="A79" t="str">
            <v>산목련</v>
          </cell>
        </row>
        <row r="80">
          <cell r="A80" t="str">
            <v>왕벚나무</v>
          </cell>
        </row>
        <row r="81">
          <cell r="A81" t="str">
            <v>자귀나무</v>
          </cell>
        </row>
        <row r="82">
          <cell r="A82" t="str">
            <v>층층나무</v>
          </cell>
        </row>
        <row r="83">
          <cell r="A83" t="str">
            <v>팽나무</v>
          </cell>
        </row>
        <row r="84">
          <cell r="A84" t="str">
            <v>산철쭉</v>
          </cell>
        </row>
        <row r="85">
          <cell r="A85" t="str">
            <v>앵도나무</v>
          </cell>
        </row>
        <row r="86">
          <cell r="A86" t="str">
            <v>자산홍</v>
          </cell>
        </row>
        <row r="87">
          <cell r="A87" t="str">
            <v>조팝나무</v>
          </cell>
        </row>
        <row r="88">
          <cell r="A88" t="str">
            <v>좀작살나무</v>
          </cell>
        </row>
        <row r="89">
          <cell r="A89" t="str">
            <v>잔  디</v>
          </cell>
        </row>
        <row r="92">
          <cell r="A92" t="str">
            <v>4) 어린이공원 Ⅳ</v>
          </cell>
        </row>
        <row r="93">
          <cell r="A93" t="str">
            <v>고로쇠나무</v>
          </cell>
        </row>
        <row r="94">
          <cell r="A94" t="str">
            <v>노각나무</v>
          </cell>
        </row>
        <row r="95">
          <cell r="A95" t="str">
            <v>느티나무(사각지주목)</v>
          </cell>
        </row>
        <row r="96">
          <cell r="A96" t="str">
            <v>때죽나무</v>
          </cell>
        </row>
        <row r="97">
          <cell r="A97" t="str">
            <v>산목련</v>
          </cell>
        </row>
        <row r="98">
          <cell r="A98" t="str">
            <v>살구나무</v>
          </cell>
        </row>
        <row r="99">
          <cell r="A99" t="str">
            <v>왕벚나무</v>
          </cell>
        </row>
        <row r="100">
          <cell r="A100" t="str">
            <v>쪽동백</v>
          </cell>
        </row>
        <row r="101">
          <cell r="A101" t="str">
            <v>참느릅나무</v>
          </cell>
        </row>
        <row r="102">
          <cell r="A102" t="str">
            <v>홍단풍</v>
          </cell>
        </row>
        <row r="103">
          <cell r="A103" t="str">
            <v>개나리</v>
          </cell>
        </row>
        <row r="104">
          <cell r="A104" t="str">
            <v>낙상홍</v>
          </cell>
        </row>
        <row r="105">
          <cell r="A105" t="str">
            <v>영산홍</v>
          </cell>
        </row>
        <row r="106">
          <cell r="A106" t="str">
            <v>진달래</v>
          </cell>
        </row>
        <row r="107">
          <cell r="A107" t="str">
            <v>잔  디</v>
          </cell>
        </row>
        <row r="110">
          <cell r="A110" t="str">
            <v>5) 어린이공원 Ⅴ</v>
          </cell>
        </row>
        <row r="111">
          <cell r="A111" t="str">
            <v>감나무</v>
          </cell>
        </row>
        <row r="112">
          <cell r="A112" t="str">
            <v>고로쇠나무</v>
          </cell>
        </row>
        <row r="113">
          <cell r="A113" t="str">
            <v>때죽나무</v>
          </cell>
        </row>
        <row r="114">
          <cell r="A114" t="str">
            <v>모감주나무</v>
          </cell>
        </row>
        <row r="115">
          <cell r="A115" t="str">
            <v>살구나무</v>
          </cell>
        </row>
        <row r="116">
          <cell r="A116" t="str">
            <v>신갈나무</v>
          </cell>
        </row>
        <row r="117">
          <cell r="A117" t="str">
            <v>청단풍</v>
          </cell>
        </row>
        <row r="118">
          <cell r="A118" t="str">
            <v>조팝나무</v>
          </cell>
        </row>
        <row r="119">
          <cell r="A119" t="str">
            <v>잔디</v>
          </cell>
        </row>
        <row r="122">
          <cell r="A122" t="str">
            <v>6) 어린이공원 Ⅶ</v>
          </cell>
        </row>
        <row r="123">
          <cell r="A123" t="str">
            <v>고로쇠나무</v>
          </cell>
        </row>
        <row r="124">
          <cell r="A124" t="str">
            <v>노각나무</v>
          </cell>
        </row>
        <row r="125">
          <cell r="A125" t="str">
            <v>모감주나무</v>
          </cell>
        </row>
        <row r="126">
          <cell r="A126" t="str">
            <v>왕벚나무</v>
          </cell>
        </row>
        <row r="127">
          <cell r="A127" t="str">
            <v>층층나무</v>
          </cell>
        </row>
        <row r="128">
          <cell r="A128" t="str">
            <v>팥배나무</v>
          </cell>
        </row>
        <row r="129">
          <cell r="A129" t="str">
            <v>팽나무</v>
          </cell>
        </row>
        <row r="130">
          <cell r="A130" t="str">
            <v>까침박달</v>
          </cell>
        </row>
        <row r="131">
          <cell r="A131" t="str">
            <v>영산홍</v>
          </cell>
        </row>
        <row r="132">
          <cell r="A132" t="str">
            <v>황매화</v>
          </cell>
        </row>
        <row r="133">
          <cell r="A133" t="str">
            <v>잔  디</v>
          </cell>
        </row>
        <row r="136">
          <cell r="A136" t="str">
            <v>7)10M 시설녹지1지역</v>
          </cell>
        </row>
        <row r="137">
          <cell r="A137" t="str">
            <v>느티나무</v>
          </cell>
        </row>
        <row r="138">
          <cell r="A138" t="str">
            <v>산벚나무</v>
          </cell>
        </row>
        <row r="139">
          <cell r="A139" t="str">
            <v>때죽나무</v>
          </cell>
        </row>
        <row r="140">
          <cell r="A140" t="str">
            <v>산딸나무</v>
          </cell>
        </row>
        <row r="141">
          <cell r="A141" t="str">
            <v>팥배나무</v>
          </cell>
        </row>
        <row r="142">
          <cell r="A142" t="str">
            <v>개쉬땅나무</v>
          </cell>
        </row>
        <row r="143">
          <cell r="A143" t="str">
            <v>백철쭉</v>
          </cell>
        </row>
        <row r="144">
          <cell r="A144" t="str">
            <v>산철쭉</v>
          </cell>
        </row>
        <row r="145">
          <cell r="A145" t="str">
            <v>눈섬개야광나무</v>
          </cell>
        </row>
        <row r="146">
          <cell r="A146" t="str">
            <v>영산홍</v>
          </cell>
        </row>
        <row r="147">
          <cell r="A147" t="str">
            <v>흰말채나무</v>
          </cell>
        </row>
        <row r="148">
          <cell r="A148" t="str">
            <v>Seed Spray</v>
          </cell>
        </row>
        <row r="151">
          <cell r="A151" t="str">
            <v>8) 10M시설녹지2지역</v>
          </cell>
        </row>
        <row r="152">
          <cell r="A152" t="str">
            <v>고로쇠나무</v>
          </cell>
        </row>
        <row r="153">
          <cell r="A153" t="str">
            <v>때죽나무</v>
          </cell>
        </row>
        <row r="154">
          <cell r="A154" t="str">
            <v>모감주나무</v>
          </cell>
        </row>
        <row r="155">
          <cell r="A155" t="str">
            <v>산딸나무</v>
          </cell>
        </row>
        <row r="156">
          <cell r="A156" t="str">
            <v>왕벚나무</v>
          </cell>
        </row>
        <row r="157">
          <cell r="A157" t="str">
            <v>이팝나무</v>
          </cell>
        </row>
        <row r="158">
          <cell r="A158" t="str">
            <v>자귀나무</v>
          </cell>
        </row>
        <row r="159">
          <cell r="A159" t="str">
            <v>참느릅나무</v>
          </cell>
        </row>
        <row r="160">
          <cell r="A160" t="str">
            <v>사철나무</v>
          </cell>
        </row>
        <row r="161">
          <cell r="A161" t="str">
            <v>말발도리</v>
          </cell>
        </row>
        <row r="162">
          <cell r="A162" t="str">
            <v>백철쭉</v>
          </cell>
        </row>
        <row r="163">
          <cell r="A163" t="str">
            <v>산철쭉</v>
          </cell>
        </row>
        <row r="164">
          <cell r="A164" t="str">
            <v>눈섬개야광나무</v>
          </cell>
        </row>
        <row r="165">
          <cell r="A165" t="str">
            <v>영산홍</v>
          </cell>
        </row>
        <row r="166">
          <cell r="A166" t="str">
            <v>흰말채나무</v>
          </cell>
        </row>
        <row r="167">
          <cell r="A167" t="str">
            <v>Seed Spray</v>
          </cell>
        </row>
        <row r="168">
          <cell r="A168" t="str">
            <v>9) 가로수</v>
          </cell>
        </row>
        <row r="169">
          <cell r="A169" t="str">
            <v>느티나무(사각지주목)</v>
          </cell>
        </row>
        <row r="170">
          <cell r="A170" t="str">
            <v>왕벚나무(사각지주목)</v>
          </cell>
        </row>
        <row r="173">
          <cell r="A173" t="str">
            <v>10) 보행자전용도로</v>
          </cell>
        </row>
        <row r="174">
          <cell r="A174" t="str">
            <v>회화나무(사각지주목)</v>
          </cell>
        </row>
        <row r="177">
          <cell r="A177" t="str">
            <v>11) 경관녹지 Ⅰ</v>
          </cell>
        </row>
        <row r="178">
          <cell r="A178" t="str">
            <v>고로쇠나무</v>
          </cell>
        </row>
        <row r="179">
          <cell r="A179" t="str">
            <v>꽃복숭아</v>
          </cell>
        </row>
        <row r="180">
          <cell r="A180" t="str">
            <v>노각나무</v>
          </cell>
        </row>
        <row r="181">
          <cell r="A181" t="str">
            <v>느티나무(광장용)</v>
          </cell>
        </row>
        <row r="182">
          <cell r="A182" t="str">
            <v>때죽나무</v>
          </cell>
        </row>
        <row r="183">
          <cell r="A183" t="str">
            <v>신나무</v>
          </cell>
        </row>
        <row r="184">
          <cell r="A184" t="str">
            <v>왕벚나무</v>
          </cell>
        </row>
        <row r="185">
          <cell r="A185" t="str">
            <v>청단풍</v>
          </cell>
        </row>
        <row r="186">
          <cell r="A186" t="str">
            <v>청단풍</v>
          </cell>
        </row>
        <row r="187">
          <cell r="A187" t="str">
            <v>층층나무</v>
          </cell>
        </row>
        <row r="188">
          <cell r="A188" t="str">
            <v>눈주목</v>
          </cell>
        </row>
        <row r="189">
          <cell r="A189" t="str">
            <v>사철나무</v>
          </cell>
        </row>
        <row r="190">
          <cell r="A190" t="str">
            <v>회양목</v>
          </cell>
        </row>
        <row r="191">
          <cell r="A191" t="str">
            <v>개나리</v>
          </cell>
        </row>
        <row r="192">
          <cell r="A192" t="str">
            <v>낙상홍</v>
          </cell>
        </row>
        <row r="193">
          <cell r="A193" t="str">
            <v>명자나무</v>
          </cell>
        </row>
        <row r="194">
          <cell r="A194" t="str">
            <v>박태기</v>
          </cell>
        </row>
        <row r="195">
          <cell r="A195" t="str">
            <v>산철쭉</v>
          </cell>
        </row>
        <row r="196">
          <cell r="A196" t="str">
            <v>수수꽃다리</v>
          </cell>
        </row>
        <row r="197">
          <cell r="A197" t="str">
            <v>앵도나무</v>
          </cell>
        </row>
        <row r="198">
          <cell r="A198" t="str">
            <v>영산홍</v>
          </cell>
        </row>
        <row r="199">
          <cell r="A199" t="str">
            <v>자산홍</v>
          </cell>
        </row>
        <row r="200">
          <cell r="A200" t="str">
            <v>조팝나무</v>
          </cell>
        </row>
        <row r="201">
          <cell r="A201" t="str">
            <v>화살나무</v>
          </cell>
        </row>
        <row r="202">
          <cell r="A202" t="str">
            <v>잔  디</v>
          </cell>
        </row>
        <row r="205">
          <cell r="A205" t="str">
            <v>12) 경관녹지 Ⅱ</v>
          </cell>
        </row>
        <row r="206">
          <cell r="A206" t="str">
            <v>고로쇠나무</v>
          </cell>
        </row>
        <row r="207">
          <cell r="A207" t="str">
            <v>노각나무</v>
          </cell>
        </row>
        <row r="208">
          <cell r="A208" t="str">
            <v>느티나무</v>
          </cell>
        </row>
        <row r="209">
          <cell r="A209" t="str">
            <v>때죽나무</v>
          </cell>
        </row>
        <row r="210">
          <cell r="A210" t="str">
            <v>붉나무</v>
          </cell>
        </row>
        <row r="211">
          <cell r="A211" t="str">
            <v>산딸나무</v>
          </cell>
        </row>
        <row r="212">
          <cell r="A212" t="str">
            <v>산목련</v>
          </cell>
        </row>
        <row r="213">
          <cell r="A213" t="str">
            <v>신나무</v>
          </cell>
        </row>
        <row r="214">
          <cell r="A214" t="str">
            <v>왕벚나무</v>
          </cell>
        </row>
        <row r="215">
          <cell r="A215" t="str">
            <v>자귀나무</v>
          </cell>
        </row>
        <row r="216">
          <cell r="A216" t="str">
            <v>쪽동백</v>
          </cell>
        </row>
        <row r="217">
          <cell r="A217" t="str">
            <v>청단풍</v>
          </cell>
        </row>
        <row r="218">
          <cell r="A218" t="str">
            <v>청단풍(사각지주목)</v>
          </cell>
        </row>
        <row r="219">
          <cell r="A219" t="str">
            <v>층층나무</v>
          </cell>
        </row>
        <row r="220">
          <cell r="A220" t="str">
            <v>홍단풍</v>
          </cell>
        </row>
        <row r="221">
          <cell r="A221" t="str">
            <v>눈주목</v>
          </cell>
        </row>
        <row r="222">
          <cell r="A222" t="str">
            <v>사철나무</v>
          </cell>
        </row>
        <row r="223">
          <cell r="A223" t="str">
            <v>피라칸사스</v>
          </cell>
        </row>
        <row r="224">
          <cell r="A224" t="str">
            <v>회양목</v>
          </cell>
        </row>
        <row r="225">
          <cell r="A225" t="str">
            <v>까침박달</v>
          </cell>
        </row>
        <row r="226">
          <cell r="A226" t="str">
            <v>낙상홍</v>
          </cell>
        </row>
        <row r="227">
          <cell r="A227" t="str">
            <v>명자나무</v>
          </cell>
        </row>
        <row r="228">
          <cell r="A228" t="str">
            <v>박태기</v>
          </cell>
        </row>
        <row r="229">
          <cell r="A229" t="str">
            <v>백철쭉</v>
          </cell>
        </row>
        <row r="230">
          <cell r="A230" t="str">
            <v>산철쭉</v>
          </cell>
        </row>
        <row r="231">
          <cell r="A231" t="str">
            <v>생강나무</v>
          </cell>
        </row>
        <row r="232">
          <cell r="A232" t="str">
            <v>수수꽃다리</v>
          </cell>
        </row>
        <row r="233">
          <cell r="A233" t="str">
            <v>영산홍</v>
          </cell>
        </row>
        <row r="234">
          <cell r="A234" t="str">
            <v>자산홍</v>
          </cell>
        </row>
        <row r="235">
          <cell r="A235" t="str">
            <v>조팝나무</v>
          </cell>
        </row>
        <row r="236">
          <cell r="A236" t="str">
            <v>해당화</v>
          </cell>
        </row>
        <row r="237">
          <cell r="A237" t="str">
            <v>홍매</v>
          </cell>
        </row>
        <row r="238">
          <cell r="A238" t="str">
            <v>화살나무</v>
          </cell>
        </row>
        <row r="239">
          <cell r="A239" t="str">
            <v>잔  디</v>
          </cell>
        </row>
        <row r="242">
          <cell r="A242" t="str">
            <v>13) 경관녹지 Ⅲ</v>
          </cell>
        </row>
        <row r="243">
          <cell r="A243" t="str">
            <v>고로쇠나무</v>
          </cell>
        </row>
        <row r="244">
          <cell r="A244" t="str">
            <v>꽃복숭아</v>
          </cell>
        </row>
        <row r="245">
          <cell r="A245" t="str">
            <v>노각나무</v>
          </cell>
        </row>
        <row r="246">
          <cell r="A246" t="str">
            <v>때죽나무</v>
          </cell>
        </row>
        <row r="247">
          <cell r="A247" t="str">
            <v>모감주나무</v>
          </cell>
        </row>
        <row r="248">
          <cell r="A248" t="str">
            <v>붉나무</v>
          </cell>
        </row>
        <row r="249">
          <cell r="A249" t="str">
            <v>산딸나무</v>
          </cell>
        </row>
        <row r="250">
          <cell r="A250" t="str">
            <v>신갈나무</v>
          </cell>
        </row>
        <row r="251">
          <cell r="A251" t="str">
            <v>신나무</v>
          </cell>
        </row>
        <row r="252">
          <cell r="A252" t="str">
            <v>왕벚나무</v>
          </cell>
        </row>
        <row r="253">
          <cell r="A253" t="str">
            <v>자귀나무</v>
          </cell>
        </row>
        <row r="254">
          <cell r="A254" t="str">
            <v>쪽동백</v>
          </cell>
        </row>
        <row r="255">
          <cell r="A255" t="str">
            <v>청단풍</v>
          </cell>
        </row>
        <row r="256">
          <cell r="A256" t="str">
            <v>청단풍</v>
          </cell>
        </row>
        <row r="257">
          <cell r="A257" t="str">
            <v>청단풍(사각지주목)</v>
          </cell>
        </row>
        <row r="258">
          <cell r="A258" t="str">
            <v>층층나무</v>
          </cell>
        </row>
        <row r="259">
          <cell r="A259" t="str">
            <v>팽나무</v>
          </cell>
        </row>
        <row r="260">
          <cell r="A260" t="str">
            <v>복자기나무</v>
          </cell>
        </row>
        <row r="261">
          <cell r="A261" t="str">
            <v>홍단풍</v>
          </cell>
        </row>
        <row r="262">
          <cell r="A262" t="str">
            <v>눈주목</v>
          </cell>
        </row>
        <row r="263">
          <cell r="A263" t="str">
            <v>사철나무</v>
          </cell>
        </row>
        <row r="264">
          <cell r="A264" t="str">
            <v>회양목</v>
          </cell>
        </row>
        <row r="265">
          <cell r="A265" t="str">
            <v>까침박달</v>
          </cell>
        </row>
        <row r="266">
          <cell r="A266" t="str">
            <v>낙상홍</v>
          </cell>
        </row>
        <row r="267">
          <cell r="A267" t="str">
            <v>명자나무</v>
          </cell>
        </row>
        <row r="268">
          <cell r="A268" t="str">
            <v>박태기</v>
          </cell>
        </row>
        <row r="269">
          <cell r="A269" t="str">
            <v>백철쭉</v>
          </cell>
        </row>
        <row r="270">
          <cell r="A270" t="str">
            <v>산철쭉</v>
          </cell>
        </row>
        <row r="271">
          <cell r="A271" t="str">
            <v>수수꽃다리</v>
          </cell>
        </row>
        <row r="272">
          <cell r="A272" t="str">
            <v>앵도나무</v>
          </cell>
        </row>
        <row r="273">
          <cell r="A273" t="str">
            <v>영산홍</v>
          </cell>
        </row>
        <row r="274">
          <cell r="A274" t="str">
            <v>자산홍</v>
          </cell>
        </row>
        <row r="275">
          <cell r="A275" t="str">
            <v>조팝나무</v>
          </cell>
        </row>
        <row r="276">
          <cell r="A276" t="str">
            <v>콩배나무</v>
          </cell>
        </row>
        <row r="277">
          <cell r="A277" t="str">
            <v>화살나무</v>
          </cell>
        </row>
        <row r="278">
          <cell r="A278" t="str">
            <v>잔  디</v>
          </cell>
        </row>
        <row r="283">
          <cell r="A283" t="str">
            <v>14) 경관녹지 Ⅳ</v>
          </cell>
        </row>
        <row r="284">
          <cell r="A284" t="str">
            <v>느티나무</v>
          </cell>
        </row>
        <row r="285">
          <cell r="A285" t="str">
            <v>단풍나무</v>
          </cell>
        </row>
        <row r="286">
          <cell r="A286" t="str">
            <v>때죽나무</v>
          </cell>
        </row>
        <row r="287">
          <cell r="A287" t="str">
            <v>산벚나무</v>
          </cell>
        </row>
        <row r="288">
          <cell r="A288" t="str">
            <v>살구나무</v>
          </cell>
        </row>
        <row r="289">
          <cell r="A289" t="str">
            <v>오동나무</v>
          </cell>
        </row>
        <row r="290">
          <cell r="A290" t="str">
            <v>왕벚나무</v>
          </cell>
        </row>
        <row r="291">
          <cell r="A291" t="str">
            <v>은행나무</v>
          </cell>
        </row>
        <row r="292">
          <cell r="A292" t="str">
            <v>이팝나무</v>
          </cell>
        </row>
        <row r="293">
          <cell r="A293" t="str">
            <v>자귀나무</v>
          </cell>
        </row>
        <row r="294">
          <cell r="A294" t="str">
            <v>참느릅나무</v>
          </cell>
        </row>
        <row r="295">
          <cell r="A295" t="str">
            <v>팥배나무</v>
          </cell>
        </row>
        <row r="296">
          <cell r="A296" t="str">
            <v>Seed Spray</v>
          </cell>
        </row>
        <row r="299">
          <cell r="A299" t="str">
            <v>15) 100M 시설녹지</v>
          </cell>
        </row>
        <row r="300">
          <cell r="A300" t="str">
            <v>느티나무</v>
          </cell>
        </row>
        <row r="301">
          <cell r="A301" t="str">
            <v>단풍나무</v>
          </cell>
        </row>
        <row r="302">
          <cell r="A302" t="str">
            <v>때죽나무</v>
          </cell>
        </row>
        <row r="303">
          <cell r="A303" t="str">
            <v>살구나무</v>
          </cell>
        </row>
        <row r="304">
          <cell r="A304" t="str">
            <v>아까시나무</v>
          </cell>
        </row>
        <row r="305">
          <cell r="A305" t="str">
            <v>오동나무</v>
          </cell>
        </row>
        <row r="306">
          <cell r="A306" t="str">
            <v>왕벚나무</v>
          </cell>
        </row>
        <row r="307">
          <cell r="A307" t="str">
            <v>왕벚나무</v>
          </cell>
        </row>
        <row r="308">
          <cell r="A308" t="str">
            <v>은행나무</v>
          </cell>
        </row>
        <row r="309">
          <cell r="A309" t="str">
            <v>이팝나무</v>
          </cell>
        </row>
        <row r="310">
          <cell r="A310" t="str">
            <v>참느릅나무</v>
          </cell>
        </row>
        <row r="311">
          <cell r="A311" t="str">
            <v>팥배나무</v>
          </cell>
        </row>
        <row r="312">
          <cell r="A312" t="str">
            <v>개나리</v>
          </cell>
        </row>
        <row r="313">
          <cell r="A313" t="str">
            <v>무궁화</v>
          </cell>
        </row>
        <row r="314">
          <cell r="A314" t="str">
            <v>조팝나무</v>
          </cell>
        </row>
        <row r="315">
          <cell r="A315" t="str">
            <v>진달래</v>
          </cell>
        </row>
        <row r="316">
          <cell r="A316" t="str">
            <v>해당화</v>
          </cell>
        </row>
        <row r="317">
          <cell r="A317" t="str">
            <v>Seed Spray</v>
          </cell>
        </row>
        <row r="329">
          <cell r="A329" t="str">
            <v>2. 수목이식공사</v>
          </cell>
        </row>
        <row r="330">
          <cell r="A330" t="str">
            <v>1) 수목확보공사</v>
          </cell>
        </row>
        <row r="331">
          <cell r="A331" t="str">
            <v>2) 가식장수목이식</v>
          </cell>
        </row>
        <row r="332">
          <cell r="A332" t="str">
            <v>3) 기타공사</v>
          </cell>
        </row>
        <row r="335">
          <cell r="A335" t="str">
            <v>1) 수목확보공사</v>
          </cell>
        </row>
        <row r="336">
          <cell r="A336" t="str">
            <v>가)어린이공원 Ⅰ</v>
          </cell>
        </row>
        <row r="337">
          <cell r="A337" t="str">
            <v>나)어린이공원 Ⅱ</v>
          </cell>
        </row>
        <row r="338">
          <cell r="A338" t="str">
            <v>다)어린이공원 Ⅲ</v>
          </cell>
        </row>
        <row r="339">
          <cell r="A339" t="str">
            <v>라)어린이공원 Ⅳ</v>
          </cell>
        </row>
        <row r="340">
          <cell r="A340" t="str">
            <v>마)어린이공원 Ⅴ</v>
          </cell>
        </row>
        <row r="341">
          <cell r="A341" t="str">
            <v>바)어린이공원 Ⅶ</v>
          </cell>
        </row>
        <row r="342">
          <cell r="A342" t="str">
            <v>사)10M시설녹지1지역</v>
          </cell>
        </row>
        <row r="343">
          <cell r="A343" t="str">
            <v>아)10M시설녹지2지역</v>
          </cell>
        </row>
        <row r="344">
          <cell r="A344" t="str">
            <v>자)경관녹지 Ⅰ</v>
          </cell>
        </row>
        <row r="345">
          <cell r="A345" t="str">
            <v>차)경관녹지 Ⅱ</v>
          </cell>
        </row>
        <row r="346">
          <cell r="A346" t="str">
            <v>카)경관녹지 Ⅲ</v>
          </cell>
        </row>
        <row r="347">
          <cell r="A347" t="str">
            <v>타)경관녹지 Ⅳ</v>
          </cell>
        </row>
        <row r="352">
          <cell r="A352" t="str">
            <v>가)어린이공원 Ⅰ</v>
          </cell>
        </row>
        <row r="353">
          <cell r="A353" t="str">
            <v>해  송</v>
          </cell>
        </row>
        <row r="354">
          <cell r="A354" t="str">
            <v>해  송</v>
          </cell>
        </row>
        <row r="355">
          <cell r="A355" t="str">
            <v>소사나무</v>
          </cell>
        </row>
        <row r="357">
          <cell r="A357" t="str">
            <v>나)어린이공원 Ⅱ</v>
          </cell>
        </row>
        <row r="358">
          <cell r="A358" t="str">
            <v>해  송</v>
          </cell>
        </row>
        <row r="359">
          <cell r="A359" t="str">
            <v>때죽나무</v>
          </cell>
        </row>
        <row r="360">
          <cell r="A360" t="str">
            <v>소사나무</v>
          </cell>
        </row>
        <row r="361">
          <cell r="A361" t="str">
            <v>참나무</v>
          </cell>
        </row>
        <row r="362">
          <cell r="A362" t="str">
            <v>팥배나무</v>
          </cell>
        </row>
        <row r="364">
          <cell r="A364" t="str">
            <v>다)어린이공원 Ⅲ</v>
          </cell>
        </row>
        <row r="365">
          <cell r="A365" t="str">
            <v>해  송</v>
          </cell>
        </row>
        <row r="366">
          <cell r="A366" t="str">
            <v>해  송</v>
          </cell>
        </row>
        <row r="368">
          <cell r="A368" t="str">
            <v>라)어린이공원 Ⅳ</v>
          </cell>
        </row>
        <row r="369">
          <cell r="A369" t="str">
            <v>해  송</v>
          </cell>
        </row>
        <row r="371">
          <cell r="A371" t="str">
            <v>마)어린이공원 Ⅴ</v>
          </cell>
        </row>
        <row r="372">
          <cell r="A372" t="str">
            <v>해  송</v>
          </cell>
        </row>
        <row r="373">
          <cell r="A373" t="str">
            <v>바)어린이공원 Ⅶ</v>
          </cell>
        </row>
        <row r="374">
          <cell r="A374" t="str">
            <v>해  송</v>
          </cell>
        </row>
        <row r="375">
          <cell r="A375" t="str">
            <v>사)10M시설녹지 1지역</v>
          </cell>
        </row>
        <row r="376">
          <cell r="A376" t="str">
            <v>해  송</v>
          </cell>
        </row>
        <row r="377">
          <cell r="A377" t="str">
            <v>해  송</v>
          </cell>
        </row>
        <row r="378">
          <cell r="A378" t="str">
            <v>해  송</v>
          </cell>
        </row>
        <row r="379">
          <cell r="A379" t="str">
            <v>해  송</v>
          </cell>
        </row>
        <row r="380">
          <cell r="A380" t="str">
            <v>참나무</v>
          </cell>
        </row>
        <row r="381">
          <cell r="A381" t="str">
            <v>참나무</v>
          </cell>
        </row>
        <row r="382">
          <cell r="A382" t="str">
            <v>참나무</v>
          </cell>
        </row>
        <row r="383">
          <cell r="A383" t="str">
            <v>참나무</v>
          </cell>
        </row>
        <row r="384">
          <cell r="A384" t="str">
            <v>참나무</v>
          </cell>
        </row>
        <row r="385">
          <cell r="A385" t="str">
            <v>참나무</v>
          </cell>
        </row>
        <row r="386">
          <cell r="A386" t="str">
            <v>참나무</v>
          </cell>
        </row>
        <row r="387">
          <cell r="A387" t="str">
            <v>참나무</v>
          </cell>
        </row>
        <row r="388">
          <cell r="A388" t="str">
            <v>참나무</v>
          </cell>
        </row>
        <row r="389">
          <cell r="A389" t="str">
            <v>참나무</v>
          </cell>
        </row>
        <row r="390">
          <cell r="A390" t="str">
            <v>아)10M시설녹지2지역</v>
          </cell>
        </row>
        <row r="391">
          <cell r="A391" t="str">
            <v>소나무</v>
          </cell>
        </row>
        <row r="392">
          <cell r="A392" t="str">
            <v>소나무</v>
          </cell>
        </row>
        <row r="393">
          <cell r="A393" t="str">
            <v>소나무</v>
          </cell>
        </row>
        <row r="394">
          <cell r="A394" t="str">
            <v>소나무</v>
          </cell>
        </row>
        <row r="395">
          <cell r="A395" t="str">
            <v>해  송</v>
          </cell>
        </row>
        <row r="396">
          <cell r="A396" t="str">
            <v>해  송</v>
          </cell>
        </row>
        <row r="397">
          <cell r="A397" t="str">
            <v>해  송</v>
          </cell>
        </row>
        <row r="398">
          <cell r="A398" t="str">
            <v>자)경관녹지 Ⅰ</v>
          </cell>
        </row>
        <row r="399">
          <cell r="A399" t="str">
            <v>리기다소나무</v>
          </cell>
        </row>
        <row r="400">
          <cell r="A400" t="str">
            <v>리기다소나무</v>
          </cell>
        </row>
        <row r="401">
          <cell r="A401" t="str">
            <v>리기다소나무</v>
          </cell>
        </row>
        <row r="402">
          <cell r="A402" t="str">
            <v>리기다소나무</v>
          </cell>
        </row>
        <row r="403">
          <cell r="A403" t="str">
            <v>해  송</v>
          </cell>
        </row>
        <row r="404">
          <cell r="A404" t="str">
            <v>해  송</v>
          </cell>
        </row>
        <row r="405">
          <cell r="A405" t="str">
            <v>해  송</v>
          </cell>
        </row>
        <row r="406">
          <cell r="A406" t="str">
            <v>해  송</v>
          </cell>
        </row>
        <row r="407">
          <cell r="A407" t="str">
            <v>소사나무</v>
          </cell>
        </row>
        <row r="409">
          <cell r="A409" t="str">
            <v>차)경관녹지 Ⅱ</v>
          </cell>
        </row>
        <row r="410">
          <cell r="A410" t="str">
            <v>리기다소나무</v>
          </cell>
        </row>
        <row r="411">
          <cell r="A411" t="str">
            <v>리기다소나무</v>
          </cell>
        </row>
        <row r="412">
          <cell r="A412" t="str">
            <v>리기다소나무</v>
          </cell>
        </row>
        <row r="413">
          <cell r="A413" t="str">
            <v>리기다소나무</v>
          </cell>
        </row>
        <row r="414">
          <cell r="A414" t="str">
            <v>리기다소나무</v>
          </cell>
        </row>
        <row r="415">
          <cell r="A415" t="str">
            <v>소나무</v>
          </cell>
        </row>
        <row r="416">
          <cell r="A416" t="str">
            <v>소나무</v>
          </cell>
        </row>
        <row r="417">
          <cell r="A417" t="str">
            <v>소나무</v>
          </cell>
        </row>
        <row r="418">
          <cell r="A418" t="str">
            <v>소나무</v>
          </cell>
        </row>
        <row r="419">
          <cell r="A419" t="str">
            <v>해  송</v>
          </cell>
        </row>
        <row r="420">
          <cell r="A420" t="str">
            <v>해  송</v>
          </cell>
        </row>
        <row r="421">
          <cell r="A421" t="str">
            <v>해  송</v>
          </cell>
        </row>
        <row r="422">
          <cell r="A422" t="str">
            <v>해  송</v>
          </cell>
        </row>
        <row r="423">
          <cell r="A423" t="str">
            <v>해  송</v>
          </cell>
        </row>
        <row r="424">
          <cell r="A424" t="str">
            <v>해  송</v>
          </cell>
        </row>
        <row r="425">
          <cell r="A425" t="str">
            <v>해  송</v>
          </cell>
        </row>
        <row r="426">
          <cell r="A426" t="str">
            <v>해  송</v>
          </cell>
        </row>
        <row r="427">
          <cell r="A427" t="str">
            <v>소사나무</v>
          </cell>
        </row>
        <row r="429">
          <cell r="A429" t="str">
            <v>카)경관녹지 Ⅲ</v>
          </cell>
        </row>
        <row r="430">
          <cell r="A430" t="str">
            <v>리기다소나무</v>
          </cell>
        </row>
        <row r="431">
          <cell r="A431" t="str">
            <v>리기다소나무</v>
          </cell>
        </row>
        <row r="432">
          <cell r="A432" t="str">
            <v>리기다소나무</v>
          </cell>
        </row>
        <row r="433">
          <cell r="A433" t="str">
            <v>리기다소나무</v>
          </cell>
        </row>
        <row r="434">
          <cell r="A434" t="str">
            <v>리기다소나무</v>
          </cell>
        </row>
        <row r="435">
          <cell r="A435" t="str">
            <v>소나무</v>
          </cell>
        </row>
        <row r="436">
          <cell r="A436" t="str">
            <v>소나무</v>
          </cell>
        </row>
        <row r="437">
          <cell r="A437" t="str">
            <v>소나무</v>
          </cell>
        </row>
        <row r="438">
          <cell r="A438" t="str">
            <v>해  송</v>
          </cell>
        </row>
        <row r="439">
          <cell r="A439" t="str">
            <v>해  송</v>
          </cell>
        </row>
        <row r="440">
          <cell r="A440" t="str">
            <v>해  송</v>
          </cell>
        </row>
        <row r="441">
          <cell r="A441" t="str">
            <v>해  송</v>
          </cell>
        </row>
        <row r="442">
          <cell r="A442" t="str">
            <v>해  송</v>
          </cell>
        </row>
        <row r="443">
          <cell r="A443" t="str">
            <v>해  송</v>
          </cell>
        </row>
        <row r="444">
          <cell r="A444" t="str">
            <v>타)경관녹지 Ⅳ</v>
          </cell>
        </row>
        <row r="445">
          <cell r="A445" t="str">
            <v>리기다소나무</v>
          </cell>
        </row>
        <row r="446">
          <cell r="A446" t="str">
            <v>리기다소나무</v>
          </cell>
        </row>
        <row r="447">
          <cell r="A447" t="str">
            <v>리기다소나무</v>
          </cell>
        </row>
        <row r="448">
          <cell r="A448" t="str">
            <v>리기다소나무</v>
          </cell>
        </row>
        <row r="449">
          <cell r="A449" t="str">
            <v>리기다소나무</v>
          </cell>
        </row>
        <row r="450">
          <cell r="A450" t="str">
            <v>소나무</v>
          </cell>
        </row>
        <row r="451">
          <cell r="A451" t="str">
            <v>소나무</v>
          </cell>
        </row>
        <row r="452">
          <cell r="A452" t="str">
            <v>소나무</v>
          </cell>
        </row>
        <row r="453">
          <cell r="A453" t="str">
            <v>해  송</v>
          </cell>
        </row>
        <row r="454">
          <cell r="A454" t="str">
            <v>해  송</v>
          </cell>
        </row>
        <row r="455">
          <cell r="A455" t="str">
            <v>해  송</v>
          </cell>
        </row>
        <row r="456">
          <cell r="A456" t="str">
            <v>해  송</v>
          </cell>
        </row>
        <row r="457">
          <cell r="A457" t="str">
            <v>해  송</v>
          </cell>
        </row>
        <row r="458">
          <cell r="A458" t="str">
            <v>해  송</v>
          </cell>
        </row>
        <row r="467">
          <cell r="A467" t="str">
            <v>2) 가식장수목이식</v>
          </cell>
        </row>
        <row r="468">
          <cell r="A468" t="str">
            <v>가)어린이공원 Ⅰ</v>
          </cell>
        </row>
        <row r="469">
          <cell r="A469" t="str">
            <v>나)어린이공원 Ⅱ</v>
          </cell>
        </row>
        <row r="470">
          <cell r="A470" t="str">
            <v>다)어린이공원 Ⅲ</v>
          </cell>
        </row>
        <row r="471">
          <cell r="A471" t="str">
            <v>라)어린이공원 Ⅳ</v>
          </cell>
        </row>
        <row r="472">
          <cell r="A472" t="str">
            <v>마)어린이공원 Ⅴ</v>
          </cell>
        </row>
        <row r="473">
          <cell r="A473" t="str">
            <v>바)어린이공원 Ⅶ</v>
          </cell>
        </row>
        <row r="474">
          <cell r="A474" t="str">
            <v>사)10M시설녹지1지역</v>
          </cell>
        </row>
        <row r="475">
          <cell r="A475" t="str">
            <v>아)10M시설녹지2지역</v>
          </cell>
        </row>
        <row r="476">
          <cell r="A476" t="str">
            <v>자)경관녹지 Ⅰ</v>
          </cell>
        </row>
        <row r="477">
          <cell r="A477" t="str">
            <v>차)경관녹지 Ⅱ</v>
          </cell>
        </row>
        <row r="478">
          <cell r="A478" t="str">
            <v>카)경관녹지 Ⅲ</v>
          </cell>
        </row>
        <row r="479">
          <cell r="A479" t="str">
            <v>타)경관녹지 Ⅳ</v>
          </cell>
        </row>
        <row r="482">
          <cell r="A482" t="str">
            <v>가)어린이공원 Ⅰ</v>
          </cell>
        </row>
        <row r="483">
          <cell r="A483" t="str">
            <v>해  송</v>
          </cell>
        </row>
        <row r="484">
          <cell r="A484" t="str">
            <v>해  송</v>
          </cell>
        </row>
        <row r="485">
          <cell r="A485" t="str">
            <v>소사나무</v>
          </cell>
        </row>
        <row r="487">
          <cell r="A487" t="str">
            <v>나)어린이공원 Ⅱ</v>
          </cell>
        </row>
        <row r="488">
          <cell r="A488" t="str">
            <v>해  송</v>
          </cell>
        </row>
        <row r="489">
          <cell r="A489" t="str">
            <v>때죽나무</v>
          </cell>
        </row>
        <row r="490">
          <cell r="A490" t="str">
            <v>소사나무</v>
          </cell>
        </row>
        <row r="491">
          <cell r="A491" t="str">
            <v>참나무</v>
          </cell>
        </row>
        <row r="492">
          <cell r="A492" t="str">
            <v>팥배나무</v>
          </cell>
        </row>
        <row r="494">
          <cell r="A494" t="str">
            <v>다)어린이공원 Ⅲ</v>
          </cell>
        </row>
        <row r="495">
          <cell r="A495" t="str">
            <v>해  송</v>
          </cell>
        </row>
        <row r="496">
          <cell r="A496" t="str">
            <v>해  송</v>
          </cell>
        </row>
        <row r="498">
          <cell r="A498" t="str">
            <v>라)어린이공원 Ⅳ</v>
          </cell>
        </row>
        <row r="499">
          <cell r="A499" t="str">
            <v>해  송</v>
          </cell>
        </row>
        <row r="501">
          <cell r="A501" t="str">
            <v>마)어린이공원 Ⅴ</v>
          </cell>
        </row>
        <row r="502">
          <cell r="A502" t="str">
            <v>해  송</v>
          </cell>
        </row>
        <row r="504">
          <cell r="A504" t="str">
            <v>바)어린이공원 Ⅶ</v>
          </cell>
        </row>
        <row r="505">
          <cell r="A505" t="str">
            <v>해  송</v>
          </cell>
        </row>
        <row r="507">
          <cell r="A507" t="str">
            <v>사)10M시설녹지1지역</v>
          </cell>
        </row>
        <row r="508">
          <cell r="A508" t="str">
            <v>해  송</v>
          </cell>
        </row>
        <row r="509">
          <cell r="A509" t="str">
            <v>해  송</v>
          </cell>
        </row>
        <row r="510">
          <cell r="A510" t="str">
            <v>해  송</v>
          </cell>
        </row>
        <row r="511">
          <cell r="A511" t="str">
            <v>해  송</v>
          </cell>
        </row>
        <row r="512">
          <cell r="A512" t="str">
            <v>참나무</v>
          </cell>
        </row>
        <row r="513">
          <cell r="A513" t="str">
            <v>참나무</v>
          </cell>
        </row>
        <row r="514">
          <cell r="A514" t="str">
            <v>참나무</v>
          </cell>
        </row>
        <row r="515">
          <cell r="A515" t="str">
            <v>참나무</v>
          </cell>
        </row>
        <row r="516">
          <cell r="A516" t="str">
            <v>참나무</v>
          </cell>
        </row>
        <row r="517">
          <cell r="A517" t="str">
            <v>참나무</v>
          </cell>
        </row>
        <row r="518">
          <cell r="A518" t="str">
            <v>참나무</v>
          </cell>
        </row>
        <row r="519">
          <cell r="A519" t="str">
            <v>참나무</v>
          </cell>
        </row>
        <row r="520">
          <cell r="A520" t="str">
            <v>참나무</v>
          </cell>
        </row>
        <row r="521">
          <cell r="A521" t="str">
            <v>참나무</v>
          </cell>
        </row>
        <row r="523">
          <cell r="A523" t="str">
            <v>아)10M시설녹지2지역</v>
          </cell>
        </row>
        <row r="524">
          <cell r="A524" t="str">
            <v>소나무</v>
          </cell>
        </row>
        <row r="525">
          <cell r="A525" t="str">
            <v>소나무</v>
          </cell>
        </row>
        <row r="526">
          <cell r="A526" t="str">
            <v>소나무</v>
          </cell>
        </row>
        <row r="527">
          <cell r="A527" t="str">
            <v>소나무</v>
          </cell>
        </row>
        <row r="528">
          <cell r="A528" t="str">
            <v>해  송</v>
          </cell>
        </row>
        <row r="529">
          <cell r="A529" t="str">
            <v>해  송</v>
          </cell>
        </row>
        <row r="530">
          <cell r="A530" t="str">
            <v>해  송</v>
          </cell>
        </row>
        <row r="532">
          <cell r="A532" t="str">
            <v>자)경관녹지 Ⅰ</v>
          </cell>
        </row>
        <row r="533">
          <cell r="A533" t="str">
            <v>리기다소나무</v>
          </cell>
        </row>
        <row r="534">
          <cell r="A534" t="str">
            <v>리기다소나무</v>
          </cell>
        </row>
        <row r="535">
          <cell r="A535" t="str">
            <v>리기다소나무</v>
          </cell>
        </row>
        <row r="536">
          <cell r="A536" t="str">
            <v>리기다소나무</v>
          </cell>
        </row>
        <row r="537">
          <cell r="A537" t="str">
            <v>해  송</v>
          </cell>
        </row>
        <row r="538">
          <cell r="A538" t="str">
            <v>해  송</v>
          </cell>
        </row>
        <row r="539">
          <cell r="A539" t="str">
            <v>해  송</v>
          </cell>
        </row>
        <row r="540">
          <cell r="A540" t="str">
            <v>해  송</v>
          </cell>
        </row>
        <row r="541">
          <cell r="A541" t="str">
            <v>소사나무</v>
          </cell>
        </row>
        <row r="543">
          <cell r="A543" t="str">
            <v>차)경관녹지 Ⅱ</v>
          </cell>
        </row>
        <row r="544">
          <cell r="A544" t="str">
            <v>리기다소나무</v>
          </cell>
        </row>
        <row r="545">
          <cell r="A545" t="str">
            <v>리기다소나무</v>
          </cell>
        </row>
        <row r="546">
          <cell r="A546" t="str">
            <v>리기다소나무</v>
          </cell>
        </row>
        <row r="547">
          <cell r="A547" t="str">
            <v>리기다소나무</v>
          </cell>
        </row>
        <row r="548">
          <cell r="A548" t="str">
            <v>리기다소나무</v>
          </cell>
        </row>
        <row r="549">
          <cell r="A549" t="str">
            <v>소나무</v>
          </cell>
        </row>
        <row r="550">
          <cell r="A550" t="str">
            <v>소나무</v>
          </cell>
        </row>
        <row r="551">
          <cell r="A551" t="str">
            <v>소나무</v>
          </cell>
        </row>
        <row r="552">
          <cell r="A552" t="str">
            <v>소나무</v>
          </cell>
        </row>
        <row r="553">
          <cell r="A553" t="str">
            <v>해  송</v>
          </cell>
        </row>
        <row r="554">
          <cell r="A554" t="str">
            <v>해  송</v>
          </cell>
        </row>
        <row r="555">
          <cell r="A555" t="str">
            <v>해  송</v>
          </cell>
        </row>
        <row r="556">
          <cell r="A556" t="str">
            <v>해  송</v>
          </cell>
        </row>
        <row r="557">
          <cell r="A557" t="str">
            <v>해  송</v>
          </cell>
        </row>
        <row r="558">
          <cell r="A558" t="str">
            <v>해  송</v>
          </cell>
        </row>
        <row r="559">
          <cell r="A559" t="str">
            <v>해  송</v>
          </cell>
        </row>
        <row r="560">
          <cell r="A560" t="str">
            <v>해  송</v>
          </cell>
        </row>
        <row r="561">
          <cell r="A561" t="str">
            <v>소사나무</v>
          </cell>
        </row>
        <row r="563">
          <cell r="A563" t="str">
            <v>카)경관녹지 Ⅲ</v>
          </cell>
        </row>
        <row r="564">
          <cell r="A564" t="str">
            <v>리기다소나무</v>
          </cell>
        </row>
        <row r="565">
          <cell r="A565" t="str">
            <v>리기다소나무</v>
          </cell>
        </row>
        <row r="566">
          <cell r="A566" t="str">
            <v>리기다소나무</v>
          </cell>
        </row>
        <row r="567">
          <cell r="A567" t="str">
            <v>리기다소나무</v>
          </cell>
        </row>
        <row r="568">
          <cell r="A568" t="str">
            <v>리기다소나무</v>
          </cell>
        </row>
        <row r="569">
          <cell r="A569" t="str">
            <v>소나무</v>
          </cell>
        </row>
        <row r="570">
          <cell r="A570" t="str">
            <v>소나무</v>
          </cell>
        </row>
        <row r="571">
          <cell r="A571" t="str">
            <v>소나무</v>
          </cell>
        </row>
        <row r="572">
          <cell r="A572" t="str">
            <v>해  송</v>
          </cell>
        </row>
        <row r="573">
          <cell r="A573" t="str">
            <v>해  송</v>
          </cell>
        </row>
        <row r="574">
          <cell r="A574" t="str">
            <v>해  송</v>
          </cell>
        </row>
        <row r="575">
          <cell r="A575" t="str">
            <v>해  송</v>
          </cell>
        </row>
        <row r="576">
          <cell r="A576" t="str">
            <v>해  송</v>
          </cell>
        </row>
        <row r="577">
          <cell r="A577" t="str">
            <v>해  송</v>
          </cell>
        </row>
        <row r="579">
          <cell r="A579" t="str">
            <v>타)경관녹지 Ⅳ</v>
          </cell>
        </row>
        <row r="580">
          <cell r="A580" t="str">
            <v>리기다소나무</v>
          </cell>
        </row>
        <row r="581">
          <cell r="A581" t="str">
            <v>리기다소나무</v>
          </cell>
        </row>
        <row r="582">
          <cell r="A582" t="str">
            <v>리기다소나무</v>
          </cell>
        </row>
        <row r="583">
          <cell r="A583" t="str">
            <v>리기다소나무</v>
          </cell>
        </row>
        <row r="584">
          <cell r="A584" t="str">
            <v>리기다소나무</v>
          </cell>
        </row>
        <row r="585">
          <cell r="A585" t="str">
            <v>소나무</v>
          </cell>
        </row>
        <row r="586">
          <cell r="A586" t="str">
            <v>소나무</v>
          </cell>
        </row>
        <row r="587">
          <cell r="A587" t="str">
            <v>소나무</v>
          </cell>
        </row>
        <row r="588">
          <cell r="A588" t="str">
            <v>해  송</v>
          </cell>
        </row>
        <row r="589">
          <cell r="A589" t="str">
            <v>해  송</v>
          </cell>
        </row>
        <row r="590">
          <cell r="A590" t="str">
            <v>해  송</v>
          </cell>
        </row>
        <row r="591">
          <cell r="A591" t="str">
            <v>해  송</v>
          </cell>
        </row>
        <row r="592">
          <cell r="A592" t="str">
            <v>해  송</v>
          </cell>
        </row>
        <row r="593">
          <cell r="A593" t="str">
            <v>해  송</v>
          </cell>
        </row>
        <row r="596">
          <cell r="A596" t="str">
            <v>3) 기타공사</v>
          </cell>
        </row>
        <row r="597">
          <cell r="A597" t="str">
            <v>삼각지주목</v>
          </cell>
        </row>
        <row r="598">
          <cell r="A598" t="str">
            <v>삼각지주목</v>
          </cell>
        </row>
        <row r="599">
          <cell r="A599" t="str">
            <v>대나무 지주목</v>
          </cell>
        </row>
        <row r="600">
          <cell r="A600" t="str">
            <v>토양개량제 A</v>
          </cell>
        </row>
        <row r="601">
          <cell r="A601" t="str">
            <v>토양개량제 B</v>
          </cell>
        </row>
        <row r="605">
          <cell r="A605" t="str">
            <v>3. 시설물공사</v>
          </cell>
        </row>
        <row r="606">
          <cell r="A606" t="str">
            <v>1) 어린이공원 Ⅰ</v>
          </cell>
        </row>
        <row r="607">
          <cell r="A607" t="str">
            <v>2) 어린이공원 Ⅱ</v>
          </cell>
        </row>
        <row r="608">
          <cell r="A608" t="str">
            <v>3) 어린이공원 Ⅲ</v>
          </cell>
        </row>
        <row r="609">
          <cell r="A609" t="str">
            <v>4) 어린이공원 Ⅳ</v>
          </cell>
        </row>
        <row r="610">
          <cell r="A610" t="str">
            <v>5) 어린이공원 Ⅴ</v>
          </cell>
        </row>
        <row r="611">
          <cell r="A611" t="str">
            <v>6) 어린이공원 Ⅶ</v>
          </cell>
        </row>
        <row r="612">
          <cell r="A612" t="str">
            <v>7) 경관녹지 Ⅰ</v>
          </cell>
        </row>
        <row r="613">
          <cell r="A613" t="str">
            <v>8) 경관녹지 Ⅱ</v>
          </cell>
        </row>
        <row r="614">
          <cell r="A614" t="str">
            <v>9) 경관녹지 Ⅲ</v>
          </cell>
        </row>
        <row r="615">
          <cell r="A615" t="str">
            <v>10) 보행자전용도로</v>
          </cell>
        </row>
        <row r="618">
          <cell r="A618" t="str">
            <v>1) 어린이공원 Ⅰ</v>
          </cell>
        </row>
        <row r="619">
          <cell r="A619" t="str">
            <v>쉘  터</v>
          </cell>
        </row>
        <row r="620">
          <cell r="A620" t="str">
            <v>등의자</v>
          </cell>
        </row>
        <row r="621">
          <cell r="A621" t="str">
            <v>평의자</v>
          </cell>
        </row>
        <row r="622">
          <cell r="A622" t="str">
            <v>휴지통</v>
          </cell>
        </row>
        <row r="623">
          <cell r="A623" t="str">
            <v>자전거보관대</v>
          </cell>
        </row>
        <row r="624">
          <cell r="A624" t="str">
            <v>종합안내판</v>
          </cell>
        </row>
        <row r="625">
          <cell r="A625" t="str">
            <v>조합놀이대 E형</v>
          </cell>
        </row>
        <row r="626">
          <cell r="A626" t="str">
            <v>자연석입간판              (기채취용)</v>
          </cell>
        </row>
        <row r="628">
          <cell r="A628" t="str">
            <v>2) 어린이공원 Ⅱ</v>
          </cell>
        </row>
        <row r="629">
          <cell r="A629" t="str">
            <v>쉘  터</v>
          </cell>
        </row>
        <row r="630">
          <cell r="A630" t="str">
            <v>등의자</v>
          </cell>
        </row>
        <row r="631">
          <cell r="A631" t="str">
            <v>평의자</v>
          </cell>
        </row>
        <row r="632">
          <cell r="A632" t="str">
            <v>휴지통</v>
          </cell>
        </row>
        <row r="633">
          <cell r="A633" t="str">
            <v>종합안내판</v>
          </cell>
        </row>
        <row r="634">
          <cell r="A634" t="str">
            <v>조합놀이대 F형</v>
          </cell>
        </row>
        <row r="635">
          <cell r="A635" t="str">
            <v>수목보호홀덮개</v>
          </cell>
        </row>
        <row r="636">
          <cell r="A636" t="str">
            <v>자연석입간판              (기채취용)</v>
          </cell>
        </row>
        <row r="638">
          <cell r="A638" t="str">
            <v>3) 어린이공원 Ⅲ</v>
          </cell>
        </row>
        <row r="639">
          <cell r="A639" t="str">
            <v>쉘  터</v>
          </cell>
        </row>
        <row r="640">
          <cell r="A640" t="str">
            <v>평의자</v>
          </cell>
        </row>
        <row r="641">
          <cell r="A641" t="str">
            <v>휴지통</v>
          </cell>
        </row>
        <row r="642">
          <cell r="A642" t="str">
            <v>자전거보관대</v>
          </cell>
        </row>
        <row r="643">
          <cell r="A643" t="str">
            <v>종합안내판</v>
          </cell>
        </row>
        <row r="644">
          <cell r="A644" t="str">
            <v>농구대(야외이동식)</v>
          </cell>
        </row>
        <row r="645">
          <cell r="A645" t="str">
            <v>조합놀이대 A형</v>
          </cell>
        </row>
        <row r="646">
          <cell r="A646" t="str">
            <v>자연석입간판              (기채취용)</v>
          </cell>
        </row>
        <row r="648">
          <cell r="A648" t="str">
            <v>4) 어린이공원 Ⅳ</v>
          </cell>
        </row>
        <row r="649">
          <cell r="A649" t="str">
            <v>쉘  터</v>
          </cell>
        </row>
        <row r="650">
          <cell r="A650" t="str">
            <v>등의자</v>
          </cell>
        </row>
        <row r="651">
          <cell r="A651" t="str">
            <v>평의자</v>
          </cell>
        </row>
        <row r="652">
          <cell r="A652" t="str">
            <v>휴지통</v>
          </cell>
        </row>
        <row r="653">
          <cell r="A653" t="str">
            <v>종합안내판</v>
          </cell>
        </row>
        <row r="654">
          <cell r="A654" t="str">
            <v>조합놀이대 C형</v>
          </cell>
        </row>
        <row r="655">
          <cell r="A655" t="str">
            <v>수목보호홀덮개</v>
          </cell>
        </row>
        <row r="656">
          <cell r="A656" t="str">
            <v>자연석입간판              (기채취용)</v>
          </cell>
        </row>
        <row r="658">
          <cell r="A658" t="str">
            <v>5) 어린이공원 Ⅴ</v>
          </cell>
        </row>
        <row r="659">
          <cell r="A659" t="str">
            <v>쉘  터</v>
          </cell>
        </row>
        <row r="660">
          <cell r="A660" t="str">
            <v>등의자</v>
          </cell>
        </row>
        <row r="661">
          <cell r="A661" t="str">
            <v>평의자</v>
          </cell>
        </row>
        <row r="662">
          <cell r="A662" t="str">
            <v>휴지통</v>
          </cell>
        </row>
        <row r="663">
          <cell r="A663" t="str">
            <v>자전거보관대</v>
          </cell>
        </row>
        <row r="664">
          <cell r="A664" t="str">
            <v>종합안내판</v>
          </cell>
        </row>
        <row r="665">
          <cell r="A665" t="str">
            <v>조합놀이대 D형</v>
          </cell>
        </row>
        <row r="666">
          <cell r="A666" t="str">
            <v>자연석입간판              (기채취용)</v>
          </cell>
        </row>
        <row r="668">
          <cell r="A668" t="str">
            <v>6) 어린이공원 Ⅶ</v>
          </cell>
        </row>
        <row r="669">
          <cell r="A669" t="str">
            <v>쉘  터</v>
          </cell>
        </row>
        <row r="670">
          <cell r="A670" t="str">
            <v>등의자</v>
          </cell>
        </row>
        <row r="671">
          <cell r="A671" t="str">
            <v>평의자</v>
          </cell>
        </row>
        <row r="672">
          <cell r="A672" t="str">
            <v>휴지통</v>
          </cell>
        </row>
        <row r="673">
          <cell r="A673" t="str">
            <v>종합안내판</v>
          </cell>
        </row>
        <row r="674">
          <cell r="A674" t="str">
            <v>조합놀이대 G형</v>
          </cell>
        </row>
        <row r="675">
          <cell r="A675" t="str">
            <v>자연석입간판              (기채취용)</v>
          </cell>
        </row>
        <row r="676">
          <cell r="A676" t="str">
            <v>7) 경관녹지 Ⅰ</v>
          </cell>
        </row>
        <row r="677">
          <cell r="A677" t="str">
            <v>등의자</v>
          </cell>
        </row>
        <row r="678">
          <cell r="A678" t="str">
            <v>휴지통</v>
          </cell>
        </row>
        <row r="679">
          <cell r="A679" t="str">
            <v>수목보호홀덮개</v>
          </cell>
        </row>
        <row r="681">
          <cell r="A681" t="str">
            <v>8) 경관녹지 Ⅱ</v>
          </cell>
        </row>
        <row r="682">
          <cell r="A682" t="str">
            <v>등의자</v>
          </cell>
        </row>
        <row r="683">
          <cell r="A683" t="str">
            <v>평의자</v>
          </cell>
        </row>
        <row r="684">
          <cell r="A684" t="str">
            <v>휴지통</v>
          </cell>
        </row>
        <row r="685">
          <cell r="A685" t="str">
            <v>자전거보관대</v>
          </cell>
        </row>
        <row r="686">
          <cell r="A686" t="str">
            <v>방향안내판</v>
          </cell>
        </row>
        <row r="687">
          <cell r="A687" t="str">
            <v>수목보호홀덮개</v>
          </cell>
        </row>
        <row r="689">
          <cell r="A689" t="str">
            <v>9) 경관녹지 Ⅲ</v>
          </cell>
        </row>
        <row r="690">
          <cell r="A690" t="str">
            <v>등의자</v>
          </cell>
        </row>
        <row r="691">
          <cell r="A691" t="str">
            <v>평의자</v>
          </cell>
        </row>
        <row r="692">
          <cell r="A692" t="str">
            <v>휴지통</v>
          </cell>
        </row>
        <row r="693">
          <cell r="A693" t="str">
            <v>자전거보관대</v>
          </cell>
        </row>
        <row r="694">
          <cell r="A694" t="str">
            <v>방향안내판</v>
          </cell>
        </row>
        <row r="695">
          <cell r="A695" t="str">
            <v>수목보호홀덮개</v>
          </cell>
        </row>
        <row r="697">
          <cell r="A697" t="str">
            <v>10) 보행자전용도로</v>
          </cell>
        </row>
        <row r="698">
          <cell r="A698" t="str">
            <v>수목보호홀덮개</v>
          </cell>
        </row>
        <row r="699">
          <cell r="A699" t="str">
            <v>4. 포장공사</v>
          </cell>
        </row>
        <row r="700">
          <cell r="A700" t="str">
            <v>1) 어린이공원 Ⅰ</v>
          </cell>
        </row>
        <row r="701">
          <cell r="A701" t="str">
            <v>2) 어린이공원 Ⅱ</v>
          </cell>
        </row>
        <row r="702">
          <cell r="A702" t="str">
            <v>3) 어린이공원 Ⅲ</v>
          </cell>
        </row>
        <row r="703">
          <cell r="A703" t="str">
            <v>4) 어린이공원 Ⅳ</v>
          </cell>
        </row>
        <row r="704">
          <cell r="A704" t="str">
            <v>5) 어린이공원 Ⅴ</v>
          </cell>
        </row>
        <row r="705">
          <cell r="A705" t="str">
            <v>6) 어린이공원 Ⅶ</v>
          </cell>
        </row>
        <row r="706">
          <cell r="A706" t="str">
            <v>7) 경관녹지 Ⅰ</v>
          </cell>
        </row>
        <row r="707">
          <cell r="A707" t="str">
            <v>8) 경관녹지 Ⅱ</v>
          </cell>
        </row>
        <row r="708">
          <cell r="A708" t="str">
            <v>9) 경관녹지 Ⅲ</v>
          </cell>
        </row>
        <row r="711">
          <cell r="A711" t="str">
            <v>1) 어린이공원 Ⅰ</v>
          </cell>
        </row>
        <row r="712">
          <cell r="A712" t="str">
            <v>콘크리트경계블럭A형</v>
          </cell>
        </row>
        <row r="713">
          <cell r="A713" t="str">
            <v>소형고압블럭포장       (I형)</v>
          </cell>
        </row>
        <row r="714">
          <cell r="A714" t="str">
            <v>모래포설</v>
          </cell>
        </row>
        <row r="716">
          <cell r="A716" t="str">
            <v>2) 어린이공원 Ⅱ</v>
          </cell>
        </row>
        <row r="717">
          <cell r="A717" t="str">
            <v>콘크리트경계블럭A형</v>
          </cell>
        </row>
        <row r="718">
          <cell r="A718" t="str">
            <v>소형고압블럭경계</v>
          </cell>
        </row>
        <row r="719">
          <cell r="A719" t="str">
            <v>소형고압블럭포장       (I형)</v>
          </cell>
        </row>
        <row r="720">
          <cell r="A720" t="str">
            <v>모래포설</v>
          </cell>
        </row>
        <row r="722">
          <cell r="A722" t="str">
            <v>3) 어린이공원 Ⅲ</v>
          </cell>
        </row>
        <row r="723">
          <cell r="A723" t="str">
            <v>콘크리트경계블럭A형</v>
          </cell>
        </row>
        <row r="724">
          <cell r="A724" t="str">
            <v>소형고압블럭포장       (I형)</v>
          </cell>
        </row>
        <row r="725">
          <cell r="A725" t="str">
            <v>마사다짐</v>
          </cell>
        </row>
        <row r="726">
          <cell r="A726" t="str">
            <v>모래포설</v>
          </cell>
        </row>
        <row r="728">
          <cell r="A728" t="str">
            <v>4) 어린이공원 Ⅳ</v>
          </cell>
        </row>
        <row r="729">
          <cell r="A729" t="str">
            <v>콘크리트경계블럭A형</v>
          </cell>
        </row>
        <row r="730">
          <cell r="A730" t="str">
            <v>소형고압블럭경계</v>
          </cell>
        </row>
        <row r="731">
          <cell r="A731" t="str">
            <v>소형고압블럭포장       (I형)</v>
          </cell>
        </row>
        <row r="732">
          <cell r="A732" t="str">
            <v>모래포설</v>
          </cell>
        </row>
        <row r="734">
          <cell r="A734" t="str">
            <v>5) 어린이공원 Ⅴ</v>
          </cell>
        </row>
        <row r="735">
          <cell r="A735" t="str">
            <v>콘크리트경계블럭A형</v>
          </cell>
        </row>
        <row r="736">
          <cell r="A736" t="str">
            <v>소형고압블럭포장       (I형)</v>
          </cell>
        </row>
        <row r="737">
          <cell r="A737" t="str">
            <v>모래포설</v>
          </cell>
        </row>
        <row r="739">
          <cell r="A739" t="str">
            <v>6) 어린이공원 Ⅶ</v>
          </cell>
        </row>
        <row r="740">
          <cell r="A740" t="str">
            <v>콘크리트경계블럭A형</v>
          </cell>
        </row>
        <row r="741">
          <cell r="A741" t="str">
            <v>소형고압블럭경계</v>
          </cell>
        </row>
        <row r="742">
          <cell r="A742" t="str">
            <v>소형고압블럭포장       (I형)</v>
          </cell>
        </row>
        <row r="743">
          <cell r="A743" t="str">
            <v>모래포설</v>
          </cell>
        </row>
        <row r="745">
          <cell r="A745" t="str">
            <v>7) 경관녹지 Ⅰ</v>
          </cell>
        </row>
        <row r="746">
          <cell r="A746" t="str">
            <v>콘크리트경계블럭A형</v>
          </cell>
        </row>
        <row r="747">
          <cell r="A747" t="str">
            <v>콘크리트경계블럭B형</v>
          </cell>
        </row>
        <row r="748">
          <cell r="A748" t="str">
            <v>칼라투수콘크리트    포장</v>
          </cell>
        </row>
        <row r="749">
          <cell r="A749" t="str">
            <v>칼라투수콘크리트    포장</v>
          </cell>
        </row>
        <row r="751">
          <cell r="A751" t="str">
            <v>8) 경관녹지 Ⅱ</v>
          </cell>
        </row>
        <row r="752">
          <cell r="A752" t="str">
            <v>콘크리트경계블럭A형</v>
          </cell>
        </row>
        <row r="753">
          <cell r="A753" t="str">
            <v>콘크리트경계블럭B형</v>
          </cell>
        </row>
        <row r="754">
          <cell r="A754" t="str">
            <v>칼라투수콘크리트    포장</v>
          </cell>
        </row>
        <row r="755">
          <cell r="A755" t="str">
            <v>칼라투수콘크리트    포장</v>
          </cell>
        </row>
        <row r="757">
          <cell r="A757" t="str">
            <v>9) 경관녹지 Ⅲ</v>
          </cell>
        </row>
        <row r="758">
          <cell r="A758" t="str">
            <v>콘크리트경계블럭A형</v>
          </cell>
        </row>
        <row r="759">
          <cell r="A759" t="str">
            <v>콘크리트경계블럭B형</v>
          </cell>
        </row>
        <row r="760">
          <cell r="A760" t="str">
            <v>칼라투수콘크리트    포장</v>
          </cell>
        </row>
        <row r="761">
          <cell r="A761" t="str">
            <v>칼라투수콘크리트    포장</v>
          </cell>
        </row>
        <row r="768">
          <cell r="A768" t="str">
            <v>5. 우배수공사</v>
          </cell>
        </row>
        <row r="769">
          <cell r="A769" t="str">
            <v>1) 어린이공원 Ⅰ</v>
          </cell>
        </row>
        <row r="770">
          <cell r="A770" t="str">
            <v>2) 어린이공원 Ⅱ</v>
          </cell>
        </row>
        <row r="771">
          <cell r="A771" t="str">
            <v>3) 어린이공원 Ⅲ</v>
          </cell>
        </row>
        <row r="772">
          <cell r="A772" t="str">
            <v>4) 어린이공원 Ⅳ</v>
          </cell>
        </row>
        <row r="773">
          <cell r="A773" t="str">
            <v>5) 어린이공원 Ⅴ</v>
          </cell>
        </row>
        <row r="774">
          <cell r="A774" t="str">
            <v>6) 어린이공원 Ⅶ</v>
          </cell>
        </row>
        <row r="775">
          <cell r="A775" t="str">
            <v>7) 경관녹지 Ⅰ</v>
          </cell>
        </row>
        <row r="776">
          <cell r="A776" t="str">
            <v>8) 경관녹지 Ⅱ</v>
          </cell>
        </row>
        <row r="777">
          <cell r="A777" t="str">
            <v>9) 경관녹지 Ⅲ</v>
          </cell>
        </row>
        <row r="778">
          <cell r="A778" t="str">
            <v>10) 가로수</v>
          </cell>
        </row>
        <row r="779">
          <cell r="A779" t="str">
            <v>11) 시설녹지(100M)</v>
          </cell>
        </row>
        <row r="782">
          <cell r="A782" t="str">
            <v>1) 어린이공원 Ⅰ</v>
          </cell>
        </row>
        <row r="783">
          <cell r="A783" t="str">
            <v>집수정 A</v>
          </cell>
        </row>
        <row r="784">
          <cell r="A784" t="str">
            <v>집수정 B</v>
          </cell>
        </row>
        <row r="785">
          <cell r="A785" t="str">
            <v>우수관 (PE강관)</v>
          </cell>
        </row>
        <row r="786">
          <cell r="A786" t="str">
            <v>맹암거 (본선)</v>
          </cell>
        </row>
        <row r="787">
          <cell r="A787" t="str">
            <v>맹암거 (지선)</v>
          </cell>
        </row>
        <row r="789">
          <cell r="A789" t="str">
            <v>2) 어린이공원 Ⅱ</v>
          </cell>
        </row>
        <row r="790">
          <cell r="A790" t="str">
            <v>집수정 A</v>
          </cell>
        </row>
        <row r="791">
          <cell r="A791" t="str">
            <v>집수정 B</v>
          </cell>
        </row>
        <row r="792">
          <cell r="A792" t="str">
            <v>우수관 (PE강관)</v>
          </cell>
        </row>
        <row r="793">
          <cell r="A793" t="str">
            <v>맹암거 (지선)</v>
          </cell>
        </row>
        <row r="794">
          <cell r="A794" t="str">
            <v>맹암거 (본선)</v>
          </cell>
        </row>
        <row r="796">
          <cell r="A796" t="str">
            <v>3) 어린이공원 Ⅲ</v>
          </cell>
        </row>
        <row r="797">
          <cell r="A797" t="str">
            <v>집수정 A</v>
          </cell>
        </row>
        <row r="798">
          <cell r="A798" t="str">
            <v>집수정 B</v>
          </cell>
        </row>
        <row r="799">
          <cell r="A799" t="str">
            <v>우수관 (PE강관)</v>
          </cell>
        </row>
        <row r="800">
          <cell r="A800" t="str">
            <v>맹암거 (지선)</v>
          </cell>
        </row>
        <row r="801">
          <cell r="A801" t="str">
            <v>맹암거 (본선)</v>
          </cell>
        </row>
        <row r="803">
          <cell r="A803" t="str">
            <v>4) 어린이공원 Ⅳ</v>
          </cell>
        </row>
        <row r="804">
          <cell r="A804" t="str">
            <v>집수정 A</v>
          </cell>
        </row>
        <row r="805">
          <cell r="A805" t="str">
            <v>집수정 B</v>
          </cell>
        </row>
        <row r="806">
          <cell r="A806" t="str">
            <v>우수관 (PE강관)</v>
          </cell>
        </row>
        <row r="807">
          <cell r="A807" t="str">
            <v>맹암거 (지선)</v>
          </cell>
        </row>
        <row r="808">
          <cell r="A808" t="str">
            <v>맹암거 (본선)</v>
          </cell>
        </row>
        <row r="810">
          <cell r="A810" t="str">
            <v>5) 어린이공원 Ⅴ</v>
          </cell>
        </row>
        <row r="811">
          <cell r="A811" t="str">
            <v>집수정 A</v>
          </cell>
        </row>
        <row r="812">
          <cell r="A812" t="str">
            <v>집수정 B</v>
          </cell>
        </row>
        <row r="813">
          <cell r="A813" t="str">
            <v>우수관 (PE강관)</v>
          </cell>
        </row>
        <row r="814">
          <cell r="A814" t="str">
            <v>맹암거 (지선)</v>
          </cell>
        </row>
        <row r="815">
          <cell r="A815" t="str">
            <v>맹암거 (본선)</v>
          </cell>
        </row>
        <row r="817">
          <cell r="A817" t="str">
            <v>6) 어린이공원 Ⅶ</v>
          </cell>
        </row>
        <row r="818">
          <cell r="A818" t="str">
            <v>집수정 A</v>
          </cell>
        </row>
        <row r="819">
          <cell r="A819" t="str">
            <v>집수정 B</v>
          </cell>
        </row>
        <row r="820">
          <cell r="A820" t="str">
            <v>우수관 (PE강관)</v>
          </cell>
        </row>
        <row r="821">
          <cell r="A821" t="str">
            <v>맹암거 (지선)</v>
          </cell>
        </row>
        <row r="822">
          <cell r="A822" t="str">
            <v>맹암거 (본선)</v>
          </cell>
        </row>
        <row r="824">
          <cell r="A824" t="str">
            <v>7) 경관녹지 Ⅰ</v>
          </cell>
        </row>
        <row r="825">
          <cell r="A825" t="str">
            <v>집수정 A</v>
          </cell>
        </row>
        <row r="826">
          <cell r="A826" t="str">
            <v>집수정 B</v>
          </cell>
        </row>
        <row r="827">
          <cell r="A827" t="str">
            <v>우수관 (PE강관)</v>
          </cell>
        </row>
        <row r="828">
          <cell r="A828" t="str">
            <v>우수관 (PE강관)</v>
          </cell>
        </row>
        <row r="830">
          <cell r="A830" t="str">
            <v>8) 경관녹지 Ⅱ</v>
          </cell>
        </row>
        <row r="831">
          <cell r="A831" t="str">
            <v>집수정 A</v>
          </cell>
        </row>
        <row r="832">
          <cell r="A832" t="str">
            <v>집수정 B</v>
          </cell>
        </row>
        <row r="833">
          <cell r="A833" t="str">
            <v>우수관 (PE강관)</v>
          </cell>
        </row>
        <row r="834">
          <cell r="A834" t="str">
            <v>우수관 (PE강관)</v>
          </cell>
        </row>
        <row r="837">
          <cell r="A837" t="str">
            <v>9) 경관녹지 Ⅲ</v>
          </cell>
        </row>
        <row r="838">
          <cell r="A838" t="str">
            <v>집수정 A</v>
          </cell>
        </row>
        <row r="839">
          <cell r="A839" t="str">
            <v>집수정 B</v>
          </cell>
        </row>
        <row r="840">
          <cell r="A840" t="str">
            <v>우수관 (PE강관)</v>
          </cell>
        </row>
        <row r="841">
          <cell r="A841" t="str">
            <v>우수관 (PE강관)</v>
          </cell>
        </row>
        <row r="843">
          <cell r="A843" t="str">
            <v>10) 가로수</v>
          </cell>
        </row>
        <row r="844">
          <cell r="A844" t="str">
            <v>우수관 (PE강관)</v>
          </cell>
        </row>
        <row r="845">
          <cell r="A845" t="str">
            <v>PE 유공관</v>
          </cell>
        </row>
        <row r="847">
          <cell r="A847" t="str">
            <v>11) 시설녹지(100M)</v>
          </cell>
        </row>
        <row r="848">
          <cell r="A848" t="str">
            <v>집수정 A</v>
          </cell>
        </row>
        <row r="849">
          <cell r="A849" t="str">
            <v>집수정 B</v>
          </cell>
        </row>
        <row r="850">
          <cell r="A850" t="str">
            <v>U형 측구</v>
          </cell>
        </row>
        <row r="851">
          <cell r="A851" t="str">
            <v>우수관 (PE강관)</v>
          </cell>
        </row>
        <row r="852">
          <cell r="A852" t="str">
            <v>우수관 (PE강관)</v>
          </cell>
        </row>
        <row r="860">
          <cell r="A860" t="str">
            <v>6. 식재지조성공사</v>
          </cell>
        </row>
        <row r="861">
          <cell r="A861" t="str">
            <v>1) 어린이공원 Ⅰ</v>
          </cell>
        </row>
        <row r="862">
          <cell r="A862" t="str">
            <v>2) 어린이공원 Ⅱ</v>
          </cell>
        </row>
        <row r="863">
          <cell r="A863" t="str">
            <v>3) 어린이공원 Ⅲ</v>
          </cell>
        </row>
        <row r="864">
          <cell r="A864" t="str">
            <v>4) 어린이공원 Ⅳ</v>
          </cell>
        </row>
        <row r="865">
          <cell r="A865" t="str">
            <v>5) 어린이공원 Ⅴ</v>
          </cell>
        </row>
        <row r="866">
          <cell r="A866" t="str">
            <v>6) 어린이공원 Ⅶ</v>
          </cell>
        </row>
        <row r="867">
          <cell r="A867" t="str">
            <v>7) 10M시설녹지1지역</v>
          </cell>
        </row>
        <row r="868">
          <cell r="A868" t="str">
            <v>8) 10M시설녹지2지역</v>
          </cell>
        </row>
        <row r="869">
          <cell r="A869" t="str">
            <v>9) 경관녹지 Ⅰ</v>
          </cell>
        </row>
        <row r="870">
          <cell r="A870" t="str">
            <v>10) 경관녹지 Ⅱ</v>
          </cell>
        </row>
        <row r="871">
          <cell r="A871" t="str">
            <v>11) 경관녹지 Ⅲ</v>
          </cell>
        </row>
        <row r="872">
          <cell r="A872" t="str">
            <v>12) 가로수</v>
          </cell>
        </row>
        <row r="873">
          <cell r="A873" t="str">
            <v>13) 보행자전용도로</v>
          </cell>
        </row>
        <row r="876">
          <cell r="A876" t="str">
            <v>1) 어린이공원 Ⅰ</v>
          </cell>
        </row>
        <row r="877">
          <cell r="A877" t="str">
            <v>가. 토공</v>
          </cell>
        </row>
        <row r="878">
          <cell r="A878" t="str">
            <v>기계터파기(B.H0.7㎥)</v>
          </cell>
        </row>
        <row r="879">
          <cell r="A879" t="str">
            <v>기계잔토처리</v>
          </cell>
        </row>
        <row r="881">
          <cell r="A881" t="str">
            <v>나. 성토</v>
          </cell>
        </row>
        <row r="882">
          <cell r="A882" t="str">
            <v>절취 및 상차             (백호1.0㎥)</v>
          </cell>
        </row>
        <row r="883">
          <cell r="A883" t="str">
            <v>덤프운반                     (중앙공원-3공구)</v>
          </cell>
        </row>
        <row r="884">
          <cell r="A884" t="str">
            <v>단지정지</v>
          </cell>
        </row>
        <row r="886">
          <cell r="A886" t="str">
            <v>다. 환토</v>
          </cell>
        </row>
        <row r="887">
          <cell r="A887" t="str">
            <v>절취 및 상차             (백호1.0㎥)</v>
          </cell>
        </row>
        <row r="888">
          <cell r="A888" t="str">
            <v>덤프운반                     (중앙공원-3공구)</v>
          </cell>
        </row>
        <row r="889">
          <cell r="A889" t="str">
            <v>단지정지</v>
          </cell>
        </row>
        <row r="892">
          <cell r="A892" t="str">
            <v>2) 어린이공원 Ⅱ</v>
          </cell>
        </row>
        <row r="893">
          <cell r="A893" t="str">
            <v>가. 토공</v>
          </cell>
        </row>
        <row r="894">
          <cell r="A894" t="str">
            <v>기계터파기(B.H0.7㎥)</v>
          </cell>
        </row>
        <row r="895">
          <cell r="A895" t="str">
            <v>기계잔토처리</v>
          </cell>
        </row>
        <row r="897">
          <cell r="A897" t="str">
            <v>나. 성토</v>
          </cell>
        </row>
        <row r="898">
          <cell r="A898" t="str">
            <v>절취 및 상차             (백호1.0㎥)</v>
          </cell>
        </row>
        <row r="899">
          <cell r="A899" t="str">
            <v>덤프운반                     (중앙공원-3공구)</v>
          </cell>
        </row>
        <row r="900">
          <cell r="A900" t="str">
            <v>단지정지</v>
          </cell>
        </row>
        <row r="902">
          <cell r="A902" t="str">
            <v>다. 환토</v>
          </cell>
        </row>
        <row r="903">
          <cell r="A903" t="str">
            <v>절취 및 상차             (백호1.0㎥)</v>
          </cell>
        </row>
        <row r="904">
          <cell r="A904" t="str">
            <v>덤프운반                     (중앙공원-3공구)</v>
          </cell>
        </row>
        <row r="905">
          <cell r="A905" t="str">
            <v>단지정지</v>
          </cell>
        </row>
        <row r="906">
          <cell r="A906" t="str">
            <v>3) 어린이공원 Ⅲ</v>
          </cell>
        </row>
        <row r="907">
          <cell r="A907" t="str">
            <v>가. 토공</v>
          </cell>
        </row>
        <row r="908">
          <cell r="A908" t="str">
            <v>기계터파기(B.H0.7㎥)</v>
          </cell>
        </row>
        <row r="909">
          <cell r="A909" t="str">
            <v>기계잔토처리</v>
          </cell>
        </row>
        <row r="911">
          <cell r="A911" t="str">
            <v>나. 성토</v>
          </cell>
        </row>
        <row r="912">
          <cell r="A912" t="str">
            <v>절취 및 상차             (백호1.0㎥)</v>
          </cell>
        </row>
        <row r="913">
          <cell r="A913" t="str">
            <v>덤프운반                     (중앙공원-3공구)</v>
          </cell>
        </row>
        <row r="914">
          <cell r="A914" t="str">
            <v>단지정지</v>
          </cell>
        </row>
        <row r="916">
          <cell r="A916" t="str">
            <v>다. 환토</v>
          </cell>
        </row>
        <row r="917">
          <cell r="A917" t="str">
            <v>절취 및 상차             (백호1.0㎥)</v>
          </cell>
        </row>
        <row r="918">
          <cell r="A918" t="str">
            <v>덤프운반                     (중앙공원-3공구)</v>
          </cell>
        </row>
        <row r="919">
          <cell r="A919" t="str">
            <v>단지정지</v>
          </cell>
        </row>
        <row r="922">
          <cell r="A922" t="str">
            <v>4) 어린이공원 Ⅳ</v>
          </cell>
        </row>
        <row r="923">
          <cell r="A923" t="str">
            <v>가. 토공</v>
          </cell>
        </row>
        <row r="924">
          <cell r="A924" t="str">
            <v>기계터파기(B.H0.7㎥)</v>
          </cell>
        </row>
        <row r="925">
          <cell r="A925" t="str">
            <v>기계잔토처리</v>
          </cell>
        </row>
        <row r="927">
          <cell r="A927" t="str">
            <v>나. 성토</v>
          </cell>
        </row>
        <row r="928">
          <cell r="A928" t="str">
            <v>절취 및 상차             (백호1.0㎥)</v>
          </cell>
        </row>
        <row r="929">
          <cell r="A929" t="str">
            <v>덤프운반                     (중앙공원-3공구)</v>
          </cell>
        </row>
        <row r="930">
          <cell r="A930" t="str">
            <v>단지정지</v>
          </cell>
        </row>
        <row r="932">
          <cell r="A932" t="str">
            <v>다. 환토</v>
          </cell>
        </row>
        <row r="933">
          <cell r="A933" t="str">
            <v>절취 및 상차             (백호1.0㎥)</v>
          </cell>
        </row>
        <row r="934">
          <cell r="A934" t="str">
            <v>덤프운반                     (중앙공원-3공구)</v>
          </cell>
        </row>
        <row r="935">
          <cell r="A935" t="str">
            <v>단지정지</v>
          </cell>
        </row>
        <row r="938">
          <cell r="A938" t="str">
            <v>5) 어린이공원 Ⅴ</v>
          </cell>
        </row>
        <row r="939">
          <cell r="A939" t="str">
            <v>가. 토공</v>
          </cell>
        </row>
        <row r="940">
          <cell r="A940" t="str">
            <v>기계터파기(B.H0.7㎥)</v>
          </cell>
        </row>
        <row r="941">
          <cell r="A941" t="str">
            <v>기계잔토처리</v>
          </cell>
        </row>
        <row r="943">
          <cell r="A943" t="str">
            <v>나. 성토</v>
          </cell>
        </row>
        <row r="944">
          <cell r="A944" t="str">
            <v>절취 및 상차             (백호1.0㎥)</v>
          </cell>
        </row>
        <row r="945">
          <cell r="A945" t="str">
            <v>덤프운반                     (중앙공원-3공구)</v>
          </cell>
        </row>
        <row r="946">
          <cell r="A946" t="str">
            <v>단지정지</v>
          </cell>
        </row>
        <row r="948">
          <cell r="A948" t="str">
            <v>다. 환토</v>
          </cell>
        </row>
        <row r="949">
          <cell r="A949" t="str">
            <v>절취 및 상차             (백호1.0㎥)</v>
          </cell>
        </row>
        <row r="950">
          <cell r="A950" t="str">
            <v>덤프운반                     (중앙공원-3공구)</v>
          </cell>
        </row>
        <row r="951">
          <cell r="A951" t="str">
            <v>단지정지</v>
          </cell>
        </row>
        <row r="952">
          <cell r="A952" t="str">
            <v>6) 어린이공원 Ⅶ</v>
          </cell>
        </row>
        <row r="953">
          <cell r="A953" t="str">
            <v>가. 토공</v>
          </cell>
        </row>
        <row r="954">
          <cell r="A954" t="str">
            <v>기계터파기(B.H0.7㎥)</v>
          </cell>
        </row>
        <row r="955">
          <cell r="A955" t="str">
            <v>기계잔토처리</v>
          </cell>
        </row>
        <row r="957">
          <cell r="A957" t="str">
            <v>나. 성토</v>
          </cell>
        </row>
        <row r="958">
          <cell r="A958" t="str">
            <v>절취 및 상차             (백호1.0㎥)</v>
          </cell>
        </row>
        <row r="959">
          <cell r="A959" t="str">
            <v>덤프운반                     (중앙공원-3공구)</v>
          </cell>
        </row>
        <row r="960">
          <cell r="A960" t="str">
            <v>단지정지</v>
          </cell>
        </row>
        <row r="962">
          <cell r="A962" t="str">
            <v>다. 환토</v>
          </cell>
        </row>
        <row r="963">
          <cell r="A963" t="str">
            <v>절취 및 상차             (백호1.0㎥)</v>
          </cell>
        </row>
        <row r="964">
          <cell r="A964" t="str">
            <v>덤프운반                     (중앙공원-3공구)</v>
          </cell>
        </row>
        <row r="965">
          <cell r="A965" t="str">
            <v>단지정지</v>
          </cell>
        </row>
        <row r="968">
          <cell r="A968" t="str">
            <v>7) 10M시설녹지1지역</v>
          </cell>
        </row>
        <row r="969">
          <cell r="A969" t="str">
            <v>가. 토공</v>
          </cell>
        </row>
        <row r="970">
          <cell r="A970" t="str">
            <v>기계터파기(B.H0.7㎥)</v>
          </cell>
        </row>
        <row r="971">
          <cell r="A971" t="str">
            <v>기계잔토처리</v>
          </cell>
        </row>
        <row r="973">
          <cell r="A973" t="str">
            <v>나. 성토</v>
          </cell>
        </row>
        <row r="974">
          <cell r="A974" t="str">
            <v>절취 및 상차             (백호1.0㎥)</v>
          </cell>
        </row>
        <row r="975">
          <cell r="A975" t="str">
            <v>덤프운반                     (중앙공원-3공구)</v>
          </cell>
        </row>
        <row r="976">
          <cell r="A976" t="str">
            <v>단지정지</v>
          </cell>
        </row>
        <row r="978">
          <cell r="A978" t="str">
            <v>다. 환토</v>
          </cell>
        </row>
        <row r="979">
          <cell r="A979" t="str">
            <v>절취 및 상차             (백호1.0㎥)</v>
          </cell>
        </row>
        <row r="980">
          <cell r="A980" t="str">
            <v>덤프운반                     (중앙공원-3공구)</v>
          </cell>
        </row>
        <row r="981">
          <cell r="A981" t="str">
            <v>단지정지</v>
          </cell>
        </row>
        <row r="984">
          <cell r="A984" t="str">
            <v>8) 10M시설녹지2지역</v>
          </cell>
        </row>
        <row r="985">
          <cell r="A985" t="str">
            <v>가. 토공</v>
          </cell>
        </row>
        <row r="986">
          <cell r="A986" t="str">
            <v>기계터파기(B.H0.7㎥)</v>
          </cell>
        </row>
        <row r="987">
          <cell r="A987" t="str">
            <v>기계잔토처리</v>
          </cell>
        </row>
        <row r="989">
          <cell r="A989" t="str">
            <v>나. 성토</v>
          </cell>
        </row>
        <row r="990">
          <cell r="A990" t="str">
            <v>절취 및 상차             (백호1.0㎥)</v>
          </cell>
        </row>
        <row r="991">
          <cell r="A991" t="str">
            <v>덤프운반                     (중앙공원-3공구)</v>
          </cell>
        </row>
        <row r="992">
          <cell r="A992" t="str">
            <v>단지정지</v>
          </cell>
        </row>
        <row r="994">
          <cell r="A994" t="str">
            <v>다. 환토</v>
          </cell>
        </row>
        <row r="995">
          <cell r="A995" t="str">
            <v>절취 및 상차             (백호1.0㎥)</v>
          </cell>
        </row>
        <row r="996">
          <cell r="A996" t="str">
            <v>덤프운반                     (중앙공원-3공구)</v>
          </cell>
        </row>
        <row r="997">
          <cell r="A997" t="str">
            <v>단지정지</v>
          </cell>
        </row>
        <row r="998">
          <cell r="A998" t="str">
            <v>9) 경관녹지 Ⅰ</v>
          </cell>
        </row>
        <row r="999">
          <cell r="A999" t="str">
            <v>가. 토공</v>
          </cell>
        </row>
        <row r="1000">
          <cell r="A1000" t="str">
            <v>기계터파기(B.H0.7㎥)</v>
          </cell>
        </row>
        <row r="1001">
          <cell r="A1001" t="str">
            <v>기계잔토처리</v>
          </cell>
        </row>
        <row r="1003">
          <cell r="A1003" t="str">
            <v>나. 성토</v>
          </cell>
        </row>
        <row r="1004">
          <cell r="A1004" t="str">
            <v>절취 및 상차             (백호1.0㎥)</v>
          </cell>
        </row>
        <row r="1005">
          <cell r="A1005" t="str">
            <v>덤프운반                     (중앙공원-3공구)</v>
          </cell>
        </row>
        <row r="1006">
          <cell r="A1006" t="str">
            <v>단지정지</v>
          </cell>
        </row>
        <row r="1008">
          <cell r="A1008" t="str">
            <v>다. 환토</v>
          </cell>
        </row>
        <row r="1009">
          <cell r="A1009" t="str">
            <v>절취 및 상차             (백호1.0㎥)</v>
          </cell>
        </row>
        <row r="1010">
          <cell r="A1010" t="str">
            <v>덤프운반                     (중앙공원-3공구)</v>
          </cell>
        </row>
        <row r="1011">
          <cell r="A1011" t="str">
            <v>단지정지</v>
          </cell>
        </row>
        <row r="1014">
          <cell r="A1014" t="str">
            <v>10) 경관녹지 Ⅱ</v>
          </cell>
        </row>
        <row r="1015">
          <cell r="A1015" t="str">
            <v>가. 토공</v>
          </cell>
        </row>
        <row r="1016">
          <cell r="A1016" t="str">
            <v>기계터파기(B.H0.7㎥)</v>
          </cell>
        </row>
        <row r="1017">
          <cell r="A1017" t="str">
            <v>기계잔토처리</v>
          </cell>
        </row>
        <row r="1019">
          <cell r="A1019" t="str">
            <v>나. 성토</v>
          </cell>
        </row>
        <row r="1020">
          <cell r="A1020" t="str">
            <v>절취 및 상차             (백호1.0㎥)</v>
          </cell>
        </row>
        <row r="1021">
          <cell r="A1021" t="str">
            <v>덤프운반                     (중앙공원-3공구)</v>
          </cell>
        </row>
        <row r="1022">
          <cell r="A1022" t="str">
            <v>단지정지</v>
          </cell>
        </row>
        <row r="1024">
          <cell r="A1024" t="str">
            <v>다. 환토</v>
          </cell>
        </row>
        <row r="1025">
          <cell r="A1025" t="str">
            <v>절취 및 상차             (백호1.0㎥)</v>
          </cell>
        </row>
        <row r="1026">
          <cell r="A1026" t="str">
            <v>덤프운반                     (중앙공원-3공구)</v>
          </cell>
        </row>
        <row r="1027">
          <cell r="A1027" t="str">
            <v>단지정지</v>
          </cell>
        </row>
        <row r="1030">
          <cell r="A1030" t="str">
            <v>11) 경관녹지 Ⅲ</v>
          </cell>
        </row>
        <row r="1031">
          <cell r="A1031" t="str">
            <v>가. 토공</v>
          </cell>
        </row>
        <row r="1032">
          <cell r="A1032" t="str">
            <v>기계터파기(B.H0.7㎥)</v>
          </cell>
        </row>
        <row r="1033">
          <cell r="A1033" t="str">
            <v>기계잔토처리</v>
          </cell>
        </row>
        <row r="1035">
          <cell r="A1035" t="str">
            <v>나. 성토</v>
          </cell>
        </row>
        <row r="1036">
          <cell r="A1036" t="str">
            <v>절취 및 상차             (백호1.0㎥)</v>
          </cell>
        </row>
        <row r="1037">
          <cell r="A1037" t="str">
            <v>덤프운반                     (중앙공원-3공구)</v>
          </cell>
        </row>
        <row r="1038">
          <cell r="A1038" t="str">
            <v>단지정지</v>
          </cell>
        </row>
        <row r="1040">
          <cell r="A1040" t="str">
            <v>다. 환토</v>
          </cell>
        </row>
        <row r="1041">
          <cell r="A1041" t="str">
            <v>절취 및 상차             (백호1.0㎥)</v>
          </cell>
        </row>
        <row r="1042">
          <cell r="A1042" t="str">
            <v>덤프운반                     (중앙공원-3공구)</v>
          </cell>
        </row>
        <row r="1043">
          <cell r="A1043" t="str">
            <v>단지정지</v>
          </cell>
        </row>
        <row r="1044">
          <cell r="A1044" t="str">
            <v>12) 가로수</v>
          </cell>
        </row>
        <row r="1045">
          <cell r="A1045" t="str">
            <v>가. 토공</v>
          </cell>
        </row>
        <row r="1046">
          <cell r="A1046" t="str">
            <v>기계터파기(B.H0.7㎥)</v>
          </cell>
        </row>
        <row r="1047">
          <cell r="A1047" t="str">
            <v>기계잔토처리</v>
          </cell>
        </row>
        <row r="1049">
          <cell r="A1049" t="str">
            <v>나. 환토</v>
          </cell>
        </row>
        <row r="1050">
          <cell r="A1050" t="str">
            <v>절취 및 상차             (백호1.0㎥)</v>
          </cell>
        </row>
        <row r="1051">
          <cell r="A1051" t="str">
            <v>덤프운반                     (중앙공원-3공구)</v>
          </cell>
        </row>
        <row r="1052">
          <cell r="A1052" t="str">
            <v>단지정지</v>
          </cell>
        </row>
        <row r="1055">
          <cell r="A1055" t="str">
            <v>13) 보행자전용도로</v>
          </cell>
        </row>
        <row r="1056">
          <cell r="A1056" t="str">
            <v>가. 토공</v>
          </cell>
        </row>
        <row r="1057">
          <cell r="A1057" t="str">
            <v>기계터파기(B.H0.7㎥)</v>
          </cell>
        </row>
        <row r="1058">
          <cell r="A1058" t="str">
            <v>기계잔토처리</v>
          </cell>
        </row>
        <row r="1060">
          <cell r="A1060" t="str">
            <v>나. 환토</v>
          </cell>
        </row>
        <row r="1061">
          <cell r="A1061" t="str">
            <v>절취 및 상차             (백호1.0㎥)</v>
          </cell>
        </row>
        <row r="1062">
          <cell r="A1062" t="str">
            <v>덤프운반                     (중앙공원-3공구)</v>
          </cell>
        </row>
        <row r="1063">
          <cell r="A1063" t="str">
            <v>단지정지</v>
          </cell>
        </row>
        <row r="1067">
          <cell r="A1067" t="str">
            <v>7. 부대공사</v>
          </cell>
        </row>
        <row r="1068">
          <cell r="A1068" t="str">
            <v>1) 사급자재대</v>
          </cell>
        </row>
        <row r="1069">
          <cell r="A1069" t="str">
            <v>이형철근</v>
          </cell>
        </row>
        <row r="1071">
          <cell r="A1071" t="str">
            <v>2) 운반비</v>
          </cell>
        </row>
        <row r="1072">
          <cell r="A1072" t="str">
            <v xml:space="preserve"> 철근운반</v>
          </cell>
        </row>
        <row r="1074">
          <cell r="A1074" t="str">
            <v>3) 가설공</v>
          </cell>
        </row>
        <row r="1075">
          <cell r="A1075" t="str">
            <v>조립식가설사무소</v>
          </cell>
        </row>
        <row r="1076">
          <cell r="A1076" t="str">
            <v>조립식가설창고</v>
          </cell>
        </row>
        <row r="1079">
          <cell r="A1079" t="str">
            <v>8. 운반비(도선료)</v>
          </cell>
        </row>
        <row r="1080">
          <cell r="A1080" t="str">
            <v>8.0톤 트럭 도선료</v>
          </cell>
        </row>
        <row r="1081">
          <cell r="A1081" t="str">
            <v>8.0톤 트럭 도선료</v>
          </cell>
        </row>
        <row r="1084">
          <cell r="A1084" t="str">
            <v>9. 이식수목할증</v>
          </cell>
        </row>
        <row r="1085">
          <cell r="A1085" t="str">
            <v>이식수목할증</v>
          </cell>
        </row>
        <row r="1088">
          <cell r="A1088" t="str">
            <v>10. 공단지급자재</v>
          </cell>
        </row>
        <row r="1089">
          <cell r="A1089" t="str">
            <v>레미콘</v>
          </cell>
        </row>
        <row r="1090">
          <cell r="A1090" t="str">
            <v>레미콘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내역서"/>
      <sheetName val="미관광장분수"/>
      <sheetName val="중앙광장분수A"/>
      <sheetName val="중앙광장분수B"/>
      <sheetName val="조형물공사"/>
      <sheetName val="전기설비공사"/>
      <sheetName val="기초일위대가"/>
      <sheetName val="단가산출서"/>
      <sheetName val="96노임기준"/>
      <sheetName val="실행내역 "/>
      <sheetName val="ⴭⴭⴭⴭⴭ"/>
      <sheetName val="수목데이타 "/>
      <sheetName val="공사요율"/>
      <sheetName val="참고자료"/>
      <sheetName val="기초일위"/>
      <sheetName val="시설일위"/>
      <sheetName val="조명일위"/>
      <sheetName val="노무비단가"/>
      <sheetName val="단가"/>
      <sheetName val="소일위대가코드표"/>
      <sheetName val="토사(PE)"/>
      <sheetName val="시설물일위"/>
      <sheetName val="가설공사"/>
      <sheetName val="단가결정"/>
      <sheetName val="내역아"/>
      <sheetName val="울타리"/>
      <sheetName val="고창터널(고창방향)"/>
      <sheetName val="OBJECT"/>
      <sheetName val="중기조종사 단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8">
          <cell r="A28">
            <v>48933</v>
          </cell>
        </row>
        <row r="67">
          <cell r="A67">
            <v>48028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새끼량산출"/>
      <sheetName val="가마니"/>
      <sheetName val="철선"/>
      <sheetName val="비계목"/>
      <sheetName val="중량"/>
      <sheetName val="이식"/>
      <sheetName val="지주산출"/>
      <sheetName val="Sheet1"/>
      <sheetName val="Sheet2"/>
      <sheetName val="Sheet3"/>
      <sheetName val="실행내역 "/>
      <sheetName val="노임단가"/>
      <sheetName val="기초일위"/>
      <sheetName val="시설일위"/>
      <sheetName val="식재일위"/>
      <sheetName val="일위목록"/>
      <sheetName val="내역서"/>
      <sheetName val="96노임기준"/>
      <sheetName val="인부노임"/>
      <sheetName val="청천내"/>
      <sheetName val="공사요율"/>
      <sheetName val="토목"/>
      <sheetName val="단가"/>
      <sheetName val="참고자료"/>
      <sheetName val="ⴭⴭⴭⴭⴭ"/>
      <sheetName val="BOX"/>
      <sheetName val="위치조서"/>
      <sheetName val="일위대가표"/>
      <sheetName val="단가(자재)"/>
      <sheetName val="단가(노임)"/>
      <sheetName val="기초목록"/>
      <sheetName val="터파기및재료"/>
      <sheetName val="비탈면보호공수량산출"/>
      <sheetName val="조명일위"/>
      <sheetName val="대로근거"/>
      <sheetName val="중로근거"/>
      <sheetName val="수목데이타 "/>
      <sheetName val="단가산출목록표"/>
      <sheetName val="관급자재대"/>
      <sheetName val="자료"/>
      <sheetName val="사급자재"/>
      <sheetName val="2설계 (웅촌고연)"/>
      <sheetName val="일위(토,포,부)"/>
      <sheetName val="기계경비"/>
      <sheetName val="단가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새끼량산출"/>
      <sheetName val="가마니"/>
      <sheetName val="철선"/>
      <sheetName val="비계목"/>
      <sheetName val="중량"/>
      <sheetName val="이식"/>
      <sheetName val="지주산출"/>
      <sheetName val="BID"/>
      <sheetName val="투찰추정"/>
      <sheetName val="계정"/>
      <sheetName val="2.대외공문"/>
      <sheetName val="수목데이타 "/>
      <sheetName val="노임단가"/>
      <sheetName val="내역서"/>
      <sheetName val="일위대가"/>
      <sheetName val="실행내역 "/>
      <sheetName val="Sheet2"/>
      <sheetName val="96노임기준"/>
      <sheetName val="관급자재대"/>
      <sheetName val="보도공제면적"/>
      <sheetName val="재정비직인"/>
      <sheetName val="재정비내역"/>
      <sheetName val="지적고시내역"/>
      <sheetName val="Total"/>
      <sheetName val="총괄내역"/>
      <sheetName val="Shee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보도공제면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내역서"/>
      <sheetName val="일위대가목록"/>
      <sheetName val="식재일위"/>
      <sheetName val="시설일위대가"/>
      <sheetName val="기초일위대가"/>
      <sheetName val="노임단가"/>
      <sheetName val="단가조사"/>
      <sheetName val="중기집계"/>
      <sheetName val="중기일위"/>
      <sheetName val="중기단가"/>
      <sheetName val="VXXXXX"/>
      <sheetName val="일위대가"/>
      <sheetName val="일위대가(내역)"/>
      <sheetName val="자금청구서"/>
      <sheetName val="정산보고서"/>
      <sheetName val="전도금갑"/>
      <sheetName val="계정별지출내역"/>
      <sheetName val="노무명세서"/>
      <sheetName val="장비대투입현황"/>
      <sheetName val="재료비투입현황"/>
      <sheetName val="data"/>
      <sheetName val="현장운영일보"/>
      <sheetName val="함바식당"/>
      <sheetName val="Sheet1"/>
      <sheetName val="Sheet3"/>
      <sheetName val="Sheet4"/>
      <sheetName val="Sheet2"/>
      <sheetName val="사업수지대비"/>
      <sheetName val="사업수지대비 (2)"/>
      <sheetName val="상무보고자료"/>
      <sheetName val="공사개요 "/>
      <sheetName val="실행견적조건"/>
      <sheetName val="당초대비분석"/>
      <sheetName val="VE및추가案"/>
      <sheetName val="갑지"/>
      <sheetName val="집계표"/>
      <sheetName val="추가투입분"/>
      <sheetName val="공통가설"/>
      <sheetName val="골조분석"/>
      <sheetName val="건축공사(현장안)"/>
      <sheetName val="건축공사 (당초수량)"/>
      <sheetName val="토목공사"/>
      <sheetName val="조경"/>
      <sheetName val="조직도"/>
      <sheetName val="기초자료"/>
      <sheetName val="계약보증보험율"/>
      <sheetName val="업체LIST"/>
      <sheetName val="현장설명"/>
      <sheetName val="FAX 양식"/>
      <sheetName val="FAX 양식 (2)"/>
      <sheetName val="최초실행用"/>
      <sheetName val="사업수지"/>
      <sheetName val="보고(실행)"/>
      <sheetName val="보고(1안))"/>
      <sheetName val="산출근거(1안)"/>
      <sheetName val="토공레벨근거"/>
      <sheetName val="암판정근거"/>
      <sheetName val="spec근거"/>
      <sheetName val="칸막이공사"/>
      <sheetName val="VE"/>
      <sheetName val="내역서(ve)"/>
      <sheetName val="첨부1"/>
      <sheetName val="첨부3"/>
      <sheetName val="첨부3 (화강석수정)"/>
      <sheetName val="칸막이(외벽제외)"/>
      <sheetName val="첨부2"/>
      <sheetName val="보고쉬트"/>
      <sheetName val="보고쉬트 (2)"/>
      <sheetName val="000000"/>
      <sheetName val="XXXX"/>
      <sheetName val="ITC집계2차 "/>
      <sheetName val="재료비"/>
      <sheetName val="향후투입분석"/>
      <sheetName val="노무비"/>
      <sheetName val="외주비"/>
      <sheetName val="장비비"/>
      <sheetName val="경비"/>
      <sheetName val="공종별"/>
      <sheetName val="SUM"/>
      <sheetName val="집행내역"/>
      <sheetName val="완성예측원가"/>
      <sheetName val="현장관리비실행분개"/>
      <sheetName val="현장관리비실행분개 (2)"/>
      <sheetName val="결제시보고"/>
      <sheetName val="민원보상비"/>
      <sheetName val="영업팀대통"/>
      <sheetName val="M-M"/>
      <sheetName val="미계약분"/>
      <sheetName val="코드변경"/>
      <sheetName val="예비비"/>
      <sheetName val="인건비투입현황"/>
      <sheetName val="벽돌쌓기 (표준형)"/>
      <sheetName val="모르터 배합"/>
      <sheetName val="SCHEDULE"/>
      <sheetName val="ELECTRIC"/>
      <sheetName val="CTEMCOST"/>
      <sheetName val="현장조직표"/>
      <sheetName val="보조"/>
      <sheetName val="조직"/>
      <sheetName val="실시공문"/>
      <sheetName val="품의서"/>
      <sheetName val="명단"/>
      <sheetName val="세부내용"/>
      <sheetName val="일정표"/>
      <sheetName val="강사"/>
      <sheetName val="소요비용"/>
      <sheetName val="체크사항"/>
      <sheetName val="주의사항"/>
      <sheetName val="대상분석"/>
      <sheetName val="조별편성"/>
      <sheetName val="출석표"/>
      <sheetName val="인원확인"/>
      <sheetName val="배방도"/>
      <sheetName val="과정설문"/>
      <sheetName val="평가지"/>
      <sheetName val="좌석배치도"/>
      <sheetName val="표지"/>
      <sheetName val="목차"/>
      <sheetName val="배경"/>
      <sheetName val="개요"/>
      <sheetName val="세부1"/>
      <sheetName val="세부1 (2)"/>
      <sheetName val="세부2"/>
      <sheetName val="세부2(2)"/>
      <sheetName val="세부3"/>
      <sheetName val="세부3 (2)"/>
      <sheetName val="향후신입"/>
      <sheetName val="향후신입 (2)"/>
      <sheetName val="과정상세"/>
      <sheetName val="브로셔"/>
      <sheetName val="Curri_0314"/>
      <sheetName val="2.교육과정구성도"/>
      <sheetName val="과정기술서"/>
      <sheetName val="과정기술서 (2)"/>
      <sheetName val="지정"/>
      <sheetName val="지정 (2)"/>
      <sheetName val="계획1"/>
      <sheetName val="계획1 (2)"/>
      <sheetName val="계획2"/>
      <sheetName val="계획2 (2)"/>
      <sheetName val="경인"/>
      <sheetName val="경인 (2)"/>
      <sheetName val="세부내용 (2)"/>
      <sheetName val="노동경비"/>
      <sheetName val="노동경비 (2)"/>
      <sheetName val="강사프로필"/>
      <sheetName val="Chart1"/>
      <sheetName val="Chart7"/>
      <sheetName val="안양"/>
      <sheetName val="창녕"/>
      <sheetName val="사전1"/>
      <sheetName val="소요경비"/>
      <sheetName val="사용내역"/>
      <sheetName val="인간관계"/>
      <sheetName val="준비목록"/>
      <sheetName val="사외경비비교"/>
      <sheetName val="Chart4"/>
      <sheetName val="점검내용"/>
      <sheetName val="점검명단_시간_장소"/>
      <sheetName val="점검표(총원)"/>
      <sheetName val="점검표(사업장별)"/>
      <sheetName val="점검표(PG별)"/>
      <sheetName val="점검표(Pu별)"/>
      <sheetName val="점검분석"/>
      <sheetName val="점검분석 (2)"/>
      <sheetName val="점검표(마포)"/>
      <sheetName val="점검표(청담)"/>
      <sheetName val="점검표(안양)"/>
      <sheetName val="점검표(창원)"/>
      <sheetName val="점검표(기타)"/>
      <sheetName val="Chart9"/>
      <sheetName val="분석"/>
      <sheetName val="상세자료"/>
      <sheetName val="상세자료 (2)"/>
      <sheetName val="참석율자료"/>
      <sheetName val="그래프데이타"/>
      <sheetName val="그래프데이타 (2)"/>
      <sheetName val="점검결과"/>
      <sheetName val="점검결과 (2)"/>
      <sheetName val="점검결과 (3)"/>
      <sheetName val="명단(12.28)"/>
      <sheetName val="호명명단"/>
      <sheetName val="보고명단"/>
      <sheetName val="명단(1.3)"/>
      <sheetName val="수료증작성명단"/>
      <sheetName val="최종정리명단"/>
      <sheetName val="최종정리명단 (2)"/>
      <sheetName val="공장견학명단"/>
      <sheetName val="공장견학명단 (2)"/>
      <sheetName val="평가"/>
      <sheetName val="평가 (2)"/>
      <sheetName val="평가 (3)"/>
      <sheetName val="조상무면담"/>
      <sheetName val="장기자랑명단"/>
      <sheetName val="생일자명단"/>
      <sheetName val="배차명단"/>
      <sheetName val="배포용배차명단"/>
      <sheetName val="조편성"/>
      <sheetName val="배방표"/>
      <sheetName val="강당배치도"/>
      <sheetName val="분반시편성"/>
      <sheetName val="101강의실"/>
      <sheetName val="102강의실"/>
      <sheetName val="103강의실"/>
      <sheetName val="104강의실"/>
      <sheetName val="경주배방"/>
      <sheetName val="서울종합편성표"/>
      <sheetName val="서울편성"/>
      <sheetName val="서울편성 (2)"/>
      <sheetName val="서울강의실배치도 (2)"/>
      <sheetName val="1211과정목적"/>
      <sheetName val="1211과정목적 (2)"/>
      <sheetName val="03일정표(9)"/>
      <sheetName val="03일정표(A반) (3)"/>
      <sheetName val="03일정표(B반) (4)"/>
      <sheetName val="03일정표(C반) (5)"/>
      <sheetName val="03일정표(D반) (6)"/>
      <sheetName val="03일정표(VIP)"/>
      <sheetName val="점검명단_시간_장소 (3)"/>
      <sheetName val="점검명단_시간_장소 (2)"/>
      <sheetName val="점검양식"/>
      <sheetName val="현장조사노임단가분석"/>
      <sheetName val="정부노임단가분석"/>
      <sheetName val="현장+정부짬뽕"/>
      <sheetName val="총괄분석(정부)"/>
      <sheetName val="정부노임단가분석 (2)"/>
      <sheetName val="공사개요"/>
      <sheetName val="특화관련"/>
      <sheetName val="실제사업계획및실적"/>
      <sheetName val="주요현안 및 해결방안"/>
      <sheetName val="공사진행현황1-2-3 "/>
      <sheetName val="민원현황도 (2)"/>
      <sheetName val="민원현황도"/>
      <sheetName val="주요현안 및 해결방안 (3)"/>
      <sheetName val="공사원가현황"/>
      <sheetName val="공사현황"/>
      <sheetName val="공사집행계획서"/>
      <sheetName val="사유별 증가사유"/>
      <sheetName val="갑지 (2)"/>
      <sheetName val="을지(예비비)"/>
      <sheetName val="을지(건축) (2)"/>
      <sheetName val="공통가설(DCN)"/>
      <sheetName val="을지(토목) (2)"/>
      <sheetName val="건축내역서(DCN)"/>
      <sheetName val="Sheet1 (2)"/>
      <sheetName val="Sheet1 (3)"/>
      <sheetName val="CHECKLIST(동래)"/>
      <sheetName val="CHECKLIST(작성용) "/>
      <sheetName val="APT"/>
      <sheetName val="부속동"/>
      <sheetName val="철콘비교표"/>
      <sheetName val="보고서"/>
      <sheetName val="대비표(총괄인상적용시)"/>
      <sheetName val="대비표(형틀)"/>
      <sheetName val="대비표(철근)"/>
      <sheetName val="대비표(conc)"/>
      <sheetName val="단가적용기준"/>
      <sheetName val="대비표(인상전)"/>
      <sheetName val="대비표(인상적용시)"/>
      <sheetName val="2004 (수정)대체투입분"/>
      <sheetName val="Chart14"/>
      <sheetName val="계약율"/>
      <sheetName val="대주단용"/>
      <sheetName val="대주단용 (2)"/>
      <sheetName val="05년3월"/>
      <sheetName val="05년3월 (2)"/>
      <sheetName val="계약"/>
      <sheetName val="잔여계약"/>
      <sheetName val="sheet"/>
      <sheetName val="포인트도출"/>
      <sheetName val="Action plan"/>
      <sheetName val="포인트도출 (2)"/>
      <sheetName val="원가율변동"/>
      <sheetName val="통합발주"/>
      <sheetName val="원가율"/>
      <sheetName val="목표관리금액"/>
      <sheetName val="보할"/>
      <sheetName val="DATA2"/>
      <sheetName val="DATA-설비"/>
      <sheetName val="DATA-전기"/>
      <sheetName val="총괄표"/>
      <sheetName val="건축공사 내역서(MODERN TYPE)"/>
      <sheetName val="건축공사 내역서 (CLASSIC TYPE) "/>
      <sheetName val="내역"/>
      <sheetName val="공사비변동"/>
      <sheetName val="공사비변동 (2)"/>
      <sheetName val="총괄현황 (2)"/>
      <sheetName val="총괄현황"/>
      <sheetName val="ve집계"/>
      <sheetName val="VE1 (4)"/>
      <sheetName val="VE1 (5)"/>
      <sheetName val="VE1 (6)"/>
      <sheetName val="VE1 (7)"/>
      <sheetName val="VE1 (8)"/>
      <sheetName val="VE1 (3)"/>
      <sheetName val="당초 대비"/>
      <sheetName val="금회작성기준"/>
      <sheetName val="총괄"/>
      <sheetName val="세부내역"/>
      <sheetName val="파크뷰대비"/>
      <sheetName val="내부조건변경"/>
      <sheetName val="견적기준2"/>
      <sheetName val="견적조건"/>
      <sheetName val="철골 ITP"/>
      <sheetName val="철골 ITP (11.21)"/>
      <sheetName val="CHECK(자재반입)"/>
      <sheetName val="(A-BOLT)"/>
      <sheetName val="ERECTION (2)"/>
      <sheetName val="설치기준"/>
      <sheetName val="BOLTING"/>
      <sheetName val="WELDING"/>
      <sheetName val="갑지2"/>
      <sheetName val="인천논현동"/>
      <sheetName val="타설일자"/>
      <sheetName val="월간업무(4월)"/>
      <sheetName val="공정표"/>
      <sheetName val="월간업무-PPT"/>
      <sheetName val="예정공정표(5월)-PPT"/>
      <sheetName val="공정진행사진"/>
      <sheetName val="토공집계"/>
      <sheetName val="공종별집계"/>
      <sheetName val="현장안"/>
      <sheetName val="방안"/>
      <sheetName val="도급단가비교"/>
      <sheetName val="토공집계 (2)"/>
      <sheetName val="토사반출계획"/>
      <sheetName val="전체공정표"/>
      <sheetName val="도면"/>
      <sheetName val="스켄도면"/>
      <sheetName val="Sheet5"/>
      <sheetName val="2003년 REVIEW"/>
      <sheetName val="2004 공정계획"/>
      <sheetName val="2004 주요공종 추진계획 (파워포인트 복사용) (2)"/>
      <sheetName val="2004 주요공종 추진계획 (파워포인트 복사용) (3)"/>
      <sheetName val="2004 주요공종 추진계획 (04년10월 보고용)"/>
      <sheetName val="2004 공정계획 (파워포인트복사용)"/>
      <sheetName val="지우지 마시오"/>
      <sheetName val="임원KPI"/>
      <sheetName val="자리이동"/>
      <sheetName val="임원별평가"/>
      <sheetName val="집계"/>
      <sheetName val="집계 (2)"/>
      <sheetName val="최종상품안"/>
      <sheetName val="2004년도"/>
      <sheetName val="기성고조서"/>
      <sheetName val="수량산출서(변경도면) "/>
      <sheetName val="Chart6"/>
      <sheetName val="총괄 집계"/>
      <sheetName val="건축집계"/>
      <sheetName val="전기집계"/>
      <sheetName val="설비집계"/>
      <sheetName val="건축내역대비"/>
      <sheetName val="Plant-건축내역"/>
      <sheetName val="Arch-건축내역"/>
      <sheetName val="elec-건축내역"/>
      <sheetName val="중장기수주및매출계획"/>
      <sheetName val="건토목내역"/>
      <sheetName val="부지정지공사"/>
      <sheetName val="건축토공사"/>
      <sheetName val="건축토공사 (2)"/>
      <sheetName val="설계서"/>
      <sheetName val="일위대가-호표"/>
      <sheetName val="노임"/>
      <sheetName val="중기"/>
      <sheetName val="단가조사서"/>
      <sheetName val="손익총괄"/>
      <sheetName val="손익실적분석"/>
      <sheetName val="Master Schedule"/>
      <sheetName val="공정-현황"/>
      <sheetName val="공정-대책"/>
      <sheetName val="QSE"/>
      <sheetName val="부실징후-집계"/>
      <sheetName val="휴무실적"/>
      <sheetName val="RISK관리"/>
      <sheetName val="변경금액 (1차제출)"/>
      <sheetName val="1차설계미팅자료 (SK-중일)"/>
      <sheetName val="2차설계미팅후 변경"/>
      <sheetName val="2차설계미팅후 변경 (SK보고)"/>
      <sheetName val="계단실"/>
      <sheetName val="계단실 (2)"/>
      <sheetName val="pjt별 변동추이_보고서삽입용"/>
      <sheetName val="4.현장현황"/>
      <sheetName val="찬재♥정희2"/>
      <sheetName val="찬재♥정희3"/>
      <sheetName val="사업부별총괄 (2)"/>
      <sheetName val="1수주7"/>
      <sheetName val="2내역7"/>
      <sheetName val="8손익전사7"/>
      <sheetName val="연간전사"/>
      <sheetName val="ENG (2)"/>
      <sheetName val="DPCT"/>
      <sheetName val="손익(건설)"/>
      <sheetName val="연간추정"/>
      <sheetName val="7-2영업외7 (2)"/>
      <sheetName val="7-5예차입7"/>
      <sheetName val="연간일반비"/>
      <sheetName val="7-1일반7"/>
      <sheetName val="4-1기타손익"/>
      <sheetName val="요약"/>
      <sheetName val="목차(PT용)"/>
      <sheetName val="수주추세"/>
      <sheetName val="6현장분석(토목)"/>
      <sheetName val="6현장분석(건축)"/>
      <sheetName val="6현장분석(플랜트)"/>
      <sheetName val="6현장분석(주택)"/>
      <sheetName val="5경상이익7 (2)"/>
      <sheetName val="6전년대비"/>
      <sheetName val="손익_OH"/>
      <sheetName val="7-2영업외7"/>
      <sheetName val="7-3미수금7"/>
      <sheetName val="7-4미수추이7"/>
      <sheetName val="추정손익(건설)"/>
      <sheetName val="추정손익_전사"/>
      <sheetName val="건설(수입이자)"/>
      <sheetName val="10-1자금운용01"/>
      <sheetName val="10분양(아파트)01"/>
      <sheetName val="10-2자체수금01"/>
      <sheetName val="10-3도급대여금01"/>
      <sheetName val="01월별수주계획01"/>
      <sheetName val="03월별손익계획"/>
      <sheetName val="2003월별영업외수지"/>
      <sheetName val="2003기타손익계획"/>
      <sheetName val="월별일반비"/>
      <sheetName val="TOTAL손익"/>
      <sheetName val="손익(총괄)"/>
      <sheetName val="손익(ENG)"/>
      <sheetName val="손익(물류)"/>
      <sheetName val="예차입"/>
      <sheetName val="수주추이"/>
      <sheetName val="주택분양계획"/>
      <sheetName val="특수"/>
      <sheetName val="철구외"/>
      <sheetName val="투자계획"/>
      <sheetName val="손익(ENG) (2)"/>
      <sheetName val="특수 (2)"/>
      <sheetName val="철구"/>
      <sheetName val="투자계획 (2)"/>
      <sheetName val="기획팀"/>
      <sheetName val="과제계획"/>
      <sheetName val="05경영실적"/>
      <sheetName val="사업부합의서"/>
      <sheetName val="염상무님"/>
      <sheetName val="손익(ENG)(미보고)"/>
      <sheetName val="특수(미보고)"/>
      <sheetName val="철구(미보고)"/>
      <sheetName val="dpct(미보고)"/>
      <sheetName val="준공추정"/>
      <sheetName val="준공추정정리"/>
      <sheetName val="계약및원가추이"/>
      <sheetName val="계약및원가추이 (2)"/>
      <sheetName val="첨부 1"/>
      <sheetName val="첨부 2 (매출(원가율)분석)"/>
      <sheetName val="첨부 2-1(도급계약현황)"/>
      <sheetName val="첨부 3 (준공추정)"/>
      <sheetName val="첨부 3-1(을)"/>
      <sheetName val="첨부 3-3(취하현황)"/>
      <sheetName val="첨부 4"/>
      <sheetName val="첨부 5"/>
      <sheetName val="첨부 6"/>
      <sheetName val="첨부 6-1"/>
      <sheetName val="첨부 5-1"/>
      <sheetName val="총괄수정공정표"/>
      <sheetName val="월간공정표"/>
      <sheetName val="첨부6"/>
      <sheetName val="업무서신"/>
      <sheetName val="첨부 3-2(공현병지)"/>
      <sheetName val="구미주공"/>
      <sheetName val="안전관리계획"/>
      <sheetName val="안전관리계획 (2)"/>
      <sheetName val="전체공정"/>
      <sheetName val="공정현황"/>
      <sheetName val="원가상승요인"/>
      <sheetName val="원가절감요인"/>
      <sheetName val="하도급,발주처문제"/>
      <sheetName val="현장직원"/>
      <sheetName val="원가추이"/>
      <sheetName val="원가추이분석"/>
      <sheetName val="에너지회수율"/>
      <sheetName val="공정사진"/>
      <sheetName val="전체예정공정표"/>
      <sheetName val="공정표(전월)"/>
      <sheetName val="공정표(당월)"/>
      <sheetName val="현안문제"/>
      <sheetName val="하도,발주,감리와의 현안문제"/>
      <sheetName val="현장직원문제"/>
      <sheetName val="도급계약및설변예상"/>
      <sheetName val="준공추정추이분석"/>
      <sheetName val="5"/>
      <sheetName val="5-1"/>
      <sheetName val="현안문제 및 원가절감요인"/>
      <sheetName val="하도급자현안문제 및 현장직원문제"/>
      <sheetName val="현장직원문제DATA"/>
      <sheetName val="원가현황"/>
      <sheetName val="04년실적및05년계획"/>
      <sheetName val="실적및계획첨부"/>
      <sheetName val="중점추진과제-1"/>
      <sheetName val="중점추진과제-2"/>
      <sheetName val="중점추진과제-3"/>
      <sheetName val="중점추진과제-4"/>
      <sheetName val="현장비젼및슬로건"/>
      <sheetName val="취하미수"/>
      <sheetName val="매출손익"/>
      <sheetName val="원가절감집계"/>
      <sheetName val="식재공사"/>
      <sheetName val="기본입력사항"/>
      <sheetName val="현설품의"/>
      <sheetName val="1 표지"/>
      <sheetName val="2 목차"/>
      <sheetName val="3 개요"/>
      <sheetName val="4 일반조건"/>
      <sheetName val="5 특기시장"/>
      <sheetName val="6 안전특수조건"/>
      <sheetName val="7 환경특수조건"/>
      <sheetName val="#1.실행내역"/>
      <sheetName val="#2.견적내역"/>
      <sheetName val="수량변경"/>
      <sheetName val="총괄표 (2)"/>
      <sheetName val="1.총괄집계표"/>
      <sheetName val="3. 집계(건축)"/>
      <sheetName val="3.1 내역(건축)"/>
      <sheetName val="3.2 집계(인테리어)"/>
      <sheetName val="3.3 내역(인테리어)"/>
      <sheetName val=" 토공사(부대토목)"/>
      <sheetName val="4. 내역(조경)"/>
      <sheetName val="관리비 "/>
      <sheetName val="투입게획서"/>
      <sheetName val="표지 "/>
      <sheetName val="첨부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총괄내역서"/>
      <sheetName val="내역서"/>
      <sheetName val="수목표준대가"/>
      <sheetName val="시설구조일위대가 "/>
      <sheetName val="기초대가"/>
      <sheetName val="단가조사표"/>
      <sheetName val="지주,비료"/>
      <sheetName val="수량산출서"/>
      <sheetName val="Sheet3"/>
      <sheetName val="Sheet2 (4)"/>
      <sheetName val="Sheet2 (5)"/>
      <sheetName val="Sheet2 (6)"/>
      <sheetName val="건축내역"/>
      <sheetName val="설계내역(당초)"/>
      <sheetName val="변경도급"/>
      <sheetName val="견적서"/>
      <sheetName val="노무단가"/>
      <sheetName val="노무비"/>
      <sheetName val="겉장"/>
      <sheetName val="기성검사원"/>
      <sheetName val="표지"/>
      <sheetName val="갑지"/>
      <sheetName val="원가"/>
      <sheetName val="건축"/>
      <sheetName val="토목"/>
      <sheetName val="냉천부속동"/>
      <sheetName val="실행대비"/>
      <sheetName val="코드표"/>
      <sheetName val="노임단가"/>
      <sheetName val="공조기"/>
      <sheetName val="수목데이타 "/>
      <sheetName val="저수호안내역(변경예정)"/>
      <sheetName val="내역"/>
      <sheetName val="단가표"/>
      <sheetName val="BID"/>
      <sheetName val="진주방향"/>
      <sheetName val="마산방향"/>
      <sheetName val="마산방향철근집계"/>
      <sheetName val="중기사용료산출근거"/>
      <sheetName val="단가 및 재료비"/>
      <sheetName val="96노임기준"/>
      <sheetName val="개소별수량산출"/>
      <sheetName val="토공사"/>
      <sheetName val="수량산출"/>
      <sheetName val="토사(PE)"/>
      <sheetName val="일위대가"/>
      <sheetName val="현장관리비"/>
      <sheetName val="철탑"/>
      <sheetName val="제철"/>
      <sheetName val="경산"/>
      <sheetName val="1.내역(청.하역장전등)"/>
      <sheetName val="참조자료"/>
      <sheetName val="노임이"/>
      <sheetName val="A"/>
      <sheetName val="9811"/>
      <sheetName val="종배수관면벽신"/>
      <sheetName val="적용단위길이"/>
      <sheetName val="49단가"/>
      <sheetName val="49산출"/>
      <sheetName val="노단"/>
      <sheetName val="비교1"/>
      <sheetName val="기초일위"/>
      <sheetName val="시설일위"/>
      <sheetName val="조명일위"/>
      <sheetName val="구조물공1"/>
      <sheetName val="을지"/>
      <sheetName val="DATA 입력란"/>
      <sheetName val="1. 설계조건 2.단면가정 3. 하중계산"/>
      <sheetName val="남대문빌딩"/>
      <sheetName val="골조시행"/>
      <sheetName val="총괄표"/>
      <sheetName val="실행내역 "/>
      <sheetName val="6공구(당초)"/>
      <sheetName val="2000년1차"/>
      <sheetName val="입찰안"/>
      <sheetName val="하수급견적대비"/>
      <sheetName val="자재단가"/>
      <sheetName val="ⴭⴭⴭⴭⴭ"/>
      <sheetName val="설계서을"/>
      <sheetName val="금융비용"/>
      <sheetName val="철콘공사"/>
      <sheetName val="납부서"/>
      <sheetName val="간선계산"/>
      <sheetName val="제경비율"/>
      <sheetName val="종배수관(신)"/>
      <sheetName val="자료입력"/>
      <sheetName val="피벗테이블데이터분석"/>
      <sheetName val="2.냉난방설비공사"/>
      <sheetName val="7.자동제어공사"/>
      <sheetName val="견"/>
      <sheetName val="비탈면보호공수량산출"/>
      <sheetName val="청천내"/>
      <sheetName val="시중노임(공사)"/>
      <sheetName val="경비"/>
      <sheetName val="SORCE1"/>
      <sheetName val="설계내역"/>
      <sheetName val="단위당일위대가"/>
      <sheetName val="변경품셈총괄"/>
      <sheetName val="토공A"/>
      <sheetName val="돈암사업"/>
      <sheetName val="기계경비(시간당)"/>
      <sheetName val="램머"/>
      <sheetName val="예산명세서"/>
      <sheetName val="설계명세서"/>
      <sheetName val="대비"/>
      <sheetName val="인부노임"/>
      <sheetName val="36단가"/>
      <sheetName val="36수량"/>
      <sheetName val="대로근거"/>
      <sheetName val="중로근거"/>
      <sheetName val="품셈표"/>
      <sheetName val="공통가설"/>
      <sheetName val="TRE TABLE"/>
      <sheetName val="집계표"/>
      <sheetName val="데이타"/>
      <sheetName val="주소록"/>
      <sheetName val="일반관리비"/>
      <sheetName val="일위대가표"/>
      <sheetName val="Config"/>
      <sheetName val="R&amp;D"/>
      <sheetName val="올림픽미술관"/>
      <sheetName val="우수받이"/>
      <sheetName val="날개벽"/>
      <sheetName val="내역서(기계)"/>
      <sheetName val="산출금액내역"/>
      <sheetName val="시설구조일위대가_"/>
      <sheetName val="Sheet2_(4)"/>
      <sheetName val="Sheet2_(5)"/>
      <sheetName val="Sheet2_(6)"/>
      <sheetName val="수목데이타_"/>
      <sheetName val="단가_및_재료비"/>
      <sheetName val="시설구조일위대가_1"/>
      <sheetName val="Sheet2_(4)1"/>
      <sheetName val="Sheet2_(5)1"/>
      <sheetName val="Sheet2_(6)1"/>
      <sheetName val="수목데이타_1"/>
      <sheetName val="단가_및_재료비1"/>
      <sheetName val="토적집계"/>
      <sheetName val="내역(토목)"/>
      <sheetName val="단위수량"/>
      <sheetName val="제안서입력"/>
      <sheetName val="절감계산"/>
      <sheetName val="단가"/>
      <sheetName val="수량인공"/>
      <sheetName val="일위대가표 "/>
      <sheetName val="기계내역"/>
      <sheetName val="Customer Databas"/>
      <sheetName val="변경1총괄"/>
      <sheetName val="일위"/>
      <sheetName val="제출내역 (2)"/>
      <sheetName val="공사요율"/>
      <sheetName val="wall"/>
      <sheetName val="Front"/>
      <sheetName val="남양주부대"/>
      <sheetName val="기본DATA"/>
      <sheetName val="구조물공"/>
      <sheetName val="부대공"/>
      <sheetName val="배수공"/>
      <sheetName val="토공"/>
      <sheetName val="포장공"/>
      <sheetName val="수금계획"/>
      <sheetName val="보할"/>
      <sheetName val="본문"/>
      <sheetName val="2.대외공문"/>
      <sheetName val="노임"/>
      <sheetName val="인원계획-미화"/>
      <sheetName val="업체별기성내역"/>
      <sheetName val="주방"/>
      <sheetName val="터파기및재료"/>
      <sheetName val="내역분기"/>
      <sheetName val="인건비"/>
      <sheetName val="소비자가"/>
      <sheetName val="경비2내역"/>
      <sheetName val="노집"/>
      <sheetName val="재집"/>
      <sheetName val="수목데이타"/>
      <sheetName val="공조기휀"/>
      <sheetName val="AHU집계"/>
      <sheetName val="갑지(요약)"/>
      <sheetName val="11.닥트설치공사(bm)"/>
      <sheetName val="회로내역(승인)"/>
      <sheetName val="시실누(모) "/>
      <sheetName val="현우실적"/>
      <sheetName val="지급자재"/>
      <sheetName val="기본단가"/>
      <sheetName val="관급자재대"/>
      <sheetName val="급여조견표"/>
      <sheetName val="소일위대가코드표"/>
      <sheetName val="Sheet15"/>
      <sheetName val="98지급계획"/>
      <sheetName val="정공공사"/>
      <sheetName val="대여현황"/>
      <sheetName val="중기조종사 단위단가"/>
      <sheetName val="98수문일위"/>
      <sheetName val="수곡내역"/>
      <sheetName val="TEL"/>
      <sheetName val="hvac(제어동)"/>
      <sheetName val="변경내역"/>
      <sheetName val="6호기"/>
      <sheetName val="소방기계"/>
      <sheetName val="차액보증"/>
      <sheetName val="건축공사 집계표"/>
      <sheetName val="골조"/>
      <sheetName val="Sheet1"/>
      <sheetName val="내역서01"/>
      <sheetName val="투찰추정"/>
      <sheetName val="준검 내역서"/>
      <sheetName val="단가산출"/>
      <sheetName val="자료"/>
      <sheetName val="기안"/>
      <sheetName val="사급자재"/>
      <sheetName val="을"/>
      <sheetName val="06 일위대가목록"/>
      <sheetName val="2003상반기노임기준"/>
      <sheetName val="2설계 (웅촌고연)"/>
      <sheetName val="주공기준"/>
      <sheetName val="MATERIAL"/>
      <sheetName val="단가산출2"/>
      <sheetName val="단가산출1"/>
      <sheetName val="단가산출목록표"/>
      <sheetName val="AL공사(원)"/>
      <sheetName val="정부노임단가"/>
      <sheetName val="공사개요"/>
      <sheetName val="현장청취복명서"/>
      <sheetName val="연결임시"/>
      <sheetName val="참조"/>
      <sheetName val="하자항목"/>
      <sheetName val="admin"/>
      <sheetName val="공사비증감"/>
      <sheetName val="#REF"/>
      <sheetName val="설계"/>
      <sheetName val="토공계산서(부체도로)"/>
      <sheetName val="공사설명서외"/>
      <sheetName val="단가조사"/>
      <sheetName val="공정집계_국별"/>
      <sheetName val="인건비 "/>
      <sheetName val="교통대책내역"/>
      <sheetName val="말뚝지지력산정"/>
      <sheetName val="반응조"/>
      <sheetName val="DB"/>
      <sheetName val="1.설계기준"/>
      <sheetName val="전산망"/>
      <sheetName val="금액내역서"/>
      <sheetName val="현장관리비 산출내역"/>
      <sheetName val="설비"/>
      <sheetName val="FRP PIPING 일위대가"/>
      <sheetName val="상반기손익차2총괄"/>
      <sheetName val="유림골조"/>
      <sheetName val="보도공제면적"/>
      <sheetName val="개요"/>
      <sheetName val="현장관리"/>
      <sheetName val="건설기계사용료"/>
      <sheetName val="열린교실"/>
      <sheetName val="기본1"/>
      <sheetName val="수정일위대가"/>
      <sheetName val="산출기준자료"/>
      <sheetName val="횡배수관"/>
      <sheetName val="기초목"/>
      <sheetName val="효성CB 1P기초"/>
      <sheetName val=" 내역"/>
      <sheetName val="단가(전기)"/>
      <sheetName val="2.1  노무비 평균단가산출"/>
      <sheetName val="법면"/>
      <sheetName val="배수공1"/>
      <sheetName val="중기일위대가"/>
      <sheetName val="부대공Ⅱ"/>
      <sheetName val="DATE"/>
      <sheetName val="단면가정"/>
      <sheetName val="COST"/>
      <sheetName val="Sheet9"/>
      <sheetName val="원가계산서"/>
      <sheetName val="평가데이터"/>
      <sheetName val="슬래브"/>
      <sheetName val="01"/>
      <sheetName val="난간벽단위"/>
      <sheetName val="설계산출표지"/>
      <sheetName val="Y-WORK"/>
      <sheetName val="소방"/>
      <sheetName val="원가계산서(공사)"/>
      <sheetName val="본공사"/>
      <sheetName val="슬래브산식"/>
      <sheetName val="2000전체분"/>
      <sheetName val="시점부교대"/>
      <sheetName val="Macro1"/>
      <sheetName val="archi(본사)"/>
      <sheetName val="임대계획"/>
      <sheetName val="신림자금"/>
      <sheetName val="Sheet4"/>
      <sheetName val="XL4Poppy"/>
      <sheetName val="월별손익"/>
      <sheetName val="견적업체"/>
      <sheetName val="b_balju"/>
      <sheetName val="식재가격"/>
      <sheetName val="식재총괄"/>
      <sheetName val="일위목록"/>
      <sheetName val="건설산출"/>
      <sheetName val="21301동"/>
      <sheetName val="Total"/>
      <sheetName val="2. 공원조도"/>
      <sheetName val="말고개터널조명전압강하"/>
      <sheetName val="22단가"/>
      <sheetName val="22산출"/>
      <sheetName val="S0"/>
      <sheetName val="세원견적서"/>
      <sheetName val="물집"/>
      <sheetName val="2004,상노임"/>
      <sheetName val="자동차폐수처리장"/>
      <sheetName val="TOTAL_BOQ"/>
      <sheetName val="C3"/>
      <sheetName val="건설기계경비산정조견표"/>
      <sheetName val="가도공"/>
      <sheetName val="참고자료"/>
      <sheetName val="ABUT수량-A1"/>
      <sheetName val="9902"/>
      <sheetName val="총괄메뉴"/>
      <sheetName val="unitpric"/>
      <sheetName val="2000노임기준"/>
      <sheetName val="식재일위대가"/>
      <sheetName val="내역2"/>
      <sheetName val="1.취수장"/>
      <sheetName val="원가계산서(남측)"/>
      <sheetName val="내역1"/>
      <sheetName val="OE"/>
      <sheetName val="기성내역1"/>
      <sheetName val="건설기계손료"/>
      <sheetName val="노무비 "/>
      <sheetName val="공제구간조서"/>
      <sheetName val="총 괄 표"/>
      <sheetName val="산근목록"/>
      <sheetName val="중기경비목록"/>
      <sheetName val="입력"/>
      <sheetName val="갑지(추정)"/>
      <sheetName val="APT"/>
      <sheetName val="1.설계조건"/>
      <sheetName val="steel data sheet"/>
      <sheetName val="b_balju_cho"/>
      <sheetName val="MOTOR"/>
      <sheetName val="고창터널(고창방향)"/>
      <sheetName val="금광1터널"/>
      <sheetName val="실행내역"/>
      <sheetName val="ITEM"/>
      <sheetName val="File_관급"/>
      <sheetName val="공정집계"/>
      <sheetName val="급수공사"/>
      <sheetName val="월현황(내자)"/>
      <sheetName val="내역단가"/>
      <sheetName val="일위단가"/>
      <sheetName val="노견단위수량"/>
      <sheetName val="관로공사"/>
      <sheetName val="NYS"/>
      <sheetName val="조명율표"/>
      <sheetName val="일위대가(가설)"/>
      <sheetName val="접지수량"/>
      <sheetName val="단가비교"/>
      <sheetName val="일위대가표(DEEP)"/>
      <sheetName val="전체내역"/>
      <sheetName val="협조전"/>
      <sheetName val="예총"/>
      <sheetName val="노무비단가"/>
      <sheetName val="조경"/>
      <sheetName val="공량산출"/>
      <sheetName val="산출기초조사서"/>
      <sheetName val="코드"/>
      <sheetName val="경상직원"/>
      <sheetName val="지주토목내역서"/>
      <sheetName val="횡배수관토공수량"/>
      <sheetName val="아스팔트 포장총괄집계표"/>
      <sheetName val="심사공종"/>
      <sheetName val="노임목록"/>
      <sheetName val="부표총괄"/>
      <sheetName val="일위(토,포,부)"/>
      <sheetName val="기계경비"/>
      <sheetName val="DATA 입력부"/>
      <sheetName val="산수배수"/>
      <sheetName val="기초단가"/>
      <sheetName val="회사정보"/>
      <sheetName val="인사자료총집계"/>
      <sheetName val="계수시트"/>
      <sheetName val="99노임기준"/>
      <sheetName val="G.R300경비"/>
      <sheetName val="내역금액적용"/>
      <sheetName val="비목코드"/>
      <sheetName val="여부구분"/>
      <sheetName val="마감물량 "/>
      <sheetName val="보고"/>
      <sheetName val="견적공통"/>
      <sheetName val="16-1"/>
      <sheetName val="진천생산"/>
      <sheetName val="분개장"/>
      <sheetName val="00년도"/>
      <sheetName val="공장"/>
      <sheetName val="품목납기"/>
      <sheetName val="매출현황"/>
      <sheetName val="빙설계"/>
      <sheetName val="토목주소"/>
      <sheetName val="메인거더-크로스빔200연결부"/>
      <sheetName val="조내역"/>
      <sheetName val="현장별계약현황('98.10.31)"/>
      <sheetName val="공종목록표"/>
      <sheetName val="파일의이용"/>
      <sheetName val="기별월별손익"/>
      <sheetName val="대가목록"/>
      <sheetName val="단위단가"/>
      <sheetName val="설계내역서"/>
      <sheetName val="내역서(가중치)"/>
      <sheetName val="일위대가목록"/>
      <sheetName val="수량집계"/>
      <sheetName val="조명시설"/>
      <sheetName val="Sheet22"/>
      <sheetName val="첨부1"/>
      <sheetName val="시설물일위"/>
      <sheetName val="가설공사"/>
      <sheetName val="단가결정"/>
      <sheetName val="내역아"/>
      <sheetName val="울타리"/>
      <sheetName val="SULKEA"/>
      <sheetName val="내역금회"/>
      <sheetName val="집계"/>
      <sheetName val="투찰금액"/>
      <sheetName val="우,오수"/>
      <sheetName val="용산1(해보)"/>
      <sheetName val="RE9604"/>
      <sheetName val="2호맨홀공제수량"/>
      <sheetName val="2공구산출내역"/>
      <sheetName val="データ"/>
      <sheetName val="관급"/>
      <sheetName val="초기화면"/>
      <sheetName val="데이터"/>
      <sheetName val="골막이(야매)"/>
      <sheetName val="식재품셈"/>
      <sheetName val="기성내역서표지"/>
      <sheetName val="ELECTRIC"/>
      <sheetName val="기본단가표"/>
      <sheetName val="일위집계(기존)"/>
      <sheetName val="공사설계서"/>
      <sheetName val="N賃率-職"/>
      <sheetName val="견적"/>
      <sheetName val="견적 (2)"/>
      <sheetName val="Chart1"/>
      <sheetName val="ser"/>
      <sheetName val="가압장구체수량산출서"/>
      <sheetName val="Instructions"/>
      <sheetName val="GLST"/>
      <sheetName val="9-1차이내역"/>
      <sheetName val="BOQ건축"/>
      <sheetName val="비품(94이전)"/>
      <sheetName val="월간인력"/>
      <sheetName val="교량하부공"/>
      <sheetName val="식재일위"/>
      <sheetName val="직노"/>
      <sheetName val="JUCKEYK"/>
      <sheetName val="적용단가표"/>
      <sheetName val="노임05상"/>
      <sheetName val="설계내역2"/>
      <sheetName val="원두제2접속옹벽 시점쪽"/>
      <sheetName val="Sheet1 (2)"/>
      <sheetName val="EJ"/>
      <sheetName val="내역표지"/>
      <sheetName val="JA8-4"/>
      <sheetName val="교대시점"/>
      <sheetName val="기준"/>
      <sheetName val="물량master"/>
      <sheetName val="교각별수량"/>
      <sheetName val="401"/>
      <sheetName val="요율"/>
      <sheetName val="Sheet2"/>
      <sheetName val="약품공급2"/>
      <sheetName val="총공비"/>
      <sheetName val="단위세대 개요"/>
      <sheetName val="울산자금"/>
      <sheetName val="실행단가"/>
      <sheetName val="변경총괄표"/>
      <sheetName val="작업시작"/>
      <sheetName val="건설기계사용료산출근거"/>
      <sheetName val="이름표지정"/>
      <sheetName val="자재단가표"/>
      <sheetName val="가설"/>
      <sheetName val="아파트"/>
      <sheetName val="형강단중집계"/>
      <sheetName val="내2"/>
      <sheetName val="제경비"/>
      <sheetName val="단위중량"/>
      <sheetName val="단중표"/>
      <sheetName val="식재인부"/>
      <sheetName val="공문"/>
      <sheetName val="날개벽수량표"/>
      <sheetName val="재료집계표"/>
      <sheetName val="DATA"/>
      <sheetName val="(A)내역서"/>
      <sheetName val="단면 (2)"/>
      <sheetName val="단위일위"/>
      <sheetName val="차수"/>
      <sheetName val="수입"/>
      <sheetName val="건축2"/>
      <sheetName val="제잡비 산출내역(실적공사비)"/>
      <sheetName val="물량내역서"/>
      <sheetName val="지하층LOAD"/>
      <sheetName val="매입가격"/>
      <sheetName val="노임단가표"/>
      <sheetName val="신당동집계표"/>
      <sheetName val="시설구조일위대가_2"/>
      <sheetName val="Sheet2_(4)2"/>
      <sheetName val="Sheet2_(5)2"/>
      <sheetName val="Sheet2_(6)2"/>
      <sheetName val="수목데이타_2"/>
      <sheetName val="단가_및_재료비2"/>
      <sheetName val="실행내역_"/>
      <sheetName val="1_내역(청_하역장전등)"/>
      <sheetName val="일위대가표_"/>
      <sheetName val="TRE_TABLE"/>
      <sheetName val="Customer_Databas"/>
      <sheetName val="2_냉난방설비공사"/>
      <sheetName val="7_자동제어공사"/>
      <sheetName val="제출내역_(2)"/>
      <sheetName val="준검_내역서"/>
      <sheetName val="2_대외공문"/>
      <sheetName val="시실누(모)_"/>
      <sheetName val="중기조종사_단위단가"/>
      <sheetName val="DATA_입력란"/>
      <sheetName val="1__설계조건_2_단면가정_3__하중계산"/>
      <sheetName val="건축공사_집계표"/>
      <sheetName val="ECOD10"/>
      <sheetName val="기존단가 (2)"/>
      <sheetName val="COVER"/>
      <sheetName val="이름정의"/>
      <sheetName val="토공산근"/>
      <sheetName val="건물철거"/>
      <sheetName val="기타배수구조물깨기-단위수량"/>
      <sheetName val="암거 제원표"/>
      <sheetName val="부안일위"/>
      <sheetName val="준공조서갑지"/>
      <sheetName val="※참고자료※"/>
      <sheetName val="전체분"/>
      <sheetName val="공구"/>
      <sheetName val="석축설면"/>
      <sheetName val="법면단"/>
      <sheetName val="A갑지"/>
      <sheetName val="982월원안"/>
      <sheetName val="적산산출"/>
      <sheetName val="자재비산출"/>
      <sheetName val="운용비산출"/>
      <sheetName val="증감대비"/>
      <sheetName val="설계명세"/>
      <sheetName val="장비선정(냉난방)"/>
      <sheetName val="설계예산서"/>
      <sheetName val="도급"/>
      <sheetName val="1안"/>
      <sheetName val="cable산출"/>
      <sheetName val="인제내역"/>
      <sheetName val="9509"/>
      <sheetName val="플랜트 설치"/>
      <sheetName val="계정"/>
      <sheetName val="토공(완충)"/>
      <sheetName val="XLR_NoRangeSheet"/>
      <sheetName val="일반"/>
      <sheetName val="현금"/>
      <sheetName val="일위대가 (100%)"/>
      <sheetName val="국내조달(통합-1)"/>
      <sheetName val="3.공통공사대비"/>
      <sheetName val="첨부1-1"/>
      <sheetName val="base"/>
      <sheetName val="화전내"/>
      <sheetName val="PI"/>
      <sheetName val="내역서 제출"/>
      <sheetName val="단위세대물량"/>
      <sheetName val="계약내역(2)"/>
      <sheetName val="000000"/>
      <sheetName val="명세서"/>
      <sheetName val="시험물량산출"/>
      <sheetName val="노무"/>
      <sheetName val="몸체(460×600)"/>
      <sheetName val="선장방향"/>
      <sheetName val="부대내역"/>
      <sheetName val="단가 "/>
      <sheetName val="WORK"/>
      <sheetName val="우배수"/>
      <sheetName val="자단"/>
      <sheetName val="제잡비(본선)"/>
      <sheetName val="프랜트면허"/>
      <sheetName val="H=2.0m"/>
      <sheetName val="내역서(교량)전체"/>
      <sheetName val="기성(6)"/>
      <sheetName val="일대목차"/>
      <sheetName val="총괄내역단가"/>
      <sheetName val="화재 탐지 설비"/>
      <sheetName val="캔개발배경"/>
      <sheetName val="시장"/>
      <sheetName val="일정표"/>
      <sheetName val="발주설계서(당초)"/>
      <sheetName val="교대(A1-A2)"/>
      <sheetName val="본실행경비"/>
      <sheetName val="철골,판넬"/>
      <sheetName val="도급예산내역서봉투"/>
      <sheetName val="도급예산내역서총괄표"/>
      <sheetName val="을부담운반비"/>
      <sheetName val="운반비산출"/>
      <sheetName val="단"/>
      <sheetName val="내역서2"/>
      <sheetName val="암거단위-1련"/>
      <sheetName val="접속도로"/>
      <sheetName val="노임자재단가"/>
      <sheetName val="급탕순환펌프"/>
      <sheetName val="수설"/>
      <sheetName val="공주-교대(A1)"/>
      <sheetName val="상부공"/>
      <sheetName val="C.배수관공"/>
      <sheetName val="금액결정"/>
      <sheetName val="2000년 공정표"/>
      <sheetName val="접속도로1"/>
      <sheetName val="단가산출서(기계)"/>
      <sheetName val="기초노무비"/>
      <sheetName val="변경내역서"/>
      <sheetName val="토공(우물통,기타) "/>
      <sheetName val="존4"/>
      <sheetName val="확정설계"/>
      <sheetName val="실행철강하도"/>
      <sheetName val="Sheet5"/>
      <sheetName val="산출"/>
      <sheetName val="상가분양"/>
      <sheetName val="22수량"/>
      <sheetName val="공사비명세서"/>
      <sheetName val="환경기계공정표 (3)"/>
      <sheetName val="기자재비"/>
      <sheetName val="철거단가"/>
      <sheetName val="총내역"/>
    </sheetNames>
    <sheetDataSet>
      <sheetData sheetId="0" refreshError="1"/>
      <sheetData sheetId="1" refreshError="1"/>
      <sheetData sheetId="2" refreshError="1"/>
      <sheetData sheetId="3" refreshError="1">
        <row r="2">
          <cell r="J2" t="str">
            <v>금 액</v>
          </cell>
        </row>
        <row r="65536">
          <cell r="J65536" t="str">
            <v>금 액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중기사용료"/>
      <sheetName val="기계단가"/>
      <sheetName val="단가비교표"/>
      <sheetName val="노임단가"/>
      <sheetName val="수목표준대가"/>
      <sheetName val="Sheet1"/>
      <sheetName val="Sheet2"/>
      <sheetName val="Sheet3"/>
      <sheetName val="약품공급2"/>
      <sheetName val="코드표"/>
      <sheetName val="예산명세서"/>
      <sheetName val="설계명세서"/>
      <sheetName val="자료입력"/>
      <sheetName val="VXXXXXX"/>
      <sheetName val="0000000"/>
      <sheetName val="자재집계표"/>
      <sheetName val="전체분오수자재증감"/>
      <sheetName val="토공"/>
      <sheetName val="공종별집계 "/>
      <sheetName val="오수관집계"/>
      <sheetName val="오수맨홀집계"/>
      <sheetName val="EQ-R1"/>
      <sheetName val="수량산출"/>
      <sheetName val="집계표"/>
      <sheetName val="자동차폐수처리장"/>
      <sheetName val="부대tu"/>
      <sheetName val="내역"/>
      <sheetName val="경산"/>
      <sheetName val="일위대가"/>
      <sheetName val="#REF"/>
      <sheetName val="노무비"/>
      <sheetName val="96노임기준"/>
      <sheetName val="DATE"/>
      <sheetName val="내역표지"/>
      <sheetName val="발주설계서(당초)"/>
      <sheetName val="횡배수관"/>
      <sheetName val="공사개요"/>
      <sheetName val="토공1"/>
      <sheetName val="토공2"/>
      <sheetName val="구조물토공1"/>
      <sheetName val="토공3"/>
      <sheetName val="기초일위"/>
      <sheetName val="시설일위"/>
      <sheetName val="조명일위"/>
      <sheetName val="식재일위"/>
      <sheetName val="일위목록"/>
      <sheetName val="일위대가표"/>
      <sheetName val="을지"/>
      <sheetName val="건축내역"/>
      <sheetName val="공통가설"/>
      <sheetName val="2.냉난방설비공사"/>
      <sheetName val="7.자동제어공사"/>
      <sheetName val="터파기및재료"/>
      <sheetName val="이름표지정"/>
      <sheetName val="냉천부속동"/>
      <sheetName val="내역서"/>
      <sheetName val="6공구(당초)"/>
      <sheetName val="BQ(실행)"/>
      <sheetName val="ⴭⴭⴭⴭⴭ"/>
      <sheetName val="표준차도부연장집계-ASP"/>
      <sheetName val="보도포장연장조서-표준차도부"/>
      <sheetName val="표준차도부연장조서-ASP"/>
      <sheetName val="공조기"/>
      <sheetName val="공조기휀"/>
      <sheetName val="AHU집계"/>
      <sheetName val="전체분"/>
      <sheetName val="수목데이타 "/>
      <sheetName val="실행대비"/>
      <sheetName val="2000년1차"/>
      <sheetName val="중기조종사 단위단가"/>
      <sheetName val="부표총괄"/>
      <sheetName val="기초단가"/>
      <sheetName val="단 box"/>
      <sheetName val="실행내역 "/>
      <sheetName val="노무단가"/>
      <sheetName val="관급자재대"/>
      <sheetName val="설비내역서"/>
      <sheetName val="건축내역서"/>
      <sheetName val="전기내역서"/>
      <sheetName val="기초목"/>
      <sheetName val="중기사용료산출근거"/>
      <sheetName val="단가 및 재료비"/>
      <sheetName val="총괄내역서"/>
      <sheetName val="토사(PE)"/>
      <sheetName val="건설기계사용료산출근거"/>
      <sheetName val="비탈면보호공수량산출"/>
      <sheetName val="철콘공사"/>
      <sheetName val="지급자재"/>
      <sheetName val="토공수량산출"/>
      <sheetName val="토적계산서"/>
      <sheetName val="사급자재"/>
      <sheetName val="적용노임"/>
      <sheetName val="단위수량"/>
      <sheetName val="상부수량집계표"/>
      <sheetName val="인건비"/>
      <sheetName val="건축"/>
      <sheetName val="조건표"/>
      <sheetName val="현장관리비"/>
      <sheetName val="노임"/>
      <sheetName val="단가"/>
      <sheetName val="설계요소"/>
      <sheetName val="자료"/>
      <sheetName val="설계내역"/>
      <sheetName val="목록"/>
      <sheetName val="견적서"/>
      <sheetName val="R&amp;D"/>
      <sheetName val="T6-2"/>
      <sheetName val="단가산출2"/>
      <sheetName val="단가산출1"/>
      <sheetName val="물가"/>
      <sheetName val="금융비용"/>
      <sheetName val="일위대가집계"/>
      <sheetName val="수량명세서"/>
      <sheetName val="토목"/>
      <sheetName val="조명시설"/>
      <sheetName val="구간별관경"/>
      <sheetName val="날개벽"/>
      <sheetName val="단가비교"/>
      <sheetName val="자재단가"/>
      <sheetName val="산출기초"/>
      <sheetName val="인부노임"/>
      <sheetName val="노단"/>
      <sheetName val="내역서(기계)"/>
      <sheetName val="시중노임(공사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 t="str">
            <v>갱부</v>
          </cell>
          <cell r="C1">
            <v>56352</v>
          </cell>
        </row>
        <row r="2">
          <cell r="B2" t="str">
            <v>도목수</v>
          </cell>
          <cell r="C2">
            <v>81068</v>
          </cell>
        </row>
        <row r="3">
          <cell r="B3" t="str">
            <v>건축목공</v>
          </cell>
          <cell r="C3">
            <v>71803</v>
          </cell>
        </row>
        <row r="4">
          <cell r="B4" t="str">
            <v>형틀목공</v>
          </cell>
          <cell r="C4">
            <v>75306</v>
          </cell>
        </row>
        <row r="5">
          <cell r="B5" t="str">
            <v>창호목공</v>
          </cell>
          <cell r="C5">
            <v>66162</v>
          </cell>
        </row>
        <row r="6">
          <cell r="B6" t="str">
            <v>철골공</v>
          </cell>
          <cell r="C6">
            <v>73514</v>
          </cell>
        </row>
        <row r="7">
          <cell r="B7" t="str">
            <v>철공</v>
          </cell>
          <cell r="C7">
            <v>72430</v>
          </cell>
        </row>
        <row r="8">
          <cell r="B8" t="str">
            <v>철근공</v>
          </cell>
          <cell r="C8">
            <v>77839</v>
          </cell>
        </row>
        <row r="9">
          <cell r="B9" t="str">
            <v>철판공</v>
          </cell>
          <cell r="C9">
            <v>73217</v>
          </cell>
        </row>
        <row r="10">
          <cell r="B10" t="str">
            <v>셧터공</v>
          </cell>
          <cell r="C10">
            <v>64659</v>
          </cell>
        </row>
        <row r="11">
          <cell r="B11" t="str">
            <v>샷쉬공</v>
          </cell>
          <cell r="C11">
            <v>65647</v>
          </cell>
        </row>
        <row r="12">
          <cell r="B12" t="str">
            <v>절단공</v>
          </cell>
          <cell r="C12">
            <v>65881</v>
          </cell>
        </row>
        <row r="13">
          <cell r="B13" t="str">
            <v>석공</v>
          </cell>
          <cell r="C13">
            <v>77005</v>
          </cell>
        </row>
        <row r="14">
          <cell r="B14" t="str">
            <v>특수비계공</v>
          </cell>
          <cell r="C14">
            <v>85884</v>
          </cell>
        </row>
        <row r="15">
          <cell r="B15" t="str">
            <v>비계공</v>
          </cell>
          <cell r="C15">
            <v>79467</v>
          </cell>
        </row>
        <row r="16">
          <cell r="B16" t="str">
            <v>동발공</v>
          </cell>
          <cell r="C16">
            <v>65485</v>
          </cell>
        </row>
        <row r="17">
          <cell r="B17" t="str">
            <v>조적공</v>
          </cell>
          <cell r="C17">
            <v>67986</v>
          </cell>
        </row>
        <row r="18">
          <cell r="B18" t="str">
            <v>치장벽돌공</v>
          </cell>
          <cell r="C18">
            <v>73288</v>
          </cell>
        </row>
        <row r="19">
          <cell r="B19" t="str">
            <v>벽돌제작공</v>
          </cell>
          <cell r="C19">
            <v>61291</v>
          </cell>
        </row>
        <row r="20">
          <cell r="B20" t="str">
            <v>연돌공</v>
          </cell>
          <cell r="C20">
            <v>72745</v>
          </cell>
        </row>
        <row r="21">
          <cell r="B21" t="str">
            <v>미장공</v>
          </cell>
          <cell r="C21">
            <v>71283</v>
          </cell>
        </row>
        <row r="22">
          <cell r="B22" t="str">
            <v>방수공</v>
          </cell>
          <cell r="C22">
            <v>57701</v>
          </cell>
        </row>
        <row r="23">
          <cell r="B23" t="str">
            <v>타일공</v>
          </cell>
          <cell r="C23">
            <v>68147</v>
          </cell>
        </row>
        <row r="24">
          <cell r="B24" t="str">
            <v>줄눈공</v>
          </cell>
          <cell r="C24">
            <v>63589</v>
          </cell>
        </row>
        <row r="25">
          <cell r="B25" t="str">
            <v>연마공</v>
          </cell>
          <cell r="C25">
            <v>67289</v>
          </cell>
        </row>
        <row r="26">
          <cell r="B26" t="str">
            <v>콘크리트공</v>
          </cell>
          <cell r="C26">
            <v>71184</v>
          </cell>
        </row>
        <row r="27">
          <cell r="B27" t="str">
            <v>바이브테타공</v>
          </cell>
          <cell r="C27">
            <v>69081</v>
          </cell>
        </row>
        <row r="28">
          <cell r="B28" t="str">
            <v>보일러공</v>
          </cell>
          <cell r="C28">
            <v>56787</v>
          </cell>
        </row>
        <row r="29">
          <cell r="B29" t="str">
            <v>배관공</v>
          </cell>
          <cell r="C29">
            <v>58907</v>
          </cell>
        </row>
        <row r="30">
          <cell r="B30" t="str">
            <v>온돌공</v>
          </cell>
          <cell r="C30">
            <v>54720</v>
          </cell>
        </row>
        <row r="31">
          <cell r="B31" t="str">
            <v>위생공</v>
          </cell>
          <cell r="C31">
            <v>59212</v>
          </cell>
        </row>
        <row r="32">
          <cell r="B32" t="str">
            <v>보온공</v>
          </cell>
          <cell r="C32">
            <v>63143</v>
          </cell>
        </row>
        <row r="33">
          <cell r="B33" t="str">
            <v>도장공</v>
          </cell>
          <cell r="C33">
            <v>63038</v>
          </cell>
        </row>
        <row r="34">
          <cell r="B34" t="str">
            <v>내장공</v>
          </cell>
          <cell r="C34">
            <v>72244</v>
          </cell>
        </row>
        <row r="35">
          <cell r="B35" t="str">
            <v>도배공</v>
          </cell>
          <cell r="C35">
            <v>58443</v>
          </cell>
        </row>
        <row r="36">
          <cell r="B36" t="str">
            <v>아스타일공</v>
          </cell>
          <cell r="C36">
            <v>71686</v>
          </cell>
        </row>
        <row r="37">
          <cell r="B37" t="str">
            <v>기와공</v>
          </cell>
          <cell r="C37">
            <v>69476</v>
          </cell>
        </row>
        <row r="38">
          <cell r="B38" t="str">
            <v>슬레이트공</v>
          </cell>
          <cell r="C38">
            <v>72727</v>
          </cell>
        </row>
        <row r="39">
          <cell r="B39" t="str">
            <v>화약취급공</v>
          </cell>
          <cell r="C39">
            <v>69595</v>
          </cell>
        </row>
        <row r="40">
          <cell r="B40" t="str">
            <v>착암공</v>
          </cell>
          <cell r="C40">
            <v>57292</v>
          </cell>
        </row>
        <row r="41">
          <cell r="B41" t="str">
            <v>보안공</v>
          </cell>
          <cell r="C41">
            <v>41290</v>
          </cell>
        </row>
        <row r="42">
          <cell r="B42" t="str">
            <v>포장공</v>
          </cell>
          <cell r="C42">
            <v>65494</v>
          </cell>
        </row>
        <row r="43">
          <cell r="B43" t="str">
            <v>포설공</v>
          </cell>
          <cell r="C43">
            <v>65082</v>
          </cell>
        </row>
        <row r="44">
          <cell r="B44" t="str">
            <v>궤도공</v>
          </cell>
          <cell r="C44">
            <v>60000</v>
          </cell>
        </row>
        <row r="45">
          <cell r="B45" t="str">
            <v>철도용접공</v>
          </cell>
          <cell r="C45">
            <v>67201</v>
          </cell>
        </row>
        <row r="46">
          <cell r="B46" t="str">
            <v>잠수부</v>
          </cell>
          <cell r="C46">
            <v>81832</v>
          </cell>
        </row>
        <row r="47">
          <cell r="B47" t="str">
            <v>잠함공</v>
          </cell>
        </row>
        <row r="48">
          <cell r="B48" t="str">
            <v>보링공</v>
          </cell>
          <cell r="C48">
            <v>58626</v>
          </cell>
        </row>
        <row r="49">
          <cell r="B49" t="str">
            <v>우물공</v>
          </cell>
          <cell r="C49">
            <v>50558</v>
          </cell>
        </row>
        <row r="50">
          <cell r="B50" t="str">
            <v>영림기사</v>
          </cell>
          <cell r="C50">
            <v>72675</v>
          </cell>
        </row>
        <row r="51">
          <cell r="B51" t="str">
            <v>조경공</v>
          </cell>
          <cell r="C51">
            <v>60207</v>
          </cell>
        </row>
        <row r="52">
          <cell r="B52" t="str">
            <v>벌목공</v>
          </cell>
          <cell r="C52">
            <v>66433</v>
          </cell>
        </row>
        <row r="53">
          <cell r="B53" t="str">
            <v>조림인부</v>
          </cell>
          <cell r="C53">
            <v>53688</v>
          </cell>
        </row>
        <row r="54">
          <cell r="B54" t="str">
            <v>기계설치공</v>
          </cell>
          <cell r="C54">
            <v>80805</v>
          </cell>
        </row>
        <row r="55">
          <cell r="B55" t="str">
            <v>특수용접공</v>
          </cell>
          <cell r="C55">
            <v>141421</v>
          </cell>
        </row>
        <row r="56">
          <cell r="B56" t="str">
            <v>플랜용접공</v>
          </cell>
          <cell r="C56">
            <v>95379</v>
          </cell>
        </row>
        <row r="57">
          <cell r="B57" t="str">
            <v>플랜배관공</v>
          </cell>
          <cell r="C57">
            <v>97219</v>
          </cell>
        </row>
        <row r="58">
          <cell r="B58" t="str">
            <v>플랜제관공</v>
          </cell>
          <cell r="C58">
            <v>81966</v>
          </cell>
        </row>
        <row r="59">
          <cell r="B59" t="str">
            <v>시공측량사</v>
          </cell>
          <cell r="C59">
            <v>58506</v>
          </cell>
        </row>
        <row r="60">
          <cell r="B60" t="str">
            <v>측량사조수</v>
          </cell>
          <cell r="C60">
            <v>38777</v>
          </cell>
        </row>
        <row r="61">
          <cell r="B61" t="str">
            <v>측부</v>
          </cell>
          <cell r="C61">
            <v>32725</v>
          </cell>
        </row>
        <row r="62">
          <cell r="B62" t="str">
            <v>검조부</v>
          </cell>
          <cell r="C62">
            <v>32800</v>
          </cell>
        </row>
        <row r="63">
          <cell r="B63" t="str">
            <v>송전전공</v>
          </cell>
          <cell r="C63">
            <v>234733</v>
          </cell>
        </row>
        <row r="64">
          <cell r="B64" t="str">
            <v>활선전공</v>
          </cell>
        </row>
        <row r="65">
          <cell r="B65" t="str">
            <v>배전전공</v>
          </cell>
          <cell r="C65">
            <v>192603</v>
          </cell>
        </row>
        <row r="66">
          <cell r="B66" t="str">
            <v>배전활선전공</v>
          </cell>
          <cell r="C66">
            <v>215055</v>
          </cell>
        </row>
        <row r="67">
          <cell r="B67" t="str">
            <v>플랜트전공</v>
          </cell>
          <cell r="C67">
            <v>64285</v>
          </cell>
        </row>
        <row r="68">
          <cell r="B68" t="str">
            <v>내선전공</v>
          </cell>
          <cell r="C68">
            <v>57286</v>
          </cell>
        </row>
        <row r="69">
          <cell r="B69" t="str">
            <v>특고압케이블전공</v>
          </cell>
          <cell r="C69">
            <v>98463</v>
          </cell>
        </row>
        <row r="70">
          <cell r="B70" t="str">
            <v>고압케이블전공</v>
          </cell>
          <cell r="C70">
            <v>74584</v>
          </cell>
        </row>
        <row r="71">
          <cell r="B71" t="str">
            <v>저압케이블전공</v>
          </cell>
          <cell r="C71">
            <v>61877</v>
          </cell>
        </row>
        <row r="72">
          <cell r="B72" t="str">
            <v>철도신호공</v>
          </cell>
          <cell r="C72">
            <v>88167</v>
          </cell>
        </row>
        <row r="73">
          <cell r="B73" t="str">
            <v>계장공</v>
          </cell>
          <cell r="C73">
            <v>60822</v>
          </cell>
        </row>
        <row r="74">
          <cell r="B74" t="str">
            <v>통신외선공</v>
          </cell>
          <cell r="C74">
            <v>89013</v>
          </cell>
        </row>
        <row r="75">
          <cell r="B75" t="str">
            <v>통신설비공</v>
          </cell>
          <cell r="C75">
            <v>76852</v>
          </cell>
        </row>
        <row r="76">
          <cell r="B76" t="str">
            <v>통신내선공</v>
          </cell>
          <cell r="C76">
            <v>72591</v>
          </cell>
        </row>
        <row r="77">
          <cell r="B77" t="str">
            <v>통신케이블공</v>
          </cell>
          <cell r="C77">
            <v>90455</v>
          </cell>
        </row>
        <row r="78">
          <cell r="B78" t="str">
            <v>무선안테나공</v>
          </cell>
          <cell r="C78">
            <v>110956</v>
          </cell>
        </row>
        <row r="79">
          <cell r="B79" t="str">
            <v>수작업반장</v>
          </cell>
          <cell r="C79">
            <v>74369</v>
          </cell>
        </row>
        <row r="80">
          <cell r="B80" t="str">
            <v>작업반장</v>
          </cell>
          <cell r="C80">
            <v>60326</v>
          </cell>
        </row>
        <row r="81">
          <cell r="B81" t="str">
            <v>목도</v>
          </cell>
          <cell r="C81">
            <v>64758</v>
          </cell>
        </row>
        <row r="82">
          <cell r="B82" t="str">
            <v>조력공</v>
          </cell>
          <cell r="C82">
            <v>48912</v>
          </cell>
        </row>
        <row r="83">
          <cell r="B83" t="str">
            <v>특별인부</v>
          </cell>
          <cell r="C83">
            <v>57379</v>
          </cell>
        </row>
        <row r="84">
          <cell r="B84" t="str">
            <v>보통인부</v>
          </cell>
          <cell r="C84">
            <v>37736</v>
          </cell>
        </row>
        <row r="85">
          <cell r="B85" t="str">
            <v>중기운전기사</v>
          </cell>
          <cell r="C85">
            <v>56951</v>
          </cell>
        </row>
        <row r="86">
          <cell r="B86" t="str">
            <v>중기조장</v>
          </cell>
          <cell r="C86">
            <v>55484</v>
          </cell>
        </row>
        <row r="87">
          <cell r="B87" t="str">
            <v>운반차운전사</v>
          </cell>
          <cell r="C87">
            <v>51077</v>
          </cell>
        </row>
        <row r="88">
          <cell r="B88" t="str">
            <v>기계운전사</v>
          </cell>
          <cell r="C88">
            <v>54325</v>
          </cell>
        </row>
        <row r="89">
          <cell r="B89" t="str">
            <v>중기운전조수</v>
          </cell>
          <cell r="C89">
            <v>42762</v>
          </cell>
        </row>
        <row r="90">
          <cell r="B90" t="str">
            <v>고급선원</v>
          </cell>
          <cell r="C90">
            <v>63950</v>
          </cell>
        </row>
        <row r="91">
          <cell r="B91" t="str">
            <v>보통선원</v>
          </cell>
          <cell r="C91">
            <v>49346</v>
          </cell>
        </row>
        <row r="92">
          <cell r="B92" t="str">
            <v>선부</v>
          </cell>
          <cell r="C92">
            <v>40088</v>
          </cell>
        </row>
        <row r="93">
          <cell r="B93" t="str">
            <v>준설선선장</v>
          </cell>
          <cell r="C93">
            <v>79532</v>
          </cell>
        </row>
        <row r="94">
          <cell r="B94" t="str">
            <v>준설기관장</v>
          </cell>
          <cell r="C94">
            <v>70637</v>
          </cell>
        </row>
        <row r="95">
          <cell r="B95" t="str">
            <v>준설기관사</v>
          </cell>
          <cell r="C95">
            <v>56955</v>
          </cell>
        </row>
        <row r="96">
          <cell r="B96" t="str">
            <v>준설운전사</v>
          </cell>
          <cell r="C96">
            <v>66688</v>
          </cell>
        </row>
        <row r="97">
          <cell r="B97" t="str">
            <v>준설전기사</v>
          </cell>
          <cell r="C97">
            <v>63631</v>
          </cell>
        </row>
        <row r="98">
          <cell r="B98" t="str">
            <v>기계설치공</v>
          </cell>
          <cell r="C98">
            <v>67415</v>
          </cell>
        </row>
        <row r="99">
          <cell r="B99" t="str">
            <v>기계공</v>
          </cell>
          <cell r="C99">
            <v>58906</v>
          </cell>
        </row>
        <row r="100">
          <cell r="B100" t="str">
            <v>선반공</v>
          </cell>
          <cell r="C100">
            <v>78752</v>
          </cell>
        </row>
        <row r="101">
          <cell r="B101" t="str">
            <v>정비공</v>
          </cell>
          <cell r="C101">
            <v>52502</v>
          </cell>
        </row>
        <row r="102">
          <cell r="B102" t="str">
            <v>벨트콘베어작업공</v>
          </cell>
        </row>
        <row r="103">
          <cell r="B103" t="str">
            <v>현도사</v>
          </cell>
        </row>
        <row r="104">
          <cell r="B104" t="str">
            <v>제도사</v>
          </cell>
          <cell r="C104">
            <v>46978</v>
          </cell>
        </row>
        <row r="105">
          <cell r="B105" t="str">
            <v>시험사1급</v>
          </cell>
          <cell r="C105">
            <v>47867</v>
          </cell>
        </row>
        <row r="106">
          <cell r="B106" t="str">
            <v>시험사2급</v>
          </cell>
          <cell r="C106">
            <v>42272</v>
          </cell>
        </row>
        <row r="107">
          <cell r="B107" t="str">
            <v>시험사3급</v>
          </cell>
          <cell r="C107">
            <v>36667</v>
          </cell>
        </row>
        <row r="108">
          <cell r="B108" t="str">
            <v>시험사4급</v>
          </cell>
          <cell r="C108">
            <v>30223</v>
          </cell>
        </row>
        <row r="109">
          <cell r="B109" t="str">
            <v>시험보조사</v>
          </cell>
          <cell r="C109">
            <v>31003</v>
          </cell>
        </row>
        <row r="110">
          <cell r="B110" t="str">
            <v>유리공</v>
          </cell>
          <cell r="C110">
            <v>63783</v>
          </cell>
        </row>
        <row r="111">
          <cell r="B111" t="str">
            <v>함석공</v>
          </cell>
          <cell r="C111">
            <v>68943</v>
          </cell>
        </row>
        <row r="112">
          <cell r="B112" t="str">
            <v>일반용접공</v>
          </cell>
          <cell r="C112">
            <v>74016</v>
          </cell>
        </row>
        <row r="113">
          <cell r="B113" t="str">
            <v>리벳공</v>
          </cell>
          <cell r="C113">
            <v>71579</v>
          </cell>
        </row>
        <row r="114">
          <cell r="B114" t="str">
            <v>루우핑공</v>
          </cell>
        </row>
        <row r="115">
          <cell r="B115" t="str">
            <v>닥트공</v>
          </cell>
          <cell r="C115">
            <v>58041</v>
          </cell>
        </row>
        <row r="116">
          <cell r="B116" t="str">
            <v>대장공</v>
          </cell>
        </row>
        <row r="117">
          <cell r="B117" t="str">
            <v>할석공</v>
          </cell>
          <cell r="C117">
            <v>77728</v>
          </cell>
        </row>
        <row r="118">
          <cell r="B118" t="str">
            <v>제철축로공</v>
          </cell>
          <cell r="C118">
            <v>93345</v>
          </cell>
        </row>
        <row r="119">
          <cell r="B119" t="str">
            <v>양생공</v>
          </cell>
          <cell r="C119">
            <v>42244</v>
          </cell>
        </row>
        <row r="120">
          <cell r="B120" t="str">
            <v>계령공</v>
          </cell>
        </row>
        <row r="121">
          <cell r="B121" t="str">
            <v>모래분사공</v>
          </cell>
          <cell r="C121">
            <v>49962</v>
          </cell>
        </row>
        <row r="122">
          <cell r="B122" t="str">
            <v>사공(배포함)</v>
          </cell>
        </row>
        <row r="123">
          <cell r="B123" t="str">
            <v>마부(우마차포함)</v>
          </cell>
        </row>
        <row r="124">
          <cell r="B124" t="str">
            <v>제재공</v>
          </cell>
        </row>
        <row r="125">
          <cell r="B125" t="str">
            <v>철도궤도공</v>
          </cell>
          <cell r="C125">
            <v>65636</v>
          </cell>
        </row>
        <row r="126">
          <cell r="B126" t="str">
            <v>지적기사1급</v>
          </cell>
          <cell r="C126">
            <v>93540</v>
          </cell>
        </row>
        <row r="127">
          <cell r="B127" t="str">
            <v>지적기사2급</v>
          </cell>
          <cell r="C127">
            <v>72183</v>
          </cell>
        </row>
        <row r="128">
          <cell r="B128" t="str">
            <v>지적기능사1급</v>
          </cell>
          <cell r="C128">
            <v>53062</v>
          </cell>
        </row>
        <row r="129">
          <cell r="B129" t="str">
            <v>지적기능사2급</v>
          </cell>
          <cell r="C129">
            <v>32715</v>
          </cell>
        </row>
        <row r="130">
          <cell r="B130" t="str">
            <v>H/W설치기사</v>
          </cell>
          <cell r="C130">
            <v>82913</v>
          </cell>
        </row>
        <row r="131">
          <cell r="B131" t="str">
            <v>H/W시험기사</v>
          </cell>
          <cell r="C131">
            <v>84088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견적갑지"/>
      <sheetName val="견적을지"/>
      <sheetName val="수수료"/>
      <sheetName val="일대"/>
      <sheetName val="노임"/>
      <sheetName val="산출"/>
      <sheetName val="단가"/>
      <sheetName val="단가 (2)"/>
      <sheetName val="조도"/>
      <sheetName val="부하"/>
      <sheetName val="전압강하"/>
      <sheetName val="간지"/>
      <sheetName val="집계표"/>
      <sheetName val="관급"/>
      <sheetName val="한전"/>
      <sheetName val="Sheet"/>
      <sheetName val="간선"/>
      <sheetName val="변압기"/>
      <sheetName val="노임단가"/>
      <sheetName val="단가조사"/>
      <sheetName val="수초내역(통신).XLS"/>
      <sheetName val="경산"/>
      <sheetName val="부하계산서"/>
      <sheetName val="단가표"/>
      <sheetName val="#REF"/>
      <sheetName val="노무비"/>
      <sheetName val="을지"/>
      <sheetName val="기본1"/>
      <sheetName val="수정일위대가"/>
      <sheetName val="2000노임기준"/>
      <sheetName val="예산명세서"/>
      <sheetName val="설계명세서"/>
      <sheetName val="자료입력"/>
      <sheetName val="노무단가"/>
      <sheetName val="횡배수관"/>
      <sheetName val="내역서"/>
      <sheetName val="2000년1차"/>
      <sheetName val="설비내역서"/>
      <sheetName val="건축내역서"/>
      <sheetName val="전기내역서"/>
      <sheetName val="단가 "/>
      <sheetName val="DATE"/>
      <sheetName val="갑지"/>
      <sheetName val="개소별수량산출"/>
      <sheetName val="요율"/>
      <sheetName val="일위대가"/>
      <sheetName val="조도계산서 (도서)"/>
      <sheetName val="COST"/>
      <sheetName val="건축내역"/>
      <sheetName val="자재"/>
      <sheetName val="도급정산"/>
      <sheetName val="테니스장조명공사"/>
      <sheetName val="Y-WORK"/>
      <sheetName val="일위노임단가"/>
      <sheetName val="02하반기노임"/>
      <sheetName val="설비"/>
      <sheetName val="위치조서"/>
      <sheetName val="옥외외등집계표"/>
      <sheetName val="유류사용"/>
      <sheetName val="재료비"/>
      <sheetName val="코드표"/>
      <sheetName val="수목표준대가"/>
      <sheetName val="부하(성남)"/>
      <sheetName val="7단가"/>
      <sheetName val="대총괄표"/>
      <sheetName val="전선,전선관수량"/>
      <sheetName val="내역서(기계)"/>
      <sheetName val="조건표"/>
      <sheetName val="건축"/>
      <sheetName val="EQ-R1"/>
      <sheetName val="일위목록"/>
      <sheetName val="배선DATA"/>
      <sheetName val="재료비노무비"/>
      <sheetName val="감액총괄표"/>
      <sheetName val="단가비교"/>
      <sheetName val="구조"/>
      <sheetName val="96노임기준"/>
      <sheetName val="식재가격"/>
      <sheetName val="식재총괄"/>
      <sheetName val="DATA"/>
      <sheetName val="데이타"/>
      <sheetName val="노임(공"/>
      <sheetName val="토목공사"/>
      <sheetName val="총괄표"/>
      <sheetName val="수목단가"/>
      <sheetName val="시설수량표"/>
      <sheetName val="APT"/>
      <sheetName val="식재인부"/>
      <sheetName val="종배수관면벽신"/>
      <sheetName val="적용단위길이"/>
      <sheetName val="내역"/>
      <sheetName val="남대문빌딩"/>
      <sheetName val="견"/>
      <sheetName val="단가산출"/>
      <sheetName val="일위산출"/>
      <sheetName val="수목데이타 "/>
      <sheetName val="수량산출"/>
      <sheetName val="공사요율"/>
      <sheetName val="산수배수"/>
      <sheetName val="노임9월"/>
      <sheetName val="자료"/>
      <sheetName val="2.냉난방설비공사"/>
      <sheetName val="7.자동제어공사"/>
      <sheetName val="참조M"/>
      <sheetName val="노임단가(0.3)"/>
      <sheetName val="조정율(링크용)"/>
      <sheetName val="자재테이블"/>
      <sheetName val="성곽내역서"/>
      <sheetName val="Sheet1"/>
      <sheetName val="자재단가"/>
      <sheetName val="48일위"/>
      <sheetName val="48수량"/>
      <sheetName val="22수량"/>
      <sheetName val="49일위"/>
      <sheetName val="22일위"/>
      <sheetName val="49수량"/>
      <sheetName val="cable-data"/>
      <sheetName val="단위세대물량"/>
      <sheetName val="공종"/>
      <sheetName val="한강운반비"/>
      <sheetName val="소방기계"/>
      <sheetName val="노단"/>
      <sheetName val="36단가"/>
      <sheetName val="36수량"/>
      <sheetName val="GEN"/>
      <sheetName val="견적"/>
      <sheetName val="BQ(실행)"/>
      <sheetName val="평택특번"/>
      <sheetName val="TRE TABLE"/>
      <sheetName val="CC16-내역서"/>
      <sheetName val="참고자료"/>
      <sheetName val="공사개요"/>
      <sheetName val="전기단가조사서"/>
      <sheetName val="정부노임단가"/>
      <sheetName val="MOTOR"/>
      <sheetName val="선금급신청서"/>
      <sheetName val="몸체(460×600)"/>
      <sheetName val="TABLE"/>
      <sheetName val="토목"/>
      <sheetName val="피벗테이블데이터분석"/>
      <sheetName val="증감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-WORK"/>
      <sheetName val="Sheet1"/>
      <sheetName val="내역서"/>
      <sheetName val="일위대가(건축)"/>
      <sheetName val="토공"/>
      <sheetName val="일위대가"/>
      <sheetName val="웅진교-S2"/>
      <sheetName val="BDATA"/>
      <sheetName val="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량(파주)"/>
      <sheetName val="단가대비표"/>
      <sheetName val="내역서  (장성)"/>
      <sheetName val="증감대비표(장성)"/>
      <sheetName val="일위목록"/>
      <sheetName val="수량(장)"/>
      <sheetName val="일위대가(장성)"/>
      <sheetName val="원가계산서 (장성)"/>
      <sheetName val="원가계산서 (갑지) (2)"/>
      <sheetName val="설계서갑지"/>
      <sheetName val="노임단가"/>
      <sheetName val="단가비교표"/>
      <sheetName val="주소록"/>
      <sheetName val="단가"/>
      <sheetName val="ABUT수량-A1"/>
      <sheetName val="내역"/>
      <sheetName val="#REF"/>
      <sheetName val="2000,9월 일위"/>
      <sheetName val="계약내역(2)"/>
      <sheetName val="예산서"/>
      <sheetName val="일위대가"/>
      <sheetName val="단가산출"/>
      <sheetName val="인건비"/>
      <sheetName val="JUCKEYK"/>
      <sheetName val="Sheet1"/>
      <sheetName val="b_balju_cho"/>
      <sheetName val="DATA"/>
      <sheetName val="데이타"/>
      <sheetName val="Sheet1 (2)"/>
      <sheetName val="횡배수관집현황(2공구)"/>
      <sheetName val="복공분기"/>
      <sheetName val="49단가"/>
      <sheetName val="신규일위"/>
      <sheetName val="2.대외공문"/>
      <sheetName val="집계표"/>
      <sheetName val="설계내역서(장성)1213"/>
      <sheetName val="계정"/>
      <sheetName val="중기가격"/>
      <sheetName val="터파기및재료"/>
      <sheetName val="경산"/>
      <sheetName val="산근1"/>
      <sheetName val="장비"/>
      <sheetName val="노무"/>
      <sheetName val="자재"/>
      <sheetName val="현장관리비"/>
      <sheetName val="청주(철골발주의뢰서)"/>
      <sheetName val="일위_파일"/>
      <sheetName val="남양주댠가표"/>
      <sheetName val="노무비"/>
      <sheetName val="건축내역"/>
      <sheetName val="산출내역서"/>
      <sheetName val="99총공사내역서"/>
      <sheetName val="실행철강하도"/>
      <sheetName val="단가산출서"/>
      <sheetName val="예산명세서"/>
      <sheetName val="설계명세서"/>
      <sheetName val="자료입력"/>
      <sheetName val="일위대가(건축)"/>
      <sheetName val="재료비"/>
      <sheetName val="단"/>
      <sheetName val="단가(1)"/>
      <sheetName val="식재가격"/>
      <sheetName val="DAN"/>
      <sheetName val="백호우계수"/>
      <sheetName val="단위수량"/>
      <sheetName val="일위대가표"/>
      <sheetName val="식재총괄"/>
      <sheetName val="단면가정"/>
      <sheetName val="노무단가"/>
      <sheetName val="실행"/>
      <sheetName val="Sheet3"/>
      <sheetName val="Sheet2"/>
      <sheetName val="DATA 입력란"/>
      <sheetName val="DATE"/>
      <sheetName val="자재단가"/>
      <sheetName val="배전단가2"/>
      <sheetName val="적정심사"/>
      <sheetName val="하부철근수량"/>
      <sheetName val="일위대가목록"/>
      <sheetName val="단가대비표 (3)"/>
      <sheetName val="기초일위"/>
      <sheetName val="시설일위"/>
      <sheetName val="조명일위"/>
      <sheetName val="산출목록표"/>
      <sheetName val="이토변실(A3-LINE)"/>
      <sheetName val="경비2내역"/>
      <sheetName val="대비"/>
      <sheetName val="기존단가 (2)"/>
      <sheetName val="내역서"/>
      <sheetName val="품셈TABLE"/>
      <sheetName val="보도경계블럭"/>
      <sheetName val="9811"/>
      <sheetName val="자재비"/>
      <sheetName val="수량산출"/>
      <sheetName val="코드표"/>
      <sheetName val="부대내역"/>
      <sheetName val="철콘공사"/>
      <sheetName val="노임이"/>
      <sheetName val="노무코드"/>
      <sheetName val="자재코드"/>
      <sheetName val="조경"/>
      <sheetName val="노임"/>
      <sheetName val="단가 "/>
      <sheetName val="수목표준대가"/>
      <sheetName val="6공구(당초)"/>
      <sheetName val="COST"/>
      <sheetName val="수량산출서"/>
      <sheetName val="청천내"/>
      <sheetName val="단가표"/>
      <sheetName val="실행예산서"/>
      <sheetName val="SORCE1"/>
      <sheetName val="남대문빌딩"/>
      <sheetName val="구조물공"/>
      <sheetName val="부대공"/>
      <sheetName val="배수공"/>
      <sheetName val="토공"/>
      <sheetName val="포장공"/>
      <sheetName val="을지"/>
      <sheetName val="의왕내역"/>
      <sheetName val="횡 연장"/>
      <sheetName val="횡배수관수량집계"/>
      <sheetName val="웅진교-S2"/>
      <sheetName val="일위대가목차"/>
      <sheetName val="단가대비"/>
      <sheetName val="차액보증"/>
      <sheetName val="입찰안"/>
      <sheetName val="wall"/>
      <sheetName val="일위집계(기존)"/>
      <sheetName val="설직재-1"/>
      <sheetName val="제직재"/>
      <sheetName val="도급원가"/>
      <sheetName val="TEL"/>
      <sheetName val="단가일람표"/>
      <sheetName val="돈암사업"/>
      <sheetName val="자재목록"/>
      <sheetName val="노임목록"/>
      <sheetName val="중기목록"/>
      <sheetName val="자동차폐수처리장"/>
      <sheetName val="7단가"/>
      <sheetName val="냉천부속동"/>
      <sheetName val="36단가"/>
      <sheetName val="단가일람"/>
      <sheetName val="단가일람 (2)"/>
      <sheetName val="시설물"/>
      <sheetName val="AV시스템"/>
      <sheetName val="기계경비"/>
      <sheetName val="조명시설"/>
      <sheetName val="자  재"/>
      <sheetName val="건축외주"/>
      <sheetName val="안정검토"/>
      <sheetName val="목록"/>
      <sheetName val="토사(PE)"/>
      <sheetName val="INFO"/>
      <sheetName val="원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-3"/>
      <sheetName val="b_balju_cho"/>
      <sheetName val="노임단가"/>
      <sheetName val="단가산출"/>
      <sheetName val="일위대가표"/>
      <sheetName val="MOTOR"/>
      <sheetName val="DATA"/>
      <sheetName val="데이타"/>
      <sheetName val="수목데이타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원가계산서"/>
      <sheetName val="공종별 총괄표"/>
      <sheetName val="1.내역서"/>
      <sheetName val="관급자재대"/>
      <sheetName val="환율 및 인건비(중기)"/>
      <sheetName val="중기사용료 목록표"/>
      <sheetName val="2.중기사용료"/>
      <sheetName val="단가산출서 목록표"/>
      <sheetName val="4.단가산출서"/>
      <sheetName val="일반자재단가표"/>
      <sheetName val="관급자재단가표"/>
      <sheetName val="Macro1"/>
      <sheetName val="Macro2"/>
      <sheetName val="Module1"/>
      <sheetName val="Macro3"/>
      <sheetName val="Macro4"/>
      <sheetName val="Macro5"/>
      <sheetName val="일위대가목록"/>
      <sheetName val="조명시설"/>
      <sheetName val="일위대가목차"/>
      <sheetName val="노임단가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단가산출서외곽선 (L)</v>
          </cell>
        </row>
      </sheetData>
      <sheetData sheetId="12">
        <row r="1">
          <cell r="B1" t="str">
            <v>매크로2</v>
          </cell>
        </row>
      </sheetData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단"/>
      <sheetName val="관대"/>
      <sheetName val="갑"/>
      <sheetName val="자단"/>
      <sheetName val="일"/>
      <sheetName val="일목"/>
      <sheetName val="단산목"/>
      <sheetName val="을"/>
      <sheetName val="을 (1년차)"/>
      <sheetName val="수량"/>
      <sheetName val="토공계산"/>
      <sheetName val="단가산"/>
      <sheetName val="중기목"/>
      <sheetName val="중기사용"/>
      <sheetName val="환,노임"/>
      <sheetName val="중기운"/>
      <sheetName val="Mc1"/>
      <sheetName val="Mc2"/>
      <sheetName val="Module1"/>
      <sheetName val="Mc3"/>
      <sheetName val="Macro1"/>
      <sheetName val="Macro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목차"/>
      <sheetName val="DATA"/>
      <sheetName val="데이타"/>
      <sheetName val="Mc1"/>
      <sheetName val="06 일위대가목록"/>
      <sheetName val="Macro1"/>
      <sheetName val="Macro2"/>
      <sheetName val="YG-NEWNY"/>
      <sheetName val="목록"/>
      <sheetName val="노임단가"/>
      <sheetName val="단가"/>
      <sheetName val="일위대가표"/>
    </sheetNames>
    <sheetDataSet>
      <sheetData sheetId="0" refreshError="1">
        <row r="3">
          <cell r="D3" t="str">
            <v>톤당</v>
          </cell>
        </row>
        <row r="4">
          <cell r="D4" t="str">
            <v>톤당</v>
          </cell>
        </row>
        <row r="5">
          <cell r="D5" t="str">
            <v>톤당</v>
          </cell>
        </row>
        <row r="6">
          <cell r="D6" t="str">
            <v>톤당</v>
          </cell>
        </row>
        <row r="7">
          <cell r="D7" t="str">
            <v>톤당</v>
          </cell>
        </row>
        <row r="8">
          <cell r="D8" t="str">
            <v>톤당</v>
          </cell>
        </row>
        <row r="9">
          <cell r="D9" t="str">
            <v>톤당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단가조사"/>
      <sheetName val="일위대가목차"/>
      <sheetName val="1단계총괄내역서"/>
      <sheetName val="물가대비표"/>
      <sheetName val="요율"/>
      <sheetName val="단가산출"/>
      <sheetName val="기본단가표"/>
      <sheetName val="일위대가표"/>
      <sheetName val="Macro1"/>
      <sheetName val="예산명세서"/>
      <sheetName val="설계명세서"/>
      <sheetName val="자료입력"/>
      <sheetName val="단가(1)"/>
      <sheetName val="단위수량"/>
      <sheetName val="단가조사서"/>
      <sheetName val="노임단가"/>
      <sheetName val="식재가격"/>
      <sheetName val="식재총괄"/>
      <sheetName val="일위목록"/>
      <sheetName val="간지"/>
      <sheetName val="조명시설"/>
      <sheetName val="1공구산출내역서"/>
      <sheetName val="일위대가"/>
      <sheetName val="백암비스타내역"/>
      <sheetName val="Mc1"/>
      <sheetName val="동력부하계산"/>
      <sheetName val="공통단가"/>
      <sheetName val="운반비"/>
      <sheetName val="경산"/>
      <sheetName val="내역서"/>
      <sheetName val="일위"/>
      <sheetName val="용산3(영광)"/>
      <sheetName val="가로등내역서"/>
      <sheetName val="보도공제면적"/>
      <sheetName val="단가일람"/>
      <sheetName val="단위량당중기"/>
      <sheetName val="9811"/>
      <sheetName val="노임"/>
      <sheetName val="단가"/>
      <sheetName val="건축내역"/>
      <sheetName val="단가일람 (2)"/>
      <sheetName val="터파기및재료"/>
      <sheetName val="관급자재"/>
      <sheetName val="단가대비표"/>
      <sheetName val="단가표"/>
      <sheetName val="2000년1차"/>
      <sheetName val="공량산출서"/>
      <sheetName val="소비자가"/>
      <sheetName val="조경일람"/>
      <sheetName val="DATA"/>
      <sheetName val="데이타"/>
      <sheetName val="총괄"/>
      <sheetName val="CON'C"/>
      <sheetName val="수목표준대가"/>
      <sheetName val="96노임기준"/>
      <sheetName val="단위단가"/>
      <sheetName val="06 일위대가목록"/>
      <sheetName val="노임단가표"/>
      <sheetName val="시설C"/>
      <sheetName val="예가표"/>
      <sheetName val="2공구산출내역"/>
      <sheetName val="임율_(2)"/>
      <sheetName val="Y-WORK"/>
      <sheetName val="총괄내역서"/>
      <sheetName val="내역"/>
      <sheetName val="Sheet15"/>
      <sheetName val="1차증가원가계산"/>
      <sheetName val="웅진교-S2"/>
      <sheetName val="식재일위대가"/>
      <sheetName val="기계경비일람"/>
      <sheetName val="6차2회변경내역서"/>
      <sheetName val="ABUT수량-A1"/>
      <sheetName val="공사비"/>
      <sheetName val="토공(우물통,기타) "/>
      <sheetName val="b_balju_cho"/>
      <sheetName val="밸브설치"/>
      <sheetName val="금액내역서"/>
      <sheetName val="단"/>
      <sheetName val="DAN"/>
      <sheetName val="백호우계수"/>
      <sheetName val="코드표"/>
      <sheetName val="노무단가"/>
      <sheetName val="소방"/>
      <sheetName val="단가조사-예비품"/>
      <sheetName val="실행내역 "/>
      <sheetName val="식재"/>
      <sheetName val="시설물"/>
      <sheetName val="식재출력용"/>
      <sheetName val="유지관리"/>
      <sheetName val="단면 (2)"/>
      <sheetName val="일위대가목록"/>
      <sheetName val="중기사용료산출근거"/>
      <sheetName val="단가 및 재료비"/>
      <sheetName val="자료"/>
      <sheetName val="토공A"/>
      <sheetName val="토공총괄표"/>
      <sheetName val="변압기 및 발전기 용량"/>
      <sheetName val="Sheet1 (2)"/>
      <sheetName val="단가대비"/>
      <sheetName val="하부철근수량"/>
      <sheetName val="설계예산서"/>
      <sheetName val="주소록"/>
      <sheetName val="물가시세표"/>
      <sheetName val="48단가"/>
      <sheetName val="BID"/>
      <sheetName val="철거산출근거"/>
      <sheetName val="산근목록"/>
      <sheetName val="중기목록"/>
      <sheetName val="호표목록"/>
      <sheetName val="COST"/>
      <sheetName val="단가비교표"/>
      <sheetName val="예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6"/>
      <sheetName val="2-1"/>
      <sheetName val="감1"/>
      <sheetName val="감2"/>
      <sheetName val="감3"/>
      <sheetName val="조1"/>
      <sheetName val="조2"/>
      <sheetName val="조3"/>
      <sheetName val="6-1"/>
      <sheetName val="3-1"/>
      <sheetName val="3-2"/>
      <sheetName val="산출조서"/>
      <sheetName val="단가대비표"/>
      <sheetName val="일위대가목차"/>
      <sheetName val="담장산출"/>
      <sheetName val="단가산출(총괄)"/>
      <sheetName val="일위총괄"/>
      <sheetName val="일위대가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견적갑지"/>
      <sheetName val="견적을지"/>
      <sheetName val="수수료"/>
      <sheetName val="일대"/>
      <sheetName val="노임"/>
      <sheetName val="산출"/>
      <sheetName val="단가"/>
      <sheetName val="단가 (2)"/>
      <sheetName val="조도"/>
      <sheetName val="부하"/>
      <sheetName val="전압강하"/>
      <sheetName val="표지"/>
      <sheetName val="3,4기하도입찰LIST1"/>
      <sheetName val="1,2기실적대비LIST"/>
      <sheetName val="산출근거(posco)"/>
      <sheetName val="설비별총괄표"/>
      <sheetName val="최종재료비내역(PLC-S7)"/>
      <sheetName val="재료비내역(제출적용PLC-S7)"/>
      <sheetName val="PC HW"/>
      <sheetName val="PC응용SW"/>
      <sheetName val="공사원가계산서"/>
      <sheetName val="공사비내역서"/>
      <sheetName val="운전실통합공사"/>
      <sheetName val="파워팩판넬"/>
      <sheetName val="IO총괄표"/>
      <sheetName val="3물량(12대)"/>
      <sheetName val="4물량(9대)"/>
      <sheetName val="계측재료비"/>
      <sheetName val="PCS-7-LP"/>
      <sheetName val="PLC-S7-LP"/>
      <sheetName val="재료비(PCS7)"/>
      <sheetName val="외주비산출근거(PC)"/>
      <sheetName val="외주비산출근거(PLC)"/>
      <sheetName val="직접경비"/>
      <sheetName val="출장비"/>
      <sheetName val="공사설계근거"/>
      <sheetName val="Macro1"/>
      <sheetName val="덤프트럭계수"/>
      <sheetName val="일위목록"/>
      <sheetName val="목차"/>
      <sheetName val="테니스장조명공사"/>
      <sheetName val="총괄표"/>
      <sheetName val="경산"/>
      <sheetName val="건축내역"/>
      <sheetName val="#REF"/>
      <sheetName val="정렬"/>
      <sheetName val="자  재"/>
      <sheetName val="건축외주"/>
      <sheetName val="조도계산서 (도서)"/>
      <sheetName val="견적서"/>
      <sheetName val="Macro2"/>
      <sheetName val="공통가설"/>
      <sheetName val="부하계산서"/>
      <sheetName val="노임단가"/>
      <sheetName val="식재일위대가"/>
      <sheetName val="기초일위대가"/>
      <sheetName val="단가대비표"/>
      <sheetName val="일위대가"/>
      <sheetName val="SLAB수량"/>
      <sheetName val="ABUT수량-A1"/>
      <sheetName val="ABUT수량-A2"/>
      <sheetName val="PIER수량-1"/>
      <sheetName val="PIER수량-2"/>
      <sheetName val="토ABUT수량-1"/>
      <sheetName val="토ABUT수량-2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XXXXX"/>
      <sheetName val="가정관로집계 "/>
      <sheetName val="토적(인력)"/>
      <sheetName val="토적(인력) (2)"/>
      <sheetName val="토적(인력) (3)"/>
      <sheetName val="토적(기계,인력)"/>
      <sheetName val="단위수량 (쇄석무)"/>
      <sheetName val="단위수량 (쇄석무,직고)"/>
      <sheetName val="tranch맨홀 (300)"/>
      <sheetName val="tranch맨홀 (450)"/>
      <sheetName val="Sheet1"/>
      <sheetName val="Sheet2"/>
      <sheetName val="Sheet3"/>
      <sheetName val="일위대가목차"/>
      <sheetName val="적격점수&lt;300억미만&gt;"/>
      <sheetName val="서식"/>
      <sheetName val="재료표"/>
      <sheetName val="증감대비"/>
      <sheetName val="7단가"/>
      <sheetName val="일위대가목록"/>
      <sheetName val="b_balju-단가단가단가"/>
      <sheetName val="제경비"/>
      <sheetName val="전선,전선관수량"/>
      <sheetName val="토목주소"/>
      <sheetName val="수량산출"/>
      <sheetName val="토공사"/>
      <sheetName val="CONCRETE"/>
      <sheetName val="장부(05상)"/>
      <sheetName val="적현로"/>
      <sheetName val="조명시설"/>
      <sheetName val="도급내역"/>
      <sheetName val="을지"/>
      <sheetName val="TRE TABLE"/>
      <sheetName val="BQ(실행)"/>
      <sheetName val="104동"/>
      <sheetName val="조건표"/>
      <sheetName val="QandAJunior"/>
      <sheetName val="노무비"/>
      <sheetName val="수목표준대가"/>
      <sheetName val="토목"/>
      <sheetName val="단가비교표"/>
      <sheetName val="금액"/>
      <sheetName val="단가표 (2)"/>
      <sheetName val="내역서"/>
      <sheetName val="단가조사"/>
      <sheetName val="공통가설공사"/>
      <sheetName val="96작생능"/>
      <sheetName val="선금급신청서"/>
      <sheetName val="수목데이타 "/>
      <sheetName val="방음벽기초(H=4m)"/>
      <sheetName val="대목"/>
      <sheetName val="단가산출"/>
      <sheetName val="단"/>
      <sheetName val="설계서(7)"/>
      <sheetName val="몰탈재료산출"/>
      <sheetName val="단가대비"/>
      <sheetName val="횡배수관집현황(2공구)"/>
      <sheetName val="front"/>
      <sheetName val="기초단가"/>
      <sheetName val="설비2차"/>
      <sheetName val="COVER"/>
      <sheetName val="환율"/>
      <sheetName val="4.  단락전류의 계산"/>
      <sheetName val="DATA"/>
      <sheetName val="일위대가(출입)"/>
      <sheetName val="1안"/>
      <sheetName val="EQ-R1"/>
      <sheetName val="맨홀수량집계"/>
      <sheetName val="선로의 %임피던스 "/>
      <sheetName val="자재 단가 비교표(견적)"/>
      <sheetName val="자재 단가 비교표"/>
      <sheetName val="취수탑"/>
      <sheetName val="식재가격"/>
      <sheetName val="식재총괄"/>
      <sheetName val="백암비스타내역"/>
      <sheetName val="예산명세서"/>
      <sheetName val="설계명세서"/>
      <sheetName val="자료입력"/>
      <sheetName val="년도별시공"/>
      <sheetName val="000000"/>
      <sheetName val="골조시행"/>
      <sheetName val="자료"/>
      <sheetName val="2000년1차"/>
      <sheetName val="일위대가(4층원격)"/>
      <sheetName val="중기사용료산출근거"/>
      <sheetName val="단가 및 재료비"/>
      <sheetName val="9811"/>
      <sheetName val="상부수량집계표"/>
      <sheetName val="내역5"/>
      <sheetName val="내역서2안"/>
      <sheetName val="코드표"/>
      <sheetName val="장비경비"/>
      <sheetName val="자재단가"/>
      <sheetName val="트렌치 및 장애자타일"/>
      <sheetName val="사업수지"/>
      <sheetName val="단가비교"/>
      <sheetName val="A갑지"/>
      <sheetName val="국별인원"/>
      <sheetName val="배관배선 단가조사"/>
      <sheetName val="일위산출"/>
      <sheetName val="단위량"/>
      <sheetName val="재료집계표3"/>
      <sheetName val="재료집계표2"/>
      <sheetName val="토적집계표"/>
      <sheetName val="작업금지"/>
      <sheetName val="을"/>
      <sheetName val="입찰"/>
      <sheetName val="현경"/>
      <sheetName val="진주방향"/>
      <sheetName val="마산방향"/>
      <sheetName val="마산방향철근집계"/>
      <sheetName val="내역"/>
      <sheetName val="96노임기준"/>
      <sheetName val="BID"/>
      <sheetName val="단가비교표_공통1"/>
      <sheetName val="재료"/>
      <sheetName val="일위대가표"/>
      <sheetName val="산출내역서집계표"/>
      <sheetName val="관급자재"/>
      <sheetName val="기계경비"/>
      <sheetName val="노임9월"/>
      <sheetName val="집계표"/>
      <sheetName val="설비내역서"/>
      <sheetName val="건축내역서"/>
      <sheetName val="전기내역서"/>
      <sheetName val="단위수량"/>
      <sheetName val="일위대가(건축)"/>
      <sheetName val="일용노임단가"/>
      <sheetName val="품셈표"/>
      <sheetName val="ⴭⴭⴭⴭⴭ"/>
      <sheetName val="Sheet1 (2)"/>
      <sheetName val="기본입력"/>
      <sheetName val="철거산출근거"/>
      <sheetName val="재료비노무비"/>
      <sheetName val="TABLE"/>
      <sheetName val="보할공정"/>
      <sheetName val="Mc1"/>
      <sheetName val="토공유동표"/>
      <sheetName val="단가대비표 (3)"/>
      <sheetName val="Main"/>
      <sheetName val="소업1교"/>
      <sheetName val="소비자가"/>
      <sheetName val="2000전체분"/>
      <sheetName val="입찰안"/>
      <sheetName val="비탈면보호공수량산출"/>
      <sheetName val="대가단최종"/>
      <sheetName val="실행내역 "/>
      <sheetName val="단가최종"/>
      <sheetName val="대가목록"/>
      <sheetName val="인건비"/>
      <sheetName val="설계예산서"/>
      <sheetName val="COST"/>
      <sheetName val="수목단가"/>
      <sheetName val="시설수량표"/>
      <sheetName val="식재수량표"/>
      <sheetName val="설명서 "/>
      <sheetName val="적용단위길이"/>
      <sheetName val="피벗테이블데이터분석"/>
      <sheetName val="특수기호강도거푸집"/>
      <sheetName val="종배수관면벽신"/>
      <sheetName val="종배수관(신)"/>
      <sheetName val="물집"/>
      <sheetName val="내역표지"/>
      <sheetName val="냉천부속동"/>
      <sheetName val="노임단가(0.3)"/>
      <sheetName val="견"/>
      <sheetName val="노무단가"/>
      <sheetName val="차액보증"/>
      <sheetName val="개소별수량산출"/>
      <sheetName val="물가대비표"/>
      <sheetName val="요율"/>
      <sheetName val="날개벽"/>
      <sheetName val="중기집계"/>
      <sheetName val="일위노임단가"/>
      <sheetName val="제2호단위수량"/>
      <sheetName val="단가비교표(노무)"/>
      <sheetName val="창호"/>
      <sheetName val="품목현황"/>
      <sheetName val="출고대장"/>
      <sheetName val="집계표_식재"/>
      <sheetName val="장비종합부표"/>
      <sheetName val="부표"/>
      <sheetName val="공사명입력"/>
      <sheetName val="근로자자료입력"/>
      <sheetName val="참고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공구원가계산"/>
      <sheetName val="2공구산출내역"/>
      <sheetName val="2______"/>
      <sheetName val="기자재비"/>
      <sheetName val="2차1차"/>
      <sheetName val="대목"/>
      <sheetName val="데이타"/>
      <sheetName val="104동"/>
      <sheetName val="단가표"/>
      <sheetName val="일위대가표"/>
      <sheetName val="내역"/>
      <sheetName val="일위대가"/>
      <sheetName val="골조시행"/>
      <sheetName val="식재일위대가"/>
      <sheetName val="기초일위대가"/>
      <sheetName val="단가대비표"/>
      <sheetName val="70%"/>
      <sheetName val="예산내역"/>
      <sheetName val="총괄수지표"/>
      <sheetName val="을"/>
      <sheetName val="10월"/>
      <sheetName val="토공사"/>
      <sheetName val="1차설계변경내역"/>
      <sheetName val="내역서2안"/>
      <sheetName val="b_balju"/>
      <sheetName val="공통가설"/>
      <sheetName val="견적서"/>
      <sheetName val="덤프트럭계수"/>
      <sheetName val="자료"/>
      <sheetName val="내역서"/>
      <sheetName val="노임단가"/>
      <sheetName val="Mc1"/>
      <sheetName val="건축내역"/>
      <sheetName val="b_balju-단가단가단가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목차"/>
      <sheetName val="Sheet2"/>
      <sheetName val="사진대지"/>
      <sheetName val="Macro1"/>
      <sheetName val="견적시담(송포2공구)"/>
      <sheetName val="식재인부"/>
      <sheetName val="적격점수&lt;300억미만&gt;"/>
      <sheetName val="설비2차"/>
      <sheetName val="담장산출"/>
      <sheetName val="수목표준대가"/>
      <sheetName val="백암비스타내역"/>
      <sheetName val="data2"/>
      <sheetName val="sheet1"/>
      <sheetName val="일위대가목차"/>
      <sheetName val="단가"/>
      <sheetName val="Data&amp;Result"/>
      <sheetName val="FB25JN"/>
      <sheetName val="일위대가(건축)"/>
      <sheetName val="Y-WORK"/>
      <sheetName val="내역5"/>
      <sheetName val="QandAJunior"/>
      <sheetName val="일위목록"/>
      <sheetName val="DT"/>
      <sheetName val="롤러"/>
      <sheetName val="BH"/>
      <sheetName val="조경유지관리"/>
      <sheetName val="조경식재굴취"/>
      <sheetName val="식재단가"/>
      <sheetName val="인력터파기품"/>
      <sheetName val="2005년임금"/>
      <sheetName val="컨테이너"/>
      <sheetName val="펌프차타설"/>
      <sheetName val="기성내역"/>
      <sheetName val="Sheet5"/>
      <sheetName val="EACT10"/>
      <sheetName val="개요"/>
      <sheetName val="COVER"/>
      <sheetName val="b_balju_cho"/>
      <sheetName val="일용노임단가"/>
      <sheetName val="중기사용료산출근거"/>
      <sheetName val="단가 및 재료비"/>
      <sheetName val="자재단가"/>
      <sheetName val="노임"/>
      <sheetName val="집계표"/>
      <sheetName val="단가비교표"/>
      <sheetName val="단가일람"/>
      <sheetName val="단위량당중기"/>
      <sheetName val="BID"/>
      <sheetName val="물가대비표"/>
      <sheetName val="요율"/>
      <sheetName val="#REF"/>
      <sheetName val="건축"/>
      <sheetName val="Sheet10"/>
      <sheetName val="★도급내역"/>
      <sheetName val="직노"/>
      <sheetName val="제직재"/>
      <sheetName val="설직재-1"/>
      <sheetName val="공통가설공사"/>
      <sheetName val="건축공사실행"/>
      <sheetName val="경비"/>
      <sheetName val="노원열병합  건축공사기성내역서"/>
      <sheetName val="일위대가목록"/>
      <sheetName val="회사정보"/>
      <sheetName val="수량산출"/>
      <sheetName val="국별인원"/>
      <sheetName val="DATA1"/>
      <sheetName val="공종목록표"/>
      <sheetName val="환율"/>
      <sheetName val="관리자"/>
      <sheetName val="대가10%"/>
      <sheetName val="설계"/>
      <sheetName val="회사기초자료"/>
      <sheetName val="단가조사서"/>
      <sheetName val="unit 4"/>
      <sheetName val="단가(1)"/>
      <sheetName val="원가계산서"/>
      <sheetName val="월간관리비"/>
      <sheetName val="산출근거"/>
      <sheetName val="재료단가"/>
      <sheetName val="임금단가"/>
      <sheetName val="장비목록표"/>
      <sheetName val="장비운전경비"/>
      <sheetName val="장비손료"/>
      <sheetName val="공사비대비표B(토공)"/>
      <sheetName val="기본단가"/>
      <sheetName val="인건비단가"/>
      <sheetName val="1,2공구원가계산서"/>
      <sheetName val="1공구산출내역서"/>
      <sheetName val="보할공정"/>
      <sheetName val="기계경비(시간당)"/>
      <sheetName val="Total"/>
      <sheetName val="결재판"/>
      <sheetName val="일 위 대 가 표"/>
      <sheetName val="선금급신청서"/>
      <sheetName val="터파기및재료"/>
      <sheetName val="실행철강하도"/>
      <sheetName val="기초단가"/>
      <sheetName val="안양동교 1안"/>
      <sheetName val="출력은 금물"/>
      <sheetName val="중기사용료"/>
      <sheetName val="할증 "/>
      <sheetName val="일위대가(출입)"/>
      <sheetName val="증감대비"/>
      <sheetName val="연결임시"/>
      <sheetName val="공통단가"/>
      <sheetName val="운반비"/>
      <sheetName val="2000양배"/>
      <sheetName val="수목데이타 "/>
      <sheetName val="기초입력 DATA"/>
      <sheetName val="전기품산출"/>
      <sheetName val="기초내역"/>
      <sheetName val="소비자가"/>
      <sheetName val="시설물기초"/>
      <sheetName val="투찰추정"/>
      <sheetName val="입력"/>
      <sheetName val="제출내역"/>
      <sheetName val="장비"/>
      <sheetName val="산근1"/>
      <sheetName val="노무"/>
      <sheetName val="자재"/>
      <sheetName val="금액"/>
      <sheetName val="을지"/>
      <sheetName val="CON'C"/>
      <sheetName val="단가표 (2)"/>
      <sheetName val="일위_파일"/>
      <sheetName val="실행(1)"/>
      <sheetName val="몰탈재료산출"/>
      <sheetName val="원하대비"/>
      <sheetName val="원도급"/>
      <sheetName val="하도급"/>
      <sheetName val="대비2"/>
      <sheetName val="건축공사"/>
      <sheetName val="단가산출"/>
      <sheetName val="96노임기준"/>
      <sheetName val="대가"/>
      <sheetName val="집계표_식재"/>
      <sheetName val="장비종합부표"/>
      <sheetName val="부표"/>
      <sheetName val="코드표"/>
      <sheetName val="식재가격"/>
      <sheetName val="식재총괄"/>
      <sheetName val="위치조서"/>
      <sheetName val="4.일위대가목차"/>
      <sheetName val="일위대가(가설)"/>
      <sheetName val="BS"/>
      <sheetName val="실행내역"/>
      <sheetName val="sheet1 (2)"/>
      <sheetName val="단청공사"/>
      <sheetName val="단가조사"/>
      <sheetName val="설계예산서"/>
      <sheetName val="예산내역서"/>
      <sheetName val="작업금지"/>
      <sheetName val="에너지요금"/>
      <sheetName val="장비사양"/>
      <sheetName val="기계경비일람"/>
      <sheetName val="중기조종사 단위단가"/>
      <sheetName val="변수값"/>
      <sheetName val="중기상차"/>
      <sheetName val="AS복구"/>
      <sheetName val="중기터파기"/>
      <sheetName val="물가시세표"/>
      <sheetName val="도급"/>
      <sheetName val="9811"/>
      <sheetName val="내부마감"/>
      <sheetName val="단산목록"/>
      <sheetName val=" 갑지"/>
      <sheetName val="01"/>
      <sheetName val="수지예산"/>
      <sheetName val="광양 3기 유입수"/>
      <sheetName val="요약&amp;결과"/>
      <sheetName val="등록업체(031124)"/>
      <sheetName val="A-4"/>
      <sheetName val="전체"/>
      <sheetName val="대한주택보증(수보)"/>
      <sheetName val="대한주택보증(입보)"/>
      <sheetName val="DANGA"/>
      <sheetName val="BSD _2_"/>
      <sheetName val="제2호단위수량"/>
      <sheetName val="현장경비"/>
      <sheetName val="공사개요"/>
      <sheetName val="급여대장"/>
      <sheetName val="직원 인적급여 카드"/>
      <sheetName val="EJ"/>
      <sheetName val="인건비"/>
      <sheetName val="일위대가 "/>
      <sheetName val="Macro2"/>
      <sheetName val="교사기준면적(초등)"/>
      <sheetName val="냉천부속동"/>
      <sheetName val="자단"/>
      <sheetName val="관로내역원"/>
      <sheetName val="상각비"/>
      <sheetName val="조명일위"/>
      <sheetName val="저수조"/>
      <sheetName val="하부철근수량"/>
      <sheetName val="FAX"/>
      <sheetName val="웅진교-S2"/>
      <sheetName val="여과지동"/>
      <sheetName val="노임단가표"/>
      <sheetName val="단가비교"/>
      <sheetName val="DATA"/>
      <sheetName val="조명율표"/>
      <sheetName val="2000년1차"/>
      <sheetName val="재료"/>
      <sheetName val="별제권_정리담보권"/>
      <sheetName val="보도공제면적"/>
      <sheetName val="기본단가표"/>
      <sheetName val="코드목록(시스템담당용)"/>
      <sheetName val="공정집계_국별"/>
      <sheetName val="AV시스템"/>
      <sheetName val="2.냉난방설비공사"/>
      <sheetName val="7.자동제어공사"/>
      <sheetName val="DATE"/>
      <sheetName val="화재 탐지 설비"/>
      <sheetName val="견적"/>
      <sheetName val="광주전남"/>
      <sheetName val="경산"/>
      <sheetName val="실행"/>
      <sheetName val="수목데이타"/>
      <sheetName val="신규일위"/>
      <sheetName val="기본입력"/>
      <sheetName val="4.공사별"/>
      <sheetName val="갑지"/>
      <sheetName val="포장복구집계"/>
      <sheetName val="북방3터널"/>
      <sheetName val="계약내역(2)"/>
      <sheetName val="재노경"/>
      <sheetName val="도급내역5+800"/>
      <sheetName val="도급내역"/>
      <sheetName val="3련 BOX"/>
      <sheetName val="토량1-1"/>
      <sheetName val="000000"/>
      <sheetName val="변압기 및 발전기 용량"/>
      <sheetName val="노견단위수량"/>
      <sheetName val="주소록"/>
      <sheetName val="대,유,램"/>
      <sheetName val="금액내역서"/>
      <sheetName val="품셈TABLE"/>
      <sheetName val="Sheet4"/>
      <sheetName val="총괄내역서"/>
      <sheetName val="ABUT수량-A1"/>
      <sheetName val="6-1. 관개량조서"/>
      <sheetName val="단가산출(총괄)"/>
      <sheetName val="일위총괄"/>
      <sheetName val="이토변실(A3-LINE)"/>
      <sheetName val="부대공"/>
      <sheetName val="배수공"/>
      <sheetName val="토공"/>
      <sheetName val="포장공"/>
      <sheetName val="범례_(2)"/>
      <sheetName val="단가_및_재료비"/>
      <sheetName val="노원열병합__건축공사기성내역서"/>
      <sheetName val="안양동교_1안"/>
      <sheetName val="unit_4"/>
      <sheetName val="일_위_대_가_표"/>
      <sheetName val="도급FORM"/>
      <sheetName val="내 역 서(총괄)"/>
      <sheetName val="기계경비"/>
      <sheetName val="전력"/>
      <sheetName val="단가기준"/>
      <sheetName val="물가시세"/>
      <sheetName val="강병규"/>
      <sheetName val="I一般比"/>
      <sheetName val="N賃率-職"/>
      <sheetName val="J直材4"/>
      <sheetName val="(전남)시범지구 운영실적 및 결과분석(8월까지)"/>
      <sheetName val="_갑지"/>
      <sheetName val="출력은_금물"/>
      <sheetName val="단가표_(2)"/>
      <sheetName val="할증_"/>
      <sheetName val="광양_3기_유입수"/>
      <sheetName val="수목데이타_"/>
      <sheetName val="중기조종사_단위단가"/>
      <sheetName val="비전경영계획"/>
      <sheetName val="중기집계"/>
      <sheetName val="철콘공사"/>
      <sheetName val="계산서(곡선부)"/>
      <sheetName val="포장재료집계표"/>
      <sheetName val="통장출금액"/>
      <sheetName val="설계내역서"/>
      <sheetName val="내역-2"/>
      <sheetName val="공구"/>
      <sheetName val="조명시설"/>
      <sheetName val="기본1"/>
      <sheetName val="수정일위대가"/>
      <sheetName val="입찰안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준검 내역서"/>
      <sheetName val="총공사비집계표"/>
      <sheetName val="기준액"/>
      <sheetName val="기초입력_DATA"/>
      <sheetName val="투찰내역"/>
      <sheetName val="당사실시1"/>
      <sheetName val="단가산출-기,교"/>
      <sheetName val="일위목록-기"/>
      <sheetName val="기초일위"/>
      <sheetName val="시설일위"/>
      <sheetName val="종배수관면벽신"/>
      <sheetName val="피벗테이블데이터분석"/>
      <sheetName val="견적단가"/>
      <sheetName val=" 견적서"/>
      <sheetName val="const."/>
      <sheetName val="시멘트"/>
      <sheetName val="우석문틀"/>
      <sheetName val="내역서(전기)"/>
      <sheetName val="예산명세서"/>
      <sheetName val="설계명세서"/>
      <sheetName val="자료입력"/>
      <sheetName val="토사(PE)"/>
      <sheetName val="표준항목"/>
      <sheetName val="NEW DB"/>
      <sheetName val="대가단최종"/>
      <sheetName val="CABLE SIZE-1"/>
      <sheetName val="공장동 지하1층"/>
      <sheetName val="용역동 및 154KV"/>
      <sheetName val="공장동 3층"/>
      <sheetName val="공장동 1층"/>
      <sheetName val="단가산출2"/>
      <sheetName val="굴화내역"/>
      <sheetName val="1안"/>
      <sheetName val="10월 (2)"/>
      <sheetName val="종합-임현"/>
      <sheetName val="구의33고"/>
      <sheetName val="조경일람"/>
      <sheetName val="기초자료"/>
      <sheetName val="1.우편집중내역서"/>
      <sheetName val="한강운반비"/>
      <sheetName val="1공구원가계산서"/>
      <sheetName val="수량산출서"/>
      <sheetName val="현장관리비"/>
      <sheetName val="일위대가 목록표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유원장"/>
      <sheetName val="놀이광장"/>
      <sheetName val="다목적광장"/>
      <sheetName val="조건"/>
      <sheetName val="사업성"/>
      <sheetName val="단"/>
      <sheetName val="덤프운반거리산출(토)"/>
      <sheetName val="덤프운반거리산출(풍)"/>
      <sheetName val="덤프운반거리산출(연)"/>
      <sheetName val="교각1"/>
      <sheetName val="자동제어"/>
      <sheetName val="단위수량"/>
      <sheetName val="-치수표(곡선부)"/>
      <sheetName val="의왕내역"/>
      <sheetName val="가동비율"/>
      <sheetName val="반포2차"/>
      <sheetName val="DATA 입력란"/>
      <sheetName val="1. 설계조건 2.단면가정 3. 하중계산"/>
      <sheetName val="단가산출서"/>
      <sheetName val="일위대가표(DEEP)"/>
      <sheetName val="가정조건"/>
      <sheetName val="공통"/>
      <sheetName val="계약서"/>
      <sheetName val="간접비 총괄표"/>
      <sheetName val="노무비"/>
      <sheetName val="원가"/>
      <sheetName val="2.1  노무비 평균단가산출"/>
      <sheetName val="pier(각형)"/>
      <sheetName val="비탈면보호공수량산출"/>
      <sheetName val="부대공Ⅱ"/>
      <sheetName val="분당임차변경"/>
      <sheetName val="형틀공사"/>
      <sheetName val="16-1"/>
      <sheetName val="9-1차이내역"/>
      <sheetName val="JUCKEYK"/>
      <sheetName val="전차선로 물량표"/>
      <sheetName val="공통(20-91)"/>
      <sheetName val="잡비"/>
      <sheetName val="원가계산서(남측)"/>
      <sheetName val="공내역"/>
      <sheetName val="ⴭⴭⴭⴭⴭ"/>
      <sheetName val="중기손료"/>
      <sheetName val="설명서 "/>
      <sheetName val="토목"/>
      <sheetName val="일위대가(4층원격)"/>
      <sheetName val="재료비"/>
      <sheetName val="시작4"/>
      <sheetName val="장비가동"/>
      <sheetName val="중기단가"/>
      <sheetName val="단가및재료비"/>
      <sheetName val="배수내역"/>
      <sheetName val="DAN"/>
      <sheetName val="백호우계수"/>
      <sheetName val="부표총괄"/>
      <sheetName val="(A)내역서"/>
      <sheetName val="단  가  대  비  표"/>
      <sheetName val="일  위  대  가  목  록"/>
      <sheetName val="세부내역서(소방)"/>
      <sheetName val="기능공인적사항"/>
      <sheetName val="3.하중산정4.지지력"/>
      <sheetName val="말뚝지지력산정"/>
      <sheetName val="보고"/>
      <sheetName val="원가data"/>
      <sheetName val="식재일위"/>
      <sheetName val="L_RPTB~1"/>
      <sheetName val="내역표지"/>
      <sheetName val="Baby일위대가"/>
      <sheetName val="남대문빌딩"/>
      <sheetName val="장비경비"/>
      <sheetName val="빗물받이(910-510-410)"/>
      <sheetName val="실행내역 "/>
      <sheetName val="납부서"/>
      <sheetName val="기준FACTOR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06 일위대가목록"/>
      <sheetName val="식재"/>
      <sheetName val="시설물"/>
      <sheetName val="식재출력용"/>
      <sheetName val="유지관리"/>
      <sheetName val="일위대가집계"/>
      <sheetName val="유역면적"/>
      <sheetName val="노무비 근거"/>
      <sheetName val="청천내"/>
      <sheetName val="램머"/>
      <sheetName val="작업일보"/>
      <sheetName val="을 1"/>
      <sheetName val="을 2"/>
      <sheetName val="2003상반기노임기준"/>
      <sheetName val="접속슬라브"/>
      <sheetName val="도곡동APT"/>
      <sheetName val="신대방교수"/>
      <sheetName val="지급자재"/>
      <sheetName val="단가 "/>
      <sheetName val="VOR"/>
      <sheetName val="신고조서"/>
      <sheetName val="경율산정.XLS"/>
      <sheetName val="실행예산"/>
      <sheetName val="단가_1_"/>
      <sheetName val="설비내역서"/>
      <sheetName val="건축내역서"/>
      <sheetName val="전기내역서"/>
      <sheetName val="개화1교"/>
      <sheetName val="TYPE-1"/>
      <sheetName val="수목단가"/>
      <sheetName val="시설수량표"/>
      <sheetName val="식재수량표"/>
      <sheetName val="2000,9월 일위"/>
      <sheetName val="정산명세서"/>
      <sheetName val="조견표"/>
      <sheetName val="교통대책내역"/>
      <sheetName val="동문건설"/>
      <sheetName val="2.대외공문"/>
      <sheetName val="예총"/>
      <sheetName val="계정code"/>
      <sheetName val="1.설계기준 "/>
      <sheetName val="일위대가(1)"/>
      <sheetName val="사업수지"/>
      <sheetName val="유림골조"/>
      <sheetName val="버스운행안내"/>
      <sheetName val="전선 및 전선관"/>
      <sheetName val="자재목록"/>
      <sheetName val="단가목록"/>
      <sheetName val="중기목록"/>
      <sheetName val="산출기초"/>
      <sheetName val="총 괄 표"/>
      <sheetName val="공사비산출서"/>
      <sheetName val="구간재료"/>
      <sheetName val="금융비용"/>
      <sheetName val="단중표"/>
      <sheetName val="개인명세서"/>
      <sheetName val="조도계산서 (도서)"/>
      <sheetName val="중기작업량"/>
      <sheetName val="토적단위"/>
      <sheetName val="변경내역"/>
      <sheetName val="단가견적조사표"/>
      <sheetName val="정의"/>
      <sheetName val="투입비"/>
      <sheetName val="옥외외등집계표"/>
      <sheetName val="견적 (2)"/>
      <sheetName val="실행간접비"/>
      <sheetName val="1차 내역서"/>
      <sheetName val="A갑지"/>
      <sheetName val="손익계산서"/>
      <sheetName val="발주처담당자"/>
      <sheetName val="공정표"/>
      <sheetName val="도급원가"/>
      <sheetName val="포스코실행"/>
      <sheetName val="sub"/>
      <sheetName val="개요입력"/>
      <sheetName val="수량기준"/>
      <sheetName val="G.R300경비"/>
      <sheetName val="내역_FILE"/>
      <sheetName val="목록"/>
      <sheetName val="갑지(추정)"/>
      <sheetName val="본사인상전"/>
      <sheetName val="일반부표"/>
      <sheetName val="수량집계표(舊)"/>
      <sheetName val="옥외등신설"/>
      <sheetName val="저케CV22신설"/>
      <sheetName val="저케CV38신설"/>
      <sheetName val="저케CV8신설"/>
      <sheetName val="접지3종"/>
      <sheetName val="괴목육교"/>
      <sheetName val="철거산출근거"/>
      <sheetName val="기초대가"/>
      <sheetName val="시설대가"/>
      <sheetName val="수목대가"/>
      <sheetName val="인공대가"/>
      <sheetName val="횡배수관"/>
      <sheetName val="적산산출"/>
      <sheetName val="자재비산출"/>
      <sheetName val="운용비산출"/>
      <sheetName val="S&amp;R"/>
      <sheetName val="인원계획-미화"/>
      <sheetName val="Quality"/>
      <sheetName val="People"/>
      <sheetName val="Risk"/>
      <sheetName val="Training"/>
      <sheetName val="General"/>
      <sheetName val="Instructions"/>
      <sheetName val="달대"/>
      <sheetName val="원가서"/>
      <sheetName val="실행대비"/>
      <sheetName val="구간별현황"/>
      <sheetName val="기본계획"/>
      <sheetName val="청주(철골발주의뢰서)"/>
      <sheetName val="공조기"/>
      <sheetName val="광주운남을"/>
      <sheetName val="TRE TABLE"/>
      <sheetName val="수입"/>
      <sheetName val="3단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자판실행"/>
      <sheetName val="국민연금표"/>
      <sheetName val="간공설계서"/>
      <sheetName val="사각1,특1호"/>
      <sheetName val="파일의이용"/>
      <sheetName val="단 box"/>
      <sheetName val="수량집계"/>
      <sheetName val="소방"/>
      <sheetName val="이식운반"/>
      <sheetName val="용역비내역-진짜"/>
      <sheetName val="실행기초"/>
      <sheetName val="배수량"/>
      <sheetName val="WORK"/>
      <sheetName val="APT내역"/>
      <sheetName val="부대시설"/>
      <sheetName val="일용노임단가2001상"/>
      <sheetName val="참조자료"/>
      <sheetName val="토건"/>
      <sheetName val="간접비"/>
      <sheetName val="근로자"/>
      <sheetName val="총괄표"/>
      <sheetName val="인공산출"/>
      <sheetName val="세금자료"/>
      <sheetName val="규준틀"/>
      <sheetName val="패널"/>
      <sheetName val="일 위 목 록 표"/>
      <sheetName val="001"/>
      <sheetName val="관접합및부설"/>
      <sheetName val="건축공사 집계표"/>
      <sheetName val="골조"/>
      <sheetName val="대덕토공총"/>
      <sheetName val="노임이"/>
      <sheetName val="BOJUNGGM"/>
      <sheetName val="MCC제원"/>
      <sheetName val="제경비율"/>
      <sheetName val="주공 갑지"/>
      <sheetName val="토목공사"/>
      <sheetName val="22단가"/>
      <sheetName val="22인공"/>
      <sheetName val="front"/>
      <sheetName val="날개벽수량표"/>
      <sheetName val="배수장토목공사비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총괄"/>
      <sheetName val="Sheet1 (2)"/>
      <sheetName val="#REF"/>
      <sheetName val="골재"/>
      <sheetName val="상부"/>
      <sheetName val="11"/>
      <sheetName val="SLAB"/>
      <sheetName val="2공구산출내역"/>
      <sheetName val="암거치수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단가표"/>
      <sheetName val="시작4"/>
      <sheetName val="단가산출서"/>
      <sheetName val="자료"/>
      <sheetName val="단위수량"/>
      <sheetName val="복주식단위수량"/>
      <sheetName val="제경비(전체)"/>
      <sheetName val="데리네이타현황"/>
      <sheetName val="출력은 금물"/>
      <sheetName val="70%"/>
      <sheetName val="견적서"/>
      <sheetName val="일위대가집계"/>
      <sheetName val="기자재비"/>
      <sheetName val="일용노임단가"/>
      <sheetName val="참조자료"/>
      <sheetName val="설계명세서"/>
      <sheetName val="예산명세서"/>
      <sheetName val="자료입력"/>
      <sheetName val="설계개요"/>
      <sheetName val="설계예시"/>
      <sheetName val="ABUT수량-A1"/>
      <sheetName val="단가"/>
      <sheetName val="Y-WORK"/>
      <sheetName val="슬래브"/>
      <sheetName val="DATE"/>
      <sheetName val="1000 DB구축 부표"/>
      <sheetName val="일위대가"/>
      <sheetName val="기계경비"/>
      <sheetName val="일위대가(출입)"/>
      <sheetName val="단가조사"/>
      <sheetName val="도로구조공사비"/>
      <sheetName val="도로토공공사비"/>
      <sheetName val="여수토공사비"/>
      <sheetName val="일위목록"/>
      <sheetName val="설계예산서"/>
      <sheetName val="TOTAL_BOQ"/>
      <sheetName val="A-4"/>
      <sheetName val="도시가스현황"/>
      <sheetName val="노임단가"/>
      <sheetName val="경산"/>
      <sheetName val="INPUT"/>
      <sheetName val="말뚝지지력산정"/>
      <sheetName val="단가산출"/>
      <sheetName val="건축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설계내역"/>
      <sheetName val="일위대가"/>
      <sheetName val="산출집계"/>
      <sheetName val="산출근거"/>
      <sheetName val="단가비교"/>
      <sheetName val="각종수수료"/>
      <sheetName val="한전,부하"/>
      <sheetName val="설계서"/>
      <sheetName val="인건-측정"/>
      <sheetName val="2공구산출내역"/>
      <sheetName val="Sheet3"/>
      <sheetName val="차선도색현황"/>
      <sheetName val="저"/>
      <sheetName val="IMPEADENCE MAP 취수장"/>
      <sheetName val="연결관암거"/>
      <sheetName val="터파기및재료"/>
      <sheetName val="BOQ(전체)"/>
      <sheetName val="노임단가"/>
      <sheetName val="설계내역서"/>
      <sheetName val="단가산출(총괄)"/>
      <sheetName val="일위총괄"/>
      <sheetName val="산출집계_x0000__x0000__x0000__x0000__x000f_[설계내역서.xls]산출근거_x0000__x0000__x0000__x0000__x0000__x0000__x0000_"/>
      <sheetName val="단가조사"/>
      <sheetName val="ABUT수량-A1"/>
      <sheetName val="N賃率-職"/>
      <sheetName val="적용건축"/>
      <sheetName val="관급단가"/>
      <sheetName val="과천MA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 "/>
      <sheetName val="총괄내역집계"/>
      <sheetName val="내역서"/>
      <sheetName val="수량산출서"/>
      <sheetName val="일위대가표"/>
      <sheetName val="단가조사서"/>
      <sheetName val="대경바스컴 "/>
      <sheetName val="동양AV "/>
      <sheetName val="(주)인터엠"/>
      <sheetName val="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-가로"/>
      <sheetName val="표지-세로2"/>
      <sheetName val="목차"/>
      <sheetName val="설계설명서간지"/>
      <sheetName val="일반시방서간지"/>
      <sheetName val="특별시방서간지"/>
      <sheetName val="설계예산서간지"/>
      <sheetName val="설계서"/>
      <sheetName val="물량증감 대비표"/>
      <sheetName val="관급자재조서"/>
      <sheetName val="총괄표 (2)"/>
      <sheetName val="내역서(전체)"/>
      <sheetName val="잡비(전체)"/>
      <sheetName val="내역서(삼호)"/>
      <sheetName val="잡비(삼호)"/>
      <sheetName val="내역서(풍림)"/>
      <sheetName val="잡비(풍림)"/>
      <sheetName val="시험비"/>
      <sheetName val="총괄표"/>
      <sheetName val="표지-세로"/>
      <sheetName val="Module1"/>
      <sheetName val="Module2"/>
      <sheetName val="Module3"/>
      <sheetName val="Module4"/>
      <sheetName val="일위대가"/>
      <sheetName val="Sheet3"/>
      <sheetName val="도급내역서"/>
      <sheetName val="토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"/>
      <sheetName val="원가"/>
      <sheetName val="내역"/>
      <sheetName val="공내역 "/>
      <sheetName val="수량"/>
      <sheetName val="일위목록"/>
      <sheetName val="일위대가"/>
      <sheetName val="단가대비"/>
      <sheetName val="단가산출"/>
      <sheetName val="할증"/>
      <sheetName val="지급"/>
      <sheetName val="노임"/>
      <sheetName val="품셈"/>
      <sheetName val="공간내역"/>
      <sheetName val="Module1"/>
      <sheetName val="내역서(삼호)"/>
      <sheetName val="2공구"/>
      <sheetName val="코드표"/>
      <sheetName val="연결관암거"/>
      <sheetName val="공사예산하조서(O.K)"/>
      <sheetName val="기둥(원형)"/>
      <sheetName val="기초공"/>
      <sheetName val="저"/>
      <sheetName val="표지"/>
      <sheetName val="터파기및재료"/>
      <sheetName val="부하계산서"/>
      <sheetName val="2공구산출내역"/>
      <sheetName val="철거산출근거"/>
      <sheetName val="단가조사"/>
      <sheetName val="용산1(해보)"/>
      <sheetName val="직노"/>
      <sheetName val="경산"/>
      <sheetName val="덤프트럭계수"/>
      <sheetName val="단면"/>
      <sheetName val="적용건축"/>
      <sheetName val="Sheet3"/>
      <sheetName val="터널조도"/>
      <sheetName val="수량산출표"/>
      <sheetName val="구조물공1"/>
      <sheetName val="배수및구조물공1"/>
      <sheetName val="도급내역서"/>
      <sheetName val="가로등내역서"/>
      <sheetName val="공내역_"/>
      <sheetName val="시설물기초"/>
      <sheetName val="내역서"/>
      <sheetName val="앉음벽 (2)"/>
      <sheetName val="Base"/>
      <sheetName val="내역서 (1차)"/>
      <sheetName val="차액보증"/>
      <sheetName val="unitpric"/>
      <sheetName val="ABUT수량-A1"/>
      <sheetName val="수목데이타 "/>
      <sheetName val="T13(P68~72,78)"/>
      <sheetName val="TOTAL_BOQ"/>
      <sheetName val="메서,변+증"/>
      <sheetName val="96노임기준"/>
      <sheetName val="신공"/>
      <sheetName val="전선 및 전선관"/>
      <sheetName val="데리네이타현황"/>
      <sheetName val="INPUT"/>
      <sheetName val="도로경계블럭단위수량"/>
      <sheetName val="도로경계블럭단위토공"/>
      <sheetName val="L형측구단위수량"/>
      <sheetName val="L형측구연장조서"/>
      <sheetName val="danga"/>
      <sheetName val="ilch"/>
      <sheetName val="단가산출목록표"/>
      <sheetName val="식재일위대가"/>
      <sheetName val="국소별수량산출"/>
      <sheetName val="부대내역"/>
      <sheetName val="Sheet1"/>
      <sheetName val="토적계산서"/>
      <sheetName val="원가계산서"/>
      <sheetName val="06 일위대가목록"/>
      <sheetName val="변경내역"/>
      <sheetName val="DATE"/>
      <sheetName val="DATA 입력란"/>
      <sheetName val="1. 설계조건 2.단면가정 3. 하중계산"/>
      <sheetName val="골막이(야매)"/>
      <sheetName val="일위"/>
      <sheetName val="부분별수량산출(조합기초)"/>
      <sheetName val="자재단가"/>
      <sheetName val="일위대가모듈"/>
      <sheetName val="noyim"/>
      <sheetName val="견적서1"/>
      <sheetName val="조명시설"/>
      <sheetName val="금액내역서"/>
      <sheetName val="총괄표"/>
      <sheetName val="목록"/>
      <sheetName val="노임자재"/>
      <sheetName val="연동내역"/>
      <sheetName val="식재"/>
      <sheetName val="시설물"/>
      <sheetName val="식재출력용"/>
      <sheetName val="유지관리"/>
      <sheetName val="단가"/>
      <sheetName val="5흙막이"/>
      <sheetName val="기계경비"/>
      <sheetName val="공통가설"/>
      <sheetName val="연결관단위"/>
      <sheetName val="노무비단가"/>
      <sheetName val="설비"/>
      <sheetName val="건축내역"/>
      <sheetName val="단위수량산출"/>
      <sheetName val="아파트건축"/>
      <sheetName val="sst,stl창호"/>
      <sheetName val="COL"/>
      <sheetName val="Sheet5"/>
      <sheetName val="BOQ(전체)"/>
      <sheetName val="ⴭⴭⴭⴭ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서"/>
      <sheetName val="수배전반"/>
      <sheetName val="관급자재내역"/>
      <sheetName val="원가산서"/>
      <sheetName val="전기단가"/>
      <sheetName val="각종수수료"/>
      <sheetName val="산출집계"/>
      <sheetName val="산출근거"/>
      <sheetName val="설계내역"/>
      <sheetName val="Sheet1"/>
      <sheetName val="일위대가"/>
      <sheetName val="내역서(삼호)"/>
      <sheetName val="Baby일위대가"/>
      <sheetName val="2공구산출내역"/>
      <sheetName val="인건-측정"/>
      <sheetName val="PSCbeam설계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VXXXXX"/>
      <sheetName val="적용대가"/>
      <sheetName val="지수내역"/>
      <sheetName val="노(97.1,97.9,98.1)"/>
      <sheetName val="노임단가"/>
      <sheetName val="XXXXXX"/>
      <sheetName val="VXXX"/>
      <sheetName val="진짜내역"/>
      <sheetName val="총괄"/>
      <sheetName val="집계"/>
      <sheetName val="내역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철거산출근거"/>
      <sheetName val="Baby일위대가"/>
      <sheetName val="일위대가목록"/>
      <sheetName val="내역서2안"/>
      <sheetName val="Sheet1"/>
      <sheetName val="일위_파일"/>
      <sheetName val="견적서"/>
      <sheetName val="일위대가"/>
      <sheetName val="간접비"/>
      <sheetName val="저"/>
      <sheetName val="표지"/>
      <sheetName val="소비자가"/>
      <sheetName val="2공구산출내역"/>
      <sheetName val="출력은 금물"/>
      <sheetName val="일위대가(건축)"/>
      <sheetName val=" 냉각수펌프"/>
      <sheetName val="경산"/>
      <sheetName val="단가 "/>
      <sheetName val="KKK"/>
      <sheetName val="내역서(삼호)"/>
      <sheetName val="단가조사"/>
      <sheetName val="Sheet3"/>
      <sheetName val="도급내역서"/>
      <sheetName val="부분별수량산출(조합기초)"/>
      <sheetName val="데리네이타현황"/>
      <sheetName val="도급내역"/>
      <sheetName val="ilch"/>
      <sheetName val="COVER"/>
      <sheetName val="직재"/>
      <sheetName val="#REF"/>
      <sheetName val="수량산출"/>
      <sheetName val="일위대가(출입)"/>
      <sheetName val="EJ"/>
      <sheetName val="손익분석"/>
      <sheetName val="식재일위대가"/>
      <sheetName val="J直材4"/>
      <sheetName val="일위대가(4층원격)"/>
      <sheetName val="대,유,램"/>
      <sheetName val="국별인원"/>
      <sheetName val="금액내역서"/>
      <sheetName val="적용건축"/>
      <sheetName val="Sheet2"/>
      <sheetName val="기초일위대가"/>
      <sheetName val="단가대비표"/>
      <sheetName val="산출기초"/>
      <sheetName val="연결관암거"/>
      <sheetName val="내역서"/>
      <sheetName val="기자재비"/>
      <sheetName val="물가자료"/>
      <sheetName val="차액보증"/>
      <sheetName val="단위중량"/>
      <sheetName val="3BL공동구 수량"/>
      <sheetName val="Base"/>
      <sheetName val="사업부배부A"/>
      <sheetName val="현장관리비 산출내역"/>
      <sheetName val="전담운영PM"/>
      <sheetName val="중기사용료"/>
      <sheetName val="부대내역"/>
      <sheetName val="공량(1월22일)"/>
      <sheetName val="원내역"/>
      <sheetName val="Y-WORK"/>
      <sheetName val="9GNG운반"/>
      <sheetName val="전기일위대가"/>
      <sheetName val="시설물기초"/>
      <sheetName val="1안"/>
      <sheetName val="BOQ(전체)"/>
      <sheetName val="기계내역"/>
      <sheetName val="기계경비(시간당)"/>
      <sheetName val="램머"/>
      <sheetName val="Sheet1 (2)"/>
      <sheetName val="소방"/>
      <sheetName val="COL"/>
      <sheetName val="터파기및재료"/>
      <sheetName val="2F 회의실견적(5_14 일대)"/>
      <sheetName val="N賃率-職"/>
      <sheetName val="Sheet5"/>
      <sheetName val="Macro1"/>
      <sheetName val="단가조사서"/>
      <sheetName val="건축부하"/>
      <sheetName val="약전닥트"/>
      <sheetName val="일지-H"/>
      <sheetName val="김포IO"/>
      <sheetName val="LD"/>
      <sheetName val="FA설치명세"/>
      <sheetName val="처리단락"/>
      <sheetName val="조건표"/>
      <sheetName val="Sheet38"/>
      <sheetName val="부속동"/>
      <sheetName val="일위목록"/>
      <sheetName val="설계예시"/>
      <sheetName val="노(97_1,97_9,98_1)"/>
      <sheetName val="출력은_금물"/>
      <sheetName val="_냉각수펌프"/>
      <sheetName val="단가_"/>
      <sheetName val="기계설비표선정수장"/>
      <sheetName val="공주-교대(A1)"/>
      <sheetName val="아파트건축"/>
      <sheetName val="원가계산"/>
      <sheetName val="수정내역"/>
      <sheetName val="일위대가표"/>
      <sheetName val="실행내역"/>
      <sheetName val="전시원"/>
      <sheetName val="전시내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단가산출서"/>
      <sheetName val="재료단가"/>
      <sheetName val="현장"/>
      <sheetName val="예산M11A"/>
      <sheetName val="건축내역"/>
      <sheetName val="101동"/>
      <sheetName val="2000년1차"/>
      <sheetName val="2000전체분"/>
      <sheetName val="출자한도"/>
      <sheetName val="교통대책내역"/>
      <sheetName val="일대-1"/>
      <sheetName val="공사개요(서광주)"/>
      <sheetName val="백암비스타내역"/>
      <sheetName val="MAIN_TABLE"/>
      <sheetName val="기본일위"/>
      <sheetName val="I一般比"/>
      <sheetName val="기초자료"/>
      <sheetName val="정부노임단가"/>
      <sheetName val="일반전기C"/>
      <sheetName val="sst,stl창호"/>
      <sheetName val="산출내역서"/>
      <sheetName val="토목내역서 (도급단가)"/>
      <sheetName val="기둥(원형)"/>
      <sheetName val="기초공"/>
      <sheetName val="쌍송교"/>
      <sheetName val="수공기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품셈"/>
      <sheetName val="단가산출"/>
      <sheetName val="공통(20-91)"/>
      <sheetName val="설직재-1"/>
      <sheetName val="부대공"/>
      <sheetName val="포장공"/>
      <sheetName val="토공"/>
      <sheetName val="을"/>
      <sheetName val="DATA"/>
      <sheetName val="데이타"/>
      <sheetName val="골조시행"/>
      <sheetName val="tggwan(mac)"/>
      <sheetName val="예산총괄표"/>
      <sheetName val="인건비"/>
      <sheetName val="주소"/>
      <sheetName val="공조기휀"/>
      <sheetName val="AHU집계"/>
      <sheetName val="일위대가목차"/>
      <sheetName val="설계기준"/>
      <sheetName val="1구간BOQ"/>
      <sheetName val="용산1(해보)"/>
      <sheetName val="샘플표지"/>
      <sheetName val="대보~세기"/>
      <sheetName val="대운반(철재)"/>
      <sheetName val="수지예산"/>
      <sheetName val="일위"/>
      <sheetName val="산출-설비"/>
      <sheetName val="흥양2교토공집계표"/>
      <sheetName val="C3"/>
      <sheetName val="납부서"/>
      <sheetName val="건축원가"/>
      <sheetName val="을지"/>
      <sheetName val="대목"/>
      <sheetName val="일위대가내역"/>
      <sheetName val="목록"/>
      <sheetName val="ESCO개보수공사"/>
      <sheetName val="1차 내역서"/>
      <sheetName val="가로등내역서"/>
      <sheetName val="외주비"/>
      <sheetName val="일반공사"/>
      <sheetName val="공사미수"/>
      <sheetName val="대공종"/>
      <sheetName val="말뚝지지력산정"/>
      <sheetName val="Mc1"/>
      <sheetName val="ELECTRIC"/>
      <sheetName val="내역(100%)"/>
      <sheetName val="표지1"/>
      <sheetName val="단"/>
      <sheetName val="WORK"/>
      <sheetName val="산출근거(단청공사)"/>
      <sheetName val="갑지(추정)"/>
      <sheetName val="사업수지"/>
      <sheetName val="WEIGHT LIST"/>
      <sheetName val="POL6차-PIPING"/>
      <sheetName val="물량"/>
      <sheetName val="산#2-1 (2)"/>
      <sheetName val="산#3-1"/>
      <sheetName val="재집"/>
      <sheetName val="패널"/>
      <sheetName val="TANK견적대지"/>
      <sheetName val="실행철강하도"/>
      <sheetName val="기본단가표"/>
      <sheetName val="식재인부"/>
      <sheetName val="재료"/>
      <sheetName val="영창26"/>
      <sheetName val="요율"/>
      <sheetName val="공사비총괄표"/>
      <sheetName val="본공사"/>
      <sheetName val="적용토목"/>
      <sheetName val="갑지"/>
      <sheetName val="기초내역서"/>
      <sheetName val="대가목록표"/>
      <sheetName val="내역서중"/>
      <sheetName val="일위(PANEL)"/>
      <sheetName val="대로근거"/>
      <sheetName val="관로토공"/>
      <sheetName val="우수관"/>
      <sheetName val="토사(PE)"/>
      <sheetName val="실행"/>
      <sheetName val="설계서"/>
      <sheetName val="골재산출"/>
      <sheetName val="산근"/>
      <sheetName val="AIR SHOWER(3인용)"/>
      <sheetName val="연부97-1"/>
      <sheetName val="자갈,시멘트,모래산출"/>
      <sheetName val="자료"/>
      <sheetName val="총괄표"/>
      <sheetName val="차수공개요"/>
      <sheetName val="조명율표"/>
      <sheetName val="본체"/>
      <sheetName val="5공철탑검토표"/>
      <sheetName val="4공철탑검토"/>
      <sheetName val="철탑공사"/>
      <sheetName val="예산"/>
      <sheetName val="Customer Databas"/>
      <sheetName val="위생설비"/>
      <sheetName val="스포회원매출"/>
      <sheetName val="원가 (2)"/>
      <sheetName val="#2_일위대가목록"/>
      <sheetName val="DAN"/>
      <sheetName val="백호우계수"/>
      <sheetName val="공사비"/>
      <sheetName val="1공구내역"/>
      <sheetName val="별표"/>
      <sheetName val="건축공사실행"/>
      <sheetName val="공량산출서"/>
      <sheetName val="중기일위대가"/>
      <sheetName val="일위목록-기"/>
      <sheetName val="BOX전기내역"/>
      <sheetName val="원가계산서"/>
      <sheetName val="CTEMCOST"/>
      <sheetName val="식재수량표"/>
      <sheetName val="길어깨(현황)"/>
      <sheetName val="MOTOR"/>
      <sheetName val="60명당사(총괄)"/>
      <sheetName val="공종별내역서"/>
      <sheetName val="공통가설공사"/>
      <sheetName val="공통가설"/>
      <sheetName val="SG"/>
      <sheetName val="합천내역"/>
      <sheetName val="BID"/>
      <sheetName val="INPUT"/>
      <sheetName val="인사자료총집계"/>
      <sheetName val="70%"/>
      <sheetName val="단위단가"/>
      <sheetName val="요약&amp;결과"/>
      <sheetName val="일위목록데이타"/>
      <sheetName val="(4-2)열관류값-2"/>
      <sheetName val="금융"/>
      <sheetName val="전기"/>
      <sheetName val="전기단가조사서"/>
      <sheetName val="화전내"/>
      <sheetName val="성곽내역서"/>
      <sheetName val="공사예산하조서(O.K)"/>
      <sheetName val="공내역"/>
      <sheetName val="danga"/>
      <sheetName val="도로정위치부표"/>
      <sheetName val="도로조사부표"/>
      <sheetName val="내역1"/>
      <sheetName val="Sheet1_(2)"/>
      <sheetName val="2F_회의실견적(5_14_일대)"/>
      <sheetName val="냉천부속동"/>
      <sheetName val="ITEM"/>
      <sheetName val="TABLE"/>
      <sheetName val="RAHMEN"/>
      <sheetName val="6PILE  (돌출)"/>
      <sheetName val="asd"/>
      <sheetName val="산출근거"/>
      <sheetName val="지하"/>
      <sheetName val="당초"/>
      <sheetName val="교각별철근수량집계표"/>
      <sheetName val="지질조사"/>
      <sheetName val="NYS"/>
      <sheetName val="단중표"/>
      <sheetName val="코드표"/>
      <sheetName val="재료비노무비"/>
      <sheetName val="토공(우물통,기타) "/>
      <sheetName val="교수설계"/>
      <sheetName val="LF자재단가"/>
      <sheetName val="자재단가"/>
      <sheetName val="도급기성"/>
      <sheetName val="설비단가표"/>
      <sheetName val="LEGEND"/>
      <sheetName val="기술부대조건"/>
      <sheetName val="오수공수량집계표"/>
      <sheetName val="Sheet6"/>
      <sheetName val="48전력선로일위"/>
      <sheetName val="단가표"/>
      <sheetName val="식생블럭단위수량"/>
      <sheetName val="RE9604"/>
      <sheetName val="공사직종별노임"/>
      <sheetName val="당진1,2호기전선관설치및접지4차공사내역서-을지"/>
      <sheetName val="본체철근표"/>
      <sheetName val="입찰안"/>
      <sheetName val=" HIT-&gt;HMC 견적(3900)"/>
      <sheetName val="노임,재료비"/>
      <sheetName val="토공 total"/>
      <sheetName val="6호기"/>
      <sheetName val="역공종"/>
      <sheetName val="특외대"/>
      <sheetName val="제-노임"/>
      <sheetName val="제직재"/>
      <sheetName val="1.설계조건"/>
      <sheetName val="중기"/>
      <sheetName val="ELEC"/>
      <sheetName val="율촌법률사무소2내역"/>
      <sheetName val="내역서(중수)"/>
      <sheetName val="CAT_5"/>
      <sheetName val="단가비교표_공통1"/>
      <sheetName val="CIVIL4"/>
      <sheetName val="시멘트"/>
      <sheetName val="N賃率_職"/>
      <sheetName val="102역사"/>
      <sheetName val="금액집계"/>
      <sheetName val="96정변2"/>
      <sheetName val="전기일위목록"/>
      <sheetName val="노무,재료"/>
      <sheetName val="견적"/>
      <sheetName val="사다리"/>
      <sheetName val="내역(원안-대안)"/>
      <sheetName val="수주추정"/>
      <sheetName val="조명시설"/>
      <sheetName val="내역서 "/>
      <sheetName val="식재가격"/>
      <sheetName val="식재총괄"/>
      <sheetName val="AV시스템"/>
      <sheetName val="20관리비율"/>
      <sheetName val="민속촌메뉴"/>
      <sheetName val="2F 회의실견적_5_14 일대_"/>
      <sheetName val="97"/>
      <sheetName val="일위대가목록 "/>
      <sheetName val="001"/>
      <sheetName val="단위내역서"/>
      <sheetName val="공사개요"/>
      <sheetName val="노무비"/>
      <sheetName val="조경일람"/>
      <sheetName val="guard(mac)"/>
      <sheetName val="설_(3)"/>
      <sheetName val="설_(2)"/>
      <sheetName val="3BL공동구_수량"/>
      <sheetName val="대치판정"/>
      <sheetName val="원가서"/>
      <sheetName val="주beam"/>
      <sheetName val="도급견적가"/>
      <sheetName val="부대공Ⅱ"/>
      <sheetName val="간접1"/>
      <sheetName val="장비가동"/>
      <sheetName val="내역관리1"/>
      <sheetName val="총수량집계표"/>
      <sheetName val="제작비추산총괄표"/>
      <sheetName val="갑"/>
      <sheetName val="갑지1"/>
      <sheetName val="전선 및 전선관"/>
      <sheetName val="내역(설계)"/>
      <sheetName val="백룡교차로"/>
      <sheetName val="산정교차로"/>
      <sheetName val="신영교차로"/>
      <sheetName val="물량입력"/>
      <sheetName val="일위(철거)"/>
      <sheetName val="E총15"/>
      <sheetName val="약품공급2"/>
      <sheetName val="카메라"/>
      <sheetName val="내역서(기성청구)"/>
      <sheetName val="(1)본선수량집계"/>
      <sheetName val="3.2제조설비"/>
      <sheetName val="노 무 비"/>
      <sheetName val="01상노임"/>
      <sheetName val="DATE"/>
      <sheetName val="200"/>
      <sheetName val="기계공사비집계(원안)"/>
      <sheetName val="내역표지"/>
      <sheetName val="청주(철골발주의뢰서)"/>
      <sheetName val="유기공정"/>
      <sheetName val="원본"/>
      <sheetName val="Sheet7(ㅅ)"/>
      <sheetName val="물량표"/>
      <sheetName val="첨부1"/>
      <sheetName val="토공집계표"/>
      <sheetName val="국내"/>
      <sheetName val="내역서 제출"/>
      <sheetName val="부하자료"/>
      <sheetName val="일위대가1"/>
      <sheetName val="현장관리비"/>
      <sheetName val="터널조도"/>
      <sheetName val="교각1"/>
      <sheetName val="단1"/>
      <sheetName val="원형1호맨홀토공수량"/>
      <sheetName val="소각장스케줄"/>
      <sheetName val="파일의이용"/>
      <sheetName val="부하계산서"/>
      <sheetName val="우각부보강"/>
      <sheetName val="ABUT수량-A1"/>
      <sheetName val="계수시트"/>
      <sheetName val="교사기준면적(초등)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WING3"/>
      <sheetName val="유림콘도"/>
      <sheetName val="상가분양"/>
      <sheetName val="3본사"/>
      <sheetName val="지점장"/>
      <sheetName val="하도급원가계산총괄표(식재)"/>
      <sheetName val="효성CB 1P기초"/>
      <sheetName val="경영상태"/>
      <sheetName val="sub"/>
      <sheetName val="반포2차"/>
      <sheetName val="공사착공계"/>
      <sheetName val="그림"/>
      <sheetName val="그림2"/>
      <sheetName val="배수내역"/>
      <sheetName val="기흥하도용"/>
      <sheetName val="봉방동근생"/>
      <sheetName val="기타 정보통신공사"/>
      <sheetName val="AIR_SHOWER(3인용)"/>
      <sheetName val="Customer_Databas"/>
      <sheetName val="토공(우물통,기타)_"/>
      <sheetName val="원가_(2)"/>
      <sheetName val="_HIT-&gt;HMC_견적(3900)"/>
      <sheetName val="노무비 근거"/>
      <sheetName val="내역서1"/>
      <sheetName val="2000년 공정표"/>
      <sheetName val="직접공사비"/>
      <sheetName val="설계조건"/>
      <sheetName val="1공구산출내역서"/>
      <sheetName val="별표 "/>
      <sheetName val="계약서"/>
      <sheetName val="통합집계표"/>
      <sheetName val="예가표"/>
      <sheetName val="찍기"/>
      <sheetName val="특별땅고르기"/>
      <sheetName val="민감도"/>
      <sheetName val="세골재  T2 변경 현황"/>
      <sheetName val="토공_total"/>
      <sheetName val="6PILE__(돌출)"/>
      <sheetName val="청도공장"/>
      <sheetName val="JUCKEYK"/>
      <sheetName val="PIPING"/>
      <sheetName val="수량총괄"/>
      <sheetName val="노무비단가"/>
      <sheetName val="세부내역서(전기)"/>
      <sheetName val="단가일람"/>
      <sheetName val="갑지.을지"/>
      <sheetName val="일위대가(1)"/>
      <sheetName val="자재표"/>
      <sheetName val="현장관리비참조"/>
      <sheetName val="부대"/>
      <sheetName val="일위CODE"/>
      <sheetName val="gyun"/>
      <sheetName val="암거단위"/>
      <sheetName val="연습"/>
      <sheetName val="산출0"/>
      <sheetName val="내역전기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수량산출"/>
      <sheetName val="수량집계"/>
      <sheetName val="노임단가"/>
      <sheetName val="자재단가"/>
      <sheetName val="중기"/>
      <sheetName val="운반거리"/>
      <sheetName val="단가산출서"/>
      <sheetName val="Sheet3"/>
      <sheetName val="SLAB"/>
      <sheetName val="직노"/>
      <sheetName val="차액보증"/>
      <sheetName val="일반공사"/>
      <sheetName val="DATE"/>
      <sheetName val="N賃率-職"/>
      <sheetName val="보차도경계석"/>
      <sheetName val="건축공사실행"/>
      <sheetName val="일위대가"/>
      <sheetName val="건축원가"/>
      <sheetName val="기둥(원형)"/>
      <sheetName val="기초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"/>
      <sheetName val="내역서"/>
      <sheetName val="일위대가목록"/>
      <sheetName val="식재일위"/>
      <sheetName val="시설일위대가"/>
      <sheetName val="기초일위대가"/>
      <sheetName val="노임단가"/>
      <sheetName val="단가조사"/>
      <sheetName val="중기집계"/>
      <sheetName val="중기일위"/>
      <sheetName val="중기단가"/>
      <sheetName val="Sheet1"/>
      <sheetName val="Sheet2"/>
      <sheetName val="Sheet3"/>
      <sheetName val="나사형 파형강관 부설 및 접합"/>
      <sheetName val="공사원가현황"/>
      <sheetName val="사업수지변동현황 (2)"/>
      <sheetName val="공용부위 특화 내역"/>
      <sheetName val="사유별 증가사유"/>
      <sheetName val="건축공사변경현황"/>
      <sheetName val="건축내역서"/>
      <sheetName val="공사집행계획서 (2)"/>
      <sheetName val="갑지 (2)"/>
      <sheetName val="을지(건축) (2)"/>
      <sheetName val="을지(토목)"/>
      <sheetName val="을지(추가공사) (2)"/>
      <sheetName val="공통가설공사변경현황"/>
      <sheetName val="공통가설내역서"/>
      <sheetName val="조경공사내역서"/>
      <sheetName val="토공사내역서"/>
      <sheetName val="전기공사"/>
      <sheetName val="골조정산안"/>
      <sheetName val="골조공사정산안ALT-1"/>
      <sheetName val="골조공사정산안 alt-2"/>
      <sheetName val="복도바닥대비표데코타일일반형"/>
      <sheetName val="복도바닥대비표 데코타일고급형"/>
      <sheetName val="복도벽체변경실행기준"/>
      <sheetName val="000000"/>
      <sheetName val="XXXX"/>
      <sheetName val="ITC집계2차 "/>
      <sheetName val="재료비"/>
      <sheetName val="향후투입분석"/>
      <sheetName val="노무비"/>
      <sheetName val="외주비"/>
      <sheetName val="장비비"/>
      <sheetName val="경비"/>
      <sheetName val="공종별"/>
      <sheetName val="SUM"/>
      <sheetName val="집행내역"/>
      <sheetName val="완성예측원가"/>
      <sheetName val="현장관리비실행분개"/>
      <sheetName val="현장관리비실행분개 (2)"/>
      <sheetName val="결제시보고"/>
      <sheetName val="민원보상비"/>
      <sheetName val="영업팀대통"/>
      <sheetName val="M-M"/>
      <sheetName val="미계약분"/>
      <sheetName val="코드변경"/>
      <sheetName val="예비비"/>
      <sheetName val="인건비투입현황"/>
      <sheetName val="일위대가(가설)"/>
      <sheetName val="조경시설물"/>
      <sheetName val="수목증감"/>
      <sheetName val="TITLE"/>
      <sheetName val="갑지"/>
      <sheetName val="도급내역집계"/>
      <sheetName val="도급내역"/>
      <sheetName val="공량집계"/>
      <sheetName val="일위대가 "/>
      <sheetName val="한전위탁공사비"/>
      <sheetName val="단가비교"/>
      <sheetName val="산출서"/>
      <sheetName val="공문"/>
      <sheetName val="일반공사"/>
      <sheetName val="총괄표"/>
      <sheetName val="건축공사 내역서(MODERN TYPE)"/>
      <sheetName val="건축공사 내역서 (CLASSIC TYPE) "/>
      <sheetName val="Chart3"/>
      <sheetName val="최종상품안"/>
      <sheetName val="2004년도"/>
      <sheetName val="집계표"/>
      <sheetName val="직노"/>
      <sheetName val="1공구산출내역서"/>
      <sheetName val="실행가실행대비"/>
      <sheetName val="실행구성비"/>
      <sheetName val="건축집계(동,공종별)"/>
      <sheetName val="Chart1"/>
      <sheetName val="Chart5"/>
      <sheetName val="금액변경"/>
      <sheetName val="총괄"/>
      <sheetName val="사급금액"/>
      <sheetName val="일위 (2)"/>
      <sheetName val="수량산출"/>
      <sheetName val="시중노임"/>
      <sheetName val="기계단가"/>
      <sheetName val="자재단가"/>
      <sheetName val="중기산출"/>
      <sheetName val="품의서"/>
      <sheetName val="1.변경사유서"/>
      <sheetName val="표지2"/>
      <sheetName val="2.대비"/>
      <sheetName val="토공철콘(통보사토포함)"/>
      <sheetName val="2.변경내역서"/>
      <sheetName val="표지3"/>
      <sheetName val="3.증감대비표"/>
      <sheetName val="3.금차분증감내역"/>
      <sheetName val="3.전체분증감내역"/>
      <sheetName val="표지1"/>
      <sheetName val="표지 "/>
      <sheetName val="목차"/>
      <sheetName val="1.공사개요 "/>
      <sheetName val="2.3.위치,조감"/>
      <sheetName val="5.조직도"/>
      <sheetName val="6.하도급현황"/>
      <sheetName val="7. 공사추진현황"/>
      <sheetName val="8.문제점대책"/>
      <sheetName val="예정공정표(수정)"/>
      <sheetName val="DATA"/>
      <sheetName val="인원조직(대내)"/>
      <sheetName val="교량"/>
      <sheetName val="터널변경사유"/>
      <sheetName val="공사비"/>
      <sheetName val="공항철도"/>
      <sheetName val="Sheet4"/>
      <sheetName val="Sheet5"/>
      <sheetName val="Sheet6"/>
      <sheetName val="터파기및재료"/>
      <sheetName val="건축공사실행"/>
      <sheetName val="Baby일위대가"/>
      <sheetName val="내곡리"/>
      <sheetName val="국방대학원"/>
      <sheetName val="팔현리"/>
      <sheetName val="폭포장모텔"/>
      <sheetName val="탄현동"/>
      <sheetName val="송포동"/>
      <sheetName val="갈매동"/>
      <sheetName val="뇌조리"/>
      <sheetName val="백신초등교"/>
      <sheetName val="원당역"/>
      <sheetName val="영평리"/>
      <sheetName val="준공확인 도면"/>
      <sheetName val="전송망구성 루트도"/>
      <sheetName val="찬재♥정희3"/>
      <sheetName val="기별(화현간134R14~R26,136)"/>
      <sheetName val="공정집계"/>
      <sheetName val="통보서(내리지200~222)"/>
      <sheetName val="루트도"/>
      <sheetName val="세부계통도"/>
      <sheetName val="기별(내리지200~222)"/>
      <sheetName val="기별(동교간58L20)"/>
      <sheetName val="기별(송우간177~178)"/>
      <sheetName val="기별(정교지144~146)"/>
      <sheetName val="준공사진"/>
      <sheetName val="실사보고서"/>
      <sheetName val="정산사진"/>
      <sheetName val="공사원가"/>
      <sheetName val="내역서_총괄"/>
      <sheetName val="광관로"/>
      <sheetName val="설계용역 "/>
      <sheetName val="사진대지"/>
      <sheetName val="매출 - Best"/>
      <sheetName val="매출 분석 - Best"/>
      <sheetName val="매출 - Moderate"/>
      <sheetName val="매출 분석 - Moderate"/>
      <sheetName val="매출 - Worst"/>
      <sheetName val="매출 분석 - Worst"/>
      <sheetName val="Cash Flow - Best"/>
      <sheetName val="Cash Flow - Moderate"/>
      <sheetName val="Cash Flow - Worst"/>
      <sheetName val="매출채권 - Best"/>
      <sheetName val="매출채권 전망 - Best"/>
      <sheetName val="매출채권 - Moderate"/>
      <sheetName val="매출채권 전망 - Moderate"/>
      <sheetName val="매출채권 - Worst"/>
      <sheetName val="매출채권 전망 - Worst"/>
      <sheetName val="사업성 분석 조건"/>
      <sheetName val="가입자전망"/>
      <sheetName val="임대료 원가 산정"/>
      <sheetName val="장비 개런티 예측 물량 "/>
      <sheetName val="장비 가격 12-07"/>
      <sheetName val="구입 의향조사"/>
      <sheetName val="홈네트워크 가입자 전망"/>
      <sheetName val="인구 인터넷 추이"/>
      <sheetName val="OPEX 전망"/>
      <sheetName val="현장관리비 06년"/>
      <sheetName val="현장관리비 07년"/>
      <sheetName val="현장관리비 08년"/>
      <sheetName val="현장관리비 09년"/>
      <sheetName val="현장관리비 10년"/>
      <sheetName val="장비 현장관리비 06년"/>
      <sheetName val="장비 현장관리비 07년"/>
      <sheetName val="장비 현장관리비 09년"/>
      <sheetName val="팀관리비 06년"/>
      <sheetName val="팀관리비 07년 이후"/>
      <sheetName val="Chart6"/>
      <sheetName val="Chart7"/>
      <sheetName val="Cash Flow 분석 - Best"/>
      <sheetName val="Cash Flow 분석 - Moderate"/>
      <sheetName val="Cash Flow 분석 - Worst"/>
      <sheetName val="배전도(CATV)"/>
      <sheetName val="준공확인도면(CATV)"/>
      <sheetName val="0226P(CATV)"/>
      <sheetName val="0226R(CATV)"/>
      <sheetName val="전송망구성루트도(CATV)"/>
      <sheetName val="CATV선번장"/>
      <sheetName val="최종시험성적서 (CATV)"/>
      <sheetName val="사진2"/>
      <sheetName val="시험성적서2"/>
      <sheetName val="개통확인서2"/>
      <sheetName val="선로기별"/>
      <sheetName val="장비자재"/>
      <sheetName val="장비노무"/>
      <sheetName val="실사도면"/>
      <sheetName val="Sheet7"/>
      <sheetName val="Sheet8"/>
      <sheetName val="한전지중화"/>
      <sheetName val="한전지중화(06년 투자분석)"/>
      <sheetName val="06년대비투자계획"/>
      <sheetName val="선로설비데이타보완"/>
      <sheetName val="임차설비자체망전환"/>
      <sheetName val="지장이설"/>
      <sheetName val="부적합시설정비"/>
      <sheetName val="VXXX"/>
      <sheetName val="계약서"/>
      <sheetName val="GSI"/>
      <sheetName val="공사설명서"/>
      <sheetName val="지역별공사비"/>
      <sheetName val="위치도(동구R-1충장로특화의거리)"/>
      <sheetName val="R-1"/>
      <sheetName val="토적"/>
      <sheetName val="재료(서부권)"/>
      <sheetName val="일위대가"/>
      <sheetName val="단위량_토적"/>
      <sheetName val="자재소운반(서부권)"/>
      <sheetName val="처리비(서부권)"/>
      <sheetName val="가설울타리(그림)"/>
      <sheetName val="가설울타리"/>
      <sheetName val="공사안내판"/>
      <sheetName val="보안등"/>
      <sheetName val="포장절단"/>
      <sheetName val="몰탈"/>
      <sheetName val="몰탈량"/>
      <sheetName val="몰탈식"/>
      <sheetName val="경고테이프 "/>
      <sheetName val="조립식방수관"/>
      <sheetName val="지수푸럭"/>
      <sheetName val="지수판,표지봉"/>
      <sheetName val="양수작업"/>
      <sheetName val="폐기물"/>
      <sheetName val="차선도색"/>
      <sheetName val="ASP"/>
      <sheetName val="소B"/>
      <sheetName val="피스표"/>
      <sheetName val="조견표"/>
      <sheetName val="중복장"/>
      <sheetName val="시방배합"/>
      <sheetName val="구조물재료"/>
      <sheetName val="주요자재조서(서부권)SKN"/>
      <sheetName val="수1호(산출)"/>
      <sheetName val="관로(1)"/>
      <sheetName val="표지"/>
      <sheetName val="광계통도"/>
      <sheetName val="개황도"/>
      <sheetName val="개황도 (2)"/>
      <sheetName val="시험성적서"/>
      <sheetName val="사진"/>
      <sheetName val="개통확인서"/>
      <sheetName val="1957X 074"/>
      <sheetName val="1957X 693"/>
      <sheetName val="1957H 651"/>
      <sheetName val="1957F 311"/>
      <sheetName val="1957H 651#2"/>
      <sheetName val="1957F 401"/>
      <sheetName val="1957F 131"/>
      <sheetName val="1957F 031"/>
      <sheetName val="OTDR 1.3"/>
      <sheetName val="OTDR 1.5"/>
      <sheetName val="POWER 1.3"/>
      <sheetName val="POWER 1.5"/>
      <sheetName val="DATA 1.3"/>
      <sheetName val="DATA 1.5"/>
      <sheetName val="종합기별"/>
      <sheetName val="장항106광계통도"/>
      <sheetName val="장항106개황도"/>
      <sheetName val="장항106 기별"/>
      <sheetName val="해변108광계통도"/>
      <sheetName val="해변108개황도"/>
      <sheetName val="해변108 기별"/>
      <sheetName val="농교지1광계통도"/>
      <sheetName val="농교지1개황도"/>
      <sheetName val="농교지1 기별"/>
      <sheetName val="장항60R8광계통도"/>
      <sheetName val="장항60R8개황도"/>
      <sheetName val="장항60R8 기별"/>
      <sheetName val="해변76L27광계통도"/>
      <sheetName val="해변76L27개황도"/>
      <sheetName val="해변76L27개황도 (2)"/>
      <sheetName val="해변76L27 기별"/>
      <sheetName val="한산선30R3H1광계통도"/>
      <sheetName val="한산선30R3H1개황도"/>
      <sheetName val="한산선30R3H1 기별"/>
      <sheetName val="서천장항#1링"/>
      <sheetName val="장항지점 광 계통도"/>
      <sheetName val="개황도 (3)"/>
      <sheetName val="준공검사"/>
      <sheetName val="행정도"/>
      <sheetName val="SW구성도"/>
      <sheetName val="기별(광)"/>
      <sheetName val="UTP(수직)"/>
      <sheetName val="동별시설내역"/>
      <sheetName val="랙실장도"/>
      <sheetName val="IP설정"/>
      <sheetName val="선번장"/>
      <sheetName val="광선번장"/>
      <sheetName val="UTP선번장"/>
      <sheetName val="SPEED TEST"/>
      <sheetName val="CONFIG"/>
      <sheetName val="지입자재"/>
      <sheetName val="사급자재"/>
      <sheetName val="환입의뢰서"/>
      <sheetName val="준공사진철"/>
      <sheetName val="확인서"/>
      <sheetName val="성동PC"/>
      <sheetName val="성동PRT"/>
      <sheetName val="32R1-38l19_OTDR 1.3"/>
      <sheetName val="32R1-38l19_OTDR 1.5"/>
      <sheetName val="32R1-38l19_POWER 1.3"/>
      <sheetName val="32R1-38l19_POWER 1.5"/>
      <sheetName val="32R1-38l19_DATA 1.3"/>
      <sheetName val="32R1-38l19_DATA 1.5"/>
      <sheetName val="설계기별명세서"/>
      <sheetName val="찬재♥정희4"/>
      <sheetName val="찬재♥정희5"/>
      <sheetName val="찬재♥정희6"/>
      <sheetName val="찬재♥정희7"/>
      <sheetName val="찬재♥정희8"/>
      <sheetName val="찬재♥정희9"/>
      <sheetName val="찬재♥정희10"/>
      <sheetName val="작업용"/>
      <sheetName val="광케이블시설및수전장소"/>
      <sheetName val="네트웍구성내역서_선로"/>
      <sheetName val="#REF"/>
      <sheetName val="영업가능리스트"/>
      <sheetName val="플러스"/>
      <sheetName val="설계예산내역서"/>
      <sheetName val="일위목록"/>
      <sheetName val="공통자재 단가표"/>
      <sheetName val="자재 단가표"/>
      <sheetName val="기계경비총괄표"/>
      <sheetName val="기계경비단가표"/>
      <sheetName val="기계경비산출"/>
      <sheetName val="2007기계경비산출표"/>
      <sheetName val="노임"/>
      <sheetName val="소요자재"/>
      <sheetName val="노무산출서"/>
      <sheetName val="차액보증"/>
      <sheetName val="카렌스센터계량기설치공사"/>
      <sheetName val="unit 4"/>
      <sheetName val="Book13"/>
      <sheetName val="내역표지"/>
      <sheetName val="6호기"/>
      <sheetName val="내역"/>
      <sheetName val="DATA1"/>
      <sheetName val="Chart2"/>
      <sheetName val="수주(월별)"/>
      <sheetName val="수주실적"/>
      <sheetName val="공사손익(총괄)"/>
      <sheetName val="공사손익(8%)"/>
      <sheetName val="기성집계"/>
      <sheetName val="원가집계"/>
      <sheetName val="수금집계(수금)"/>
      <sheetName val="미수금현황"/>
      <sheetName val="일반관리비"/>
      <sheetName val="별첨1"/>
      <sheetName val="별첨2"/>
      <sheetName val="영업외손익"/>
      <sheetName val="연간인원계획(참고용)"/>
      <sheetName val="8.인원현황"/>
      <sheetName val="6-1.인원현황"/>
      <sheetName val="7.재해현황"/>
      <sheetName val="★발표자료"/>
      <sheetName val="1.수주총괄"/>
      <sheetName val="2.손익총괄"/>
      <sheetName val="3.수금집계(수금)"/>
      <sheetName val="4.미수금현황"/>
      <sheetName val="손익총괄(실제원가)"/>
      <sheetName val="챠트(수주-전월)"/>
      <sheetName val="챠트(수주-당월)"/>
      <sheetName val="챠트(매출-전월)"/>
      <sheetName val="챠트(매출-당월)"/>
      <sheetName val="챠트(매출원가-전월)"/>
      <sheetName val="챠트(매출원가-당월)"/>
      <sheetName val="챠트(영업이익-전월)"/>
      <sheetName val="챠트(영업이익-당월)"/>
      <sheetName val="챠트(수금-전월)"/>
      <sheetName val="챠트(수금-당월)"/>
      <sheetName val="챠트(생산성-당월누계)"/>
      <sheetName val="일위대가(건축)"/>
      <sheetName val="노임이"/>
      <sheetName val="인천논현동"/>
      <sheetName val="타설일자"/>
      <sheetName val="견출일자"/>
      <sheetName val="공정표"/>
      <sheetName val="인천논현동 (2)"/>
      <sheetName val="원가"/>
      <sheetName val="석공사 (5)"/>
      <sheetName val="첨부물"/>
      <sheetName val="첨부물2"/>
      <sheetName val="첨부물3-Rev.3"/>
      <sheetName val="첨부물-3Rev.3"/>
      <sheetName val="첨부물-3Rev.2"/>
      <sheetName val="폐기"/>
      <sheetName val="폐기-1"/>
      <sheetName val="12.20일 협의사항 정리"/>
      <sheetName val="경비제외"/>
      <sheetName val="12.20일 협의사항 (2)"/>
      <sheetName val="경비포함됨"/>
      <sheetName val="12.20일 협의사항"/>
      <sheetName val="Sheet1 (2)"/>
      <sheetName val="철콘공사"/>
      <sheetName val="협조전"/>
      <sheetName val="2004 (수정)대체투입분"/>
      <sheetName val="ELECTRIC"/>
      <sheetName val="조직도"/>
      <sheetName val="기성"/>
      <sheetName val="년간실적"/>
      <sheetName val="잔여계약"/>
      <sheetName val="집계"/>
      <sheetName val="손익(세인트포)"/>
      <sheetName val="분석(묘산봉)"/>
      <sheetName val="손익(우리들)"/>
      <sheetName val="분석(우리들)"/>
      <sheetName val="Chart11"/>
      <sheetName val="계약"/>
      <sheetName val="분석(세인트포)"/>
      <sheetName val="손익(스카이힐)"/>
      <sheetName val="분석(스카이힐)"/>
      <sheetName val="Chart14"/>
      <sheetName val="도장"/>
      <sheetName val="YS-A"/>
      <sheetName val="단중표"/>
      <sheetName val="수량산출서"/>
      <sheetName val="입찰안"/>
      <sheetName val="total"/>
      <sheetName val="가시설단위수량"/>
      <sheetName val="가로등내역서"/>
      <sheetName val="도급내역서"/>
      <sheetName val="입상난방"/>
      <sheetName val="입상위생"/>
      <sheetName val="입상오배수"/>
      <sheetName val="입상가대"/>
      <sheetName val="입상소화"/>
      <sheetName val="개인DATA"/>
      <sheetName val="BSD (2)"/>
      <sheetName val="일위대가표"/>
      <sheetName val="수목총괄표-출력불가"/>
      <sheetName val="시설물,우배수총괄표-출력불가"/>
      <sheetName val="포장,토공 총괄표-출력불가"/>
      <sheetName val="1.총괄수량표"/>
      <sheetName val="2.주요자재집계표"/>
      <sheetName val="자재집계-주요자재"/>
      <sheetName val="자재집계-시멘트골재"/>
      <sheetName val="3.공종별자재집계표"/>
      <sheetName val="시설물공 자재집계"/>
      <sheetName val="우배수공 자재집계"/>
      <sheetName val="포장공 자재집계"/>
      <sheetName val="4.토공집계표"/>
      <sheetName val="토공총괄"/>
      <sheetName val="단위토공"/>
      <sheetName val="5.식재공"/>
      <sheetName val="잔디수량총괄표"/>
      <sheetName val="녹지구적"/>
      <sheetName val="마운딩,면고르기 수량"/>
      <sheetName val="수목관련시설물"/>
      <sheetName val="6.시설물공"/>
      <sheetName val="시설물 (유희시설)"/>
      <sheetName val="시설물"/>
      <sheetName val="시설물 (2)"/>
      <sheetName val="분수수량산출서"/>
      <sheetName val="7.우수공"/>
      <sheetName val="우수공"/>
      <sheetName val="8.포장공"/>
      <sheetName val="자재-바닥점토블럭"/>
      <sheetName val="자재-소형고압블럭"/>
      <sheetName val="포장"/>
      <sheetName val="9.부대공"/>
      <sheetName val="수량표(부대)"/>
      <sheetName val="부대공단위수량"/>
      <sheetName val="자재-부대"/>
      <sheetName val="중기투입대수"/>
      <sheetName val="중기운반횟수"/>
      <sheetName val="품질시험비 (2)"/>
      <sheetName val="시험비"/>
      <sheetName val="11.관리공사"/>
      <sheetName val="수목및잔디 관리공사"/>
      <sheetName val="내역서(삼호)"/>
      <sheetName val="총괄내역서"/>
      <sheetName val="물가자료"/>
      <sheetName val="수목표준대가"/>
      <sheetName val="계정"/>
      <sheetName val="저"/>
      <sheetName val="건축원가"/>
      <sheetName val="물량내역"/>
      <sheetName val="BUS제원1"/>
      <sheetName val="회의록"/>
      <sheetName val="회의록2"/>
      <sheetName val="현장진행현황"/>
      <sheetName val="현장현황"/>
      <sheetName val="사업부지현황"/>
      <sheetName val="진입로현황"/>
      <sheetName val="시행사발송공문"/>
      <sheetName val="시행사발송공문2"/>
      <sheetName val="사진대지1"/>
      <sheetName val="사진대지2"/>
      <sheetName val="사진대지3"/>
      <sheetName val="사진대지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고"/>
      <sheetName val="일위대가"/>
      <sheetName val="자재"/>
      <sheetName val="96노임기준"/>
      <sheetName val="산출내역서집계표"/>
      <sheetName val="터파기및재료"/>
      <sheetName val="수자재단위당"/>
      <sheetName val="4차원가계산서"/>
      <sheetName val="단가"/>
      <sheetName val="일위대가표"/>
      <sheetName val="2공구산출내역"/>
      <sheetName val="저"/>
      <sheetName val="상하차비용(기계상차)"/>
      <sheetName val="수간보호"/>
      <sheetName val="운반비"/>
      <sheetName val="자료"/>
      <sheetName val="단가산출서"/>
      <sheetName val="진주방향"/>
      <sheetName val="마산방향"/>
      <sheetName val="마산방향철근집계"/>
      <sheetName val="수목데이타 "/>
      <sheetName val="공사요율"/>
      <sheetName val="관급자재대"/>
      <sheetName val="직노"/>
      <sheetName val="내역(설계)"/>
      <sheetName val="실행내역 "/>
      <sheetName val="총괄내역"/>
      <sheetName val="내역서"/>
      <sheetName val="비탈면보호공수량산출"/>
      <sheetName val="ⴭⴭⴭⴭⴭ"/>
      <sheetName val="목록"/>
      <sheetName val="내역"/>
      <sheetName val="일위대가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수량집계"/>
      <sheetName val="포장조서"/>
      <sheetName val="재집"/>
      <sheetName val="재"/>
      <sheetName val="재집 (2)"/>
      <sheetName val="재 (2)"/>
      <sheetName val="재집(1)"/>
      <sheetName val="재(1)"/>
      <sheetName val="재집(2)"/>
      <sheetName val="재(2)"/>
      <sheetName val="재집(3)"/>
      <sheetName val="재(3)"/>
      <sheetName val="재집(4)"/>
      <sheetName val="재(4)"/>
      <sheetName val="재집(5)"/>
      <sheetName val="재(5)"/>
      <sheetName val="잔고집 "/>
      <sheetName val="경계석"/>
      <sheetName val="잔고조서"/>
      <sheetName val="주자집"/>
      <sheetName val="포조"/>
      <sheetName val="재료집계(1)"/>
      <sheetName val="인조잔디 "/>
      <sheetName val="재료집계(2)"/>
      <sheetName val="게이트볼"/>
      <sheetName val="재료집계(3)"/>
      <sheetName val="테니스장"/>
      <sheetName val="Sheet1"/>
      <sheetName val="갑지"/>
      <sheetName val="갑지 (2)"/>
      <sheetName val="VXXXXXXX"/>
      <sheetName val="선급금신청서"/>
      <sheetName val="내역서"/>
      <sheetName val="unit 4"/>
      <sheetName val="S058FL01"/>
      <sheetName val="일위대가"/>
      <sheetName val="원"/>
      <sheetName val="단위수량"/>
      <sheetName val="포장"/>
      <sheetName val="단가산출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(2)"/>
      <sheetName val="갑지"/>
      <sheetName val="총괄내역서"/>
      <sheetName val="원가계산서(횡)"/>
      <sheetName val="내역서"/>
      <sheetName val="일위대가목록"/>
      <sheetName val="일위대가"/>
      <sheetName val="중기단가"/>
      <sheetName val="인건비"/>
      <sheetName val="자재단가조사표"/>
      <sheetName val="견적조사표"/>
      <sheetName val="본체"/>
      <sheetName val="단가산출서"/>
      <sheetName val="이매지하차도꽃탑유지관리공사내역-1"/>
      <sheetName val="C.배수관공"/>
      <sheetName val="06 일위대가목록"/>
      <sheetName val="교대(A1-A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위단가"/>
      <sheetName val="이식대상수목현황"/>
      <sheetName val="이식피벗테이블"/>
      <sheetName val="이식장비상차비"/>
      <sheetName val="이식장비하차비"/>
      <sheetName val="자연석장비상차비"/>
      <sheetName val="자연석운반비"/>
      <sheetName val="굴삭기(사질토보통)"/>
      <sheetName val="굴삭기(점성토보통)"/>
      <sheetName val="중기단가산출근거"/>
      <sheetName val="토사운반비"/>
      <sheetName val="운반거리"/>
      <sheetName val="자연석장비하차비"/>
      <sheetName val="자연석장비놓기"/>
      <sheetName val="자연석장비쌓기"/>
      <sheetName val="자연석장비하차및놓기"/>
      <sheetName val="자연석장비하차및쌓기"/>
      <sheetName val="장비사용식재비"/>
      <sheetName val="불도우저터파기"/>
      <sheetName val="불도우저포설 및 정지"/>
      <sheetName val="불도우저운반"/>
      <sheetName val="다짐기계"/>
      <sheetName val="그레이더(평방당)설계적용"/>
      <sheetName val="살수차"/>
      <sheetName val="그레이더(평방당)"/>
      <sheetName val="그레이더(입방당)"/>
      <sheetName val="트랙터"/>
      <sheetName val="장비사용설계적용식재비"/>
      <sheetName val="이식수목인력상하차비"/>
      <sheetName val="이식수목상차지인력운반비"/>
      <sheetName val="이식수목하차지인력운반비"/>
      <sheetName val="이식목차량운반비"/>
      <sheetName val="자연석운반차량"/>
      <sheetName val="이식목운반차량"/>
      <sheetName val="수목중량산출"/>
      <sheetName val="야생수목뿌리분보호재료비"/>
      <sheetName val="야생수목굴취단가표"/>
      <sheetName val="이식수목"/>
      <sheetName val="본체"/>
      <sheetName val="수량산출"/>
      <sheetName val="장비공사"/>
      <sheetName val="일위대가"/>
      <sheetName val="불도우저포설_및_정지"/>
      <sheetName val="단가 및 재료비"/>
      <sheetName val="중기사용료산출근거"/>
      <sheetName val="단가산출2"/>
      <sheetName val="금강견적"/>
      <sheetName val="단위수량"/>
      <sheetName val="C.배수관공"/>
      <sheetName val="건축"/>
      <sheetName val="노무비단가"/>
      <sheetName val="기본단가표"/>
      <sheetName val="직노"/>
      <sheetName val="N賃率-職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단가산출서"/>
      <sheetName val="2공구산출내역"/>
      <sheetName val="8.PILE  (돌출)"/>
    </sheetNames>
    <sheetDataSet>
      <sheetData sheetId="0" refreshError="1">
        <row r="11">
          <cell r="B11">
            <v>64408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(폐기물)"/>
      <sheetName val="표지"/>
      <sheetName val="원가계산서"/>
      <sheetName val="내역서 "/>
      <sheetName val="대가목록"/>
      <sheetName val="기초일위대가"/>
      <sheetName val="시설일위대가 "/>
      <sheetName val="식재일위대가"/>
      <sheetName val="소운반 단가"/>
      <sheetName val="노임단가"/>
      <sheetName val="단가조사"/>
      <sheetName val="중기집계 "/>
      <sheetName val="중기단가"/>
      <sheetName val="단가산출"/>
      <sheetName val="단위단가"/>
      <sheetName val="본체"/>
      <sheetName val="일위대가"/>
      <sheetName val="단위수량"/>
      <sheetName val="수량산출"/>
      <sheetName val="목록"/>
      <sheetName val="내역서_"/>
      <sheetName val="시설일위대가_"/>
      <sheetName val="소운반_단가"/>
      <sheetName val="중기집계_"/>
      <sheetName val="공주-교대(A1)"/>
      <sheetName val="일위대가표"/>
      <sheetName val="기본단가표"/>
      <sheetName val="계약내역-"/>
      <sheetName val="특판제외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증감대비"/>
      <sheetName val="건축"/>
      <sheetName val="교대(A1-A2)"/>
      <sheetName val="목록1"/>
      <sheetName val="목록2"/>
      <sheetName val="중기"/>
      <sheetName val="원도급내역"/>
      <sheetName val="노임"/>
      <sheetName val="직노"/>
      <sheetName val="고분"/>
      <sheetName val="DATE"/>
      <sheetName val="금강견적"/>
      <sheetName val="역T형옹벽(3.0)"/>
      <sheetName val="자재"/>
      <sheetName val="단가 및 재료비"/>
      <sheetName val="교대(A1)"/>
      <sheetName val="중기사용료산출근거"/>
    </sheetNames>
    <sheetDataSet>
      <sheetData sheetId="0"/>
      <sheetData sheetId="1"/>
      <sheetData sheetId="2"/>
      <sheetData sheetId="3"/>
      <sheetData sheetId="4" refreshError="1">
        <row r="3">
          <cell r="D3" t="str">
            <v>터파기인력,0-1m</v>
          </cell>
          <cell r="E3">
            <v>1</v>
          </cell>
          <cell r="F3" t="str">
            <v>m3</v>
          </cell>
          <cell r="H3">
            <v>0</v>
          </cell>
          <cell r="J3">
            <v>7800</v>
          </cell>
          <cell r="L3">
            <v>0</v>
          </cell>
          <cell r="N3">
            <v>7800</v>
          </cell>
          <cell r="O3">
            <v>1</v>
          </cell>
        </row>
        <row r="4">
          <cell r="D4" t="str">
            <v>절취인력</v>
          </cell>
          <cell r="E4">
            <v>1</v>
          </cell>
          <cell r="F4" t="str">
            <v>m3</v>
          </cell>
          <cell r="H4">
            <v>0</v>
          </cell>
          <cell r="J4">
            <v>6240</v>
          </cell>
          <cell r="L4">
            <v>0</v>
          </cell>
          <cell r="N4">
            <v>6240</v>
          </cell>
          <cell r="O4">
            <v>2</v>
          </cell>
        </row>
        <row r="5">
          <cell r="D5" t="str">
            <v>잔토처리인력</v>
          </cell>
          <cell r="E5">
            <v>1</v>
          </cell>
          <cell r="F5" t="str">
            <v>m3</v>
          </cell>
          <cell r="H5">
            <v>0</v>
          </cell>
          <cell r="J5">
            <v>7800</v>
          </cell>
          <cell r="L5">
            <v>0</v>
          </cell>
          <cell r="N5">
            <v>7800</v>
          </cell>
          <cell r="O5">
            <v>3</v>
          </cell>
        </row>
        <row r="6">
          <cell r="D6" t="str">
            <v>되메우기인력</v>
          </cell>
          <cell r="E6">
            <v>1</v>
          </cell>
          <cell r="F6" t="str">
            <v>m3</v>
          </cell>
          <cell r="H6">
            <v>0</v>
          </cell>
          <cell r="J6">
            <v>3900</v>
          </cell>
          <cell r="L6">
            <v>0</v>
          </cell>
          <cell r="N6">
            <v>3900</v>
          </cell>
          <cell r="O6">
            <v>4</v>
          </cell>
        </row>
        <row r="7">
          <cell r="D7" t="str">
            <v>콘크리트인력타설2종,철근</v>
          </cell>
          <cell r="E7">
            <v>1</v>
          </cell>
          <cell r="F7" t="str">
            <v>m3</v>
          </cell>
          <cell r="H7">
            <v>0</v>
          </cell>
          <cell r="J7">
            <v>96900</v>
          </cell>
          <cell r="L7">
            <v>0</v>
          </cell>
          <cell r="N7">
            <v>96900</v>
          </cell>
          <cell r="O7">
            <v>5</v>
          </cell>
        </row>
        <row r="8">
          <cell r="D8" t="str">
            <v>콘크리트인력타설3종</v>
          </cell>
          <cell r="E8">
            <v>1</v>
          </cell>
          <cell r="F8" t="str">
            <v>m3</v>
          </cell>
          <cell r="H8">
            <v>0</v>
          </cell>
          <cell r="J8">
            <v>88930</v>
          </cell>
          <cell r="L8">
            <v>0</v>
          </cell>
          <cell r="N8">
            <v>88930</v>
          </cell>
          <cell r="O8">
            <v>6</v>
          </cell>
        </row>
        <row r="9">
          <cell r="D9" t="str">
            <v>콘크리트인력타설3종,무근</v>
          </cell>
          <cell r="E9">
            <v>1</v>
          </cell>
          <cell r="F9" t="str">
            <v>m3</v>
          </cell>
          <cell r="H9">
            <v>0</v>
          </cell>
          <cell r="J9">
            <v>88930</v>
          </cell>
          <cell r="L9">
            <v>0</v>
          </cell>
          <cell r="N9">
            <v>88930</v>
          </cell>
          <cell r="O9">
            <v>7</v>
          </cell>
        </row>
        <row r="10">
          <cell r="D10" t="str">
            <v>콘크리트인력타설4종,무근</v>
          </cell>
          <cell r="E10">
            <v>1</v>
          </cell>
          <cell r="F10" t="str">
            <v>m3</v>
          </cell>
          <cell r="H10">
            <v>0</v>
          </cell>
          <cell r="J10">
            <v>88930</v>
          </cell>
          <cell r="L10">
            <v>0</v>
          </cell>
          <cell r="N10">
            <v>88930</v>
          </cell>
          <cell r="O10">
            <v>8</v>
          </cell>
        </row>
        <row r="11">
          <cell r="D11" t="str">
            <v>몰탈1:2</v>
          </cell>
          <cell r="E11">
            <v>1</v>
          </cell>
          <cell r="F11" t="str">
            <v>m3</v>
          </cell>
          <cell r="H11">
            <v>0</v>
          </cell>
          <cell r="J11">
            <v>39000</v>
          </cell>
          <cell r="L11">
            <v>0</v>
          </cell>
          <cell r="N11">
            <v>39000</v>
          </cell>
          <cell r="O11">
            <v>9</v>
          </cell>
        </row>
        <row r="12">
          <cell r="D12" t="str">
            <v>몰탈1:3</v>
          </cell>
          <cell r="E12">
            <v>1</v>
          </cell>
          <cell r="F12" t="str">
            <v>m3</v>
          </cell>
          <cell r="H12">
            <v>0</v>
          </cell>
          <cell r="J12">
            <v>39000</v>
          </cell>
          <cell r="L12">
            <v>0</v>
          </cell>
          <cell r="N12">
            <v>39000</v>
          </cell>
          <cell r="O12">
            <v>10</v>
          </cell>
        </row>
        <row r="13">
          <cell r="D13" t="str">
            <v>잡철물제작설치철물,간단</v>
          </cell>
          <cell r="E13">
            <v>1</v>
          </cell>
          <cell r="F13" t="str">
            <v>TON</v>
          </cell>
          <cell r="H13">
            <v>53568</v>
          </cell>
          <cell r="J13">
            <v>2049940</v>
          </cell>
          <cell r="L13">
            <v>62976</v>
          </cell>
          <cell r="N13">
            <v>2166484</v>
          </cell>
          <cell r="O13">
            <v>11</v>
          </cell>
        </row>
        <row r="14">
          <cell r="D14" t="str">
            <v>잡철물제작설치스텐,간단</v>
          </cell>
          <cell r="E14">
            <v>1</v>
          </cell>
          <cell r="F14" t="str">
            <v>TON</v>
          </cell>
          <cell r="H14">
            <v>187990</v>
          </cell>
          <cell r="J14">
            <v>2049940</v>
          </cell>
          <cell r="L14">
            <v>62976</v>
          </cell>
          <cell r="N14">
            <v>2300906</v>
          </cell>
          <cell r="O14">
            <v>12</v>
          </cell>
        </row>
        <row r="15">
          <cell r="D15" t="str">
            <v>레미콘타설철근</v>
          </cell>
          <cell r="E15">
            <v>1</v>
          </cell>
          <cell r="F15" t="str">
            <v>m3</v>
          </cell>
          <cell r="H15">
            <v>0</v>
          </cell>
          <cell r="J15">
            <v>22700</v>
          </cell>
          <cell r="L15">
            <v>0</v>
          </cell>
          <cell r="N15">
            <v>22700</v>
          </cell>
          <cell r="O15">
            <v>13</v>
          </cell>
        </row>
        <row r="16">
          <cell r="D16" t="str">
            <v>레미콘타설무근</v>
          </cell>
          <cell r="E16">
            <v>1</v>
          </cell>
          <cell r="F16" t="str">
            <v>m3</v>
          </cell>
          <cell r="H16">
            <v>0</v>
          </cell>
          <cell r="J16">
            <v>20580</v>
          </cell>
          <cell r="L16">
            <v>0</v>
          </cell>
          <cell r="N16">
            <v>20580</v>
          </cell>
          <cell r="O16">
            <v>14</v>
          </cell>
        </row>
        <row r="17">
          <cell r="D17" t="str">
            <v>레미콘타설소형</v>
          </cell>
          <cell r="E17">
            <v>1</v>
          </cell>
          <cell r="F17" t="str">
            <v>m3</v>
          </cell>
          <cell r="H17">
            <v>0</v>
          </cell>
          <cell r="J17">
            <v>32460</v>
          </cell>
          <cell r="L17">
            <v>0</v>
          </cell>
          <cell r="N17">
            <v>32460</v>
          </cell>
          <cell r="O17">
            <v>15</v>
          </cell>
        </row>
        <row r="18">
          <cell r="D18" t="str">
            <v>합판거푸집 1회</v>
          </cell>
          <cell r="E18">
            <v>1</v>
          </cell>
          <cell r="F18" t="str">
            <v>m2</v>
          </cell>
          <cell r="H18">
            <v>9583</v>
          </cell>
          <cell r="J18">
            <v>30750</v>
          </cell>
          <cell r="L18">
            <v>0</v>
          </cell>
          <cell r="N18">
            <v>40333</v>
          </cell>
          <cell r="O18">
            <v>16</v>
          </cell>
        </row>
        <row r="19">
          <cell r="D19" t="str">
            <v>합판거푸집 3회</v>
          </cell>
          <cell r="E19">
            <v>1</v>
          </cell>
          <cell r="F19" t="str">
            <v>m2</v>
          </cell>
          <cell r="H19">
            <v>4417</v>
          </cell>
          <cell r="J19">
            <v>14483</v>
          </cell>
          <cell r="L19">
            <v>0</v>
          </cell>
          <cell r="N19">
            <v>18900</v>
          </cell>
          <cell r="O19">
            <v>17</v>
          </cell>
        </row>
        <row r="20">
          <cell r="D20" t="str">
            <v>합판거푸집 4회</v>
          </cell>
          <cell r="E20">
            <v>1</v>
          </cell>
          <cell r="F20" t="str">
            <v>m2</v>
          </cell>
          <cell r="H20">
            <v>3842</v>
          </cell>
          <cell r="J20">
            <v>12300</v>
          </cell>
          <cell r="L20">
            <v>0</v>
          </cell>
          <cell r="N20">
            <v>16142</v>
          </cell>
          <cell r="O20">
            <v>18</v>
          </cell>
        </row>
        <row r="21">
          <cell r="D21" t="str">
            <v>합판거푸집6회</v>
          </cell>
          <cell r="E21">
            <v>1</v>
          </cell>
          <cell r="F21" t="str">
            <v>m2</v>
          </cell>
          <cell r="H21">
            <v>3325</v>
          </cell>
          <cell r="J21">
            <v>9840</v>
          </cell>
          <cell r="L21">
            <v>0</v>
          </cell>
          <cell r="N21">
            <v>13165</v>
          </cell>
          <cell r="O21">
            <v>19</v>
          </cell>
        </row>
        <row r="22">
          <cell r="D22" t="str">
            <v>철근가공조립간단</v>
          </cell>
          <cell r="E22">
            <v>1</v>
          </cell>
          <cell r="F22" t="str">
            <v>TON</v>
          </cell>
          <cell r="H22">
            <v>2970</v>
          </cell>
          <cell r="J22">
            <v>322300</v>
          </cell>
          <cell r="L22">
            <v>0</v>
          </cell>
          <cell r="N22">
            <v>325270</v>
          </cell>
          <cell r="O22">
            <v>20</v>
          </cell>
        </row>
        <row r="23">
          <cell r="D23" t="str">
            <v>철근가공조립보통</v>
          </cell>
          <cell r="E23">
            <v>1</v>
          </cell>
          <cell r="F23" t="str">
            <v>TON</v>
          </cell>
          <cell r="H23">
            <v>3861</v>
          </cell>
          <cell r="J23">
            <v>363200</v>
          </cell>
          <cell r="L23">
            <v>0</v>
          </cell>
          <cell r="N23">
            <v>367061</v>
          </cell>
          <cell r="O23">
            <v>21</v>
          </cell>
        </row>
        <row r="24">
          <cell r="D24" t="str">
            <v>잡석다짐인력</v>
          </cell>
          <cell r="E24">
            <v>1</v>
          </cell>
          <cell r="F24" t="str">
            <v>m3</v>
          </cell>
          <cell r="H24">
            <v>0</v>
          </cell>
          <cell r="J24">
            <v>5070</v>
          </cell>
          <cell r="L24">
            <v>0</v>
          </cell>
          <cell r="N24">
            <v>5070</v>
          </cell>
          <cell r="O24">
            <v>22</v>
          </cell>
        </row>
        <row r="25">
          <cell r="D25" t="str">
            <v xml:space="preserve">몰탈바름 </v>
          </cell>
          <cell r="E25">
            <v>1</v>
          </cell>
          <cell r="F25" t="str">
            <v>m2</v>
          </cell>
          <cell r="H25">
            <v>0</v>
          </cell>
          <cell r="J25">
            <v>5400</v>
          </cell>
          <cell r="L25">
            <v>0</v>
          </cell>
          <cell r="N25">
            <v>5400</v>
          </cell>
          <cell r="O25">
            <v>23</v>
          </cell>
        </row>
        <row r="26">
          <cell r="D26" t="str">
            <v>와이어메쉬깔기#8,150x150</v>
          </cell>
          <cell r="E26">
            <v>1</v>
          </cell>
          <cell r="F26" t="str">
            <v>m2</v>
          </cell>
          <cell r="H26">
            <v>612</v>
          </cell>
          <cell r="J26">
            <v>876</v>
          </cell>
          <cell r="L26">
            <v>0</v>
          </cell>
          <cell r="N26">
            <v>1488</v>
          </cell>
          <cell r="O26">
            <v>24</v>
          </cell>
        </row>
        <row r="27">
          <cell r="D27" t="str">
            <v>석재판붙임습식,벽체</v>
          </cell>
          <cell r="E27">
            <v>1</v>
          </cell>
          <cell r="F27" t="str">
            <v>m2</v>
          </cell>
          <cell r="H27">
            <v>0</v>
          </cell>
          <cell r="J27">
            <v>58980</v>
          </cell>
          <cell r="L27">
            <v>0</v>
          </cell>
          <cell r="N27">
            <v>58980</v>
          </cell>
          <cell r="O27">
            <v>25</v>
          </cell>
        </row>
        <row r="28">
          <cell r="D28" t="str">
            <v>석재판붙임습식,바닥</v>
          </cell>
          <cell r="E28">
            <v>1</v>
          </cell>
          <cell r="F28" t="str">
            <v>m2</v>
          </cell>
          <cell r="H28">
            <v>0</v>
          </cell>
          <cell r="J28">
            <v>45030</v>
          </cell>
          <cell r="L28">
            <v>0</v>
          </cell>
          <cell r="N28">
            <v>45030</v>
          </cell>
          <cell r="O28">
            <v>26</v>
          </cell>
        </row>
        <row r="29">
          <cell r="D29" t="str">
            <v xml:space="preserve">타일붙임 </v>
          </cell>
          <cell r="E29">
            <v>1</v>
          </cell>
          <cell r="F29" t="str">
            <v>m2</v>
          </cell>
          <cell r="H29">
            <v>0</v>
          </cell>
          <cell r="J29">
            <v>24110</v>
          </cell>
          <cell r="L29">
            <v>0</v>
          </cell>
          <cell r="N29">
            <v>24110</v>
          </cell>
          <cell r="O29">
            <v>27</v>
          </cell>
        </row>
        <row r="30">
          <cell r="D30" t="str">
            <v xml:space="preserve">목재계단설치 </v>
          </cell>
          <cell r="E30">
            <v>1</v>
          </cell>
          <cell r="F30" t="str">
            <v>단</v>
          </cell>
          <cell r="H30">
            <v>0</v>
          </cell>
          <cell r="J30">
            <v>60250</v>
          </cell>
          <cell r="L30">
            <v>0</v>
          </cell>
          <cell r="N30">
            <v>60250</v>
          </cell>
          <cell r="O30">
            <v>28</v>
          </cell>
        </row>
        <row r="31">
          <cell r="D31" t="str">
            <v xml:space="preserve">목침목설치 </v>
          </cell>
          <cell r="E31">
            <v>1</v>
          </cell>
          <cell r="F31" t="str">
            <v>m2</v>
          </cell>
          <cell r="H31">
            <v>0</v>
          </cell>
          <cell r="J31">
            <v>6900</v>
          </cell>
          <cell r="L31">
            <v>0</v>
          </cell>
          <cell r="N31">
            <v>6900</v>
          </cell>
          <cell r="O31">
            <v>29</v>
          </cell>
        </row>
        <row r="32">
          <cell r="D32" t="str">
            <v>앵카볼트설치D13-16</v>
          </cell>
          <cell r="E32">
            <v>1</v>
          </cell>
          <cell r="F32" t="str">
            <v>개소</v>
          </cell>
          <cell r="H32">
            <v>0</v>
          </cell>
          <cell r="J32">
            <v>4880</v>
          </cell>
          <cell r="L32">
            <v>0</v>
          </cell>
          <cell r="N32">
            <v>4880</v>
          </cell>
          <cell r="O32">
            <v>30</v>
          </cell>
        </row>
        <row r="33">
          <cell r="D33" t="str">
            <v>경계석놓기 A화강암</v>
          </cell>
          <cell r="E33">
            <v>1</v>
          </cell>
          <cell r="F33" t="str">
            <v>m</v>
          </cell>
          <cell r="H33">
            <v>0</v>
          </cell>
          <cell r="J33">
            <v>16050</v>
          </cell>
          <cell r="L33">
            <v>0</v>
          </cell>
          <cell r="N33">
            <v>16050</v>
          </cell>
          <cell r="O33">
            <v>31</v>
          </cell>
        </row>
        <row r="34">
          <cell r="D34" t="str">
            <v xml:space="preserve">경계석놓기 B </v>
          </cell>
          <cell r="E34">
            <v>1</v>
          </cell>
          <cell r="F34" t="str">
            <v>m</v>
          </cell>
          <cell r="H34">
            <v>0</v>
          </cell>
          <cell r="J34">
            <v>7200</v>
          </cell>
          <cell r="L34">
            <v>0</v>
          </cell>
          <cell r="N34">
            <v>7200</v>
          </cell>
          <cell r="O34">
            <v>32</v>
          </cell>
        </row>
        <row r="35">
          <cell r="D35" t="str">
            <v xml:space="preserve">경계석놓기 C </v>
          </cell>
          <cell r="E35">
            <v>1</v>
          </cell>
          <cell r="F35" t="str">
            <v>m</v>
          </cell>
          <cell r="H35">
            <v>0</v>
          </cell>
          <cell r="J35">
            <v>5480</v>
          </cell>
          <cell r="L35">
            <v>0</v>
          </cell>
          <cell r="N35">
            <v>5480</v>
          </cell>
          <cell r="O35">
            <v>33</v>
          </cell>
        </row>
        <row r="36">
          <cell r="D36" t="str">
            <v>목재가공조립뼈대</v>
          </cell>
          <cell r="E36">
            <v>1</v>
          </cell>
          <cell r="F36" t="str">
            <v>m3</v>
          </cell>
          <cell r="H36">
            <v>0</v>
          </cell>
          <cell r="J36">
            <v>480170</v>
          </cell>
          <cell r="L36">
            <v>0</v>
          </cell>
          <cell r="N36">
            <v>480170</v>
          </cell>
          <cell r="O36">
            <v>34</v>
          </cell>
        </row>
        <row r="37">
          <cell r="D37" t="str">
            <v xml:space="preserve">나무말뚝박기 </v>
          </cell>
          <cell r="E37">
            <v>1</v>
          </cell>
          <cell r="F37" t="str">
            <v>개</v>
          </cell>
          <cell r="H37">
            <v>0</v>
          </cell>
          <cell r="J37">
            <v>1365</v>
          </cell>
          <cell r="L37">
            <v>0</v>
          </cell>
          <cell r="N37">
            <v>1365</v>
          </cell>
          <cell r="O37">
            <v>35</v>
          </cell>
        </row>
        <row r="38">
          <cell r="D38" t="str">
            <v xml:space="preserve">벽돌평깔기 </v>
          </cell>
          <cell r="E38">
            <v>1</v>
          </cell>
          <cell r="F38" t="str">
            <v>m2</v>
          </cell>
          <cell r="H38">
            <v>0</v>
          </cell>
          <cell r="J38">
            <v>10569</v>
          </cell>
          <cell r="L38">
            <v>0</v>
          </cell>
          <cell r="N38">
            <v>10569</v>
          </cell>
          <cell r="O38">
            <v>36</v>
          </cell>
        </row>
        <row r="39">
          <cell r="D39" t="str">
            <v>벽돌쌓기0.5B</v>
          </cell>
          <cell r="E39">
            <v>1</v>
          </cell>
          <cell r="F39" t="str">
            <v>매</v>
          </cell>
          <cell r="H39">
            <v>0</v>
          </cell>
          <cell r="J39">
            <v>165</v>
          </cell>
          <cell r="L39">
            <v>0</v>
          </cell>
          <cell r="N39">
            <v>165</v>
          </cell>
          <cell r="O39">
            <v>37</v>
          </cell>
        </row>
        <row r="40">
          <cell r="D40" t="str">
            <v>벽돌쌓기1.0B</v>
          </cell>
          <cell r="E40">
            <v>1</v>
          </cell>
          <cell r="F40" t="str">
            <v>매</v>
          </cell>
          <cell r="H40">
            <v>0</v>
          </cell>
          <cell r="J40">
            <v>151</v>
          </cell>
          <cell r="L40">
            <v>0</v>
          </cell>
          <cell r="N40">
            <v>151</v>
          </cell>
          <cell r="O40">
            <v>38</v>
          </cell>
        </row>
        <row r="41">
          <cell r="D41" t="str">
            <v>벽돌쌓기2.0B</v>
          </cell>
          <cell r="E41">
            <v>1</v>
          </cell>
          <cell r="F41" t="str">
            <v>매</v>
          </cell>
          <cell r="H41">
            <v>0</v>
          </cell>
          <cell r="J41">
            <v>119</v>
          </cell>
          <cell r="L41">
            <v>0</v>
          </cell>
          <cell r="N41">
            <v>119</v>
          </cell>
          <cell r="O41">
            <v>39</v>
          </cell>
        </row>
        <row r="42">
          <cell r="D42" t="str">
            <v>강관비계3개월까지</v>
          </cell>
          <cell r="E42">
            <v>1</v>
          </cell>
          <cell r="F42" t="str">
            <v>m2</v>
          </cell>
          <cell r="H42">
            <v>837</v>
          </cell>
          <cell r="J42">
            <v>6500</v>
          </cell>
          <cell r="L42">
            <v>0</v>
          </cell>
          <cell r="N42">
            <v>7337</v>
          </cell>
          <cell r="O42">
            <v>40</v>
          </cell>
        </row>
        <row r="43">
          <cell r="D43" t="str">
            <v xml:space="preserve">자연석헐기 </v>
          </cell>
          <cell r="E43">
            <v>1</v>
          </cell>
          <cell r="F43" t="str">
            <v>m2</v>
          </cell>
          <cell r="H43">
            <v>1893</v>
          </cell>
          <cell r="J43">
            <v>10647</v>
          </cell>
          <cell r="L43">
            <v>3580</v>
          </cell>
          <cell r="N43">
            <v>16120</v>
          </cell>
          <cell r="O43">
            <v>41</v>
          </cell>
        </row>
        <row r="44">
          <cell r="D44" t="str">
            <v xml:space="preserve">휀스철거 </v>
          </cell>
          <cell r="E44">
            <v>1</v>
          </cell>
          <cell r="F44" t="str">
            <v>경간</v>
          </cell>
          <cell r="H44">
            <v>0</v>
          </cell>
          <cell r="J44">
            <v>3432</v>
          </cell>
          <cell r="L44">
            <v>0</v>
          </cell>
          <cell r="N44">
            <v>3432</v>
          </cell>
          <cell r="O44">
            <v>42</v>
          </cell>
        </row>
        <row r="45">
          <cell r="D45" t="str">
            <v xml:space="preserve">보도블럭철거 </v>
          </cell>
          <cell r="E45">
            <v>1</v>
          </cell>
          <cell r="F45" t="str">
            <v>m2</v>
          </cell>
          <cell r="H45">
            <v>68</v>
          </cell>
          <cell r="J45">
            <v>1365</v>
          </cell>
          <cell r="L45">
            <v>0</v>
          </cell>
          <cell r="N45">
            <v>1433</v>
          </cell>
          <cell r="O45">
            <v>43</v>
          </cell>
        </row>
        <row r="46">
          <cell r="D46" t="str">
            <v xml:space="preserve">목재철거 </v>
          </cell>
          <cell r="E46">
            <v>1</v>
          </cell>
          <cell r="F46" t="str">
            <v>m2</v>
          </cell>
          <cell r="H46">
            <v>0</v>
          </cell>
          <cell r="J46">
            <v>1170</v>
          </cell>
          <cell r="L46">
            <v>0</v>
          </cell>
          <cell r="N46">
            <v>1170</v>
          </cell>
          <cell r="O46">
            <v>44</v>
          </cell>
        </row>
        <row r="47">
          <cell r="D47" t="str">
            <v xml:space="preserve">잡철물철거 </v>
          </cell>
          <cell r="E47">
            <v>1</v>
          </cell>
          <cell r="F47" t="str">
            <v>TON</v>
          </cell>
          <cell r="H47">
            <v>15281</v>
          </cell>
          <cell r="J47">
            <v>181000</v>
          </cell>
          <cell r="L47">
            <v>0</v>
          </cell>
          <cell r="N47">
            <v>196281</v>
          </cell>
          <cell r="O47">
            <v>45</v>
          </cell>
        </row>
        <row r="48">
          <cell r="D48" t="str">
            <v>대형브레카+백호우0.7m3</v>
          </cell>
          <cell r="E48">
            <v>1</v>
          </cell>
          <cell r="F48" t="str">
            <v>HR</v>
          </cell>
          <cell r="H48">
            <v>8806</v>
          </cell>
          <cell r="J48">
            <v>21129</v>
          </cell>
          <cell r="L48">
            <v>25795</v>
          </cell>
          <cell r="N48">
            <v>55730</v>
          </cell>
          <cell r="O48">
            <v>46</v>
          </cell>
        </row>
        <row r="49">
          <cell r="D49" t="str">
            <v xml:space="preserve">옹벽배수판 </v>
          </cell>
          <cell r="E49">
            <v>1</v>
          </cell>
          <cell r="F49" t="str">
            <v>m2</v>
          </cell>
          <cell r="H49">
            <v>5197</v>
          </cell>
          <cell r="J49">
            <v>5660</v>
          </cell>
          <cell r="L49">
            <v>169</v>
          </cell>
          <cell r="N49">
            <v>11026</v>
          </cell>
          <cell r="O49">
            <v>47</v>
          </cell>
        </row>
        <row r="50">
          <cell r="D50" t="str">
            <v>PVC 파이프설치D75mm</v>
          </cell>
          <cell r="E50">
            <v>1</v>
          </cell>
          <cell r="F50" t="str">
            <v>m</v>
          </cell>
          <cell r="H50">
            <v>1436</v>
          </cell>
          <cell r="J50">
            <v>71</v>
          </cell>
          <cell r="L50">
            <v>0</v>
          </cell>
          <cell r="N50">
            <v>1507</v>
          </cell>
          <cell r="O50">
            <v>48</v>
          </cell>
        </row>
        <row r="51">
          <cell r="D51" t="str">
            <v>우수맨홀(차도측)D900,H=1.6</v>
          </cell>
          <cell r="E51">
            <v>1</v>
          </cell>
          <cell r="F51" t="str">
            <v>EA</v>
          </cell>
          <cell r="H51">
            <v>170261</v>
          </cell>
          <cell r="J51">
            <v>130557</v>
          </cell>
          <cell r="L51">
            <v>0</v>
          </cell>
          <cell r="N51">
            <v>300818</v>
          </cell>
          <cell r="O51">
            <v>49</v>
          </cell>
        </row>
        <row r="52">
          <cell r="D52" t="str">
            <v>맨홀뚜껑설치차도측</v>
          </cell>
          <cell r="E52">
            <v>1</v>
          </cell>
          <cell r="F52" t="str">
            <v>개소</v>
          </cell>
          <cell r="H52">
            <v>104400</v>
          </cell>
          <cell r="J52">
            <v>11700</v>
          </cell>
          <cell r="L52">
            <v>0</v>
          </cell>
          <cell r="N52">
            <v>116100</v>
          </cell>
          <cell r="O52">
            <v>50</v>
          </cell>
        </row>
        <row r="53">
          <cell r="D53" t="str">
            <v>PE원형우수맨홀거푸집D900(차도측)</v>
          </cell>
          <cell r="E53">
            <v>1</v>
          </cell>
          <cell r="F53" t="str">
            <v>EA</v>
          </cell>
          <cell r="H53">
            <v>65772</v>
          </cell>
          <cell r="J53">
            <v>77950</v>
          </cell>
          <cell r="L53">
            <v>0</v>
          </cell>
          <cell r="N53">
            <v>143722</v>
          </cell>
          <cell r="O53">
            <v>51</v>
          </cell>
        </row>
        <row r="54">
          <cell r="D54" t="str">
            <v>흄관접합 및 부설D300m/m</v>
          </cell>
          <cell r="E54">
            <v>1</v>
          </cell>
          <cell r="F54" t="str">
            <v>본</v>
          </cell>
          <cell r="H54">
            <v>0</v>
          </cell>
          <cell r="J54">
            <v>47356</v>
          </cell>
          <cell r="L54">
            <v>0</v>
          </cell>
          <cell r="N54">
            <v>47356</v>
          </cell>
          <cell r="O54">
            <v>52</v>
          </cell>
        </row>
        <row r="55">
          <cell r="D55" t="str">
            <v>흄관접합 및 부설D450m/m</v>
          </cell>
          <cell r="E55">
            <v>1</v>
          </cell>
          <cell r="F55" t="str">
            <v>본</v>
          </cell>
          <cell r="H55">
            <v>2222</v>
          </cell>
          <cell r="J55">
            <v>47877</v>
          </cell>
          <cell r="L55">
            <v>10605</v>
          </cell>
          <cell r="N55">
            <v>60704</v>
          </cell>
          <cell r="O55">
            <v>53</v>
          </cell>
        </row>
        <row r="56">
          <cell r="D56" t="str">
            <v>집수정900x900</v>
          </cell>
          <cell r="E56">
            <v>1</v>
          </cell>
          <cell r="F56" t="str">
            <v>EA</v>
          </cell>
          <cell r="H56">
            <v>179399</v>
          </cell>
          <cell r="J56">
            <v>333928</v>
          </cell>
          <cell r="L56">
            <v>0</v>
          </cell>
          <cell r="N56">
            <v>513327</v>
          </cell>
          <cell r="O56">
            <v>54</v>
          </cell>
        </row>
        <row r="57">
          <cell r="D57" t="str">
            <v>집수정600x600</v>
          </cell>
          <cell r="E57">
            <v>1</v>
          </cell>
          <cell r="F57" t="str">
            <v>EA</v>
          </cell>
          <cell r="H57">
            <v>99850</v>
          </cell>
          <cell r="J57">
            <v>204377</v>
          </cell>
          <cell r="L57">
            <v>0</v>
          </cell>
          <cell r="N57">
            <v>304227</v>
          </cell>
          <cell r="O57">
            <v>55</v>
          </cell>
        </row>
        <row r="58">
          <cell r="D58" t="str">
            <v>U형측구200x200</v>
          </cell>
          <cell r="E58">
            <v>1</v>
          </cell>
          <cell r="F58" t="str">
            <v>m</v>
          </cell>
          <cell r="H58">
            <v>31540</v>
          </cell>
          <cell r="J58">
            <v>20242</v>
          </cell>
          <cell r="L58">
            <v>0</v>
          </cell>
          <cell r="N58">
            <v>51782</v>
          </cell>
          <cell r="O58">
            <v>56</v>
          </cell>
        </row>
        <row r="59">
          <cell r="D59" t="str">
            <v>U형측구200x500</v>
          </cell>
          <cell r="E59">
            <v>1</v>
          </cell>
          <cell r="F59" t="str">
            <v>m</v>
          </cell>
          <cell r="H59">
            <v>36157</v>
          </cell>
          <cell r="J59">
            <v>37498</v>
          </cell>
          <cell r="L59">
            <v>0</v>
          </cell>
          <cell r="N59">
            <v>73655</v>
          </cell>
          <cell r="O59">
            <v>57</v>
          </cell>
        </row>
        <row r="60">
          <cell r="D60" t="str">
            <v>벤치플륨관D300</v>
          </cell>
          <cell r="E60">
            <v>1</v>
          </cell>
          <cell r="F60" t="str">
            <v>m</v>
          </cell>
          <cell r="H60">
            <v>8185</v>
          </cell>
          <cell r="J60">
            <v>6090</v>
          </cell>
          <cell r="L60">
            <v>2757</v>
          </cell>
          <cell r="N60">
            <v>17032</v>
          </cell>
          <cell r="O60">
            <v>58</v>
          </cell>
        </row>
        <row r="61">
          <cell r="D61" t="str">
            <v xml:space="preserve">침사지집수정 </v>
          </cell>
          <cell r="E61">
            <v>1</v>
          </cell>
          <cell r="F61" t="str">
            <v>개소</v>
          </cell>
          <cell r="H61">
            <v>178809</v>
          </cell>
          <cell r="J61">
            <v>346018</v>
          </cell>
          <cell r="L61">
            <v>0</v>
          </cell>
          <cell r="N61">
            <v>524827</v>
          </cell>
          <cell r="O61">
            <v>59</v>
          </cell>
        </row>
        <row r="62">
          <cell r="D62" t="str">
            <v xml:space="preserve">침사지보호벽 </v>
          </cell>
          <cell r="E62">
            <v>1</v>
          </cell>
          <cell r="F62" t="str">
            <v>개소</v>
          </cell>
          <cell r="H62">
            <v>51044</v>
          </cell>
          <cell r="J62">
            <v>286893</v>
          </cell>
          <cell r="L62">
            <v>0</v>
          </cell>
          <cell r="N62">
            <v>337937</v>
          </cell>
          <cell r="O62">
            <v>60</v>
          </cell>
        </row>
        <row r="63">
          <cell r="D63" t="str">
            <v xml:space="preserve">침사지 </v>
          </cell>
          <cell r="E63">
            <v>1</v>
          </cell>
          <cell r="F63" t="str">
            <v>개소</v>
          </cell>
          <cell r="H63">
            <v>229853</v>
          </cell>
          <cell r="J63">
            <v>632911</v>
          </cell>
          <cell r="L63">
            <v>0</v>
          </cell>
          <cell r="N63">
            <v>862764</v>
          </cell>
          <cell r="O63">
            <v>61</v>
          </cell>
        </row>
        <row r="64">
          <cell r="D64" t="str">
            <v>L형측구설치B=50cm</v>
          </cell>
          <cell r="E64">
            <v>1</v>
          </cell>
          <cell r="F64" t="str">
            <v>m</v>
          </cell>
          <cell r="H64">
            <v>665</v>
          </cell>
          <cell r="J64">
            <v>5051</v>
          </cell>
          <cell r="L64">
            <v>0</v>
          </cell>
          <cell r="N64">
            <v>5716</v>
          </cell>
          <cell r="O64">
            <v>62</v>
          </cell>
        </row>
        <row r="65">
          <cell r="D65" t="str">
            <v>소형고압블럭포장T60</v>
          </cell>
          <cell r="E65">
            <v>1</v>
          </cell>
          <cell r="F65" t="str">
            <v>m2</v>
          </cell>
          <cell r="H65">
            <v>4841</v>
          </cell>
          <cell r="J65">
            <v>7853</v>
          </cell>
          <cell r="L65">
            <v>131</v>
          </cell>
          <cell r="N65">
            <v>12825</v>
          </cell>
          <cell r="O65">
            <v>63</v>
          </cell>
        </row>
        <row r="66">
          <cell r="D66" t="str">
            <v xml:space="preserve">노면다짐 </v>
          </cell>
          <cell r="E66">
            <v>1</v>
          </cell>
          <cell r="F66" t="str">
            <v>m2</v>
          </cell>
          <cell r="H66">
            <v>10</v>
          </cell>
          <cell r="J66">
            <v>79</v>
          </cell>
          <cell r="L66">
            <v>12</v>
          </cell>
          <cell r="N66">
            <v>101</v>
          </cell>
          <cell r="O66">
            <v>64</v>
          </cell>
        </row>
        <row r="67">
          <cell r="D67" t="str">
            <v>점토벽돌포장"A"T50</v>
          </cell>
          <cell r="E67">
            <v>1</v>
          </cell>
          <cell r="F67" t="str">
            <v>m2</v>
          </cell>
          <cell r="H67">
            <v>91</v>
          </cell>
          <cell r="J67">
            <v>7853</v>
          </cell>
          <cell r="L67">
            <v>131</v>
          </cell>
          <cell r="N67">
            <v>8075</v>
          </cell>
          <cell r="O67">
            <v>65</v>
          </cell>
        </row>
        <row r="68">
          <cell r="D68" t="str">
            <v>점토벽돌포장"B"T50</v>
          </cell>
          <cell r="E68">
            <v>1</v>
          </cell>
          <cell r="F68" t="str">
            <v>m2</v>
          </cell>
          <cell r="H68">
            <v>91</v>
          </cell>
          <cell r="J68">
            <v>7853</v>
          </cell>
          <cell r="L68">
            <v>131</v>
          </cell>
          <cell r="N68">
            <v>8075</v>
          </cell>
          <cell r="O68">
            <v>66</v>
          </cell>
        </row>
        <row r="69">
          <cell r="D69" t="str">
            <v>점토벽돌포장"C"T50</v>
          </cell>
          <cell r="E69">
            <v>1</v>
          </cell>
          <cell r="F69" t="str">
            <v>m2</v>
          </cell>
          <cell r="H69">
            <v>91</v>
          </cell>
          <cell r="J69">
            <v>7853</v>
          </cell>
          <cell r="L69">
            <v>131</v>
          </cell>
          <cell r="N69">
            <v>8075</v>
          </cell>
          <cell r="O69">
            <v>67</v>
          </cell>
        </row>
        <row r="70">
          <cell r="D70" t="str">
            <v>점토벽돌포장"D"T50</v>
          </cell>
          <cell r="E70">
            <v>1</v>
          </cell>
          <cell r="F70" t="str">
            <v>m2</v>
          </cell>
          <cell r="H70">
            <v>91</v>
          </cell>
          <cell r="J70">
            <v>7853</v>
          </cell>
          <cell r="L70">
            <v>131</v>
          </cell>
          <cell r="N70">
            <v>8075</v>
          </cell>
          <cell r="O70">
            <v>68</v>
          </cell>
        </row>
        <row r="71">
          <cell r="D71" t="str">
            <v>점토벽돌포장"E"T50</v>
          </cell>
          <cell r="E71">
            <v>1</v>
          </cell>
          <cell r="F71" t="str">
            <v>m2</v>
          </cell>
          <cell r="H71">
            <v>91</v>
          </cell>
          <cell r="J71">
            <v>7853</v>
          </cell>
          <cell r="L71">
            <v>131</v>
          </cell>
          <cell r="N71">
            <v>8075</v>
          </cell>
          <cell r="O71">
            <v>69</v>
          </cell>
        </row>
        <row r="72">
          <cell r="D72" t="str">
            <v>고무블럭포장T50</v>
          </cell>
          <cell r="E72">
            <v>1</v>
          </cell>
          <cell r="F72" t="str">
            <v>m2</v>
          </cell>
          <cell r="H72">
            <v>28801</v>
          </cell>
          <cell r="J72">
            <v>7853</v>
          </cell>
          <cell r="L72">
            <v>131</v>
          </cell>
          <cell r="N72">
            <v>36785</v>
          </cell>
          <cell r="O72">
            <v>70</v>
          </cell>
        </row>
        <row r="73">
          <cell r="D73" t="str">
            <v>화강석판석포장"A"T30</v>
          </cell>
          <cell r="E73">
            <v>1</v>
          </cell>
          <cell r="F73" t="str">
            <v>m2</v>
          </cell>
          <cell r="H73">
            <v>706</v>
          </cell>
          <cell r="J73">
            <v>52268</v>
          </cell>
          <cell r="L73">
            <v>160</v>
          </cell>
          <cell r="N73">
            <v>53134</v>
          </cell>
          <cell r="O73">
            <v>71</v>
          </cell>
        </row>
        <row r="74">
          <cell r="D74" t="str">
            <v>화강석판석포장"B"T30</v>
          </cell>
          <cell r="E74">
            <v>1</v>
          </cell>
          <cell r="F74" t="str">
            <v>m2</v>
          </cell>
          <cell r="H74">
            <v>706</v>
          </cell>
          <cell r="J74">
            <v>52268</v>
          </cell>
          <cell r="L74">
            <v>160</v>
          </cell>
          <cell r="N74">
            <v>53134</v>
          </cell>
          <cell r="O74">
            <v>72</v>
          </cell>
        </row>
        <row r="75">
          <cell r="D75" t="str">
            <v>화강석판석포장"C"T30</v>
          </cell>
          <cell r="E75">
            <v>1</v>
          </cell>
          <cell r="F75" t="str">
            <v>m2</v>
          </cell>
          <cell r="H75">
            <v>706</v>
          </cell>
          <cell r="J75">
            <v>52268</v>
          </cell>
          <cell r="L75">
            <v>160</v>
          </cell>
          <cell r="N75">
            <v>53134</v>
          </cell>
          <cell r="O75">
            <v>73</v>
          </cell>
        </row>
        <row r="76">
          <cell r="D76" t="str">
            <v>자연석판석포장T50-80</v>
          </cell>
          <cell r="E76">
            <v>1</v>
          </cell>
          <cell r="F76" t="str">
            <v>m2</v>
          </cell>
          <cell r="H76">
            <v>25417</v>
          </cell>
          <cell r="J76">
            <v>912</v>
          </cell>
          <cell r="L76">
            <v>0</v>
          </cell>
          <cell r="N76">
            <v>26329</v>
          </cell>
          <cell r="O76">
            <v>74</v>
          </cell>
        </row>
        <row r="77">
          <cell r="D77" t="str">
            <v>황토포장T100</v>
          </cell>
          <cell r="E77">
            <v>1</v>
          </cell>
          <cell r="F77" t="str">
            <v>m2</v>
          </cell>
          <cell r="H77">
            <v>33136</v>
          </cell>
          <cell r="J77">
            <v>2437</v>
          </cell>
          <cell r="L77">
            <v>125</v>
          </cell>
          <cell r="N77">
            <v>35698</v>
          </cell>
          <cell r="O77">
            <v>75</v>
          </cell>
        </row>
        <row r="78">
          <cell r="D78" t="str">
            <v xml:space="preserve">침목깔기포장 </v>
          </cell>
          <cell r="E78">
            <v>1</v>
          </cell>
          <cell r="F78" t="str">
            <v>m2</v>
          </cell>
          <cell r="H78">
            <v>108150</v>
          </cell>
          <cell r="J78">
            <v>11757</v>
          </cell>
          <cell r="L78">
            <v>62</v>
          </cell>
          <cell r="N78">
            <v>119969</v>
          </cell>
          <cell r="O78">
            <v>76</v>
          </cell>
        </row>
        <row r="79">
          <cell r="D79" t="str">
            <v>통나무박기D300-400</v>
          </cell>
          <cell r="E79">
            <v>1</v>
          </cell>
          <cell r="F79" t="str">
            <v>m2</v>
          </cell>
          <cell r="H79">
            <v>40006</v>
          </cell>
          <cell r="J79">
            <v>21186</v>
          </cell>
          <cell r="L79">
            <v>0</v>
          </cell>
          <cell r="N79">
            <v>61192</v>
          </cell>
          <cell r="O79">
            <v>77</v>
          </cell>
        </row>
        <row r="80">
          <cell r="D80" t="str">
            <v>녹지경계석 "A"180x200x1000,직선</v>
          </cell>
          <cell r="E80">
            <v>1</v>
          </cell>
          <cell r="F80" t="str">
            <v>m</v>
          </cell>
          <cell r="H80">
            <v>861</v>
          </cell>
          <cell r="J80">
            <v>11129</v>
          </cell>
          <cell r="L80">
            <v>57</v>
          </cell>
          <cell r="N80">
            <v>12047</v>
          </cell>
          <cell r="O80">
            <v>78</v>
          </cell>
        </row>
        <row r="81">
          <cell r="D81" t="str">
            <v>녹지경계석 "B"180x200x1000,곡선</v>
          </cell>
          <cell r="E81">
            <v>1</v>
          </cell>
          <cell r="F81" t="str">
            <v>m</v>
          </cell>
          <cell r="H81">
            <v>861</v>
          </cell>
          <cell r="J81">
            <v>10923</v>
          </cell>
          <cell r="L81">
            <v>57</v>
          </cell>
          <cell r="N81">
            <v>11841</v>
          </cell>
          <cell r="O81">
            <v>79</v>
          </cell>
        </row>
        <row r="82">
          <cell r="D82" t="str">
            <v>포장구분경계석 "A"150x150x1000,직선</v>
          </cell>
          <cell r="E82">
            <v>1</v>
          </cell>
          <cell r="F82" t="str">
            <v>m</v>
          </cell>
          <cell r="H82">
            <v>1023</v>
          </cell>
          <cell r="J82">
            <v>9695</v>
          </cell>
          <cell r="L82">
            <v>51</v>
          </cell>
          <cell r="N82">
            <v>10769</v>
          </cell>
          <cell r="O82">
            <v>80</v>
          </cell>
        </row>
        <row r="83">
          <cell r="D83" t="str">
            <v>포장구분경계석 "B"150x150x1000,곡선</v>
          </cell>
          <cell r="E83">
            <v>1</v>
          </cell>
          <cell r="F83" t="str">
            <v>m</v>
          </cell>
          <cell r="H83">
            <v>1023</v>
          </cell>
          <cell r="J83">
            <v>9695</v>
          </cell>
          <cell r="L83">
            <v>51</v>
          </cell>
          <cell r="N83">
            <v>10769</v>
          </cell>
          <cell r="O83">
            <v>81</v>
          </cell>
        </row>
        <row r="84">
          <cell r="D84" t="str">
            <v>보차도경계석200x300x1000,직선</v>
          </cell>
          <cell r="E84">
            <v>1</v>
          </cell>
          <cell r="F84" t="str">
            <v>m</v>
          </cell>
          <cell r="H84">
            <v>1171</v>
          </cell>
          <cell r="J84">
            <v>22218</v>
          </cell>
          <cell r="L84">
            <v>78</v>
          </cell>
          <cell r="N84">
            <v>23467</v>
          </cell>
          <cell r="O84">
            <v>82</v>
          </cell>
        </row>
        <row r="85">
          <cell r="D85" t="str">
            <v>녹지경계목D100xH400x1000</v>
          </cell>
          <cell r="E85">
            <v>1</v>
          </cell>
          <cell r="F85" t="str">
            <v>m</v>
          </cell>
          <cell r="H85">
            <v>105763</v>
          </cell>
          <cell r="J85">
            <v>10037</v>
          </cell>
          <cell r="L85">
            <v>63</v>
          </cell>
          <cell r="N85">
            <v>115863</v>
          </cell>
          <cell r="O85">
            <v>83</v>
          </cell>
        </row>
        <row r="86">
          <cell r="D86" t="str">
            <v>계단 "A"H150xW2000x24단</v>
          </cell>
          <cell r="E86">
            <v>1</v>
          </cell>
          <cell r="F86" t="str">
            <v>개소</v>
          </cell>
          <cell r="H86">
            <v>1647636</v>
          </cell>
          <cell r="J86">
            <v>1987763</v>
          </cell>
          <cell r="L86">
            <v>4722</v>
          </cell>
          <cell r="N86">
            <v>3640121</v>
          </cell>
          <cell r="O86">
            <v>84</v>
          </cell>
        </row>
        <row r="87">
          <cell r="D87" t="str">
            <v>계단 "B"H150xW2000x12단</v>
          </cell>
          <cell r="E87">
            <v>1</v>
          </cell>
          <cell r="F87" t="str">
            <v>개소</v>
          </cell>
          <cell r="H87">
            <v>816399</v>
          </cell>
          <cell r="J87">
            <v>1042546</v>
          </cell>
          <cell r="L87">
            <v>3019</v>
          </cell>
          <cell r="N87">
            <v>1861964</v>
          </cell>
          <cell r="O87">
            <v>85</v>
          </cell>
        </row>
        <row r="88">
          <cell r="D88" t="str">
            <v>계단 "C"H150xW1500x12단</v>
          </cell>
          <cell r="E88">
            <v>1</v>
          </cell>
          <cell r="F88" t="str">
            <v>개소</v>
          </cell>
          <cell r="H88">
            <v>1256728</v>
          </cell>
          <cell r="J88">
            <v>1166151</v>
          </cell>
          <cell r="L88">
            <v>4584</v>
          </cell>
          <cell r="N88">
            <v>2427463</v>
          </cell>
          <cell r="O88">
            <v>86</v>
          </cell>
        </row>
        <row r="89">
          <cell r="D89" t="str">
            <v>계단 "D"H200x9단</v>
          </cell>
          <cell r="E89">
            <v>1</v>
          </cell>
          <cell r="F89" t="str">
            <v>개소</v>
          </cell>
          <cell r="H89">
            <v>102172</v>
          </cell>
          <cell r="J89">
            <v>930625</v>
          </cell>
          <cell r="L89">
            <v>8171</v>
          </cell>
          <cell r="N89">
            <v>1040968</v>
          </cell>
          <cell r="O89">
            <v>87</v>
          </cell>
        </row>
        <row r="90">
          <cell r="D90" t="str">
            <v>계단 "E"H200x16단</v>
          </cell>
          <cell r="E90">
            <v>1</v>
          </cell>
          <cell r="F90" t="str">
            <v>개소</v>
          </cell>
          <cell r="H90">
            <v>134495</v>
          </cell>
          <cell r="J90">
            <v>1750442</v>
          </cell>
          <cell r="L90">
            <v>16498</v>
          </cell>
          <cell r="N90">
            <v>1901435</v>
          </cell>
          <cell r="O90">
            <v>88</v>
          </cell>
        </row>
        <row r="91">
          <cell r="D91" t="str">
            <v>계단 "F"H200xW3000x7단</v>
          </cell>
          <cell r="E91">
            <v>1</v>
          </cell>
          <cell r="F91" t="str">
            <v>개소</v>
          </cell>
          <cell r="H91">
            <v>231428</v>
          </cell>
          <cell r="J91">
            <v>1192649</v>
          </cell>
          <cell r="L91">
            <v>5639</v>
          </cell>
          <cell r="N91">
            <v>1429716</v>
          </cell>
          <cell r="O91">
            <v>89</v>
          </cell>
        </row>
        <row r="92">
          <cell r="D92" t="str">
            <v>계단 "G"H150xW2000x24단</v>
          </cell>
          <cell r="E92">
            <v>1</v>
          </cell>
          <cell r="F92" t="str">
            <v>개소</v>
          </cell>
          <cell r="H92">
            <v>3869253</v>
          </cell>
          <cell r="J92">
            <v>3220631</v>
          </cell>
          <cell r="L92">
            <v>9565</v>
          </cell>
          <cell r="N92">
            <v>7099449</v>
          </cell>
          <cell r="O92">
            <v>90</v>
          </cell>
        </row>
        <row r="93">
          <cell r="D93" t="str">
            <v>계단 "H"H200xW300x2단</v>
          </cell>
          <cell r="E93">
            <v>1</v>
          </cell>
          <cell r="F93" t="str">
            <v>m</v>
          </cell>
          <cell r="H93">
            <v>114120</v>
          </cell>
          <cell r="J93">
            <v>62876</v>
          </cell>
          <cell r="L93">
            <v>0</v>
          </cell>
          <cell r="N93">
            <v>176996</v>
          </cell>
          <cell r="O93">
            <v>91</v>
          </cell>
        </row>
        <row r="94">
          <cell r="D94" t="str">
            <v>목계단 "A""B"H200xL1500</v>
          </cell>
          <cell r="E94">
            <v>1</v>
          </cell>
          <cell r="F94" t="str">
            <v>단</v>
          </cell>
          <cell r="H94">
            <v>50460</v>
          </cell>
          <cell r="J94">
            <v>3478</v>
          </cell>
          <cell r="L94">
            <v>0</v>
          </cell>
          <cell r="N94">
            <v>53938</v>
          </cell>
          <cell r="O94">
            <v>92</v>
          </cell>
        </row>
        <row r="95">
          <cell r="D95" t="str">
            <v>목계단 "C""D"H150xL2000</v>
          </cell>
          <cell r="E95">
            <v>1</v>
          </cell>
          <cell r="F95" t="str">
            <v>단</v>
          </cell>
          <cell r="H95">
            <v>51330</v>
          </cell>
          <cell r="J95">
            <v>3478</v>
          </cell>
          <cell r="L95">
            <v>0</v>
          </cell>
          <cell r="N95">
            <v>54808</v>
          </cell>
          <cell r="O95">
            <v>93</v>
          </cell>
        </row>
        <row r="96">
          <cell r="D96" t="str">
            <v>목계단 "E"H150xL1500</v>
          </cell>
          <cell r="E96">
            <v>1</v>
          </cell>
          <cell r="F96" t="str">
            <v>단</v>
          </cell>
          <cell r="H96">
            <v>47850</v>
          </cell>
          <cell r="J96">
            <v>3291</v>
          </cell>
          <cell r="L96">
            <v>0</v>
          </cell>
          <cell r="N96">
            <v>51141</v>
          </cell>
          <cell r="O96">
            <v>94</v>
          </cell>
        </row>
        <row r="97">
          <cell r="D97" t="str">
            <v>목계단 "F"H200xL2000</v>
          </cell>
          <cell r="E97">
            <v>1</v>
          </cell>
          <cell r="F97" t="str">
            <v>단</v>
          </cell>
          <cell r="H97">
            <v>60030</v>
          </cell>
          <cell r="J97">
            <v>3728</v>
          </cell>
          <cell r="L97">
            <v>0</v>
          </cell>
          <cell r="N97">
            <v>63758</v>
          </cell>
          <cell r="O97">
            <v>95</v>
          </cell>
        </row>
        <row r="98">
          <cell r="D98" t="str">
            <v>목계단 "G""H"H150xL3000</v>
          </cell>
          <cell r="E98">
            <v>1</v>
          </cell>
          <cell r="F98" t="str">
            <v>단</v>
          </cell>
          <cell r="H98">
            <v>83520</v>
          </cell>
          <cell r="J98">
            <v>3853</v>
          </cell>
          <cell r="L98">
            <v>0</v>
          </cell>
          <cell r="N98">
            <v>87373</v>
          </cell>
          <cell r="O98">
            <v>96</v>
          </cell>
        </row>
        <row r="99">
          <cell r="D99" t="str">
            <v>목계단 "I"H150xL3000</v>
          </cell>
          <cell r="E99">
            <v>1</v>
          </cell>
          <cell r="F99" t="str">
            <v>단</v>
          </cell>
          <cell r="H99">
            <v>83520</v>
          </cell>
          <cell r="J99">
            <v>4227</v>
          </cell>
          <cell r="L99">
            <v>0</v>
          </cell>
          <cell r="N99">
            <v>87747</v>
          </cell>
          <cell r="O99">
            <v>97</v>
          </cell>
        </row>
        <row r="100">
          <cell r="D100" t="str">
            <v>장식벽 "A"H1500xW500</v>
          </cell>
          <cell r="E100">
            <v>1</v>
          </cell>
          <cell r="F100" t="str">
            <v>m</v>
          </cell>
          <cell r="H100">
            <v>49062</v>
          </cell>
          <cell r="J100">
            <v>202920</v>
          </cell>
          <cell r="L100">
            <v>769</v>
          </cell>
          <cell r="N100">
            <v>252751</v>
          </cell>
          <cell r="O100">
            <v>98</v>
          </cell>
        </row>
        <row r="101">
          <cell r="D101" t="str">
            <v>장식벽 "B"H1200xW500</v>
          </cell>
          <cell r="E101">
            <v>1</v>
          </cell>
          <cell r="F101" t="str">
            <v>개소</v>
          </cell>
          <cell r="H101">
            <v>679535</v>
          </cell>
          <cell r="J101">
            <v>2714692</v>
          </cell>
          <cell r="L101">
            <v>8867</v>
          </cell>
          <cell r="N101">
            <v>3403094</v>
          </cell>
          <cell r="O101">
            <v>99</v>
          </cell>
        </row>
        <row r="102">
          <cell r="D102" t="str">
            <v>장식벽 "C"H1500xW500</v>
          </cell>
          <cell r="E102">
            <v>1</v>
          </cell>
          <cell r="F102" t="str">
            <v>개소</v>
          </cell>
          <cell r="H102">
            <v>1564948</v>
          </cell>
          <cell r="J102">
            <v>10131950</v>
          </cell>
          <cell r="L102">
            <v>0</v>
          </cell>
          <cell r="N102">
            <v>11696898</v>
          </cell>
          <cell r="O102">
            <v>100</v>
          </cell>
        </row>
        <row r="103">
          <cell r="D103" t="str">
            <v>장식벽 "D"H1200xW300</v>
          </cell>
          <cell r="E103">
            <v>1</v>
          </cell>
          <cell r="F103" t="str">
            <v>개소</v>
          </cell>
          <cell r="H103">
            <v>527809</v>
          </cell>
          <cell r="J103">
            <v>1416772</v>
          </cell>
          <cell r="L103">
            <v>0</v>
          </cell>
          <cell r="N103">
            <v>1944581</v>
          </cell>
          <cell r="O103">
            <v>101</v>
          </cell>
        </row>
        <row r="104">
          <cell r="D104" t="str">
            <v>장식벽 "E"H1500xW500</v>
          </cell>
          <cell r="E104">
            <v>1</v>
          </cell>
          <cell r="F104" t="str">
            <v>m</v>
          </cell>
          <cell r="H104">
            <v>48583</v>
          </cell>
          <cell r="J104">
            <v>279965</v>
          </cell>
          <cell r="L104">
            <v>0</v>
          </cell>
          <cell r="N104">
            <v>328548</v>
          </cell>
          <cell r="O104">
            <v>102</v>
          </cell>
        </row>
        <row r="105">
          <cell r="D105" t="str">
            <v>장식벽 "F"H500-2000xW500</v>
          </cell>
          <cell r="E105">
            <v>1</v>
          </cell>
          <cell r="F105" t="str">
            <v>개소</v>
          </cell>
          <cell r="H105">
            <v>1488326</v>
          </cell>
          <cell r="J105">
            <v>6282014</v>
          </cell>
          <cell r="L105">
            <v>29159</v>
          </cell>
          <cell r="N105">
            <v>7799499</v>
          </cell>
          <cell r="O105">
            <v>103</v>
          </cell>
        </row>
        <row r="106">
          <cell r="D106" t="str">
            <v>장식벽 "G"H400-2000xW500</v>
          </cell>
          <cell r="E106">
            <v>1</v>
          </cell>
          <cell r="F106" t="str">
            <v>개소</v>
          </cell>
          <cell r="H106">
            <v>3418596</v>
          </cell>
          <cell r="J106">
            <v>14001597</v>
          </cell>
          <cell r="L106">
            <v>50427</v>
          </cell>
          <cell r="N106">
            <v>17470620</v>
          </cell>
          <cell r="O106">
            <v>104</v>
          </cell>
        </row>
        <row r="107">
          <cell r="D107" t="str">
            <v>첩석쌓기가벽"A"H1200</v>
          </cell>
          <cell r="E107">
            <v>1</v>
          </cell>
          <cell r="F107" t="str">
            <v>개소</v>
          </cell>
          <cell r="H107">
            <v>4317617</v>
          </cell>
          <cell r="J107">
            <v>3174784</v>
          </cell>
          <cell r="L107">
            <v>0</v>
          </cell>
          <cell r="N107">
            <v>7492401</v>
          </cell>
          <cell r="O107">
            <v>105</v>
          </cell>
        </row>
        <row r="108">
          <cell r="D108" t="str">
            <v>첩석쌓기가벽"B"H300-1700</v>
          </cell>
          <cell r="E108">
            <v>1</v>
          </cell>
          <cell r="F108" t="str">
            <v>개소</v>
          </cell>
          <cell r="H108">
            <v>3538560</v>
          </cell>
          <cell r="J108">
            <v>2064515</v>
          </cell>
          <cell r="L108">
            <v>0</v>
          </cell>
          <cell r="N108">
            <v>5603075</v>
          </cell>
          <cell r="O108">
            <v>106</v>
          </cell>
        </row>
        <row r="109">
          <cell r="D109" t="str">
            <v>플랜터 "A"H400xW500</v>
          </cell>
          <cell r="E109">
            <v>1</v>
          </cell>
          <cell r="F109" t="str">
            <v>m</v>
          </cell>
          <cell r="H109">
            <v>104463</v>
          </cell>
          <cell r="J109">
            <v>57789</v>
          </cell>
          <cell r="L109">
            <v>322</v>
          </cell>
          <cell r="N109">
            <v>162574</v>
          </cell>
          <cell r="O109">
            <v>107</v>
          </cell>
        </row>
        <row r="110">
          <cell r="D110" t="str">
            <v>플랜터 "B"H450</v>
          </cell>
          <cell r="E110">
            <v>1</v>
          </cell>
          <cell r="F110" t="str">
            <v>m</v>
          </cell>
          <cell r="H110">
            <v>25842</v>
          </cell>
          <cell r="J110">
            <v>104850</v>
          </cell>
          <cell r="L110">
            <v>382</v>
          </cell>
          <cell r="N110">
            <v>131074</v>
          </cell>
          <cell r="O110">
            <v>108</v>
          </cell>
        </row>
        <row r="111">
          <cell r="D111" t="str">
            <v>줄기초 "A"H450xW500</v>
          </cell>
          <cell r="E111">
            <v>1</v>
          </cell>
          <cell r="F111" t="str">
            <v>m</v>
          </cell>
          <cell r="H111">
            <v>25664</v>
          </cell>
          <cell r="J111">
            <v>109640</v>
          </cell>
          <cell r="L111">
            <v>576</v>
          </cell>
          <cell r="N111">
            <v>135880</v>
          </cell>
          <cell r="O111">
            <v>109</v>
          </cell>
        </row>
        <row r="112">
          <cell r="D112" t="str">
            <v>줄기초 "B"H450xW500</v>
          </cell>
          <cell r="E112">
            <v>1</v>
          </cell>
          <cell r="F112" t="str">
            <v>m</v>
          </cell>
          <cell r="H112">
            <v>34712</v>
          </cell>
          <cell r="J112">
            <v>143471</v>
          </cell>
          <cell r="L112">
            <v>576</v>
          </cell>
          <cell r="N112">
            <v>178759</v>
          </cell>
          <cell r="O112">
            <v>110</v>
          </cell>
        </row>
        <row r="113">
          <cell r="D113" t="str">
            <v xml:space="preserve">데크 "1" </v>
          </cell>
          <cell r="E113">
            <v>1</v>
          </cell>
          <cell r="F113" t="str">
            <v>개소</v>
          </cell>
          <cell r="H113">
            <v>1433100</v>
          </cell>
          <cell r="J113">
            <v>10920344</v>
          </cell>
          <cell r="L113">
            <v>202448</v>
          </cell>
          <cell r="N113">
            <v>12555892</v>
          </cell>
          <cell r="O113">
            <v>111</v>
          </cell>
        </row>
        <row r="114">
          <cell r="D114" t="str">
            <v xml:space="preserve">데크 "2" </v>
          </cell>
          <cell r="E114">
            <v>1</v>
          </cell>
          <cell r="F114" t="str">
            <v>개소</v>
          </cell>
          <cell r="H114">
            <v>1097162</v>
          </cell>
          <cell r="J114">
            <v>8019395</v>
          </cell>
          <cell r="L114">
            <v>154049</v>
          </cell>
          <cell r="N114">
            <v>9270606</v>
          </cell>
          <cell r="O114">
            <v>112</v>
          </cell>
        </row>
        <row r="115">
          <cell r="D115" t="str">
            <v>목교W2000xL4090</v>
          </cell>
          <cell r="E115">
            <v>1</v>
          </cell>
          <cell r="F115" t="str">
            <v>개소</v>
          </cell>
          <cell r="H115">
            <v>7880</v>
          </cell>
          <cell r="J115">
            <v>59736</v>
          </cell>
          <cell r="L115">
            <v>0</v>
          </cell>
          <cell r="N115">
            <v>67616</v>
          </cell>
          <cell r="O115">
            <v>113</v>
          </cell>
        </row>
        <row r="116">
          <cell r="D116" t="str">
            <v>성벽H900xW500</v>
          </cell>
          <cell r="E116">
            <v>1</v>
          </cell>
          <cell r="F116" t="str">
            <v>개소</v>
          </cell>
          <cell r="H116">
            <v>994149</v>
          </cell>
          <cell r="J116">
            <v>621140</v>
          </cell>
          <cell r="L116">
            <v>0</v>
          </cell>
          <cell r="N116">
            <v>1615289</v>
          </cell>
          <cell r="O116">
            <v>114</v>
          </cell>
        </row>
        <row r="117">
          <cell r="D117" t="str">
            <v>팔각정자6600x6600xH7250</v>
          </cell>
          <cell r="E117">
            <v>1</v>
          </cell>
          <cell r="F117" t="str">
            <v>개소</v>
          </cell>
          <cell r="H117">
            <v>44688</v>
          </cell>
          <cell r="J117">
            <v>429862</v>
          </cell>
          <cell r="L117">
            <v>0</v>
          </cell>
          <cell r="N117">
            <v>474550</v>
          </cell>
          <cell r="O117">
            <v>115</v>
          </cell>
        </row>
        <row r="118">
          <cell r="D118" t="str">
            <v>사각파고라"A"4500x4500xH3600</v>
          </cell>
          <cell r="E118">
            <v>1</v>
          </cell>
          <cell r="F118" t="str">
            <v>개소</v>
          </cell>
          <cell r="H118">
            <v>11040</v>
          </cell>
          <cell r="J118">
            <v>94510</v>
          </cell>
          <cell r="L118">
            <v>314</v>
          </cell>
          <cell r="N118">
            <v>105864</v>
          </cell>
          <cell r="O118">
            <v>116</v>
          </cell>
        </row>
        <row r="119">
          <cell r="D119" t="str">
            <v>사각파고라"B"4500x4500xH3500</v>
          </cell>
          <cell r="E119">
            <v>1</v>
          </cell>
          <cell r="F119" t="str">
            <v>개소</v>
          </cell>
          <cell r="H119">
            <v>11040</v>
          </cell>
          <cell r="J119">
            <v>94510</v>
          </cell>
          <cell r="L119">
            <v>314</v>
          </cell>
          <cell r="N119">
            <v>105864</v>
          </cell>
          <cell r="O119">
            <v>117</v>
          </cell>
        </row>
        <row r="120">
          <cell r="D120" t="str">
            <v>원형파고라R22000xH2600</v>
          </cell>
          <cell r="E120">
            <v>1</v>
          </cell>
          <cell r="F120" t="str">
            <v>개소</v>
          </cell>
          <cell r="H120">
            <v>27628</v>
          </cell>
          <cell r="J120">
            <v>237403</v>
          </cell>
          <cell r="L120">
            <v>818</v>
          </cell>
          <cell r="N120">
            <v>265849</v>
          </cell>
          <cell r="O120">
            <v>118</v>
          </cell>
        </row>
        <row r="121">
          <cell r="D121" t="str">
            <v>평상2000x2000xH400</v>
          </cell>
          <cell r="E121">
            <v>1</v>
          </cell>
          <cell r="F121" t="str">
            <v>개소</v>
          </cell>
          <cell r="H121">
            <v>463</v>
          </cell>
          <cell r="J121">
            <v>35504</v>
          </cell>
          <cell r="L121">
            <v>295</v>
          </cell>
          <cell r="N121">
            <v>36262</v>
          </cell>
          <cell r="O121">
            <v>119</v>
          </cell>
        </row>
        <row r="122">
          <cell r="D122" t="str">
            <v>평의자H400x430x1500</v>
          </cell>
          <cell r="E122">
            <v>1</v>
          </cell>
          <cell r="F122" t="str">
            <v>개소</v>
          </cell>
          <cell r="H122">
            <v>2128</v>
          </cell>
          <cell r="J122">
            <v>12635</v>
          </cell>
          <cell r="L122">
            <v>0</v>
          </cell>
          <cell r="N122">
            <v>14763</v>
          </cell>
          <cell r="O122">
            <v>120</v>
          </cell>
        </row>
        <row r="123">
          <cell r="D123" t="str">
            <v>등의자H810x600x1500</v>
          </cell>
          <cell r="E123">
            <v>1</v>
          </cell>
          <cell r="F123" t="str">
            <v>개소</v>
          </cell>
          <cell r="H123">
            <v>2128</v>
          </cell>
          <cell r="J123">
            <v>12635</v>
          </cell>
          <cell r="L123">
            <v>0</v>
          </cell>
          <cell r="N123">
            <v>14763</v>
          </cell>
          <cell r="O123">
            <v>121</v>
          </cell>
        </row>
        <row r="124">
          <cell r="D124" t="str">
            <v>통석의자H450xD400</v>
          </cell>
          <cell r="E124">
            <v>1</v>
          </cell>
          <cell r="F124" t="str">
            <v>개소</v>
          </cell>
          <cell r="H124">
            <v>2394</v>
          </cell>
          <cell r="J124">
            <v>20404</v>
          </cell>
          <cell r="L124">
            <v>0</v>
          </cell>
          <cell r="N124">
            <v>22798</v>
          </cell>
          <cell r="O124">
            <v>122</v>
          </cell>
        </row>
        <row r="125">
          <cell r="D125" t="str">
            <v>원목의자H400xD300-350</v>
          </cell>
          <cell r="E125">
            <v>1</v>
          </cell>
          <cell r="F125" t="str">
            <v>개소</v>
          </cell>
          <cell r="H125">
            <v>1662</v>
          </cell>
          <cell r="J125">
            <v>12020</v>
          </cell>
          <cell r="L125">
            <v>0</v>
          </cell>
          <cell r="N125">
            <v>13682</v>
          </cell>
          <cell r="O125">
            <v>123</v>
          </cell>
        </row>
        <row r="126">
          <cell r="D126" t="str">
            <v>연식의자"A"H450xW500</v>
          </cell>
          <cell r="E126">
            <v>1</v>
          </cell>
          <cell r="F126" t="str">
            <v>m</v>
          </cell>
          <cell r="H126">
            <v>115097</v>
          </cell>
          <cell r="J126">
            <v>53530</v>
          </cell>
          <cell r="L126">
            <v>133</v>
          </cell>
          <cell r="N126">
            <v>168760</v>
          </cell>
          <cell r="O126">
            <v>124</v>
          </cell>
        </row>
        <row r="127">
          <cell r="D127" t="str">
            <v>연식의자"B"H450xW400</v>
          </cell>
          <cell r="E127">
            <v>1</v>
          </cell>
          <cell r="F127" t="str">
            <v>m</v>
          </cell>
          <cell r="H127">
            <v>128949</v>
          </cell>
          <cell r="J127">
            <v>87645</v>
          </cell>
          <cell r="L127">
            <v>0</v>
          </cell>
          <cell r="N127">
            <v>216594</v>
          </cell>
          <cell r="O127">
            <v>125</v>
          </cell>
        </row>
        <row r="128">
          <cell r="D128" t="str">
            <v>연식의자"C"H450xW400</v>
          </cell>
          <cell r="E128">
            <v>1</v>
          </cell>
          <cell r="F128" t="str">
            <v>m</v>
          </cell>
          <cell r="H128">
            <v>116805</v>
          </cell>
          <cell r="J128">
            <v>79029</v>
          </cell>
          <cell r="L128">
            <v>0</v>
          </cell>
          <cell r="N128">
            <v>195834</v>
          </cell>
          <cell r="O128">
            <v>126</v>
          </cell>
        </row>
        <row r="129">
          <cell r="D129" t="str">
            <v>연식의자"D"H400xW500</v>
          </cell>
          <cell r="E129">
            <v>1</v>
          </cell>
          <cell r="F129" t="str">
            <v>m</v>
          </cell>
          <cell r="H129">
            <v>41996</v>
          </cell>
          <cell r="J129">
            <v>90980</v>
          </cell>
          <cell r="L129">
            <v>398</v>
          </cell>
          <cell r="N129">
            <v>133374</v>
          </cell>
          <cell r="O129">
            <v>127</v>
          </cell>
        </row>
        <row r="130">
          <cell r="D130" t="str">
            <v>하체들어올리기H1500x3640x1200</v>
          </cell>
          <cell r="E130">
            <v>1</v>
          </cell>
          <cell r="F130" t="str">
            <v>개소</v>
          </cell>
          <cell r="H130">
            <v>8938</v>
          </cell>
          <cell r="J130">
            <v>72110</v>
          </cell>
          <cell r="L130">
            <v>188</v>
          </cell>
          <cell r="N130">
            <v>81236</v>
          </cell>
          <cell r="O130">
            <v>128</v>
          </cell>
        </row>
        <row r="131">
          <cell r="D131" t="str">
            <v>윗몸일으키기H400x1830x2200</v>
          </cell>
          <cell r="E131">
            <v>1</v>
          </cell>
          <cell r="F131" t="str">
            <v>개소</v>
          </cell>
          <cell r="H131">
            <v>12583</v>
          </cell>
          <cell r="J131">
            <v>98217</v>
          </cell>
          <cell r="L131">
            <v>251</v>
          </cell>
          <cell r="N131">
            <v>111051</v>
          </cell>
          <cell r="O131">
            <v>129</v>
          </cell>
        </row>
        <row r="132">
          <cell r="D132" t="str">
            <v>온몸펴기H660x2880x1200</v>
          </cell>
          <cell r="E132">
            <v>1</v>
          </cell>
          <cell r="F132" t="str">
            <v>개소</v>
          </cell>
          <cell r="H132">
            <v>9843</v>
          </cell>
          <cell r="J132">
            <v>79686</v>
          </cell>
          <cell r="L132">
            <v>314</v>
          </cell>
          <cell r="N132">
            <v>89843</v>
          </cell>
          <cell r="O132">
            <v>130</v>
          </cell>
        </row>
        <row r="133">
          <cell r="D133" t="str">
            <v>매달려건너기H2700x2850x1640</v>
          </cell>
          <cell r="E133">
            <v>1</v>
          </cell>
          <cell r="F133" t="str">
            <v>개소</v>
          </cell>
          <cell r="H133">
            <v>13514</v>
          </cell>
          <cell r="J133">
            <v>108861</v>
          </cell>
          <cell r="L133">
            <v>251</v>
          </cell>
          <cell r="N133">
            <v>122626</v>
          </cell>
          <cell r="O133">
            <v>131</v>
          </cell>
        </row>
        <row r="134">
          <cell r="D134" t="str">
            <v>허리돌리기H1500x1700x500</v>
          </cell>
          <cell r="E134">
            <v>1</v>
          </cell>
          <cell r="F134" t="str">
            <v>개소</v>
          </cell>
          <cell r="H134">
            <v>1383</v>
          </cell>
          <cell r="J134">
            <v>11265</v>
          </cell>
          <cell r="L134">
            <v>62</v>
          </cell>
          <cell r="N134">
            <v>12710</v>
          </cell>
          <cell r="O134">
            <v>132</v>
          </cell>
        </row>
        <row r="135">
          <cell r="D135" t="str">
            <v>평행봉H1650x3500x500</v>
          </cell>
          <cell r="E135">
            <v>1</v>
          </cell>
          <cell r="F135" t="str">
            <v>개소</v>
          </cell>
          <cell r="H135">
            <v>8805</v>
          </cell>
          <cell r="J135">
            <v>77551</v>
          </cell>
          <cell r="L135">
            <v>188</v>
          </cell>
          <cell r="N135">
            <v>86544</v>
          </cell>
          <cell r="O135">
            <v>133</v>
          </cell>
        </row>
        <row r="136">
          <cell r="D136" t="str">
            <v>오금펴기H1250</v>
          </cell>
          <cell r="E136">
            <v>1</v>
          </cell>
          <cell r="F136" t="str">
            <v>개소</v>
          </cell>
          <cell r="H136">
            <v>2181</v>
          </cell>
          <cell r="J136">
            <v>17415</v>
          </cell>
          <cell r="L136">
            <v>62</v>
          </cell>
          <cell r="N136">
            <v>19658</v>
          </cell>
          <cell r="O136">
            <v>134</v>
          </cell>
        </row>
        <row r="137">
          <cell r="D137" t="str">
            <v>철봉H2100x4500</v>
          </cell>
          <cell r="E137">
            <v>1</v>
          </cell>
          <cell r="F137" t="str">
            <v>개소</v>
          </cell>
          <cell r="H137">
            <v>10747</v>
          </cell>
          <cell r="J137">
            <v>80358</v>
          </cell>
          <cell r="L137">
            <v>125</v>
          </cell>
          <cell r="N137">
            <v>91230</v>
          </cell>
          <cell r="O137">
            <v>135</v>
          </cell>
        </row>
        <row r="138">
          <cell r="D138" t="str">
            <v>출렁다리건너기H2100x2780x9400</v>
          </cell>
          <cell r="E138">
            <v>1</v>
          </cell>
          <cell r="F138" t="str">
            <v>개소</v>
          </cell>
          <cell r="H138">
            <v>34422</v>
          </cell>
          <cell r="J138">
            <v>287353</v>
          </cell>
          <cell r="L138">
            <v>440</v>
          </cell>
          <cell r="N138">
            <v>322215</v>
          </cell>
          <cell r="O138">
            <v>136</v>
          </cell>
        </row>
        <row r="139">
          <cell r="D139" t="str">
            <v>조합놀이대"A"15366x8475xH4700</v>
          </cell>
          <cell r="E139">
            <v>1</v>
          </cell>
          <cell r="F139" t="str">
            <v>개소</v>
          </cell>
          <cell r="H139">
            <v>46636</v>
          </cell>
          <cell r="J139">
            <v>430062</v>
          </cell>
          <cell r="L139">
            <v>2330</v>
          </cell>
          <cell r="N139">
            <v>479028</v>
          </cell>
          <cell r="O139">
            <v>137</v>
          </cell>
        </row>
        <row r="140">
          <cell r="D140" t="str">
            <v>조합놀이대"B"11840x13830xH4700</v>
          </cell>
          <cell r="E140">
            <v>1</v>
          </cell>
          <cell r="F140" t="str">
            <v>개소</v>
          </cell>
          <cell r="H140">
            <v>72235</v>
          </cell>
          <cell r="J140">
            <v>640605</v>
          </cell>
          <cell r="L140">
            <v>2833</v>
          </cell>
          <cell r="N140">
            <v>715673</v>
          </cell>
          <cell r="O140">
            <v>138</v>
          </cell>
        </row>
        <row r="141">
          <cell r="D141" t="str">
            <v>종합안내판"A"H2610x420x2700</v>
          </cell>
          <cell r="E141">
            <v>1</v>
          </cell>
          <cell r="F141" t="str">
            <v>개소</v>
          </cell>
          <cell r="H141">
            <v>8752</v>
          </cell>
          <cell r="J141">
            <v>60507</v>
          </cell>
          <cell r="L141">
            <v>1044125</v>
          </cell>
          <cell r="N141">
            <v>1113384</v>
          </cell>
          <cell r="O141">
            <v>139</v>
          </cell>
        </row>
        <row r="142">
          <cell r="D142" t="str">
            <v xml:space="preserve">종합안내판"B" </v>
          </cell>
          <cell r="E142">
            <v>1</v>
          </cell>
          <cell r="F142" t="str">
            <v>개소</v>
          </cell>
          <cell r="H142">
            <v>38766</v>
          </cell>
          <cell r="J142">
            <v>28699</v>
          </cell>
          <cell r="L142">
            <v>1044881</v>
          </cell>
          <cell r="N142">
            <v>1112346</v>
          </cell>
          <cell r="O142">
            <v>140</v>
          </cell>
        </row>
        <row r="143">
          <cell r="D143" t="str">
            <v>방향표지판H3500x2200</v>
          </cell>
          <cell r="E143">
            <v>1</v>
          </cell>
          <cell r="F143" t="str">
            <v>개소</v>
          </cell>
          <cell r="H143">
            <v>5639</v>
          </cell>
          <cell r="J143">
            <v>49654</v>
          </cell>
          <cell r="L143">
            <v>62</v>
          </cell>
          <cell r="N143">
            <v>55355</v>
          </cell>
          <cell r="O143">
            <v>141</v>
          </cell>
        </row>
        <row r="144">
          <cell r="D144" t="str">
            <v>축대목H1000xD160xL980</v>
          </cell>
          <cell r="E144">
            <v>1</v>
          </cell>
          <cell r="F144" t="str">
            <v>m</v>
          </cell>
          <cell r="H144">
            <v>1995</v>
          </cell>
          <cell r="J144">
            <v>20349</v>
          </cell>
          <cell r="L144">
            <v>0</v>
          </cell>
          <cell r="N144">
            <v>22344</v>
          </cell>
          <cell r="O144">
            <v>142</v>
          </cell>
        </row>
        <row r="145">
          <cell r="D145" t="str">
            <v>목재난간 "A"H1200xW1500</v>
          </cell>
          <cell r="E145">
            <v>1</v>
          </cell>
          <cell r="F145" t="str">
            <v>경간</v>
          </cell>
          <cell r="H145">
            <v>1217</v>
          </cell>
          <cell r="J145">
            <v>8961</v>
          </cell>
          <cell r="L145">
            <v>24</v>
          </cell>
          <cell r="N145">
            <v>10202</v>
          </cell>
          <cell r="O145">
            <v>143</v>
          </cell>
        </row>
        <row r="146">
          <cell r="D146" t="str">
            <v>목재난간 "B"H800xW2000</v>
          </cell>
          <cell r="E146">
            <v>1</v>
          </cell>
          <cell r="F146" t="str">
            <v>경간</v>
          </cell>
          <cell r="H146">
            <v>2159</v>
          </cell>
          <cell r="J146">
            <v>16459</v>
          </cell>
          <cell r="L146">
            <v>37</v>
          </cell>
          <cell r="N146">
            <v>18655</v>
          </cell>
          <cell r="O146">
            <v>144</v>
          </cell>
        </row>
        <row r="147">
          <cell r="D147" t="str">
            <v>산책로경계목H300-1300xW1500</v>
          </cell>
          <cell r="E147">
            <v>1</v>
          </cell>
          <cell r="F147" t="str">
            <v>경간</v>
          </cell>
          <cell r="H147">
            <v>195392</v>
          </cell>
          <cell r="J147">
            <v>99724</v>
          </cell>
          <cell r="L147">
            <v>0</v>
          </cell>
          <cell r="N147">
            <v>295116</v>
          </cell>
          <cell r="O147">
            <v>145</v>
          </cell>
        </row>
        <row r="148">
          <cell r="D148" t="str">
            <v xml:space="preserve">옹벽마감 </v>
          </cell>
          <cell r="E148">
            <v>1</v>
          </cell>
          <cell r="F148" t="str">
            <v>m2</v>
          </cell>
          <cell r="H148">
            <v>15312</v>
          </cell>
          <cell r="J148">
            <v>60930</v>
          </cell>
          <cell r="L148">
            <v>0</v>
          </cell>
          <cell r="N148">
            <v>76242</v>
          </cell>
          <cell r="O148">
            <v>146</v>
          </cell>
        </row>
        <row r="149">
          <cell r="D149" t="str">
            <v xml:space="preserve">자연수로 </v>
          </cell>
          <cell r="E149">
            <v>1</v>
          </cell>
          <cell r="F149" t="str">
            <v>m</v>
          </cell>
          <cell r="H149">
            <v>134896</v>
          </cell>
          <cell r="J149">
            <v>129707</v>
          </cell>
          <cell r="L149">
            <v>491</v>
          </cell>
          <cell r="N149">
            <v>265094</v>
          </cell>
          <cell r="O149">
            <v>147</v>
          </cell>
        </row>
        <row r="150">
          <cell r="D150" t="str">
            <v>소나무(조형)H5.0xW2.5xR30</v>
          </cell>
          <cell r="E150">
            <v>1</v>
          </cell>
          <cell r="F150" t="str">
            <v>주</v>
          </cell>
          <cell r="H150">
            <v>3817648</v>
          </cell>
          <cell r="J150">
            <v>105070</v>
          </cell>
          <cell r="L150">
            <v>12990</v>
          </cell>
          <cell r="N150">
            <v>3935708</v>
          </cell>
          <cell r="O150">
            <v>148</v>
          </cell>
        </row>
        <row r="151">
          <cell r="D151" t="str">
            <v>소나무(조형)H4.5xW2.0xR25</v>
          </cell>
          <cell r="E151">
            <v>1</v>
          </cell>
          <cell r="F151" t="str">
            <v>주</v>
          </cell>
          <cell r="H151">
            <v>2865770</v>
          </cell>
          <cell r="J151">
            <v>89696</v>
          </cell>
          <cell r="L151">
            <v>11158</v>
          </cell>
          <cell r="N151">
            <v>2966624</v>
          </cell>
          <cell r="O151">
            <v>149</v>
          </cell>
        </row>
        <row r="152">
          <cell r="D152" t="str">
            <v>소나무(조형)H4.0xW1.8xR20</v>
          </cell>
          <cell r="E152">
            <v>1</v>
          </cell>
          <cell r="F152" t="str">
            <v>주</v>
          </cell>
          <cell r="H152">
            <v>2161722</v>
          </cell>
          <cell r="J152">
            <v>69214</v>
          </cell>
          <cell r="L152">
            <v>6562</v>
          </cell>
          <cell r="N152">
            <v>2237498</v>
          </cell>
          <cell r="O152">
            <v>150</v>
          </cell>
        </row>
        <row r="153">
          <cell r="D153" t="str">
            <v>소나무H3.0xW1.5xR10</v>
          </cell>
          <cell r="E153">
            <v>1</v>
          </cell>
          <cell r="F153" t="str">
            <v>주</v>
          </cell>
          <cell r="H153">
            <v>184105</v>
          </cell>
          <cell r="J153">
            <v>28159</v>
          </cell>
          <cell r="L153">
            <v>2625</v>
          </cell>
          <cell r="N153">
            <v>214889</v>
          </cell>
          <cell r="O153">
            <v>151</v>
          </cell>
        </row>
        <row r="154">
          <cell r="D154" t="str">
            <v>소나무H4.0xW2.0xR15</v>
          </cell>
          <cell r="E154">
            <v>1</v>
          </cell>
          <cell r="F154" t="str">
            <v>주</v>
          </cell>
          <cell r="H154">
            <v>301283</v>
          </cell>
          <cell r="J154">
            <v>47777</v>
          </cell>
          <cell r="L154">
            <v>4484</v>
          </cell>
          <cell r="N154">
            <v>353544</v>
          </cell>
          <cell r="O154">
            <v>152</v>
          </cell>
        </row>
        <row r="155">
          <cell r="D155" t="str">
            <v>서양측백H2.0xW0.6</v>
          </cell>
          <cell r="E155">
            <v>1</v>
          </cell>
          <cell r="F155" t="str">
            <v>주</v>
          </cell>
          <cell r="H155">
            <v>32018</v>
          </cell>
          <cell r="J155">
            <v>9340</v>
          </cell>
          <cell r="L155">
            <v>0</v>
          </cell>
          <cell r="N155">
            <v>41358</v>
          </cell>
          <cell r="O155">
            <v>153</v>
          </cell>
        </row>
        <row r="156">
          <cell r="D156" t="str">
            <v>느티나무H4.5xR20</v>
          </cell>
          <cell r="E156">
            <v>1</v>
          </cell>
          <cell r="F156" t="str">
            <v>주</v>
          </cell>
          <cell r="H156">
            <v>641832</v>
          </cell>
          <cell r="J156">
            <v>69214</v>
          </cell>
          <cell r="L156">
            <v>6562</v>
          </cell>
          <cell r="N156">
            <v>717608</v>
          </cell>
          <cell r="O156">
            <v>154</v>
          </cell>
        </row>
        <row r="157">
          <cell r="D157" t="str">
            <v>느티나무H4.5xR25</v>
          </cell>
          <cell r="E157">
            <v>1</v>
          </cell>
          <cell r="F157" t="str">
            <v>주</v>
          </cell>
          <cell r="H157">
            <v>871971</v>
          </cell>
          <cell r="J157">
            <v>87906</v>
          </cell>
          <cell r="L157">
            <v>7328</v>
          </cell>
          <cell r="N157">
            <v>967205</v>
          </cell>
          <cell r="O157">
            <v>155</v>
          </cell>
        </row>
        <row r="158">
          <cell r="D158" t="str">
            <v>복자기H3.0xR8</v>
          </cell>
          <cell r="E158">
            <v>1</v>
          </cell>
          <cell r="F158" t="str">
            <v>주</v>
          </cell>
          <cell r="H158">
            <v>88308</v>
          </cell>
          <cell r="J158">
            <v>28190</v>
          </cell>
          <cell r="L158">
            <v>0</v>
          </cell>
          <cell r="N158">
            <v>116498</v>
          </cell>
          <cell r="O158">
            <v>156</v>
          </cell>
        </row>
        <row r="159">
          <cell r="D159" t="str">
            <v>산사나무H3.0xR8</v>
          </cell>
          <cell r="E159">
            <v>1</v>
          </cell>
          <cell r="F159" t="str">
            <v>주</v>
          </cell>
          <cell r="H159">
            <v>93267</v>
          </cell>
          <cell r="J159">
            <v>28190</v>
          </cell>
          <cell r="L159">
            <v>0</v>
          </cell>
          <cell r="N159">
            <v>121457</v>
          </cell>
          <cell r="O159">
            <v>157</v>
          </cell>
        </row>
        <row r="160">
          <cell r="D160" t="str">
            <v>산수유H3.0xW1.5xR10</v>
          </cell>
          <cell r="E160">
            <v>1</v>
          </cell>
          <cell r="F160" t="str">
            <v>주</v>
          </cell>
          <cell r="H160">
            <v>134515</v>
          </cell>
          <cell r="J160">
            <v>28159</v>
          </cell>
          <cell r="L160">
            <v>2625</v>
          </cell>
          <cell r="N160">
            <v>165299</v>
          </cell>
          <cell r="O160">
            <v>158</v>
          </cell>
        </row>
        <row r="161">
          <cell r="D161" t="str">
            <v>서어나무H3.5xR10</v>
          </cell>
          <cell r="E161">
            <v>1</v>
          </cell>
          <cell r="F161" t="str">
            <v>주</v>
          </cell>
          <cell r="H161">
            <v>121378</v>
          </cell>
          <cell r="J161">
            <v>28159</v>
          </cell>
          <cell r="L161">
            <v>2625</v>
          </cell>
          <cell r="N161">
            <v>152162</v>
          </cell>
          <cell r="O161">
            <v>159</v>
          </cell>
        </row>
        <row r="162">
          <cell r="D162" t="str">
            <v>왕벚나무H4.0xB10</v>
          </cell>
          <cell r="E162">
            <v>1</v>
          </cell>
          <cell r="F162" t="str">
            <v>주</v>
          </cell>
          <cell r="H162">
            <v>151052</v>
          </cell>
          <cell r="J162">
            <v>36886</v>
          </cell>
          <cell r="L162">
            <v>3500</v>
          </cell>
          <cell r="N162">
            <v>191438</v>
          </cell>
          <cell r="O162">
            <v>160</v>
          </cell>
        </row>
        <row r="163">
          <cell r="D163" t="str">
            <v>이팝나무H3.5xR10</v>
          </cell>
          <cell r="E163">
            <v>1</v>
          </cell>
          <cell r="F163" t="str">
            <v>주</v>
          </cell>
          <cell r="H163">
            <v>115288</v>
          </cell>
          <cell r="J163">
            <v>28159</v>
          </cell>
          <cell r="L163">
            <v>2625</v>
          </cell>
          <cell r="N163">
            <v>146072</v>
          </cell>
          <cell r="O163">
            <v>161</v>
          </cell>
        </row>
        <row r="164">
          <cell r="D164" t="str">
            <v>청단풍H3.0xR10</v>
          </cell>
          <cell r="E164">
            <v>1</v>
          </cell>
          <cell r="F164" t="str">
            <v>주</v>
          </cell>
          <cell r="H164">
            <v>123205</v>
          </cell>
          <cell r="J164">
            <v>28159</v>
          </cell>
          <cell r="L164">
            <v>2625</v>
          </cell>
          <cell r="N164">
            <v>153989</v>
          </cell>
          <cell r="O164">
            <v>162</v>
          </cell>
        </row>
        <row r="165">
          <cell r="D165" t="str">
            <v>둥근주목H0.4xW0.4</v>
          </cell>
          <cell r="E165">
            <v>1</v>
          </cell>
          <cell r="F165" t="str">
            <v>주</v>
          </cell>
          <cell r="H165">
            <v>11528</v>
          </cell>
          <cell r="J165">
            <v>962</v>
          </cell>
          <cell r="L165">
            <v>0</v>
          </cell>
          <cell r="N165">
            <v>12490</v>
          </cell>
          <cell r="O165">
            <v>163</v>
          </cell>
        </row>
        <row r="166">
          <cell r="D166" t="str">
            <v>회양목H0.3xW0.3</v>
          </cell>
          <cell r="E166">
            <v>1</v>
          </cell>
          <cell r="F166" t="str">
            <v>주</v>
          </cell>
          <cell r="H166">
            <v>2567</v>
          </cell>
          <cell r="J166">
            <v>962</v>
          </cell>
          <cell r="L166">
            <v>0</v>
          </cell>
          <cell r="N166">
            <v>3529</v>
          </cell>
          <cell r="O166">
            <v>164</v>
          </cell>
        </row>
        <row r="167">
          <cell r="D167" t="str">
            <v>개나리H1.0x3가지</v>
          </cell>
          <cell r="E167">
            <v>1</v>
          </cell>
          <cell r="F167" t="str">
            <v>주</v>
          </cell>
          <cell r="H167">
            <v>827</v>
          </cell>
          <cell r="J167">
            <v>1489</v>
          </cell>
          <cell r="L167">
            <v>0</v>
          </cell>
          <cell r="N167">
            <v>2316</v>
          </cell>
          <cell r="O167">
            <v>165</v>
          </cell>
        </row>
        <row r="168">
          <cell r="D168" t="str">
            <v>산철쭉H0.3xW0.4</v>
          </cell>
          <cell r="E168">
            <v>1</v>
          </cell>
          <cell r="F168" t="str">
            <v>주</v>
          </cell>
          <cell r="H168">
            <v>1610</v>
          </cell>
          <cell r="J168">
            <v>962</v>
          </cell>
          <cell r="L168">
            <v>0</v>
          </cell>
          <cell r="N168">
            <v>2572</v>
          </cell>
          <cell r="O168">
            <v>166</v>
          </cell>
        </row>
        <row r="169">
          <cell r="D169" t="str">
            <v>수수꽃다리H1.2xW0.5</v>
          </cell>
          <cell r="E169">
            <v>1</v>
          </cell>
          <cell r="F169" t="str">
            <v>주</v>
          </cell>
          <cell r="H169">
            <v>3002</v>
          </cell>
          <cell r="J169">
            <v>2398</v>
          </cell>
          <cell r="L169">
            <v>0</v>
          </cell>
          <cell r="N169">
            <v>5400</v>
          </cell>
          <cell r="O169">
            <v>167</v>
          </cell>
        </row>
        <row r="170">
          <cell r="D170" t="str">
            <v>영산홍H0.3xW0.3</v>
          </cell>
          <cell r="E170">
            <v>1</v>
          </cell>
          <cell r="F170" t="str">
            <v>주</v>
          </cell>
          <cell r="H170">
            <v>1436</v>
          </cell>
          <cell r="J170">
            <v>962</v>
          </cell>
          <cell r="L170">
            <v>0</v>
          </cell>
          <cell r="N170">
            <v>2398</v>
          </cell>
          <cell r="O170">
            <v>168</v>
          </cell>
        </row>
        <row r="171">
          <cell r="D171" t="str">
            <v>조팝나무H0.6xW0.3</v>
          </cell>
          <cell r="E171">
            <v>1</v>
          </cell>
          <cell r="F171" t="str">
            <v>주</v>
          </cell>
          <cell r="H171">
            <v>1088</v>
          </cell>
          <cell r="J171">
            <v>962</v>
          </cell>
          <cell r="L171">
            <v>0</v>
          </cell>
          <cell r="N171">
            <v>2050</v>
          </cell>
          <cell r="O171">
            <v>169</v>
          </cell>
        </row>
        <row r="172">
          <cell r="D172" t="str">
            <v>쥐똥나무H1.0xW0.3</v>
          </cell>
          <cell r="E172">
            <v>1</v>
          </cell>
          <cell r="F172" t="str">
            <v>주</v>
          </cell>
          <cell r="H172">
            <v>923</v>
          </cell>
          <cell r="J172">
            <v>1489</v>
          </cell>
          <cell r="L172">
            <v>0</v>
          </cell>
          <cell r="N172">
            <v>2412</v>
          </cell>
          <cell r="O172">
            <v>170</v>
          </cell>
        </row>
        <row r="173">
          <cell r="D173" t="str">
            <v>진달래H0.4xW0.3</v>
          </cell>
          <cell r="E173">
            <v>1</v>
          </cell>
          <cell r="F173" t="str">
            <v>주</v>
          </cell>
          <cell r="H173">
            <v>1088</v>
          </cell>
          <cell r="J173">
            <v>962</v>
          </cell>
          <cell r="L173">
            <v>0</v>
          </cell>
          <cell r="N173">
            <v>2050</v>
          </cell>
          <cell r="O173">
            <v>171</v>
          </cell>
        </row>
        <row r="174">
          <cell r="D174" t="str">
            <v>구절초3"POT</v>
          </cell>
          <cell r="E174">
            <v>1</v>
          </cell>
          <cell r="F174" t="str">
            <v>본</v>
          </cell>
          <cell r="H174">
            <v>1239.8</v>
          </cell>
          <cell r="J174">
            <v>148</v>
          </cell>
          <cell r="L174">
            <v>0</v>
          </cell>
          <cell r="N174">
            <v>1387.8</v>
          </cell>
          <cell r="O174">
            <v>172</v>
          </cell>
        </row>
        <row r="175">
          <cell r="D175" t="str">
            <v>기린초3"POT</v>
          </cell>
          <cell r="E175">
            <v>1</v>
          </cell>
          <cell r="F175" t="str">
            <v>본</v>
          </cell>
          <cell r="H175">
            <v>2022.8</v>
          </cell>
          <cell r="J175">
            <v>148</v>
          </cell>
          <cell r="L175">
            <v>0</v>
          </cell>
          <cell r="N175">
            <v>2170.8000000000002</v>
          </cell>
          <cell r="O175">
            <v>173</v>
          </cell>
        </row>
        <row r="176">
          <cell r="D176" t="str">
            <v>매발톱꽃4"POT</v>
          </cell>
          <cell r="E176">
            <v>1</v>
          </cell>
          <cell r="F176" t="str">
            <v>본</v>
          </cell>
          <cell r="H176">
            <v>1848.8</v>
          </cell>
          <cell r="J176">
            <v>148</v>
          </cell>
          <cell r="L176">
            <v>0</v>
          </cell>
          <cell r="N176">
            <v>1996.8</v>
          </cell>
          <cell r="O176">
            <v>174</v>
          </cell>
        </row>
        <row r="177">
          <cell r="D177" t="str">
            <v>맥문동3-5분얼</v>
          </cell>
          <cell r="E177">
            <v>1</v>
          </cell>
          <cell r="F177" t="str">
            <v>본</v>
          </cell>
          <cell r="H177">
            <v>404.8</v>
          </cell>
          <cell r="J177">
            <v>148</v>
          </cell>
          <cell r="L177">
            <v>0</v>
          </cell>
          <cell r="N177">
            <v>552.79999999999995</v>
          </cell>
          <cell r="O177">
            <v>175</v>
          </cell>
        </row>
        <row r="178">
          <cell r="D178" t="str">
            <v>비비추4-5분얼</v>
          </cell>
          <cell r="E178">
            <v>1</v>
          </cell>
          <cell r="F178" t="str">
            <v>본</v>
          </cell>
          <cell r="H178">
            <v>2370.8000000000002</v>
          </cell>
          <cell r="J178">
            <v>148</v>
          </cell>
          <cell r="L178">
            <v>0</v>
          </cell>
          <cell r="N178">
            <v>2518.8000000000002</v>
          </cell>
          <cell r="O178">
            <v>176</v>
          </cell>
        </row>
        <row r="179">
          <cell r="D179" t="str">
            <v>사사조릿대4"POT</v>
          </cell>
          <cell r="E179">
            <v>1</v>
          </cell>
          <cell r="F179" t="str">
            <v>본</v>
          </cell>
          <cell r="H179">
            <v>2196.8000000000002</v>
          </cell>
          <cell r="J179">
            <v>148</v>
          </cell>
          <cell r="L179">
            <v>0</v>
          </cell>
          <cell r="N179">
            <v>2344.8000000000002</v>
          </cell>
          <cell r="O179">
            <v>177</v>
          </cell>
        </row>
        <row r="180">
          <cell r="D180" t="str">
            <v>수호초4"POT</v>
          </cell>
          <cell r="E180">
            <v>1</v>
          </cell>
          <cell r="F180" t="str">
            <v>본</v>
          </cell>
          <cell r="H180">
            <v>2196.8000000000002</v>
          </cell>
          <cell r="J180">
            <v>148</v>
          </cell>
          <cell r="L180">
            <v>0</v>
          </cell>
          <cell r="N180">
            <v>2344.8000000000002</v>
          </cell>
          <cell r="O180">
            <v>178</v>
          </cell>
        </row>
        <row r="181">
          <cell r="D181" t="str">
            <v>쑥부쟁이4"POT</v>
          </cell>
          <cell r="E181">
            <v>1</v>
          </cell>
          <cell r="F181" t="str">
            <v>본</v>
          </cell>
          <cell r="H181">
            <v>1761.8</v>
          </cell>
          <cell r="J181">
            <v>148</v>
          </cell>
          <cell r="L181">
            <v>0</v>
          </cell>
          <cell r="N181">
            <v>1909.8</v>
          </cell>
          <cell r="O181">
            <v>179</v>
          </cell>
        </row>
        <row r="182">
          <cell r="D182" t="str">
            <v>원추리2-3분얼</v>
          </cell>
          <cell r="E182">
            <v>1</v>
          </cell>
          <cell r="F182" t="str">
            <v>본</v>
          </cell>
          <cell r="H182">
            <v>1848.8</v>
          </cell>
          <cell r="J182">
            <v>148</v>
          </cell>
          <cell r="L182">
            <v>0</v>
          </cell>
          <cell r="N182">
            <v>1996.8</v>
          </cell>
          <cell r="O182">
            <v>180</v>
          </cell>
        </row>
        <row r="183">
          <cell r="D183" t="str">
            <v>은방울꽃4"POT</v>
          </cell>
          <cell r="E183">
            <v>1</v>
          </cell>
          <cell r="F183" t="str">
            <v>본</v>
          </cell>
          <cell r="H183">
            <v>1761.8</v>
          </cell>
          <cell r="J183">
            <v>148</v>
          </cell>
          <cell r="L183">
            <v>0</v>
          </cell>
          <cell r="N183">
            <v>1909.8</v>
          </cell>
          <cell r="O183">
            <v>181</v>
          </cell>
        </row>
        <row r="184">
          <cell r="D184" t="str">
            <v>패랭이꽃3"POT</v>
          </cell>
          <cell r="E184">
            <v>1</v>
          </cell>
          <cell r="F184" t="str">
            <v>본</v>
          </cell>
          <cell r="H184">
            <v>1587.8</v>
          </cell>
          <cell r="J184">
            <v>148</v>
          </cell>
          <cell r="L184">
            <v>0</v>
          </cell>
          <cell r="N184">
            <v>1735.8</v>
          </cell>
          <cell r="O184">
            <v>182</v>
          </cell>
        </row>
        <row r="185">
          <cell r="D185" t="str">
            <v>잔디(평떼)0.3x0.3x0.03</v>
          </cell>
          <cell r="E185">
            <v>1</v>
          </cell>
          <cell r="F185" t="str">
            <v>m2</v>
          </cell>
          <cell r="H185">
            <v>2708.4</v>
          </cell>
          <cell r="J185">
            <v>2691</v>
          </cell>
          <cell r="L185">
            <v>0</v>
          </cell>
          <cell r="N185">
            <v>5399.4</v>
          </cell>
          <cell r="O185">
            <v>183</v>
          </cell>
        </row>
        <row r="186">
          <cell r="D186" t="str">
            <v>잔디(줄떼)0.3x0.3x0.03</v>
          </cell>
          <cell r="E186">
            <v>1</v>
          </cell>
          <cell r="F186" t="str">
            <v>m2</v>
          </cell>
          <cell r="H186">
            <v>1354.2</v>
          </cell>
          <cell r="J186">
            <v>2691</v>
          </cell>
          <cell r="L186">
            <v>0</v>
          </cell>
          <cell r="N186">
            <v>4045.2</v>
          </cell>
          <cell r="O186">
            <v>184</v>
          </cell>
        </row>
        <row r="187">
          <cell r="D187" t="str">
            <v>수목이식R6</v>
          </cell>
          <cell r="E187">
            <v>1</v>
          </cell>
          <cell r="F187" t="str">
            <v>주</v>
          </cell>
          <cell r="H187">
            <v>10859</v>
          </cell>
          <cell r="J187">
            <v>28500</v>
          </cell>
          <cell r="L187">
            <v>0</v>
          </cell>
          <cell r="N187">
            <v>39359</v>
          </cell>
          <cell r="O187">
            <v>185</v>
          </cell>
        </row>
        <row r="188">
          <cell r="D188" t="str">
            <v>수목이식R8</v>
          </cell>
          <cell r="E188">
            <v>1</v>
          </cell>
          <cell r="F188" t="str">
            <v>주</v>
          </cell>
          <cell r="H188">
            <v>10978.6</v>
          </cell>
          <cell r="J188">
            <v>47240</v>
          </cell>
          <cell r="L188">
            <v>0</v>
          </cell>
          <cell r="N188">
            <v>58218.6</v>
          </cell>
          <cell r="O188">
            <v>186</v>
          </cell>
        </row>
        <row r="189">
          <cell r="D189" t="str">
            <v>수목이식R10</v>
          </cell>
          <cell r="E189">
            <v>1</v>
          </cell>
          <cell r="F189" t="str">
            <v>주</v>
          </cell>
          <cell r="H189">
            <v>20212</v>
          </cell>
          <cell r="J189">
            <v>55409</v>
          </cell>
          <cell r="L189">
            <v>2625</v>
          </cell>
          <cell r="N189">
            <v>78246</v>
          </cell>
          <cell r="O189">
            <v>187</v>
          </cell>
        </row>
        <row r="190">
          <cell r="D190" t="str">
            <v>수목이식R12</v>
          </cell>
          <cell r="E190">
            <v>1</v>
          </cell>
          <cell r="F190" t="str">
            <v>주</v>
          </cell>
          <cell r="H190">
            <v>22609.200000000001</v>
          </cell>
          <cell r="J190">
            <v>73071</v>
          </cell>
          <cell r="L190">
            <v>3390</v>
          </cell>
          <cell r="N190">
            <v>99070.2</v>
          </cell>
          <cell r="O190">
            <v>188</v>
          </cell>
        </row>
        <row r="191">
          <cell r="D191" t="str">
            <v>수목이식R15</v>
          </cell>
          <cell r="E191">
            <v>1</v>
          </cell>
          <cell r="F191" t="str">
            <v>주</v>
          </cell>
          <cell r="H191">
            <v>24238.6</v>
          </cell>
          <cell r="J191">
            <v>99097</v>
          </cell>
          <cell r="L191">
            <v>4484</v>
          </cell>
          <cell r="N191">
            <v>127819.6</v>
          </cell>
          <cell r="O191">
            <v>189</v>
          </cell>
        </row>
        <row r="192">
          <cell r="D192" t="str">
            <v>수목이식R18</v>
          </cell>
          <cell r="E192">
            <v>1</v>
          </cell>
          <cell r="F192" t="str">
            <v>주</v>
          </cell>
          <cell r="H192">
            <v>26963.599999999999</v>
          </cell>
          <cell r="J192">
            <v>126757</v>
          </cell>
          <cell r="L192">
            <v>5687</v>
          </cell>
          <cell r="N192">
            <v>159407.6</v>
          </cell>
          <cell r="O192">
            <v>190</v>
          </cell>
        </row>
        <row r="193">
          <cell r="D193" t="str">
            <v>수목이식R20</v>
          </cell>
          <cell r="E193">
            <v>1</v>
          </cell>
          <cell r="F193" t="str">
            <v>주</v>
          </cell>
          <cell r="H193">
            <v>28977.8</v>
          </cell>
          <cell r="J193">
            <v>143217</v>
          </cell>
          <cell r="L193">
            <v>4484</v>
          </cell>
          <cell r="N193">
            <v>176678.8</v>
          </cell>
          <cell r="O193">
            <v>191</v>
          </cell>
        </row>
        <row r="194">
          <cell r="D194" t="str">
            <v>수목이식B20</v>
          </cell>
          <cell r="E194">
            <v>1</v>
          </cell>
          <cell r="F194" t="str">
            <v>주</v>
          </cell>
          <cell r="H194">
            <v>33017</v>
          </cell>
          <cell r="J194">
            <v>182582</v>
          </cell>
          <cell r="L194">
            <v>10658</v>
          </cell>
          <cell r="N194">
            <v>226257</v>
          </cell>
          <cell r="O194">
            <v>192</v>
          </cell>
        </row>
        <row r="195">
          <cell r="D195" t="str">
            <v>수목이식H1.0-2.0</v>
          </cell>
          <cell r="E195">
            <v>1</v>
          </cell>
          <cell r="F195" t="str">
            <v>주</v>
          </cell>
          <cell r="H195">
            <v>10770.6</v>
          </cell>
          <cell r="J195">
            <v>13970</v>
          </cell>
          <cell r="L195">
            <v>0</v>
          </cell>
          <cell r="N195">
            <v>24740.6</v>
          </cell>
          <cell r="O195">
            <v>193</v>
          </cell>
        </row>
        <row r="196">
          <cell r="D196" t="str">
            <v>수목이식H2.5</v>
          </cell>
          <cell r="E196">
            <v>1</v>
          </cell>
          <cell r="F196" t="str">
            <v>주</v>
          </cell>
          <cell r="H196">
            <v>10807</v>
          </cell>
          <cell r="J196">
            <v>18710</v>
          </cell>
          <cell r="L196">
            <v>0</v>
          </cell>
          <cell r="N196">
            <v>29517</v>
          </cell>
          <cell r="O196">
            <v>194</v>
          </cell>
        </row>
        <row r="197">
          <cell r="D197" t="str">
            <v>수목이식H3.0</v>
          </cell>
          <cell r="E197">
            <v>1</v>
          </cell>
          <cell r="F197" t="str">
            <v>주</v>
          </cell>
          <cell r="H197">
            <v>11295</v>
          </cell>
          <cell r="J197">
            <v>22670</v>
          </cell>
          <cell r="N197">
            <v>33965</v>
          </cell>
          <cell r="O197">
            <v>195</v>
          </cell>
        </row>
        <row r="198">
          <cell r="D198" t="str">
            <v>수목이식H3.5</v>
          </cell>
          <cell r="E198">
            <v>1</v>
          </cell>
          <cell r="F198" t="str">
            <v>주</v>
          </cell>
          <cell r="H198">
            <v>19013.2</v>
          </cell>
          <cell r="J198">
            <v>22934</v>
          </cell>
          <cell r="L198">
            <v>1312</v>
          </cell>
          <cell r="N198">
            <v>43259.199999999997</v>
          </cell>
          <cell r="O198">
            <v>196</v>
          </cell>
        </row>
        <row r="199">
          <cell r="D199" t="str">
            <v>유로폼벽체</v>
          </cell>
          <cell r="E199">
            <v>1</v>
          </cell>
          <cell r="F199" t="str">
            <v>m2</v>
          </cell>
          <cell r="H199">
            <v>1464.8913300000004</v>
          </cell>
          <cell r="J199">
            <v>12209</v>
          </cell>
          <cell r="L199">
            <v>0</v>
          </cell>
          <cell r="N199">
            <v>13673.89133</v>
          </cell>
          <cell r="O199">
            <v>197</v>
          </cell>
        </row>
        <row r="200">
          <cell r="D200" t="str">
            <v>벌개제근인력</v>
          </cell>
          <cell r="E200">
            <v>1</v>
          </cell>
          <cell r="F200" t="str">
            <v>m2</v>
          </cell>
          <cell r="H200">
            <v>0</v>
          </cell>
          <cell r="J200">
            <v>339</v>
          </cell>
          <cell r="L200">
            <v>0</v>
          </cell>
          <cell r="N200">
            <v>339</v>
          </cell>
          <cell r="O200">
            <v>198</v>
          </cell>
        </row>
        <row r="201">
          <cell r="D201" t="e">
            <v>#VALUE!</v>
          </cell>
          <cell r="O201">
            <v>0</v>
          </cell>
        </row>
        <row r="202">
          <cell r="D202" t="str">
            <v>점토벽돌운반거리 450m</v>
          </cell>
          <cell r="E202">
            <v>1</v>
          </cell>
          <cell r="F202" t="str">
            <v>m2</v>
          </cell>
          <cell r="H202">
            <v>67.844695869837295</v>
          </cell>
          <cell r="J202">
            <v>552.38378973717147</v>
          </cell>
          <cell r="L202">
            <v>52.684836045056322</v>
          </cell>
          <cell r="N202">
            <v>672.91332165206506</v>
          </cell>
          <cell r="O202">
            <v>1</v>
          </cell>
        </row>
        <row r="203">
          <cell r="D203" t="str">
            <v>포장구분경계석A운반거리 450m</v>
          </cell>
          <cell r="E203">
            <v>1</v>
          </cell>
          <cell r="F203" t="str">
            <v>m</v>
          </cell>
          <cell r="H203">
            <v>47.875469336670832</v>
          </cell>
          <cell r="J203">
            <v>389.79662077596993</v>
          </cell>
          <cell r="L203">
            <v>37.177722152690862</v>
          </cell>
          <cell r="N203">
            <v>474.84981226533165</v>
          </cell>
          <cell r="O203">
            <v>2</v>
          </cell>
        </row>
        <row r="204">
          <cell r="D204" t="str">
            <v>산석운반거리 450m</v>
          </cell>
          <cell r="E204">
            <v>1</v>
          </cell>
          <cell r="F204" t="str">
            <v>TON</v>
          </cell>
          <cell r="H204">
            <v>736.54568210262823</v>
          </cell>
          <cell r="J204">
            <v>5996.8710888610767</v>
          </cell>
          <cell r="L204">
            <v>571.9649561952441</v>
          </cell>
          <cell r="N204">
            <v>7305.3817271589487</v>
          </cell>
          <cell r="O204">
            <v>3</v>
          </cell>
        </row>
        <row r="205">
          <cell r="D205" t="str">
            <v>목계단"C"운반거리 450m</v>
          </cell>
          <cell r="E205">
            <v>1</v>
          </cell>
          <cell r="F205" t="str">
            <v>단</v>
          </cell>
          <cell r="H205">
            <v>16.793241551939925</v>
          </cell>
          <cell r="J205">
            <v>136.72866082603255</v>
          </cell>
          <cell r="L205">
            <v>13.040801001251566</v>
          </cell>
          <cell r="N205">
            <v>166.56270337922405</v>
          </cell>
          <cell r="O205">
            <v>4</v>
          </cell>
        </row>
        <row r="206">
          <cell r="D206" t="str">
            <v>목계단"D"운반거리 450m</v>
          </cell>
          <cell r="E206">
            <v>1</v>
          </cell>
          <cell r="F206" t="str">
            <v>단</v>
          </cell>
          <cell r="H206">
            <v>16.793241551939925</v>
          </cell>
          <cell r="J206">
            <v>136.72866082603255</v>
          </cell>
          <cell r="L206">
            <v>13.040801001251566</v>
          </cell>
          <cell r="N206">
            <v>166.56270337922405</v>
          </cell>
          <cell r="O206">
            <v>5</v>
          </cell>
        </row>
        <row r="207">
          <cell r="D207" t="str">
            <v>목계단"H"운반거리 450m</v>
          </cell>
          <cell r="E207">
            <v>1</v>
          </cell>
          <cell r="F207" t="str">
            <v>단</v>
          </cell>
          <cell r="H207">
            <v>26.07371714643304</v>
          </cell>
          <cell r="J207">
            <v>212.28923654568212</v>
          </cell>
          <cell r="L207">
            <v>20.247559449311641</v>
          </cell>
          <cell r="N207">
            <v>258.61051314142679</v>
          </cell>
          <cell r="O207">
            <v>6</v>
          </cell>
        </row>
        <row r="208">
          <cell r="D208" t="str">
            <v>목계단"G"운반거리 450m</v>
          </cell>
          <cell r="E208">
            <v>1</v>
          </cell>
          <cell r="F208" t="str">
            <v>단</v>
          </cell>
          <cell r="H208">
            <v>26.07371714643304</v>
          </cell>
          <cell r="J208">
            <v>212.28923654568212</v>
          </cell>
          <cell r="L208">
            <v>20.247559449311641</v>
          </cell>
          <cell r="N208">
            <v>258.61051314142679</v>
          </cell>
          <cell r="O208">
            <v>7</v>
          </cell>
        </row>
        <row r="209">
          <cell r="D209" t="str">
            <v>시멘트운반거리 320m</v>
          </cell>
          <cell r="E209">
            <v>1</v>
          </cell>
          <cell r="F209" t="str">
            <v>TON</v>
          </cell>
          <cell r="H209">
            <v>562.35069278547542</v>
          </cell>
          <cell r="J209">
            <v>4578.5953177257525</v>
          </cell>
          <cell r="L209">
            <v>436.69374104156708</v>
          </cell>
          <cell r="N209">
            <v>5577.6397515527942</v>
          </cell>
          <cell r="O209">
            <v>8</v>
          </cell>
        </row>
        <row r="210">
          <cell r="D210" t="str">
            <v>시멘트운반거리 450m</v>
          </cell>
          <cell r="E210">
            <v>1</v>
          </cell>
          <cell r="F210" t="str">
            <v>TON</v>
          </cell>
          <cell r="H210">
            <v>693.16843345111897</v>
          </cell>
          <cell r="J210">
            <v>5643.698468786808</v>
          </cell>
          <cell r="L210">
            <v>538.28032979976444</v>
          </cell>
          <cell r="N210">
            <v>6875.1472320376915</v>
          </cell>
          <cell r="O210">
            <v>9</v>
          </cell>
        </row>
        <row r="211">
          <cell r="D211" t="str">
            <v>모래운반거리 320m</v>
          </cell>
          <cell r="E211">
            <v>1</v>
          </cell>
          <cell r="F211" t="str">
            <v>m3</v>
          </cell>
          <cell r="H211">
            <v>899.76110845676067</v>
          </cell>
          <cell r="J211">
            <v>7325.7525083612036</v>
          </cell>
          <cell r="L211">
            <v>698.70998566650735</v>
          </cell>
          <cell r="N211">
            <v>8924.2236024844715</v>
          </cell>
          <cell r="O211">
            <v>10</v>
          </cell>
        </row>
        <row r="212">
          <cell r="D212" t="str">
            <v>모래운반거리 450m</v>
          </cell>
          <cell r="E212">
            <v>1</v>
          </cell>
          <cell r="F212" t="str">
            <v>m3</v>
          </cell>
          <cell r="H212">
            <v>1109.0694935217905</v>
          </cell>
          <cell r="J212">
            <v>9029.9175500588935</v>
          </cell>
          <cell r="L212">
            <v>861.24852767962307</v>
          </cell>
          <cell r="N212">
            <v>11000.235571260308</v>
          </cell>
          <cell r="O212">
            <v>11</v>
          </cell>
        </row>
        <row r="213">
          <cell r="D213" t="str">
            <v>자갈운반거리 320m</v>
          </cell>
          <cell r="E213">
            <v>1</v>
          </cell>
          <cell r="F213" t="str">
            <v>m3</v>
          </cell>
          <cell r="H213">
            <v>1030.3295571575695</v>
          </cell>
          <cell r="J213">
            <v>8388.8259526261591</v>
          </cell>
          <cell r="L213">
            <v>800.10298661174045</v>
          </cell>
          <cell r="N213">
            <v>10219.258496395469</v>
          </cell>
          <cell r="O213">
            <v>12</v>
          </cell>
        </row>
        <row r="214">
          <cell r="D214" t="str">
            <v>자갈운반거리 450m</v>
          </cell>
          <cell r="E214">
            <v>1</v>
          </cell>
          <cell r="F214" t="str">
            <v>m3</v>
          </cell>
          <cell r="H214">
            <v>1252.127659574468</v>
          </cell>
          <cell r="J214">
            <v>10194.680851063829</v>
          </cell>
          <cell r="L214">
            <v>972.34042553191489</v>
          </cell>
          <cell r="N214">
            <v>12419.148936170212</v>
          </cell>
          <cell r="O214">
            <v>13</v>
          </cell>
        </row>
        <row r="215">
          <cell r="D215" t="str">
            <v>잡석운반거리 320m</v>
          </cell>
          <cell r="E215">
            <v>1</v>
          </cell>
          <cell r="F215" t="str">
            <v>m3</v>
          </cell>
          <cell r="H215">
            <v>1212.1524201853761</v>
          </cell>
          <cell r="J215">
            <v>9869.2070030895993</v>
          </cell>
          <cell r="L215">
            <v>941.29763130793003</v>
          </cell>
          <cell r="N215">
            <v>12022.657054582905</v>
          </cell>
          <cell r="O215">
            <v>14</v>
          </cell>
        </row>
        <row r="216">
          <cell r="D216" t="str">
            <v>잡석운반거리 450m</v>
          </cell>
          <cell r="E216">
            <v>1</v>
          </cell>
          <cell r="F216" t="str">
            <v>m3</v>
          </cell>
          <cell r="H216">
            <v>1473.0913642052565</v>
          </cell>
          <cell r="J216">
            <v>11993.742177722153</v>
          </cell>
          <cell r="L216">
            <v>1143.9299123904882</v>
          </cell>
          <cell r="N216">
            <v>14610.763454317897</v>
          </cell>
          <cell r="O216">
            <v>15</v>
          </cell>
        </row>
        <row r="217">
          <cell r="D217" t="str">
            <v>보조기층운반거리 320m</v>
          </cell>
          <cell r="E217">
            <v>1</v>
          </cell>
          <cell r="F217" t="str">
            <v>m3</v>
          </cell>
          <cell r="H217">
            <v>1212.1524201853761</v>
          </cell>
          <cell r="J217">
            <v>9869.2070030895993</v>
          </cell>
          <cell r="L217">
            <v>941.29763130793003</v>
          </cell>
          <cell r="N217">
            <v>12022.657054582905</v>
          </cell>
          <cell r="O217">
            <v>16</v>
          </cell>
        </row>
        <row r="218">
          <cell r="D218" t="str">
            <v>보조기층운반거리 450m</v>
          </cell>
          <cell r="E218">
            <v>1</v>
          </cell>
          <cell r="F218" t="str">
            <v>m3</v>
          </cell>
          <cell r="H218">
            <v>1473.0913642052565</v>
          </cell>
          <cell r="J218">
            <v>11993.742177722153</v>
          </cell>
          <cell r="L218">
            <v>1143.9299123904882</v>
          </cell>
          <cell r="N218">
            <v>14610.763454317897</v>
          </cell>
          <cell r="O218">
            <v>17</v>
          </cell>
        </row>
        <row r="219">
          <cell r="D219" t="str">
            <v>철근운반거리 320m</v>
          </cell>
          <cell r="E219">
            <v>1</v>
          </cell>
          <cell r="F219" t="str">
            <v>TON</v>
          </cell>
          <cell r="H219">
            <v>606.07621009268803</v>
          </cell>
          <cell r="J219">
            <v>4934.6035015447997</v>
          </cell>
          <cell r="L219">
            <v>470.64881565396502</v>
          </cell>
          <cell r="N219">
            <v>6011.3285272914527</v>
          </cell>
          <cell r="O219">
            <v>18</v>
          </cell>
        </row>
        <row r="220">
          <cell r="D220" t="str">
            <v>철근운반거리 450m</v>
          </cell>
          <cell r="E220">
            <v>1</v>
          </cell>
          <cell r="F220" t="str">
            <v>TON</v>
          </cell>
          <cell r="H220">
            <v>736.54568210262823</v>
          </cell>
          <cell r="J220">
            <v>5996.8710888610767</v>
          </cell>
          <cell r="L220">
            <v>571.9649561952441</v>
          </cell>
          <cell r="N220">
            <v>7305.3817271589487</v>
          </cell>
          <cell r="O220">
            <v>19</v>
          </cell>
        </row>
        <row r="221">
          <cell r="D221" t="str">
            <v>소나무(R10)운반거리 320m</v>
          </cell>
          <cell r="E221">
            <v>1</v>
          </cell>
          <cell r="F221" t="str">
            <v>주</v>
          </cell>
          <cell r="H221">
            <v>63.638002059732237</v>
          </cell>
          <cell r="J221">
            <v>518.13336766220391</v>
          </cell>
          <cell r="L221">
            <v>49.418125643666329</v>
          </cell>
          <cell r="N221">
            <v>631.18949536560251</v>
          </cell>
          <cell r="O221">
            <v>20</v>
          </cell>
        </row>
        <row r="222">
          <cell r="D222" t="str">
            <v>소나무(R10)운반거리 450m</v>
          </cell>
          <cell r="E222">
            <v>1</v>
          </cell>
          <cell r="F222" t="str">
            <v>주</v>
          </cell>
          <cell r="H222">
            <v>77.337296620775973</v>
          </cell>
          <cell r="J222">
            <v>629.67146433041296</v>
          </cell>
          <cell r="L222">
            <v>60.056320400500624</v>
          </cell>
          <cell r="N222">
            <v>767.06508135168951</v>
          </cell>
          <cell r="O222">
            <v>21</v>
          </cell>
        </row>
        <row r="223">
          <cell r="D223" t="str">
            <v>소나무(R15)운반거리 320m</v>
          </cell>
          <cell r="E223">
            <v>1</v>
          </cell>
          <cell r="F223" t="str">
            <v>주</v>
          </cell>
          <cell r="H223">
            <v>252.73377960865088</v>
          </cell>
          <cell r="J223">
            <v>2057.7296601441813</v>
          </cell>
          <cell r="L223">
            <v>196.26055612770341</v>
          </cell>
          <cell r="N223">
            <v>2506.7239958805353</v>
          </cell>
          <cell r="O223">
            <v>22</v>
          </cell>
        </row>
        <row r="224">
          <cell r="D224" t="str">
            <v>소나무(R15)운반거리 450m</v>
          </cell>
          <cell r="E224">
            <v>1</v>
          </cell>
          <cell r="F224" t="str">
            <v>주</v>
          </cell>
          <cell r="H224">
            <v>307.13954943679602</v>
          </cell>
          <cell r="J224">
            <v>2500.695244055069</v>
          </cell>
          <cell r="L224">
            <v>238.50938673341679</v>
          </cell>
          <cell r="N224">
            <v>3046.3441802252819</v>
          </cell>
          <cell r="O224">
            <v>23</v>
          </cell>
        </row>
        <row r="225">
          <cell r="D225" t="str">
            <v>느티나무(R20)운반거리 450m</v>
          </cell>
          <cell r="E225">
            <v>1</v>
          </cell>
          <cell r="F225" t="str">
            <v>주</v>
          </cell>
          <cell r="H225">
            <v>570.82290362953688</v>
          </cell>
          <cell r="J225">
            <v>4647.5750938673336</v>
          </cell>
          <cell r="L225">
            <v>443.27284105131412</v>
          </cell>
          <cell r="N225">
            <v>5661.6708385481852</v>
          </cell>
          <cell r="O225">
            <v>24</v>
          </cell>
        </row>
        <row r="226">
          <cell r="D226" t="str">
            <v>복자기(R8)운반거리 320m</v>
          </cell>
          <cell r="E226">
            <v>1</v>
          </cell>
          <cell r="F226" t="str">
            <v>주</v>
          </cell>
          <cell r="H226">
            <v>31.515962924819775</v>
          </cell>
          <cell r="J226">
            <v>256.59938208032958</v>
          </cell>
          <cell r="L226">
            <v>24.473738414006178</v>
          </cell>
          <cell r="N226">
            <v>312.58908341915554</v>
          </cell>
          <cell r="O226">
            <v>25</v>
          </cell>
        </row>
        <row r="227">
          <cell r="D227" t="str">
            <v>산사나무(R8)운반거리 320m</v>
          </cell>
          <cell r="E227">
            <v>1</v>
          </cell>
          <cell r="F227" t="str">
            <v>주</v>
          </cell>
          <cell r="H227">
            <v>31.515962924819775</v>
          </cell>
          <cell r="J227">
            <v>256.59938208032958</v>
          </cell>
          <cell r="L227">
            <v>24.473738414006178</v>
          </cell>
          <cell r="N227">
            <v>312.58908341915554</v>
          </cell>
          <cell r="O227">
            <v>26</v>
          </cell>
        </row>
        <row r="228">
          <cell r="D228" t="str">
            <v>서어나무(R10)운반거리 320m</v>
          </cell>
          <cell r="E228">
            <v>1</v>
          </cell>
          <cell r="F228" t="str">
            <v>주</v>
          </cell>
          <cell r="H228">
            <v>63.638002059732237</v>
          </cell>
          <cell r="J228">
            <v>518.13336766220391</v>
          </cell>
          <cell r="L228">
            <v>49.418125643666329</v>
          </cell>
          <cell r="N228">
            <v>631.18949536560251</v>
          </cell>
          <cell r="O228">
            <v>27</v>
          </cell>
        </row>
        <row r="229">
          <cell r="D229" t="str">
            <v>산철쭉(H0.3*W0.4)운반거리 320m</v>
          </cell>
          <cell r="E229">
            <v>1</v>
          </cell>
          <cell r="F229" t="str">
            <v>주</v>
          </cell>
          <cell r="H229">
            <v>3.0303810504634399</v>
          </cell>
          <cell r="J229">
            <v>24.673017507723998</v>
          </cell>
          <cell r="L229">
            <v>2.353244078269825</v>
          </cell>
          <cell r="N229">
            <v>30.056642636457262</v>
          </cell>
          <cell r="O229">
            <v>28</v>
          </cell>
        </row>
        <row r="230">
          <cell r="D230" t="str">
            <v>산철쭉(H0.3*W0.4)운반거리 450m</v>
          </cell>
          <cell r="E230">
            <v>1</v>
          </cell>
          <cell r="F230" t="str">
            <v>주</v>
          </cell>
          <cell r="H230">
            <v>3.6827284105131413</v>
          </cell>
          <cell r="J230">
            <v>29.984355444305383</v>
          </cell>
          <cell r="L230">
            <v>2.8598247809762203</v>
          </cell>
          <cell r="N230">
            <v>36.52690863579474</v>
          </cell>
          <cell r="O230">
            <v>29</v>
          </cell>
        </row>
        <row r="231">
          <cell r="D231" t="str">
            <v>영산홍(H0.3*W0.3)운반거리 320m</v>
          </cell>
          <cell r="E231">
            <v>1</v>
          </cell>
          <cell r="F231" t="str">
            <v>주</v>
          </cell>
          <cell r="H231">
            <v>3.0303810504634399</v>
          </cell>
          <cell r="J231">
            <v>24.673017507723998</v>
          </cell>
          <cell r="L231">
            <v>2.353244078269825</v>
          </cell>
          <cell r="N231">
            <v>30.056642636457262</v>
          </cell>
          <cell r="O231">
            <v>30</v>
          </cell>
        </row>
        <row r="232">
          <cell r="D232" t="str">
            <v>진달래(H0.4*W0.3)운반거리 320m</v>
          </cell>
          <cell r="E232">
            <v>1</v>
          </cell>
          <cell r="F232" t="str">
            <v>주</v>
          </cell>
          <cell r="H232">
            <v>3.0303810504634399</v>
          </cell>
          <cell r="J232">
            <v>24.673017507723998</v>
          </cell>
          <cell r="L232">
            <v>2.353244078269825</v>
          </cell>
          <cell r="N232">
            <v>30.056642636457262</v>
          </cell>
          <cell r="O232">
            <v>31</v>
          </cell>
        </row>
        <row r="233">
          <cell r="D233" t="str">
            <v>개나리(H1.0*3가지)운반거리 450m</v>
          </cell>
          <cell r="E233">
            <v>1</v>
          </cell>
          <cell r="F233" t="str">
            <v>주</v>
          </cell>
          <cell r="H233">
            <v>3.6827284105131413</v>
          </cell>
          <cell r="J233">
            <v>29.984355444305383</v>
          </cell>
          <cell r="L233">
            <v>2.8598247809762203</v>
          </cell>
          <cell r="N233">
            <v>36.52690863579474</v>
          </cell>
          <cell r="O233">
            <v>32</v>
          </cell>
        </row>
        <row r="234">
          <cell r="D234" t="e">
            <v>#VALUE!</v>
          </cell>
          <cell r="H234" t="str">
            <v/>
          </cell>
          <cell r="J234" t="str">
            <v/>
          </cell>
          <cell r="L234" t="str">
            <v/>
          </cell>
          <cell r="N234">
            <v>0</v>
          </cell>
        </row>
        <row r="235">
          <cell r="D235" t="e">
            <v>#VALUE!</v>
          </cell>
        </row>
        <row r="236">
          <cell r="D236" t="e">
            <v>#VALUE!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포장일위"/>
      <sheetName val="기초일위"/>
      <sheetName val="포장수량산출"/>
      <sheetName val="내역"/>
      <sheetName val="변경일위"/>
      <sheetName val="단가조사"/>
      <sheetName val="기초"/>
      <sheetName val="도급내역"/>
      <sheetName val="단위단가"/>
      <sheetName val="분수포장일위"/>
      <sheetName val="순공사비"/>
      <sheetName val="시설일위"/>
      <sheetName val="조명일위"/>
      <sheetName val="노무비"/>
      <sheetName val="일위대가"/>
      <sheetName val="용산3(영광)"/>
      <sheetName val="대가목록"/>
      <sheetName val="진주방향"/>
      <sheetName val="단위중량"/>
      <sheetName val="광양방향"/>
      <sheetName val="BOQ"/>
      <sheetName val="소일위대가코드표"/>
      <sheetName val="마장"/>
      <sheetName val="노임단가"/>
      <sheetName val="9509"/>
      <sheetName val="백호우계수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목록"/>
      <sheetName val="직노"/>
      <sheetName val="TYPE1"/>
      <sheetName val="적현로"/>
      <sheetName val="주현(영광)"/>
      <sheetName val="주현(해보)"/>
      <sheetName val="기술부 VENDOR LIST"/>
      <sheetName val="B1(반포1차)"/>
      <sheetName val="내역서(총괄)"/>
      <sheetName val="1차설계변경내역"/>
      <sheetName val="계림(함평)"/>
      <sheetName val="계림(장성)"/>
      <sheetName val="수량산출"/>
      <sheetName val="실행철강하도"/>
      <sheetName val="2공구자재집"/>
      <sheetName val="목포방향"/>
      <sheetName val="기본단가표"/>
      <sheetName val="건축2"/>
      <sheetName val="Sheet2"/>
      <sheetName val="자재단가"/>
      <sheetName val="노임"/>
      <sheetName val="도근좌표"/>
      <sheetName val="민감도"/>
      <sheetName val="I.일위대가목차"/>
      <sheetName val="토사(PE)"/>
      <sheetName val="재료"/>
      <sheetName val="설치자재"/>
      <sheetName val="단가표"/>
      <sheetName val="단가산출"/>
      <sheetName val="Sheet1"/>
      <sheetName val="000000"/>
      <sheetName val="준검 내역서"/>
      <sheetName val="견적서-골조공사"/>
      <sheetName val="간접"/>
      <sheetName val="본체"/>
      <sheetName val="증감대비"/>
      <sheetName val="시험물량산출"/>
      <sheetName val="수량집계"/>
      <sheetName val="총괄집계표"/>
      <sheetName val="#REF"/>
      <sheetName val="목록1"/>
      <sheetName val="목록2"/>
      <sheetName val="중기"/>
      <sheetName val="견적서"/>
      <sheetName val="차도부연장현황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수량집계"/>
      <sheetName val="포장조서"/>
      <sheetName val="재집"/>
      <sheetName val="재"/>
      <sheetName val="재집 (2)"/>
      <sheetName val="재 (2)"/>
      <sheetName val="재집(1)"/>
      <sheetName val="재(1)"/>
      <sheetName val="재집(2)"/>
      <sheetName val="재(2)"/>
      <sheetName val="재집(3)"/>
      <sheetName val="재(3)"/>
      <sheetName val="재집(4)"/>
      <sheetName val="재(4)"/>
      <sheetName val="재집(5)"/>
      <sheetName val="재(5)"/>
      <sheetName val="잔고집 "/>
      <sheetName val="경계석"/>
      <sheetName val="잔고조서"/>
      <sheetName val="주자집"/>
      <sheetName val="포조"/>
      <sheetName val="재료집계(1)"/>
      <sheetName val="인조잔디 "/>
      <sheetName val="재료집계(2)"/>
      <sheetName val="게이트볼"/>
      <sheetName val="재료집계(3)"/>
      <sheetName val="테니스장"/>
      <sheetName val="Sheet1"/>
      <sheetName val="갑지"/>
      <sheetName val="갑지 (2)"/>
      <sheetName val="VXXXXXXX"/>
      <sheetName val="대가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단면설계"/>
      <sheetName val="안정검토"/>
      <sheetName val="단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단가목록"/>
      <sheetName val="내역서 갑지"/>
      <sheetName val="총괄표"/>
      <sheetName val="1. 장비 설치공사"/>
      <sheetName val="2. 위생기구 설치공사"/>
      <sheetName val="3. 급수, 급탕 배관공사"/>
      <sheetName val="4. 오, 배수 배관공사"/>
      <sheetName val="5. 난방 배관공사"/>
      <sheetName val="6. 옥외 배관공사"/>
      <sheetName val="단면설계"/>
      <sheetName val="안정검토"/>
      <sheetName val="대가목록"/>
      <sheetName val="DATE"/>
      <sheetName val="목록"/>
      <sheetName val="수량산출"/>
    </sheetNames>
    <sheetDataSet>
      <sheetData sheetId="0" refreshError="1"/>
      <sheetData sheetId="1" refreshError="1">
        <row r="1">
          <cell r="A1" t="str">
            <v>코드</v>
          </cell>
          <cell r="B1" t="str">
            <v>명  칭</v>
          </cell>
          <cell r="C1" t="str">
            <v>규격</v>
          </cell>
          <cell r="D1" t="str">
            <v>단위</v>
          </cell>
          <cell r="E1" t="str">
            <v>재료비</v>
          </cell>
          <cell r="F1" t="str">
            <v>노무비</v>
          </cell>
          <cell r="G1" t="str">
            <v>물가재료</v>
          </cell>
          <cell r="I1" t="str">
            <v>물가정보</v>
          </cell>
          <cell r="K1" t="str">
            <v>유통물가</v>
          </cell>
        </row>
        <row r="2">
          <cell r="G2" t="str">
            <v>단가</v>
          </cell>
          <cell r="H2" t="str">
            <v>쪽</v>
          </cell>
          <cell r="I2" t="str">
            <v>단가</v>
          </cell>
          <cell r="J2" t="str">
            <v>쪽</v>
          </cell>
          <cell r="K2" t="str">
            <v>단가</v>
          </cell>
          <cell r="L2" t="str">
            <v>쪽</v>
          </cell>
        </row>
        <row r="3">
          <cell r="A3">
            <v>0</v>
          </cell>
          <cell r="E3">
            <v>0</v>
          </cell>
          <cell r="F3">
            <v>0</v>
          </cell>
          <cell r="H3">
            <v>0</v>
          </cell>
          <cell r="I3">
            <v>0</v>
          </cell>
          <cell r="J3">
            <v>0</v>
          </cell>
          <cell r="L3">
            <v>0</v>
          </cell>
        </row>
        <row r="4">
          <cell r="A4">
            <v>1011</v>
          </cell>
          <cell r="B4" t="str">
            <v>양변기(로우탱크)</v>
          </cell>
          <cell r="C4" t="str">
            <v>KSVC-1410</v>
          </cell>
          <cell r="D4" t="str">
            <v>조</v>
          </cell>
          <cell r="E4">
            <v>126500</v>
          </cell>
          <cell r="F4">
            <v>0</v>
          </cell>
          <cell r="G4">
            <v>126500</v>
          </cell>
          <cell r="H4">
            <v>627</v>
          </cell>
          <cell r="I4">
            <v>126500</v>
          </cell>
          <cell r="J4">
            <v>565</v>
          </cell>
          <cell r="K4">
            <v>126500</v>
          </cell>
          <cell r="L4">
            <v>538</v>
          </cell>
        </row>
        <row r="5">
          <cell r="A5">
            <v>1012</v>
          </cell>
          <cell r="B5" t="str">
            <v>양변기(후레쉬밸브)</v>
          </cell>
          <cell r="C5" t="str">
            <v>KSVC-1110</v>
          </cell>
          <cell r="D5" t="str">
            <v>조</v>
          </cell>
          <cell r="E5">
            <v>81600</v>
          </cell>
          <cell r="F5">
            <v>0</v>
          </cell>
          <cell r="G5">
            <v>81600</v>
          </cell>
          <cell r="H5">
            <v>627</v>
          </cell>
          <cell r="I5">
            <v>96300</v>
          </cell>
          <cell r="J5">
            <v>565</v>
          </cell>
          <cell r="K5">
            <v>81600</v>
          </cell>
          <cell r="L5">
            <v>538</v>
          </cell>
        </row>
        <row r="6">
          <cell r="A6">
            <v>1013</v>
          </cell>
          <cell r="B6" t="str">
            <v>화변기(후레쉬밸브)</v>
          </cell>
          <cell r="C6" t="str">
            <v>KSVC- 310</v>
          </cell>
          <cell r="D6" t="str">
            <v>조</v>
          </cell>
          <cell r="E6">
            <v>45000</v>
          </cell>
          <cell r="F6">
            <v>0</v>
          </cell>
          <cell r="G6">
            <v>56600</v>
          </cell>
          <cell r="H6">
            <v>627</v>
          </cell>
          <cell r="I6">
            <v>61100</v>
          </cell>
          <cell r="J6">
            <v>565</v>
          </cell>
          <cell r="K6">
            <v>56600</v>
          </cell>
          <cell r="L6">
            <v>538</v>
          </cell>
        </row>
        <row r="7">
          <cell r="A7">
            <v>1014</v>
          </cell>
          <cell r="B7" t="str">
            <v>유아용양변기</v>
          </cell>
          <cell r="C7" t="str">
            <v>KSVC- 760</v>
          </cell>
          <cell r="D7" t="str">
            <v>조</v>
          </cell>
          <cell r="E7">
            <v>86900</v>
          </cell>
          <cell r="F7">
            <v>0</v>
          </cell>
          <cell r="H7">
            <v>0</v>
          </cell>
          <cell r="I7">
            <v>86900</v>
          </cell>
          <cell r="J7">
            <v>565</v>
          </cell>
          <cell r="L7" t="str">
            <v>-</v>
          </cell>
        </row>
        <row r="8">
          <cell r="A8">
            <v>1015</v>
          </cell>
          <cell r="B8" t="str">
            <v>장애자용양변기</v>
          </cell>
          <cell r="C8" t="str">
            <v>RCP - 1</v>
          </cell>
          <cell r="D8" t="str">
            <v>조</v>
          </cell>
          <cell r="E8">
            <v>213000</v>
          </cell>
          <cell r="F8">
            <v>0</v>
          </cell>
          <cell r="H8">
            <v>0</v>
          </cell>
          <cell r="I8">
            <v>213000</v>
          </cell>
          <cell r="J8">
            <v>565</v>
          </cell>
          <cell r="L8" t="str">
            <v>-</v>
          </cell>
        </row>
        <row r="9">
          <cell r="A9">
            <v>1016</v>
          </cell>
          <cell r="B9" t="str">
            <v>장애자용양변기(가동식)</v>
          </cell>
          <cell r="C9" t="str">
            <v>RCP - 2R</v>
          </cell>
          <cell r="D9" t="str">
            <v>조</v>
          </cell>
          <cell r="E9">
            <v>324000</v>
          </cell>
          <cell r="F9">
            <v>0</v>
          </cell>
          <cell r="H9">
            <v>0</v>
          </cell>
          <cell r="I9">
            <v>324000</v>
          </cell>
          <cell r="J9">
            <v>565</v>
          </cell>
          <cell r="L9" t="str">
            <v>-</v>
          </cell>
        </row>
        <row r="10">
          <cell r="A10">
            <v>1017</v>
          </cell>
          <cell r="B10" t="str">
            <v>장애자용양변기(고정식)</v>
          </cell>
          <cell r="C10" t="str">
            <v>RCP - 3R</v>
          </cell>
          <cell r="D10" t="str">
            <v>조</v>
          </cell>
          <cell r="E10">
            <v>201000</v>
          </cell>
          <cell r="F10">
            <v>0</v>
          </cell>
          <cell r="H10">
            <v>0</v>
          </cell>
          <cell r="I10">
            <v>201000</v>
          </cell>
          <cell r="J10">
            <v>565</v>
          </cell>
          <cell r="L10" t="str">
            <v>-</v>
          </cell>
        </row>
        <row r="12">
          <cell r="A12">
            <v>1021</v>
          </cell>
          <cell r="B12" t="str">
            <v>중형스톨소변기</v>
          </cell>
          <cell r="C12" t="str">
            <v>KSVU- 320</v>
          </cell>
          <cell r="D12" t="str">
            <v>조</v>
          </cell>
          <cell r="E12">
            <v>91000</v>
          </cell>
          <cell r="F12">
            <v>0</v>
          </cell>
          <cell r="G12">
            <v>92500</v>
          </cell>
          <cell r="H12">
            <v>627</v>
          </cell>
          <cell r="I12">
            <v>91000</v>
          </cell>
          <cell r="J12">
            <v>565</v>
          </cell>
          <cell r="K12">
            <v>92500</v>
          </cell>
          <cell r="L12">
            <v>538</v>
          </cell>
        </row>
        <row r="13">
          <cell r="A13">
            <v>1022</v>
          </cell>
          <cell r="B13" t="str">
            <v>소형스톨소변기</v>
          </cell>
          <cell r="C13" t="str">
            <v>KSVU- 330</v>
          </cell>
          <cell r="D13" t="str">
            <v>조</v>
          </cell>
          <cell r="E13">
            <v>70500</v>
          </cell>
          <cell r="F13">
            <v>0</v>
          </cell>
          <cell r="G13">
            <v>70500</v>
          </cell>
          <cell r="H13">
            <v>627</v>
          </cell>
          <cell r="I13">
            <v>72900</v>
          </cell>
          <cell r="J13">
            <v>565</v>
          </cell>
          <cell r="K13">
            <v>70500</v>
          </cell>
          <cell r="L13">
            <v>538</v>
          </cell>
        </row>
        <row r="14">
          <cell r="A14">
            <v>1023</v>
          </cell>
          <cell r="B14" t="str">
            <v>대형벽걸이소변기</v>
          </cell>
          <cell r="C14" t="str">
            <v>KSVU- 410</v>
          </cell>
          <cell r="D14" t="str">
            <v>조</v>
          </cell>
          <cell r="E14">
            <v>96800</v>
          </cell>
          <cell r="F14">
            <v>0</v>
          </cell>
          <cell r="G14">
            <v>98000</v>
          </cell>
          <cell r="H14">
            <v>627</v>
          </cell>
          <cell r="I14">
            <v>96800</v>
          </cell>
          <cell r="J14">
            <v>565</v>
          </cell>
          <cell r="K14">
            <v>100500</v>
          </cell>
          <cell r="L14">
            <v>538</v>
          </cell>
        </row>
        <row r="15">
          <cell r="A15">
            <v>1024</v>
          </cell>
          <cell r="B15" t="str">
            <v>소형벽걸이소변기</v>
          </cell>
          <cell r="C15" t="str">
            <v>KSVU- 430</v>
          </cell>
          <cell r="D15" t="str">
            <v>조</v>
          </cell>
          <cell r="E15">
            <v>57200</v>
          </cell>
          <cell r="F15">
            <v>0</v>
          </cell>
          <cell r="G15">
            <v>66000</v>
          </cell>
          <cell r="H15">
            <v>627</v>
          </cell>
          <cell r="I15">
            <v>57200</v>
          </cell>
          <cell r="J15">
            <v>565</v>
          </cell>
          <cell r="L15" t="str">
            <v>-</v>
          </cell>
        </row>
        <row r="16">
          <cell r="A16">
            <v>1025</v>
          </cell>
          <cell r="B16" t="str">
            <v>장애자용소변기</v>
          </cell>
          <cell r="C16" t="str">
            <v>RUP - 1</v>
          </cell>
          <cell r="D16" t="str">
            <v>조</v>
          </cell>
          <cell r="E16">
            <v>123000</v>
          </cell>
          <cell r="F16">
            <v>0</v>
          </cell>
          <cell r="G16">
            <v>200000</v>
          </cell>
          <cell r="H16">
            <v>627</v>
          </cell>
          <cell r="I16">
            <v>123000</v>
          </cell>
          <cell r="J16">
            <v>565</v>
          </cell>
          <cell r="K16">
            <v>200000</v>
          </cell>
          <cell r="L16">
            <v>538</v>
          </cell>
        </row>
        <row r="17">
          <cell r="A17">
            <v>1026</v>
          </cell>
          <cell r="B17" t="str">
            <v>장애자용소변기(노출)</v>
          </cell>
          <cell r="C17" t="str">
            <v>RUP - 2</v>
          </cell>
          <cell r="D17" t="str">
            <v>조</v>
          </cell>
          <cell r="E17">
            <v>211000</v>
          </cell>
          <cell r="F17">
            <v>0</v>
          </cell>
          <cell r="G17">
            <v>280000</v>
          </cell>
          <cell r="H17">
            <v>627</v>
          </cell>
          <cell r="I17">
            <v>211000</v>
          </cell>
          <cell r="J17">
            <v>565</v>
          </cell>
          <cell r="K17">
            <v>280000</v>
          </cell>
          <cell r="L17">
            <v>538</v>
          </cell>
        </row>
        <row r="18">
          <cell r="A18">
            <v>1027</v>
          </cell>
          <cell r="B18" t="str">
            <v>장애자용소변기(매립)</v>
          </cell>
          <cell r="C18" t="str">
            <v>RUP - 3</v>
          </cell>
          <cell r="D18" t="str">
            <v>조</v>
          </cell>
          <cell r="E18">
            <v>236000</v>
          </cell>
          <cell r="F18">
            <v>0</v>
          </cell>
          <cell r="I18">
            <v>236000</v>
          </cell>
          <cell r="J18">
            <v>565</v>
          </cell>
          <cell r="L18" t="str">
            <v>-</v>
          </cell>
        </row>
        <row r="20">
          <cell r="A20">
            <v>1031</v>
          </cell>
          <cell r="B20" t="str">
            <v>세면기(싱글레버포함)</v>
          </cell>
          <cell r="C20" t="str">
            <v>KSVL-1040</v>
          </cell>
          <cell r="D20" t="str">
            <v>조</v>
          </cell>
          <cell r="E20">
            <v>120000</v>
          </cell>
          <cell r="F20">
            <v>0</v>
          </cell>
          <cell r="I20">
            <v>120000</v>
          </cell>
          <cell r="J20">
            <v>565</v>
          </cell>
          <cell r="L20">
            <v>0</v>
          </cell>
        </row>
        <row r="21">
          <cell r="A21">
            <v>1032</v>
          </cell>
          <cell r="B21" t="str">
            <v>세면기(싱글레버포함)</v>
          </cell>
          <cell r="C21" t="str">
            <v>KSVL- 610</v>
          </cell>
          <cell r="D21" t="str">
            <v>조</v>
          </cell>
          <cell r="E21">
            <v>93500</v>
          </cell>
          <cell r="F21">
            <v>0</v>
          </cell>
          <cell r="I21">
            <v>93500</v>
          </cell>
          <cell r="J21">
            <v>565</v>
          </cell>
          <cell r="L21" t="str">
            <v>-</v>
          </cell>
        </row>
        <row r="22">
          <cell r="A22">
            <v>1033</v>
          </cell>
          <cell r="B22" t="str">
            <v>세면기(싱글레버포함)</v>
          </cell>
          <cell r="C22" t="str">
            <v>KSVL-1050</v>
          </cell>
          <cell r="D22" t="str">
            <v>조</v>
          </cell>
          <cell r="E22">
            <v>120000</v>
          </cell>
          <cell r="F22">
            <v>0</v>
          </cell>
          <cell r="H22">
            <v>631</v>
          </cell>
          <cell r="I22">
            <v>120000</v>
          </cell>
          <cell r="J22">
            <v>565</v>
          </cell>
          <cell r="K22">
            <v>124000</v>
          </cell>
          <cell r="L22">
            <v>540</v>
          </cell>
        </row>
        <row r="23">
          <cell r="A23">
            <v>1034</v>
          </cell>
          <cell r="B23" t="str">
            <v>장애자용세면기(폽업)</v>
          </cell>
          <cell r="C23" t="str">
            <v>RLP - 1</v>
          </cell>
          <cell r="D23" t="str">
            <v>조</v>
          </cell>
          <cell r="E23">
            <v>180000</v>
          </cell>
          <cell r="F23">
            <v>0</v>
          </cell>
          <cell r="I23">
            <v>294000</v>
          </cell>
          <cell r="J23">
            <v>565</v>
          </cell>
          <cell r="K23">
            <v>180000</v>
          </cell>
          <cell r="L23">
            <v>538</v>
          </cell>
        </row>
        <row r="24">
          <cell r="A24">
            <v>1035</v>
          </cell>
          <cell r="B24" t="str">
            <v>장애자용세면기(배수구)</v>
          </cell>
          <cell r="C24" t="str">
            <v>RLP - 2</v>
          </cell>
          <cell r="D24" t="str">
            <v>조</v>
          </cell>
          <cell r="E24">
            <v>272000</v>
          </cell>
          <cell r="F24">
            <v>0</v>
          </cell>
          <cell r="I24">
            <v>272000</v>
          </cell>
          <cell r="J24">
            <v>565</v>
          </cell>
          <cell r="K24">
            <v>400000</v>
          </cell>
          <cell r="L24">
            <v>538</v>
          </cell>
        </row>
        <row r="26">
          <cell r="A26">
            <v>1041</v>
          </cell>
          <cell r="B26" t="str">
            <v>청소씽크(1구)</v>
          </cell>
          <cell r="C26" t="str">
            <v>KSVS- 210</v>
          </cell>
          <cell r="D26" t="str">
            <v>조</v>
          </cell>
          <cell r="E26">
            <v>137500</v>
          </cell>
          <cell r="F26">
            <v>0</v>
          </cell>
          <cell r="G26">
            <v>140000</v>
          </cell>
          <cell r="H26">
            <v>627</v>
          </cell>
          <cell r="I26">
            <v>137500</v>
          </cell>
          <cell r="J26">
            <v>565</v>
          </cell>
          <cell r="L26" t="str">
            <v>-</v>
          </cell>
        </row>
        <row r="27">
          <cell r="A27">
            <v>1042</v>
          </cell>
          <cell r="B27" t="str">
            <v>청소씽크(2구)</v>
          </cell>
          <cell r="C27" t="str">
            <v>KSVS- 210</v>
          </cell>
          <cell r="D27" t="str">
            <v>조</v>
          </cell>
          <cell r="E27">
            <v>140000</v>
          </cell>
          <cell r="F27">
            <v>0</v>
          </cell>
          <cell r="G27">
            <v>140000</v>
          </cell>
          <cell r="H27">
            <v>627</v>
          </cell>
          <cell r="I27">
            <v>143000</v>
          </cell>
          <cell r="J27">
            <v>565</v>
          </cell>
          <cell r="L27" t="str">
            <v>-</v>
          </cell>
        </row>
        <row r="29">
          <cell r="A29">
            <v>1045</v>
          </cell>
          <cell r="B29" t="str">
            <v>샤워(PVC호스형)</v>
          </cell>
          <cell r="C29" t="str">
            <v>RBS-100AG1</v>
          </cell>
          <cell r="D29" t="str">
            <v>개</v>
          </cell>
          <cell r="E29">
            <v>57300</v>
          </cell>
          <cell r="F29">
            <v>0</v>
          </cell>
          <cell r="H29">
            <v>569</v>
          </cell>
          <cell r="I29">
            <v>57300</v>
          </cell>
          <cell r="J29">
            <v>570</v>
          </cell>
          <cell r="L29" t="str">
            <v>-</v>
          </cell>
        </row>
        <row r="30">
          <cell r="A30">
            <v>1046</v>
          </cell>
          <cell r="B30" t="str">
            <v>샤워(메탈호스형)</v>
          </cell>
          <cell r="C30" t="str">
            <v>RBS-100AG1</v>
          </cell>
          <cell r="D30" t="str">
            <v>개</v>
          </cell>
          <cell r="E30">
            <v>61900</v>
          </cell>
          <cell r="F30">
            <v>0</v>
          </cell>
          <cell r="H30">
            <v>569</v>
          </cell>
          <cell r="I30">
            <v>61900</v>
          </cell>
          <cell r="J30">
            <v>570</v>
          </cell>
          <cell r="L30" t="str">
            <v>-</v>
          </cell>
        </row>
        <row r="31">
          <cell r="A31">
            <v>1047</v>
          </cell>
          <cell r="B31" t="str">
            <v>샤워(자폐식PVC형)</v>
          </cell>
          <cell r="C31" t="str">
            <v>RBT-101A</v>
          </cell>
          <cell r="D31" t="str">
            <v>개</v>
          </cell>
          <cell r="E31">
            <v>125300</v>
          </cell>
          <cell r="F31">
            <v>0</v>
          </cell>
          <cell r="H31">
            <v>569</v>
          </cell>
          <cell r="I31">
            <v>125300</v>
          </cell>
          <cell r="J31">
            <v>570</v>
          </cell>
          <cell r="L31" t="str">
            <v>-</v>
          </cell>
        </row>
        <row r="32">
          <cell r="A32">
            <v>1048</v>
          </cell>
          <cell r="B32" t="str">
            <v>샤워(자폐식메탈형)</v>
          </cell>
          <cell r="C32" t="str">
            <v>RBT-201A</v>
          </cell>
          <cell r="D32" t="str">
            <v>개</v>
          </cell>
          <cell r="E32">
            <v>130300</v>
          </cell>
          <cell r="F32">
            <v>0</v>
          </cell>
          <cell r="H32">
            <v>569</v>
          </cell>
          <cell r="I32">
            <v>130300</v>
          </cell>
          <cell r="J32">
            <v>570</v>
          </cell>
          <cell r="L32" t="str">
            <v>-</v>
          </cell>
        </row>
        <row r="33">
          <cell r="A33">
            <v>1049</v>
          </cell>
          <cell r="B33" t="str">
            <v>샤워(매립서머스타트식)</v>
          </cell>
          <cell r="C33" t="str">
            <v>RBT-500A</v>
          </cell>
          <cell r="D33" t="str">
            <v>개</v>
          </cell>
          <cell r="E33">
            <v>169300</v>
          </cell>
          <cell r="F33">
            <v>0</v>
          </cell>
          <cell r="H33">
            <v>569</v>
          </cell>
          <cell r="I33">
            <v>169300</v>
          </cell>
          <cell r="J33">
            <v>570</v>
          </cell>
          <cell r="L33" t="str">
            <v>-</v>
          </cell>
        </row>
        <row r="35">
          <cell r="A35">
            <v>1051</v>
          </cell>
          <cell r="B35" t="str">
            <v>씽크수전(고정식대붙이)</v>
          </cell>
          <cell r="C35" t="str">
            <v>RKS-110CLO</v>
          </cell>
          <cell r="D35" t="str">
            <v>개</v>
          </cell>
          <cell r="E35">
            <v>55700</v>
          </cell>
          <cell r="F35">
            <v>0</v>
          </cell>
          <cell r="H35">
            <v>570</v>
          </cell>
          <cell r="I35">
            <v>55700</v>
          </cell>
          <cell r="J35">
            <v>571</v>
          </cell>
          <cell r="L35" t="str">
            <v>-</v>
          </cell>
        </row>
        <row r="36">
          <cell r="A36">
            <v>1052</v>
          </cell>
          <cell r="B36" t="str">
            <v>씽크수전(착탈식대붙이)</v>
          </cell>
          <cell r="C36" t="str">
            <v>RKS-420CM2</v>
          </cell>
          <cell r="D36" t="str">
            <v>개</v>
          </cell>
          <cell r="E36">
            <v>81700</v>
          </cell>
          <cell r="F36">
            <v>0</v>
          </cell>
          <cell r="H36">
            <v>570</v>
          </cell>
          <cell r="I36">
            <v>81700</v>
          </cell>
          <cell r="J36">
            <v>571</v>
          </cell>
          <cell r="L36" t="str">
            <v>-</v>
          </cell>
        </row>
        <row r="37">
          <cell r="A37">
            <v>1053</v>
          </cell>
          <cell r="B37" t="str">
            <v>씽크수전(고정식벽붙이)</v>
          </cell>
          <cell r="C37" t="str">
            <v>RKS-400CM3</v>
          </cell>
          <cell r="D37" t="str">
            <v>개</v>
          </cell>
          <cell r="E37">
            <v>56400</v>
          </cell>
          <cell r="F37">
            <v>0</v>
          </cell>
          <cell r="H37">
            <v>570</v>
          </cell>
          <cell r="I37">
            <v>56400</v>
          </cell>
          <cell r="J37">
            <v>571</v>
          </cell>
          <cell r="L37" t="str">
            <v>-</v>
          </cell>
        </row>
        <row r="38">
          <cell r="A38">
            <v>1054</v>
          </cell>
          <cell r="B38" t="str">
            <v>씽크수전(착탈식벽붙이)</v>
          </cell>
          <cell r="C38" t="str">
            <v>RKS-300AL9</v>
          </cell>
          <cell r="D38" t="str">
            <v>개</v>
          </cell>
          <cell r="E38">
            <v>63900</v>
          </cell>
          <cell r="F38">
            <v>0</v>
          </cell>
          <cell r="H38">
            <v>570</v>
          </cell>
          <cell r="I38">
            <v>63900</v>
          </cell>
          <cell r="J38">
            <v>571</v>
          </cell>
          <cell r="L38" t="str">
            <v>-</v>
          </cell>
        </row>
        <row r="40">
          <cell r="A40">
            <v>1055</v>
          </cell>
          <cell r="B40" t="str">
            <v>일반수전(15Ø)</v>
          </cell>
          <cell r="C40" t="str">
            <v>R - 102A</v>
          </cell>
          <cell r="D40" t="str">
            <v>개</v>
          </cell>
          <cell r="E40">
            <v>3450</v>
          </cell>
          <cell r="F40">
            <v>0</v>
          </cell>
          <cell r="H40">
            <v>0</v>
          </cell>
          <cell r="I40">
            <v>3450</v>
          </cell>
          <cell r="J40">
            <v>0</v>
          </cell>
          <cell r="K40">
            <v>3850</v>
          </cell>
          <cell r="L40">
            <v>544</v>
          </cell>
        </row>
        <row r="41">
          <cell r="A41">
            <v>1056</v>
          </cell>
          <cell r="B41" t="str">
            <v>일반수전(20Ø)</v>
          </cell>
          <cell r="C41" t="str">
            <v>R - 102D</v>
          </cell>
          <cell r="D41" t="str">
            <v>개</v>
          </cell>
          <cell r="E41">
            <v>6900</v>
          </cell>
          <cell r="F41">
            <v>0</v>
          </cell>
          <cell r="H41">
            <v>0</v>
          </cell>
          <cell r="I41">
            <v>6900</v>
          </cell>
          <cell r="J41">
            <v>0</v>
          </cell>
          <cell r="K41">
            <v>6930</v>
          </cell>
          <cell r="L41">
            <v>544</v>
          </cell>
        </row>
        <row r="42">
          <cell r="A42">
            <v>1057</v>
          </cell>
          <cell r="B42" t="str">
            <v>세탁수전(15Ø)</v>
          </cell>
          <cell r="C42" t="str">
            <v>R - 103A</v>
          </cell>
          <cell r="D42" t="str">
            <v>개</v>
          </cell>
          <cell r="E42">
            <v>4620</v>
          </cell>
          <cell r="F42">
            <v>0</v>
          </cell>
          <cell r="H42">
            <v>0</v>
          </cell>
          <cell r="I42">
            <v>6900</v>
          </cell>
          <cell r="J42">
            <v>0</v>
          </cell>
          <cell r="K42">
            <v>4620</v>
          </cell>
          <cell r="L42">
            <v>544</v>
          </cell>
        </row>
        <row r="44">
          <cell r="A44">
            <v>1060</v>
          </cell>
          <cell r="B44" t="str">
            <v>마블욕조</v>
          </cell>
          <cell r="C44" t="str">
            <v>1,200x700</v>
          </cell>
          <cell r="D44" t="str">
            <v>개</v>
          </cell>
          <cell r="E44">
            <v>110000</v>
          </cell>
          <cell r="F44">
            <v>0</v>
          </cell>
          <cell r="H44">
            <v>566</v>
          </cell>
          <cell r="I44">
            <v>110000</v>
          </cell>
          <cell r="J44">
            <v>566</v>
          </cell>
          <cell r="L44" t="str">
            <v>-</v>
          </cell>
        </row>
        <row r="45">
          <cell r="A45">
            <v>1061</v>
          </cell>
          <cell r="B45" t="str">
            <v>마블욕조</v>
          </cell>
          <cell r="C45" t="str">
            <v>1,300x750</v>
          </cell>
          <cell r="D45" t="str">
            <v>개</v>
          </cell>
          <cell r="E45">
            <v>115000</v>
          </cell>
          <cell r="F45">
            <v>0</v>
          </cell>
          <cell r="H45">
            <v>566</v>
          </cell>
          <cell r="I45">
            <v>115000</v>
          </cell>
          <cell r="J45">
            <v>566</v>
          </cell>
          <cell r="L45" t="str">
            <v>-</v>
          </cell>
        </row>
        <row r="46">
          <cell r="A46">
            <v>1062</v>
          </cell>
          <cell r="B46" t="str">
            <v>마블욕조</v>
          </cell>
          <cell r="C46" t="str">
            <v>1,400x750</v>
          </cell>
          <cell r="D46" t="str">
            <v>개</v>
          </cell>
          <cell r="E46">
            <v>120000</v>
          </cell>
          <cell r="F46">
            <v>0</v>
          </cell>
          <cell r="H46">
            <v>566</v>
          </cell>
          <cell r="I46">
            <v>120000</v>
          </cell>
          <cell r="J46">
            <v>566</v>
          </cell>
          <cell r="K46">
            <v>140000</v>
          </cell>
          <cell r="L46">
            <v>540</v>
          </cell>
        </row>
        <row r="47">
          <cell r="A47">
            <v>1063</v>
          </cell>
          <cell r="B47" t="str">
            <v>마블욕조</v>
          </cell>
          <cell r="C47" t="str">
            <v>1,500x700</v>
          </cell>
          <cell r="D47" t="str">
            <v>개</v>
          </cell>
          <cell r="E47">
            <v>125000</v>
          </cell>
          <cell r="F47">
            <v>0</v>
          </cell>
          <cell r="H47">
            <v>566</v>
          </cell>
          <cell r="I47">
            <v>125000</v>
          </cell>
          <cell r="J47">
            <v>566</v>
          </cell>
          <cell r="K47">
            <v>142000</v>
          </cell>
          <cell r="L47">
            <v>540</v>
          </cell>
        </row>
        <row r="48">
          <cell r="A48">
            <v>1064</v>
          </cell>
          <cell r="B48" t="str">
            <v>마블욕조</v>
          </cell>
          <cell r="C48" t="str">
            <v>1,600x750</v>
          </cell>
          <cell r="D48" t="str">
            <v>개</v>
          </cell>
          <cell r="E48">
            <v>130000</v>
          </cell>
          <cell r="F48">
            <v>0</v>
          </cell>
          <cell r="H48">
            <v>566</v>
          </cell>
          <cell r="I48">
            <v>130000</v>
          </cell>
          <cell r="J48">
            <v>566</v>
          </cell>
          <cell r="K48">
            <v>142000</v>
          </cell>
          <cell r="L48">
            <v>540</v>
          </cell>
        </row>
        <row r="49">
          <cell r="A49">
            <v>1065</v>
          </cell>
          <cell r="B49" t="str">
            <v>마블욕조</v>
          </cell>
          <cell r="C49" t="str">
            <v>1,700x750</v>
          </cell>
          <cell r="D49" t="str">
            <v>개</v>
          </cell>
          <cell r="E49">
            <v>135000</v>
          </cell>
          <cell r="F49">
            <v>0</v>
          </cell>
          <cell r="H49">
            <v>566</v>
          </cell>
          <cell r="I49">
            <v>135000</v>
          </cell>
          <cell r="J49">
            <v>566</v>
          </cell>
          <cell r="K49">
            <v>145000</v>
          </cell>
          <cell r="L49">
            <v>540</v>
          </cell>
        </row>
        <row r="52">
          <cell r="A52">
            <v>1066</v>
          </cell>
          <cell r="B52" t="str">
            <v>마블세면대</v>
          </cell>
          <cell r="C52" t="str">
            <v>800x600</v>
          </cell>
          <cell r="D52" t="str">
            <v>개</v>
          </cell>
          <cell r="E52">
            <v>80000</v>
          </cell>
          <cell r="F52">
            <v>0</v>
          </cell>
          <cell r="H52">
            <v>0</v>
          </cell>
          <cell r="I52">
            <v>80000</v>
          </cell>
          <cell r="J52">
            <v>0</v>
          </cell>
          <cell r="L52">
            <v>0</v>
          </cell>
        </row>
        <row r="53">
          <cell r="A53">
            <v>1067</v>
          </cell>
          <cell r="B53" t="str">
            <v>마블세면대</v>
          </cell>
          <cell r="C53" t="str">
            <v>1,000x600</v>
          </cell>
          <cell r="D53" t="str">
            <v>개</v>
          </cell>
          <cell r="E53">
            <v>90000</v>
          </cell>
          <cell r="F53">
            <v>0</v>
          </cell>
          <cell r="H53">
            <v>631</v>
          </cell>
          <cell r="I53">
            <v>90000</v>
          </cell>
          <cell r="J53">
            <v>565</v>
          </cell>
          <cell r="L53">
            <v>540</v>
          </cell>
        </row>
        <row r="54">
          <cell r="A54">
            <v>1068</v>
          </cell>
          <cell r="B54" t="str">
            <v>마블세면대</v>
          </cell>
          <cell r="C54" t="str">
            <v>1,500x600</v>
          </cell>
          <cell r="D54" t="str">
            <v>개</v>
          </cell>
          <cell r="E54">
            <v>124000</v>
          </cell>
          <cell r="F54">
            <v>0</v>
          </cell>
          <cell r="H54">
            <v>631</v>
          </cell>
          <cell r="I54">
            <v>150000</v>
          </cell>
          <cell r="J54">
            <v>565</v>
          </cell>
          <cell r="L54" t="str">
            <v>-</v>
          </cell>
        </row>
        <row r="55">
          <cell r="A55">
            <v>1069</v>
          </cell>
          <cell r="B55" t="str">
            <v>마블세면대</v>
          </cell>
          <cell r="C55" t="str">
            <v>2,000x600</v>
          </cell>
          <cell r="D55" t="str">
            <v>개</v>
          </cell>
          <cell r="E55">
            <v>180000</v>
          </cell>
          <cell r="F55">
            <v>0</v>
          </cell>
          <cell r="H55">
            <v>631</v>
          </cell>
          <cell r="I55">
            <v>180000</v>
          </cell>
          <cell r="J55">
            <v>565</v>
          </cell>
          <cell r="L55" t="str">
            <v>-</v>
          </cell>
        </row>
        <row r="57">
          <cell r="A57">
            <v>1070</v>
          </cell>
          <cell r="B57" t="str">
            <v>화장경</v>
          </cell>
          <cell r="C57" t="str">
            <v>600x900x5t</v>
          </cell>
          <cell r="D57" t="str">
            <v>매</v>
          </cell>
          <cell r="E57">
            <v>9500</v>
          </cell>
          <cell r="F57">
            <v>0</v>
          </cell>
          <cell r="H57">
            <v>0</v>
          </cell>
          <cell r="I57">
            <v>15000</v>
          </cell>
          <cell r="J57">
            <v>0</v>
          </cell>
          <cell r="K57">
            <v>9500</v>
          </cell>
          <cell r="L57">
            <v>548</v>
          </cell>
        </row>
        <row r="58">
          <cell r="A58">
            <v>1071</v>
          </cell>
          <cell r="B58" t="str">
            <v>화장경</v>
          </cell>
          <cell r="C58" t="str">
            <v>1,000x600x5t</v>
          </cell>
          <cell r="D58" t="str">
            <v>매</v>
          </cell>
          <cell r="E58">
            <v>21840</v>
          </cell>
          <cell r="F58">
            <v>0</v>
          </cell>
          <cell r="H58">
            <v>0</v>
          </cell>
          <cell r="J58">
            <v>0</v>
          </cell>
          <cell r="K58">
            <v>21840</v>
          </cell>
          <cell r="L58">
            <v>548</v>
          </cell>
        </row>
        <row r="59">
          <cell r="A59">
            <v>1072</v>
          </cell>
          <cell r="B59" t="str">
            <v>화장경</v>
          </cell>
          <cell r="C59" t="str">
            <v>1,500x900x5t</v>
          </cell>
          <cell r="D59" t="str">
            <v>매</v>
          </cell>
          <cell r="E59">
            <v>26730</v>
          </cell>
          <cell r="F59">
            <v>0</v>
          </cell>
          <cell r="H59">
            <v>0</v>
          </cell>
          <cell r="I59">
            <v>37500</v>
          </cell>
          <cell r="J59">
            <v>0</v>
          </cell>
          <cell r="L59">
            <v>0</v>
          </cell>
        </row>
        <row r="60">
          <cell r="A60">
            <v>1073</v>
          </cell>
          <cell r="B60" t="str">
            <v>화장경</v>
          </cell>
          <cell r="C60" t="str">
            <v>2,000x900x5t</v>
          </cell>
          <cell r="D60" t="str">
            <v>매</v>
          </cell>
          <cell r="E60">
            <v>50000</v>
          </cell>
          <cell r="F60">
            <v>0</v>
          </cell>
          <cell r="H60">
            <v>0</v>
          </cell>
          <cell r="I60">
            <v>50000</v>
          </cell>
          <cell r="J60">
            <v>0</v>
          </cell>
          <cell r="L60">
            <v>0</v>
          </cell>
        </row>
        <row r="62">
          <cell r="A62">
            <v>1074</v>
          </cell>
          <cell r="B62" t="str">
            <v>화장선반</v>
          </cell>
          <cell r="C62" t="str">
            <v>STS-304</v>
          </cell>
          <cell r="D62" t="str">
            <v>개</v>
          </cell>
          <cell r="E62">
            <v>8700</v>
          </cell>
          <cell r="F62">
            <v>0</v>
          </cell>
          <cell r="H62">
            <v>0</v>
          </cell>
          <cell r="J62">
            <v>0</v>
          </cell>
          <cell r="K62">
            <v>8700</v>
          </cell>
          <cell r="L62">
            <v>0</v>
          </cell>
        </row>
        <row r="63">
          <cell r="A63">
            <v>1075</v>
          </cell>
          <cell r="B63" t="str">
            <v>수건걸이</v>
          </cell>
          <cell r="C63" t="str">
            <v>STS-304</v>
          </cell>
          <cell r="D63" t="str">
            <v>개</v>
          </cell>
          <cell r="E63">
            <v>5640</v>
          </cell>
          <cell r="F63">
            <v>0</v>
          </cell>
          <cell r="H63">
            <v>0</v>
          </cell>
          <cell r="J63">
            <v>0</v>
          </cell>
          <cell r="K63">
            <v>3750</v>
          </cell>
          <cell r="L63">
            <v>0</v>
          </cell>
        </row>
        <row r="64">
          <cell r="A64">
            <v>1076</v>
          </cell>
          <cell r="B64" t="str">
            <v>휴지걸이</v>
          </cell>
          <cell r="C64" t="str">
            <v>RA 110</v>
          </cell>
          <cell r="D64" t="str">
            <v>개</v>
          </cell>
          <cell r="E64">
            <v>5640</v>
          </cell>
          <cell r="F64">
            <v>0</v>
          </cell>
          <cell r="H64">
            <v>0</v>
          </cell>
          <cell r="J64">
            <v>0</v>
          </cell>
          <cell r="K64">
            <v>3200</v>
          </cell>
          <cell r="L64">
            <v>0</v>
          </cell>
        </row>
        <row r="65">
          <cell r="A65">
            <v>1081</v>
          </cell>
          <cell r="B65" t="str">
            <v>주방기구(유로6001)</v>
          </cell>
          <cell r="C65" t="str">
            <v>1500 L</v>
          </cell>
          <cell r="D65" t="str">
            <v>조</v>
          </cell>
          <cell r="E65">
            <v>653900</v>
          </cell>
          <cell r="F65">
            <v>0</v>
          </cell>
          <cell r="H65">
            <v>0</v>
          </cell>
          <cell r="I65">
            <v>653900</v>
          </cell>
          <cell r="J65">
            <v>0</v>
          </cell>
          <cell r="L65">
            <v>0</v>
          </cell>
        </row>
        <row r="66">
          <cell r="A66">
            <v>1082</v>
          </cell>
          <cell r="B66" t="str">
            <v>주방기구(유로6001)</v>
          </cell>
          <cell r="C66" t="str">
            <v>1800 L</v>
          </cell>
          <cell r="D66" t="str">
            <v>조</v>
          </cell>
          <cell r="E66">
            <v>967900</v>
          </cell>
          <cell r="F66">
            <v>77432</v>
          </cell>
          <cell r="H66">
            <v>0</v>
          </cell>
          <cell r="I66">
            <v>967900</v>
          </cell>
          <cell r="J66">
            <v>0</v>
          </cell>
          <cell r="L66">
            <v>0</v>
          </cell>
        </row>
        <row r="67">
          <cell r="E67">
            <v>0</v>
          </cell>
        </row>
        <row r="68">
          <cell r="A68">
            <v>1091</v>
          </cell>
          <cell r="B68" t="str">
            <v>심야전기온수기</v>
          </cell>
          <cell r="C68" t="str">
            <v>150Lit</v>
          </cell>
          <cell r="D68" t="str">
            <v>대</v>
          </cell>
          <cell r="E68">
            <v>612000</v>
          </cell>
          <cell r="F68">
            <v>0</v>
          </cell>
          <cell r="H68">
            <v>586</v>
          </cell>
          <cell r="I68">
            <v>612000</v>
          </cell>
          <cell r="J68">
            <v>586</v>
          </cell>
          <cell r="L68">
            <v>586</v>
          </cell>
        </row>
        <row r="69">
          <cell r="A69">
            <v>1092</v>
          </cell>
          <cell r="B69" t="str">
            <v>심야전기온수기</v>
          </cell>
          <cell r="C69" t="str">
            <v>250Lit</v>
          </cell>
          <cell r="D69" t="str">
            <v>대</v>
          </cell>
          <cell r="E69">
            <v>800000</v>
          </cell>
          <cell r="F69">
            <v>0</v>
          </cell>
          <cell r="H69">
            <v>586</v>
          </cell>
          <cell r="I69">
            <v>800000</v>
          </cell>
          <cell r="J69">
            <v>586</v>
          </cell>
          <cell r="L69">
            <v>586</v>
          </cell>
        </row>
        <row r="70">
          <cell r="A70">
            <v>1093</v>
          </cell>
          <cell r="B70" t="str">
            <v>심야전기온수기</v>
          </cell>
          <cell r="C70" t="str">
            <v>300Lit</v>
          </cell>
          <cell r="D70" t="str">
            <v>대</v>
          </cell>
          <cell r="E70">
            <v>850000</v>
          </cell>
          <cell r="F70">
            <v>0</v>
          </cell>
          <cell r="H70">
            <v>586</v>
          </cell>
          <cell r="I70">
            <v>850000</v>
          </cell>
          <cell r="J70">
            <v>586</v>
          </cell>
          <cell r="L70">
            <v>586</v>
          </cell>
        </row>
        <row r="71">
          <cell r="A71">
            <v>1094</v>
          </cell>
          <cell r="B71" t="str">
            <v>심야전기온수기</v>
          </cell>
          <cell r="C71" t="str">
            <v>400Lit</v>
          </cell>
          <cell r="D71" t="str">
            <v>대</v>
          </cell>
          <cell r="E71">
            <v>943000</v>
          </cell>
          <cell r="F71">
            <v>0</v>
          </cell>
          <cell r="H71">
            <v>586</v>
          </cell>
          <cell r="I71">
            <v>943000</v>
          </cell>
          <cell r="J71">
            <v>586</v>
          </cell>
          <cell r="L71">
            <v>586</v>
          </cell>
        </row>
        <row r="72">
          <cell r="A72">
            <v>1095</v>
          </cell>
          <cell r="B72" t="str">
            <v>심야전기온수기</v>
          </cell>
          <cell r="C72" t="str">
            <v>450Lit</v>
          </cell>
          <cell r="D72" t="str">
            <v>대</v>
          </cell>
          <cell r="E72">
            <v>1164000</v>
          </cell>
          <cell r="F72">
            <v>0</v>
          </cell>
          <cell r="H72">
            <v>586</v>
          </cell>
          <cell r="I72">
            <v>1164000</v>
          </cell>
          <cell r="J72">
            <v>586</v>
          </cell>
          <cell r="L72">
            <v>586</v>
          </cell>
        </row>
        <row r="73">
          <cell r="E73">
            <v>0</v>
          </cell>
        </row>
        <row r="74">
          <cell r="A74">
            <v>2011</v>
          </cell>
          <cell r="B74" t="str">
            <v>SMC보온물탱크</v>
          </cell>
          <cell r="C74" t="str">
            <v>4,000 Lit</v>
          </cell>
          <cell r="D74" t="str">
            <v>대</v>
          </cell>
          <cell r="E74">
            <v>2710000</v>
          </cell>
          <cell r="F74">
            <v>0</v>
          </cell>
          <cell r="H74">
            <v>577</v>
          </cell>
          <cell r="I74">
            <v>2710000</v>
          </cell>
          <cell r="J74">
            <v>577</v>
          </cell>
          <cell r="L74">
            <v>577</v>
          </cell>
        </row>
        <row r="75">
          <cell r="A75">
            <v>2012</v>
          </cell>
          <cell r="B75" t="str">
            <v>SMC보온물탱크</v>
          </cell>
          <cell r="C75" t="str">
            <v>8,000 Lit</v>
          </cell>
          <cell r="D75" t="str">
            <v>대</v>
          </cell>
          <cell r="E75">
            <v>3610000</v>
          </cell>
          <cell r="F75">
            <v>0</v>
          </cell>
          <cell r="H75">
            <v>577</v>
          </cell>
          <cell r="I75">
            <v>3610000</v>
          </cell>
          <cell r="J75">
            <v>577</v>
          </cell>
          <cell r="L75">
            <v>577</v>
          </cell>
        </row>
        <row r="76">
          <cell r="A76">
            <v>2013</v>
          </cell>
          <cell r="B76" t="str">
            <v>SMC보온물탱크</v>
          </cell>
          <cell r="C76" t="str">
            <v>10,000 Lit</v>
          </cell>
          <cell r="D76" t="str">
            <v>대</v>
          </cell>
          <cell r="E76">
            <v>5310000</v>
          </cell>
          <cell r="F76">
            <v>0</v>
          </cell>
          <cell r="H76">
            <v>577</v>
          </cell>
          <cell r="I76">
            <v>5310000</v>
          </cell>
          <cell r="J76">
            <v>577</v>
          </cell>
          <cell r="L76">
            <v>577</v>
          </cell>
        </row>
        <row r="77">
          <cell r="A77">
            <v>2014</v>
          </cell>
          <cell r="B77" t="str">
            <v>SMC보온물탱크</v>
          </cell>
          <cell r="C77" t="str">
            <v>12,000 Lit</v>
          </cell>
          <cell r="D77" t="str">
            <v>대</v>
          </cell>
          <cell r="E77">
            <v>5990000</v>
          </cell>
          <cell r="F77">
            <v>0</v>
          </cell>
          <cell r="H77">
            <v>577</v>
          </cell>
          <cell r="I77">
            <v>5990000</v>
          </cell>
          <cell r="J77">
            <v>577</v>
          </cell>
          <cell r="L77">
            <v>577</v>
          </cell>
        </row>
        <row r="78">
          <cell r="A78">
            <v>2015</v>
          </cell>
          <cell r="B78" t="str">
            <v>SMC보온물탱크</v>
          </cell>
          <cell r="C78" t="str">
            <v>16,000 Lit</v>
          </cell>
          <cell r="D78" t="str">
            <v>대</v>
          </cell>
          <cell r="E78">
            <v>7030000</v>
          </cell>
          <cell r="F78">
            <v>0</v>
          </cell>
          <cell r="H78">
            <v>577</v>
          </cell>
          <cell r="I78">
            <v>7030000</v>
          </cell>
          <cell r="J78">
            <v>577</v>
          </cell>
          <cell r="L78">
            <v>577</v>
          </cell>
        </row>
        <row r="79">
          <cell r="A79">
            <v>2016</v>
          </cell>
          <cell r="B79" t="str">
            <v>SMC보온물탱크</v>
          </cell>
          <cell r="C79" t="str">
            <v>20,000 Lit</v>
          </cell>
          <cell r="D79" t="str">
            <v>대</v>
          </cell>
          <cell r="E79">
            <v>8740000</v>
          </cell>
          <cell r="F79">
            <v>0</v>
          </cell>
          <cell r="H79">
            <v>577</v>
          </cell>
          <cell r="I79">
            <v>8740000</v>
          </cell>
          <cell r="J79">
            <v>577</v>
          </cell>
          <cell r="L79">
            <v>577</v>
          </cell>
        </row>
        <row r="80">
          <cell r="A80">
            <v>2017</v>
          </cell>
          <cell r="B80" t="str">
            <v>SMC보온물탱크</v>
          </cell>
          <cell r="C80" t="str">
            <v>24,000 Lit</v>
          </cell>
          <cell r="D80" t="str">
            <v>대</v>
          </cell>
          <cell r="E80">
            <v>9930000</v>
          </cell>
          <cell r="F80">
            <v>0</v>
          </cell>
          <cell r="H80">
            <v>577</v>
          </cell>
          <cell r="I80">
            <v>9930000</v>
          </cell>
          <cell r="J80">
            <v>577</v>
          </cell>
          <cell r="L80">
            <v>577</v>
          </cell>
        </row>
        <row r="81">
          <cell r="A81">
            <v>2018</v>
          </cell>
          <cell r="B81" t="str">
            <v>SMC보온물탱크</v>
          </cell>
          <cell r="C81" t="str">
            <v>30,000 Lit</v>
          </cell>
          <cell r="D81" t="str">
            <v>대</v>
          </cell>
          <cell r="E81">
            <v>12450000</v>
          </cell>
          <cell r="F81">
            <v>0</v>
          </cell>
          <cell r="H81">
            <v>577</v>
          </cell>
          <cell r="I81">
            <v>12450000</v>
          </cell>
          <cell r="J81">
            <v>577</v>
          </cell>
          <cell r="L81">
            <v>577</v>
          </cell>
        </row>
        <row r="82">
          <cell r="A82">
            <v>2019</v>
          </cell>
          <cell r="B82" t="str">
            <v>SMC보온물탱크</v>
          </cell>
          <cell r="C82" t="str">
            <v>40,000 Lit</v>
          </cell>
          <cell r="D82" t="str">
            <v>대</v>
          </cell>
          <cell r="E82">
            <v>14250000</v>
          </cell>
          <cell r="F82">
            <v>0</v>
          </cell>
          <cell r="H82">
            <v>577</v>
          </cell>
          <cell r="I82">
            <v>14250000</v>
          </cell>
          <cell r="J82">
            <v>577</v>
          </cell>
          <cell r="L82">
            <v>577</v>
          </cell>
        </row>
        <row r="83">
          <cell r="A83">
            <v>2111</v>
          </cell>
          <cell r="B83" t="str">
            <v>STS보온물탱크</v>
          </cell>
          <cell r="C83" t="str">
            <v>3,000 Lit</v>
          </cell>
          <cell r="D83" t="str">
            <v>대</v>
          </cell>
          <cell r="E83">
            <v>2100000</v>
          </cell>
          <cell r="F83">
            <v>0</v>
          </cell>
          <cell r="H83">
            <v>570</v>
          </cell>
          <cell r="I83">
            <v>2100000</v>
          </cell>
          <cell r="J83">
            <v>570</v>
          </cell>
          <cell r="L83">
            <v>570</v>
          </cell>
        </row>
        <row r="84">
          <cell r="A84">
            <v>2112</v>
          </cell>
          <cell r="B84" t="str">
            <v>STS보온물탱크</v>
          </cell>
          <cell r="C84" t="str">
            <v>5,000 Lit</v>
          </cell>
          <cell r="D84" t="str">
            <v>대</v>
          </cell>
          <cell r="E84">
            <v>2900000</v>
          </cell>
          <cell r="F84">
            <v>0</v>
          </cell>
          <cell r="H84">
            <v>570</v>
          </cell>
          <cell r="I84">
            <v>2900000</v>
          </cell>
          <cell r="J84">
            <v>570</v>
          </cell>
          <cell r="L84">
            <v>570</v>
          </cell>
        </row>
        <row r="85">
          <cell r="A85">
            <v>2113</v>
          </cell>
          <cell r="B85" t="str">
            <v>STS보온물탱크</v>
          </cell>
          <cell r="C85" t="str">
            <v>6,800 Lit</v>
          </cell>
          <cell r="D85" t="str">
            <v>대</v>
          </cell>
          <cell r="E85">
            <v>3750000</v>
          </cell>
          <cell r="F85">
            <v>0</v>
          </cell>
          <cell r="G85">
            <v>3750000</v>
          </cell>
          <cell r="H85">
            <v>636</v>
          </cell>
          <cell r="I85">
            <v>3750000</v>
          </cell>
          <cell r="J85">
            <v>570</v>
          </cell>
          <cell r="L85">
            <v>570</v>
          </cell>
        </row>
        <row r="86">
          <cell r="A86">
            <v>2114</v>
          </cell>
          <cell r="B86" t="str">
            <v>STS보온물탱크</v>
          </cell>
          <cell r="C86" t="str">
            <v>10,000 Lit</v>
          </cell>
          <cell r="D86" t="str">
            <v>대</v>
          </cell>
          <cell r="E86">
            <v>5000000</v>
          </cell>
          <cell r="F86">
            <v>0</v>
          </cell>
          <cell r="G86">
            <v>5000000</v>
          </cell>
          <cell r="H86">
            <v>636</v>
          </cell>
          <cell r="I86">
            <v>5000000</v>
          </cell>
          <cell r="J86">
            <v>570</v>
          </cell>
          <cell r="L86">
            <v>570</v>
          </cell>
        </row>
        <row r="87">
          <cell r="A87">
            <v>2115</v>
          </cell>
          <cell r="B87" t="str">
            <v>STS보온물탱크</v>
          </cell>
          <cell r="C87" t="str">
            <v>13,000 Lit</v>
          </cell>
          <cell r="D87" t="str">
            <v>대</v>
          </cell>
          <cell r="E87">
            <v>5600000</v>
          </cell>
          <cell r="F87">
            <v>0</v>
          </cell>
          <cell r="G87">
            <v>5600000</v>
          </cell>
          <cell r="H87">
            <v>636</v>
          </cell>
          <cell r="I87">
            <v>5600000</v>
          </cell>
          <cell r="J87">
            <v>570</v>
          </cell>
          <cell r="L87">
            <v>570</v>
          </cell>
        </row>
        <row r="88">
          <cell r="A88">
            <v>2116</v>
          </cell>
          <cell r="B88" t="str">
            <v>STS보온물탱크</v>
          </cell>
          <cell r="C88" t="str">
            <v>15,000 Lit</v>
          </cell>
          <cell r="D88" t="str">
            <v>대</v>
          </cell>
          <cell r="E88">
            <v>6700000</v>
          </cell>
          <cell r="F88">
            <v>0</v>
          </cell>
          <cell r="G88">
            <v>6700000</v>
          </cell>
          <cell r="H88">
            <v>636</v>
          </cell>
          <cell r="I88">
            <v>6700000</v>
          </cell>
          <cell r="J88">
            <v>570</v>
          </cell>
          <cell r="L88">
            <v>570</v>
          </cell>
        </row>
        <row r="89">
          <cell r="A89">
            <v>2117</v>
          </cell>
          <cell r="B89" t="str">
            <v>STS보온물탱크</v>
          </cell>
          <cell r="C89" t="str">
            <v>20,000 Lit</v>
          </cell>
          <cell r="D89" t="str">
            <v>대</v>
          </cell>
          <cell r="E89">
            <v>8150000</v>
          </cell>
          <cell r="F89">
            <v>0</v>
          </cell>
          <cell r="G89">
            <v>8150000</v>
          </cell>
          <cell r="H89">
            <v>636</v>
          </cell>
          <cell r="I89">
            <v>8150000</v>
          </cell>
          <cell r="J89">
            <v>570</v>
          </cell>
          <cell r="L89">
            <v>570</v>
          </cell>
        </row>
        <row r="90">
          <cell r="A90">
            <v>2118</v>
          </cell>
          <cell r="B90" t="str">
            <v>STS보온물탱크</v>
          </cell>
          <cell r="C90" t="str">
            <v>23,000 Lit</v>
          </cell>
          <cell r="D90" t="str">
            <v>대</v>
          </cell>
          <cell r="E90">
            <v>10200000</v>
          </cell>
          <cell r="F90">
            <v>0</v>
          </cell>
          <cell r="G90">
            <v>10200000</v>
          </cell>
          <cell r="H90">
            <v>636</v>
          </cell>
          <cell r="I90">
            <v>10200000</v>
          </cell>
          <cell r="J90">
            <v>570</v>
          </cell>
          <cell r="L90">
            <v>570</v>
          </cell>
        </row>
        <row r="91">
          <cell r="A91">
            <v>2119</v>
          </cell>
          <cell r="B91" t="str">
            <v>STS보온물탱크</v>
          </cell>
          <cell r="C91" t="str">
            <v>34,000 Lit</v>
          </cell>
          <cell r="D91" t="str">
            <v>대</v>
          </cell>
          <cell r="E91">
            <v>12000000</v>
          </cell>
          <cell r="F91">
            <v>0</v>
          </cell>
          <cell r="G91">
            <v>12000000</v>
          </cell>
          <cell r="H91">
            <v>636</v>
          </cell>
          <cell r="I91">
            <v>12000000</v>
          </cell>
          <cell r="J91">
            <v>570</v>
          </cell>
          <cell r="L91">
            <v>570</v>
          </cell>
        </row>
        <row r="92">
          <cell r="A92">
            <v>2121</v>
          </cell>
          <cell r="B92" t="str">
            <v>FRP보온물탱크(원통)</v>
          </cell>
          <cell r="C92" t="str">
            <v>3,000 Lit</v>
          </cell>
          <cell r="D92" t="str">
            <v>대</v>
          </cell>
          <cell r="E92">
            <v>510000</v>
          </cell>
          <cell r="F92">
            <v>0</v>
          </cell>
          <cell r="H92">
            <v>575</v>
          </cell>
          <cell r="I92">
            <v>510000</v>
          </cell>
          <cell r="J92">
            <v>575</v>
          </cell>
          <cell r="L92">
            <v>575</v>
          </cell>
        </row>
        <row r="93">
          <cell r="A93">
            <v>2122</v>
          </cell>
          <cell r="B93" t="str">
            <v>FRP보온물탱크(원통)</v>
          </cell>
          <cell r="C93" t="str">
            <v>5,000Lit</v>
          </cell>
          <cell r="D93" t="str">
            <v>대</v>
          </cell>
          <cell r="E93">
            <v>750000</v>
          </cell>
          <cell r="F93">
            <v>0</v>
          </cell>
          <cell r="H93">
            <v>575</v>
          </cell>
          <cell r="I93">
            <v>750000</v>
          </cell>
          <cell r="J93">
            <v>575</v>
          </cell>
          <cell r="L93">
            <v>575</v>
          </cell>
        </row>
        <row r="94">
          <cell r="A94">
            <v>2123</v>
          </cell>
          <cell r="B94" t="str">
            <v>FRP보온물탱크(각형)</v>
          </cell>
          <cell r="C94" t="str">
            <v>8,000Lit</v>
          </cell>
          <cell r="D94" t="str">
            <v>대</v>
          </cell>
          <cell r="E94">
            <v>1600000</v>
          </cell>
          <cell r="F94">
            <v>0</v>
          </cell>
          <cell r="H94">
            <v>575</v>
          </cell>
          <cell r="I94">
            <v>1600000</v>
          </cell>
          <cell r="J94">
            <v>575</v>
          </cell>
          <cell r="L94">
            <v>575</v>
          </cell>
        </row>
        <row r="95">
          <cell r="A95">
            <v>2124</v>
          </cell>
          <cell r="B95" t="str">
            <v>FRP보온물탱크(각형)</v>
          </cell>
          <cell r="C95" t="str">
            <v>10,000 Lit</v>
          </cell>
          <cell r="D95" t="str">
            <v>대</v>
          </cell>
          <cell r="E95">
            <v>1700000</v>
          </cell>
          <cell r="F95">
            <v>0</v>
          </cell>
          <cell r="H95">
            <v>575</v>
          </cell>
          <cell r="I95">
            <v>1700000</v>
          </cell>
          <cell r="J95">
            <v>575</v>
          </cell>
          <cell r="L95">
            <v>575</v>
          </cell>
        </row>
        <row r="96">
          <cell r="A96">
            <v>2125</v>
          </cell>
          <cell r="B96" t="str">
            <v>FRP보온물탱크(각형)</v>
          </cell>
          <cell r="C96" t="str">
            <v>12,000 Lit</v>
          </cell>
          <cell r="D96" t="str">
            <v>대</v>
          </cell>
          <cell r="E96">
            <v>2000000</v>
          </cell>
          <cell r="F96">
            <v>0</v>
          </cell>
          <cell r="H96">
            <v>575</v>
          </cell>
          <cell r="I96">
            <v>2000000</v>
          </cell>
          <cell r="J96">
            <v>575</v>
          </cell>
          <cell r="L96">
            <v>575</v>
          </cell>
        </row>
        <row r="97">
          <cell r="A97">
            <v>2126</v>
          </cell>
          <cell r="B97" t="str">
            <v>FRP보온물탱크(각형)</v>
          </cell>
          <cell r="C97" t="str">
            <v>15,000 Lit</v>
          </cell>
          <cell r="D97" t="str">
            <v>대</v>
          </cell>
          <cell r="E97">
            <v>2700000</v>
          </cell>
          <cell r="F97">
            <v>0</v>
          </cell>
          <cell r="H97">
            <v>575</v>
          </cell>
          <cell r="I97">
            <v>2700000</v>
          </cell>
          <cell r="J97">
            <v>575</v>
          </cell>
          <cell r="L97">
            <v>575</v>
          </cell>
        </row>
        <row r="98">
          <cell r="A98">
            <v>2127</v>
          </cell>
          <cell r="B98" t="str">
            <v>FRP보온물탱크(각형)</v>
          </cell>
          <cell r="C98" t="str">
            <v>20,000 Lit</v>
          </cell>
          <cell r="D98" t="str">
            <v>대</v>
          </cell>
          <cell r="E98">
            <v>3600000</v>
          </cell>
          <cell r="F98">
            <v>0</v>
          </cell>
          <cell r="H98">
            <v>575</v>
          </cell>
          <cell r="I98">
            <v>3600000</v>
          </cell>
          <cell r="J98">
            <v>575</v>
          </cell>
          <cell r="L98">
            <v>575</v>
          </cell>
        </row>
        <row r="99">
          <cell r="A99">
            <v>2128</v>
          </cell>
          <cell r="B99" t="str">
            <v>FRP보온물탱크(각형)</v>
          </cell>
          <cell r="C99" t="str">
            <v>25,000 Lit</v>
          </cell>
          <cell r="D99" t="str">
            <v>대</v>
          </cell>
          <cell r="E99">
            <v>5150000</v>
          </cell>
          <cell r="F99">
            <v>0</v>
          </cell>
          <cell r="H99">
            <v>575</v>
          </cell>
          <cell r="I99">
            <v>5150000</v>
          </cell>
          <cell r="J99">
            <v>575</v>
          </cell>
          <cell r="L99">
            <v>575</v>
          </cell>
        </row>
        <row r="100">
          <cell r="A100">
            <v>2129</v>
          </cell>
          <cell r="B100" t="str">
            <v>FRP보온물탱크(각형)</v>
          </cell>
          <cell r="C100" t="str">
            <v>30,000 Lit</v>
          </cell>
          <cell r="D100" t="str">
            <v>대</v>
          </cell>
          <cell r="E100">
            <v>6200000</v>
          </cell>
          <cell r="F100">
            <v>0</v>
          </cell>
          <cell r="H100">
            <v>575</v>
          </cell>
          <cell r="I100">
            <v>6200000</v>
          </cell>
          <cell r="J100">
            <v>575</v>
          </cell>
          <cell r="L100">
            <v>575</v>
          </cell>
        </row>
        <row r="101">
          <cell r="A101">
            <v>2131</v>
          </cell>
          <cell r="B101" t="str">
            <v>유류저장탱크(1.0t)</v>
          </cell>
          <cell r="C101" t="str">
            <v>400 Lit</v>
          </cell>
          <cell r="D101" t="str">
            <v>대</v>
          </cell>
          <cell r="E101">
            <v>80000</v>
          </cell>
          <cell r="F101">
            <v>0</v>
          </cell>
          <cell r="H101">
            <v>0</v>
          </cell>
          <cell r="I101">
            <v>80000</v>
          </cell>
          <cell r="J101">
            <v>0</v>
          </cell>
          <cell r="L101">
            <v>0</v>
          </cell>
        </row>
        <row r="102">
          <cell r="A102">
            <v>2132</v>
          </cell>
          <cell r="B102" t="str">
            <v>유류저장탱크(1.0t)</v>
          </cell>
          <cell r="C102" t="str">
            <v>600 Lit</v>
          </cell>
          <cell r="D102" t="str">
            <v>대</v>
          </cell>
          <cell r="E102">
            <v>120000</v>
          </cell>
          <cell r="F102">
            <v>0</v>
          </cell>
          <cell r="H102">
            <v>0</v>
          </cell>
          <cell r="I102">
            <v>120000</v>
          </cell>
          <cell r="J102">
            <v>0</v>
          </cell>
          <cell r="L102">
            <v>0</v>
          </cell>
        </row>
        <row r="103">
          <cell r="A103">
            <v>2133</v>
          </cell>
          <cell r="B103" t="str">
            <v>유류저장탱크(1.1t)</v>
          </cell>
          <cell r="C103" t="str">
            <v>800 Lit</v>
          </cell>
          <cell r="D103" t="str">
            <v>대</v>
          </cell>
          <cell r="E103">
            <v>160000</v>
          </cell>
          <cell r="F103">
            <v>0</v>
          </cell>
          <cell r="H103">
            <v>0</v>
          </cell>
          <cell r="I103">
            <v>160000</v>
          </cell>
          <cell r="J103">
            <v>0</v>
          </cell>
          <cell r="L103">
            <v>0</v>
          </cell>
        </row>
        <row r="104">
          <cell r="A104">
            <v>2134</v>
          </cell>
          <cell r="B104" t="str">
            <v>경유저장탱크(4.5t)</v>
          </cell>
          <cell r="C104" t="str">
            <v>3,000 Lit</v>
          </cell>
          <cell r="D104" t="str">
            <v>대</v>
          </cell>
          <cell r="E104">
            <v>381946</v>
          </cell>
          <cell r="F104">
            <v>1826457</v>
          </cell>
          <cell r="H104">
            <v>0</v>
          </cell>
          <cell r="I104">
            <v>381946</v>
          </cell>
          <cell r="J104">
            <v>0</v>
          </cell>
          <cell r="L104">
            <v>0</v>
          </cell>
        </row>
        <row r="105">
          <cell r="A105">
            <v>2135</v>
          </cell>
          <cell r="B105" t="str">
            <v>경유저장탱크(4.5t)</v>
          </cell>
          <cell r="C105" t="str">
            <v>4,000 Lit</v>
          </cell>
          <cell r="D105" t="str">
            <v>대</v>
          </cell>
          <cell r="E105">
            <v>459511</v>
          </cell>
          <cell r="F105">
            <v>2178257</v>
          </cell>
          <cell r="H105">
            <v>0</v>
          </cell>
          <cell r="I105">
            <v>459511</v>
          </cell>
          <cell r="J105">
            <v>0</v>
          </cell>
          <cell r="L105">
            <v>0</v>
          </cell>
        </row>
        <row r="106">
          <cell r="A106">
            <v>2136</v>
          </cell>
          <cell r="B106" t="str">
            <v>경유저장탱크(4.5t)</v>
          </cell>
          <cell r="C106" t="str">
            <v>5,200 Lit</v>
          </cell>
          <cell r="D106" t="str">
            <v>대</v>
          </cell>
          <cell r="E106">
            <v>610623</v>
          </cell>
          <cell r="F106">
            <v>2869899</v>
          </cell>
          <cell r="H106">
            <v>0</v>
          </cell>
          <cell r="I106">
            <v>610623</v>
          </cell>
          <cell r="J106">
            <v>0</v>
          </cell>
          <cell r="L106">
            <v>0</v>
          </cell>
        </row>
        <row r="107">
          <cell r="A107">
            <v>2137</v>
          </cell>
          <cell r="B107" t="str">
            <v>경유저장탱크(6.0t)</v>
          </cell>
          <cell r="C107" t="str">
            <v>10,000 Lit</v>
          </cell>
          <cell r="D107" t="str">
            <v>대</v>
          </cell>
          <cell r="E107">
            <v>905845</v>
          </cell>
          <cell r="F107">
            <v>4366507</v>
          </cell>
          <cell r="H107">
            <v>0</v>
          </cell>
          <cell r="I107">
            <v>905845</v>
          </cell>
          <cell r="J107">
            <v>0</v>
          </cell>
          <cell r="L107">
            <v>0</v>
          </cell>
        </row>
        <row r="108">
          <cell r="A108">
            <v>2138</v>
          </cell>
          <cell r="B108" t="str">
            <v>경유저장탱크(6.0t)</v>
          </cell>
          <cell r="C108" t="str">
            <v>11,000 Lit</v>
          </cell>
          <cell r="D108" t="str">
            <v>대</v>
          </cell>
          <cell r="E108">
            <v>992501</v>
          </cell>
          <cell r="F108">
            <v>4797538</v>
          </cell>
          <cell r="H108">
            <v>0</v>
          </cell>
          <cell r="I108">
            <v>992501</v>
          </cell>
          <cell r="J108">
            <v>0</v>
          </cell>
          <cell r="L108">
            <v>0</v>
          </cell>
        </row>
        <row r="109">
          <cell r="A109">
            <v>2139</v>
          </cell>
          <cell r="B109" t="str">
            <v>경유저장탱크(6.0t)</v>
          </cell>
          <cell r="C109" t="str">
            <v>20,000 Lit</v>
          </cell>
          <cell r="D109" t="str">
            <v>대</v>
          </cell>
          <cell r="E109">
            <v>1675882</v>
          </cell>
          <cell r="F109">
            <v>8343536</v>
          </cell>
          <cell r="H109">
            <v>0</v>
          </cell>
          <cell r="I109">
            <v>1675882</v>
          </cell>
          <cell r="J109">
            <v>0</v>
          </cell>
          <cell r="L109">
            <v>0</v>
          </cell>
        </row>
        <row r="111">
          <cell r="A111">
            <v>2141</v>
          </cell>
          <cell r="B111" t="str">
            <v>팽창탱크(SUS)</v>
          </cell>
          <cell r="C111" t="str">
            <v>100 Lit</v>
          </cell>
          <cell r="D111" t="str">
            <v>대</v>
          </cell>
          <cell r="E111">
            <v>181210</v>
          </cell>
          <cell r="F111">
            <v>349365</v>
          </cell>
          <cell r="H111">
            <v>0</v>
          </cell>
          <cell r="I111">
            <v>181210</v>
          </cell>
          <cell r="J111">
            <v>0</v>
          </cell>
          <cell r="L111">
            <v>0</v>
          </cell>
        </row>
        <row r="112">
          <cell r="A112">
            <v>2142</v>
          </cell>
          <cell r="B112" t="str">
            <v>팽창탱크(SUS)</v>
          </cell>
          <cell r="C112" t="str">
            <v>200 Lit</v>
          </cell>
          <cell r="D112" t="str">
            <v>대</v>
          </cell>
          <cell r="E112">
            <v>267795</v>
          </cell>
          <cell r="F112">
            <v>525827</v>
          </cell>
          <cell r="H112">
            <v>0</v>
          </cell>
          <cell r="I112">
            <v>267795</v>
          </cell>
          <cell r="J112">
            <v>0</v>
          </cell>
          <cell r="L112">
            <v>0</v>
          </cell>
        </row>
        <row r="113">
          <cell r="A113">
            <v>2143</v>
          </cell>
          <cell r="B113" t="str">
            <v>팽창탱크(SUS)</v>
          </cell>
          <cell r="C113" t="str">
            <v>600 Lit</v>
          </cell>
          <cell r="D113" t="str">
            <v>대</v>
          </cell>
          <cell r="E113">
            <v>356940</v>
          </cell>
          <cell r="F113">
            <v>646866</v>
          </cell>
          <cell r="H113">
            <v>0</v>
          </cell>
          <cell r="I113">
            <v>356940</v>
          </cell>
          <cell r="J113">
            <v>0</v>
          </cell>
          <cell r="L113">
            <v>0</v>
          </cell>
        </row>
        <row r="115">
          <cell r="A115">
            <v>2144</v>
          </cell>
          <cell r="B115" t="str">
            <v>밀폐형팽창탱크</v>
          </cell>
          <cell r="C115" t="str">
            <v>130 Lit</v>
          </cell>
          <cell r="D115" t="str">
            <v>대</v>
          </cell>
          <cell r="E115">
            <v>1240000</v>
          </cell>
          <cell r="F115">
            <v>0</v>
          </cell>
          <cell r="H115">
            <v>604</v>
          </cell>
          <cell r="I115">
            <v>1240000</v>
          </cell>
          <cell r="J115">
            <v>604</v>
          </cell>
          <cell r="L115">
            <v>604</v>
          </cell>
        </row>
        <row r="116">
          <cell r="A116">
            <v>2145</v>
          </cell>
          <cell r="B116" t="str">
            <v>밀폐형팽창탱크</v>
          </cell>
          <cell r="C116" t="str">
            <v>185 Lit</v>
          </cell>
          <cell r="D116" t="str">
            <v>대</v>
          </cell>
          <cell r="E116">
            <v>1400000</v>
          </cell>
          <cell r="F116">
            <v>0</v>
          </cell>
          <cell r="H116">
            <v>604</v>
          </cell>
          <cell r="I116">
            <v>1400000</v>
          </cell>
          <cell r="J116">
            <v>604</v>
          </cell>
          <cell r="L116">
            <v>604</v>
          </cell>
        </row>
        <row r="117">
          <cell r="A117">
            <v>2146</v>
          </cell>
          <cell r="B117" t="str">
            <v>밀폐형팽창탱크</v>
          </cell>
          <cell r="C117" t="str">
            <v>250 Lit</v>
          </cell>
          <cell r="D117" t="str">
            <v>대</v>
          </cell>
          <cell r="E117">
            <v>1520000</v>
          </cell>
          <cell r="F117">
            <v>0</v>
          </cell>
          <cell r="H117">
            <v>604</v>
          </cell>
          <cell r="I117">
            <v>1520000</v>
          </cell>
          <cell r="J117">
            <v>604</v>
          </cell>
          <cell r="L117">
            <v>604</v>
          </cell>
        </row>
        <row r="118">
          <cell r="A118">
            <v>2147</v>
          </cell>
          <cell r="B118" t="str">
            <v>밀폐형팽창탱크</v>
          </cell>
          <cell r="C118" t="str">
            <v>300 Lit</v>
          </cell>
          <cell r="D118" t="str">
            <v>대</v>
          </cell>
          <cell r="E118">
            <v>1680000</v>
          </cell>
          <cell r="F118">
            <v>0</v>
          </cell>
          <cell r="H118">
            <v>604</v>
          </cell>
          <cell r="I118">
            <v>1680000</v>
          </cell>
          <cell r="J118">
            <v>604</v>
          </cell>
          <cell r="L118">
            <v>604</v>
          </cell>
        </row>
        <row r="120">
          <cell r="A120">
            <v>2151</v>
          </cell>
          <cell r="B120" t="str">
            <v>저탕탱크(SUS-304)</v>
          </cell>
          <cell r="C120" t="str">
            <v>300 Lit</v>
          </cell>
          <cell r="D120" t="str">
            <v>대</v>
          </cell>
          <cell r="E120">
            <v>0</v>
          </cell>
          <cell r="H120">
            <v>0</v>
          </cell>
          <cell r="J120">
            <v>0</v>
          </cell>
          <cell r="L120">
            <v>0</v>
          </cell>
        </row>
        <row r="121">
          <cell r="A121">
            <v>2152</v>
          </cell>
          <cell r="B121" t="str">
            <v>저탕탱크(SUS-304)</v>
          </cell>
          <cell r="C121" t="str">
            <v>1,000 Lit</v>
          </cell>
          <cell r="D121" t="str">
            <v>대</v>
          </cell>
          <cell r="E121">
            <v>605955</v>
          </cell>
          <cell r="F121">
            <v>1009750</v>
          </cell>
          <cell r="H121">
            <v>0</v>
          </cell>
          <cell r="I121">
            <v>605955</v>
          </cell>
          <cell r="J121">
            <v>0</v>
          </cell>
          <cell r="L121">
            <v>0</v>
          </cell>
        </row>
        <row r="122">
          <cell r="A122">
            <v>2154</v>
          </cell>
          <cell r="B122" t="str">
            <v>저탕탱크(SUS-304)</v>
          </cell>
          <cell r="C122" t="str">
            <v>2,000 Lit</v>
          </cell>
          <cell r="D122" t="str">
            <v>대</v>
          </cell>
          <cell r="E122">
            <v>944814</v>
          </cell>
          <cell r="F122">
            <v>1675710</v>
          </cell>
          <cell r="H122">
            <v>0</v>
          </cell>
          <cell r="I122">
            <v>944814</v>
          </cell>
          <cell r="J122">
            <v>0</v>
          </cell>
          <cell r="L122">
            <v>0</v>
          </cell>
        </row>
        <row r="123">
          <cell r="A123">
            <v>2155</v>
          </cell>
          <cell r="B123" t="str">
            <v>저탕탱크(SUS-304)</v>
          </cell>
          <cell r="C123" t="str">
            <v>3,000 Lit</v>
          </cell>
          <cell r="D123" t="str">
            <v>대</v>
          </cell>
          <cell r="E123">
            <v>1281035</v>
          </cell>
          <cell r="F123">
            <v>2242439</v>
          </cell>
          <cell r="H123">
            <v>0</v>
          </cell>
          <cell r="I123">
            <v>1281035</v>
          </cell>
          <cell r="J123">
            <v>0</v>
          </cell>
          <cell r="L123">
            <v>0</v>
          </cell>
        </row>
        <row r="124">
          <cell r="A124">
            <v>2157</v>
          </cell>
          <cell r="B124" t="str">
            <v>저탕탱크(SUS-304)</v>
          </cell>
          <cell r="C124" t="str">
            <v>5,000 Lit</v>
          </cell>
          <cell r="D124" t="str">
            <v>대</v>
          </cell>
          <cell r="E124">
            <v>1863979</v>
          </cell>
          <cell r="F124">
            <v>3143142</v>
          </cell>
          <cell r="H124">
            <v>0</v>
          </cell>
          <cell r="I124">
            <v>1863979</v>
          </cell>
          <cell r="J124">
            <v>0</v>
          </cell>
          <cell r="L124">
            <v>0</v>
          </cell>
        </row>
        <row r="126">
          <cell r="A126">
            <v>2211</v>
          </cell>
          <cell r="B126" t="str">
            <v>온수보일러</v>
          </cell>
          <cell r="C126" t="str">
            <v>9,000kcal/hr</v>
          </cell>
          <cell r="D126" t="str">
            <v>대</v>
          </cell>
          <cell r="E126">
            <v>300000</v>
          </cell>
          <cell r="F126">
            <v>0</v>
          </cell>
          <cell r="H126">
            <v>585</v>
          </cell>
          <cell r="I126">
            <v>300000</v>
          </cell>
          <cell r="J126">
            <v>585</v>
          </cell>
          <cell r="L126">
            <v>585</v>
          </cell>
        </row>
        <row r="127">
          <cell r="A127">
            <v>2212</v>
          </cell>
          <cell r="B127" t="str">
            <v>온수보일러</v>
          </cell>
          <cell r="C127" t="str">
            <v>13,000kcal/hr</v>
          </cell>
          <cell r="D127" t="str">
            <v>대</v>
          </cell>
          <cell r="E127">
            <v>320000</v>
          </cell>
          <cell r="F127">
            <v>0</v>
          </cell>
          <cell r="H127">
            <v>585</v>
          </cell>
          <cell r="I127">
            <v>320000</v>
          </cell>
          <cell r="J127">
            <v>585</v>
          </cell>
          <cell r="L127">
            <v>585</v>
          </cell>
        </row>
        <row r="128">
          <cell r="A128">
            <v>2213</v>
          </cell>
          <cell r="B128" t="str">
            <v>온수보일러</v>
          </cell>
          <cell r="C128" t="str">
            <v>15,000kcal/hr</v>
          </cell>
          <cell r="D128" t="str">
            <v>대</v>
          </cell>
          <cell r="E128">
            <v>380000</v>
          </cell>
          <cell r="F128">
            <v>0</v>
          </cell>
          <cell r="H128">
            <v>585</v>
          </cell>
          <cell r="I128">
            <v>380000</v>
          </cell>
          <cell r="J128">
            <v>585</v>
          </cell>
          <cell r="L128">
            <v>585</v>
          </cell>
        </row>
        <row r="129">
          <cell r="A129">
            <v>2214</v>
          </cell>
          <cell r="B129" t="str">
            <v>온수보일러</v>
          </cell>
          <cell r="C129" t="str">
            <v>20,000kcal/hr</v>
          </cell>
          <cell r="D129" t="str">
            <v>대</v>
          </cell>
          <cell r="E129">
            <v>400000</v>
          </cell>
          <cell r="F129">
            <v>0</v>
          </cell>
          <cell r="H129">
            <v>585</v>
          </cell>
          <cell r="I129">
            <v>400000</v>
          </cell>
          <cell r="J129">
            <v>585</v>
          </cell>
          <cell r="L129">
            <v>585</v>
          </cell>
        </row>
        <row r="130">
          <cell r="A130">
            <v>2215</v>
          </cell>
          <cell r="B130" t="str">
            <v>가스보일러</v>
          </cell>
          <cell r="C130" t="str">
            <v>10,000kcal/hr</v>
          </cell>
          <cell r="D130" t="str">
            <v>대</v>
          </cell>
          <cell r="E130">
            <v>443000</v>
          </cell>
          <cell r="F130">
            <v>0</v>
          </cell>
          <cell r="H130">
            <v>598</v>
          </cell>
          <cell r="I130">
            <v>443000</v>
          </cell>
          <cell r="J130">
            <v>598</v>
          </cell>
          <cell r="L130">
            <v>598</v>
          </cell>
        </row>
        <row r="131">
          <cell r="A131">
            <v>2216</v>
          </cell>
          <cell r="B131" t="str">
            <v>가스보일러</v>
          </cell>
          <cell r="C131" t="str">
            <v>13,000kcal/hr</v>
          </cell>
          <cell r="D131" t="str">
            <v>대</v>
          </cell>
          <cell r="E131">
            <v>472000</v>
          </cell>
          <cell r="F131">
            <v>0</v>
          </cell>
          <cell r="H131">
            <v>598</v>
          </cell>
          <cell r="I131">
            <v>472000</v>
          </cell>
          <cell r="J131">
            <v>598</v>
          </cell>
          <cell r="L131">
            <v>598</v>
          </cell>
        </row>
        <row r="132">
          <cell r="A132">
            <v>2217</v>
          </cell>
          <cell r="B132" t="str">
            <v>가스보일러</v>
          </cell>
          <cell r="C132" t="str">
            <v>16,000kcal/hr</v>
          </cell>
          <cell r="D132" t="str">
            <v>대</v>
          </cell>
          <cell r="E132">
            <v>500000</v>
          </cell>
          <cell r="F132">
            <v>0</v>
          </cell>
          <cell r="H132">
            <v>598</v>
          </cell>
          <cell r="I132">
            <v>500000</v>
          </cell>
          <cell r="J132">
            <v>598</v>
          </cell>
          <cell r="L132">
            <v>598</v>
          </cell>
        </row>
        <row r="133">
          <cell r="A133">
            <v>2218</v>
          </cell>
          <cell r="B133" t="str">
            <v>가스보일러</v>
          </cell>
          <cell r="C133" t="str">
            <v>20,000kcal/hr</v>
          </cell>
          <cell r="D133" t="str">
            <v>대</v>
          </cell>
          <cell r="E133">
            <v>585000</v>
          </cell>
          <cell r="F133">
            <v>0</v>
          </cell>
          <cell r="H133">
            <v>598</v>
          </cell>
          <cell r="I133">
            <v>585000</v>
          </cell>
          <cell r="J133">
            <v>598</v>
          </cell>
          <cell r="L133">
            <v>598</v>
          </cell>
        </row>
        <row r="134">
          <cell r="A134">
            <v>2219</v>
          </cell>
          <cell r="B134" t="str">
            <v>심야전기보일러</v>
          </cell>
          <cell r="C134" t="str">
            <v>22.3kW</v>
          </cell>
          <cell r="D134" t="str">
            <v>대</v>
          </cell>
          <cell r="E134">
            <v>2710000</v>
          </cell>
          <cell r="F134">
            <v>0</v>
          </cell>
          <cell r="H134">
            <v>581</v>
          </cell>
          <cell r="I134">
            <v>2710000</v>
          </cell>
          <cell r="J134">
            <v>581</v>
          </cell>
          <cell r="L134">
            <v>581</v>
          </cell>
        </row>
        <row r="135">
          <cell r="A135">
            <v>2220</v>
          </cell>
          <cell r="B135" t="str">
            <v>심야전기보일러</v>
          </cell>
          <cell r="C135" t="str">
            <v>30kW</v>
          </cell>
          <cell r="D135" t="str">
            <v>대</v>
          </cell>
          <cell r="E135">
            <v>3070000</v>
          </cell>
          <cell r="F135">
            <v>0</v>
          </cell>
          <cell r="H135">
            <v>581</v>
          </cell>
          <cell r="I135">
            <v>3070000</v>
          </cell>
          <cell r="J135">
            <v>581</v>
          </cell>
          <cell r="L135">
            <v>581</v>
          </cell>
        </row>
        <row r="136">
          <cell r="A136">
            <v>2221</v>
          </cell>
          <cell r="B136" t="str">
            <v>중형온수보일러(입형)</v>
          </cell>
          <cell r="C136" t="str">
            <v>30,000kcal/hr</v>
          </cell>
          <cell r="D136" t="str">
            <v>대</v>
          </cell>
          <cell r="E136">
            <v>620000</v>
          </cell>
          <cell r="F136">
            <v>0</v>
          </cell>
          <cell r="H136">
            <v>595</v>
          </cell>
          <cell r="I136">
            <v>620000</v>
          </cell>
          <cell r="J136">
            <v>595</v>
          </cell>
          <cell r="L136">
            <v>595</v>
          </cell>
        </row>
        <row r="137">
          <cell r="A137">
            <v>2222</v>
          </cell>
          <cell r="B137" t="str">
            <v>중형온수보일러(입형)</v>
          </cell>
          <cell r="C137" t="str">
            <v>50,000kcal/hr</v>
          </cell>
          <cell r="D137" t="str">
            <v>대</v>
          </cell>
          <cell r="E137">
            <v>750000</v>
          </cell>
          <cell r="F137">
            <v>0</v>
          </cell>
          <cell r="H137">
            <v>597</v>
          </cell>
          <cell r="I137">
            <v>750000</v>
          </cell>
          <cell r="J137">
            <v>597</v>
          </cell>
          <cell r="L137">
            <v>597</v>
          </cell>
        </row>
        <row r="138">
          <cell r="A138">
            <v>2223</v>
          </cell>
          <cell r="B138" t="str">
            <v>중형온수보일러(입형)</v>
          </cell>
          <cell r="C138" t="str">
            <v>70,000kcal/hr</v>
          </cell>
          <cell r="D138" t="str">
            <v>대</v>
          </cell>
          <cell r="E138">
            <v>870000</v>
          </cell>
          <cell r="F138">
            <v>0</v>
          </cell>
          <cell r="H138">
            <v>597</v>
          </cell>
          <cell r="I138">
            <v>870000</v>
          </cell>
          <cell r="J138">
            <v>597</v>
          </cell>
          <cell r="L138">
            <v>597</v>
          </cell>
        </row>
        <row r="139">
          <cell r="A139">
            <v>2224</v>
          </cell>
          <cell r="B139" t="str">
            <v>중형온수보일러(입형)</v>
          </cell>
          <cell r="C139" t="str">
            <v>100,000kcal/hr</v>
          </cell>
          <cell r="D139" t="str">
            <v>대</v>
          </cell>
          <cell r="E139">
            <v>1180000</v>
          </cell>
          <cell r="F139">
            <v>0</v>
          </cell>
          <cell r="H139">
            <v>597</v>
          </cell>
          <cell r="I139">
            <v>1180000</v>
          </cell>
          <cell r="J139">
            <v>597</v>
          </cell>
          <cell r="L139">
            <v>597</v>
          </cell>
        </row>
        <row r="140">
          <cell r="A140">
            <v>2225</v>
          </cell>
          <cell r="B140" t="str">
            <v>중형온수보일러(입형)</v>
          </cell>
          <cell r="C140" t="str">
            <v>150,000kcal/hr</v>
          </cell>
          <cell r="D140" t="str">
            <v>대</v>
          </cell>
          <cell r="E140">
            <v>1600000</v>
          </cell>
          <cell r="F140">
            <v>0</v>
          </cell>
          <cell r="H140">
            <v>597</v>
          </cell>
          <cell r="I140">
            <v>1600000</v>
          </cell>
          <cell r="J140">
            <v>597</v>
          </cell>
          <cell r="L140">
            <v>597</v>
          </cell>
        </row>
        <row r="141">
          <cell r="A141">
            <v>2226</v>
          </cell>
          <cell r="B141" t="str">
            <v>중형온수보일러(입형)</v>
          </cell>
          <cell r="C141" t="str">
            <v>200,000kcal/hr</v>
          </cell>
          <cell r="D141" t="str">
            <v>대</v>
          </cell>
          <cell r="E141">
            <v>3320000</v>
          </cell>
          <cell r="F141">
            <v>0</v>
          </cell>
          <cell r="H141">
            <v>597</v>
          </cell>
          <cell r="I141">
            <v>3320000</v>
          </cell>
          <cell r="J141">
            <v>597</v>
          </cell>
          <cell r="L141">
            <v>597</v>
          </cell>
        </row>
        <row r="142">
          <cell r="A142">
            <v>2227</v>
          </cell>
          <cell r="B142" t="str">
            <v>중형온수보일러(입형)</v>
          </cell>
          <cell r="C142" t="str">
            <v>300,000kcal/hr</v>
          </cell>
          <cell r="D142" t="str">
            <v>대</v>
          </cell>
          <cell r="E142">
            <v>5100000</v>
          </cell>
          <cell r="F142">
            <v>0</v>
          </cell>
          <cell r="H142">
            <v>597</v>
          </cell>
          <cell r="I142">
            <v>5100000</v>
          </cell>
          <cell r="J142">
            <v>597</v>
          </cell>
          <cell r="L142">
            <v>597</v>
          </cell>
        </row>
        <row r="143">
          <cell r="A143">
            <v>2231</v>
          </cell>
          <cell r="B143" t="str">
            <v>온수보일러(2회로식)</v>
          </cell>
          <cell r="C143" t="str">
            <v>100,000kcal/hr</v>
          </cell>
          <cell r="D143" t="str">
            <v>대</v>
          </cell>
          <cell r="E143">
            <v>10000000</v>
          </cell>
          <cell r="F143">
            <v>0</v>
          </cell>
          <cell r="H143">
            <v>597</v>
          </cell>
          <cell r="I143">
            <v>10000000</v>
          </cell>
          <cell r="J143">
            <v>597</v>
          </cell>
          <cell r="L143">
            <v>597</v>
          </cell>
        </row>
        <row r="144">
          <cell r="A144">
            <v>2232</v>
          </cell>
          <cell r="B144" t="str">
            <v>온수보일러(2회로식)</v>
          </cell>
          <cell r="C144" t="str">
            <v>150,000kcal/hr</v>
          </cell>
          <cell r="D144" t="str">
            <v>대</v>
          </cell>
          <cell r="E144">
            <v>11000000</v>
          </cell>
          <cell r="F144">
            <v>0</v>
          </cell>
          <cell r="I144">
            <v>11000000</v>
          </cell>
        </row>
        <row r="145">
          <cell r="A145">
            <v>2233</v>
          </cell>
          <cell r="B145" t="str">
            <v>온수보일러(2회로식)</v>
          </cell>
          <cell r="C145" t="str">
            <v>200,000kcal/hr</v>
          </cell>
          <cell r="D145" t="str">
            <v>대</v>
          </cell>
          <cell r="E145">
            <v>15600000</v>
          </cell>
          <cell r="F145">
            <v>0</v>
          </cell>
          <cell r="H145">
            <v>597</v>
          </cell>
          <cell r="I145">
            <v>15600000</v>
          </cell>
          <cell r="J145">
            <v>597</v>
          </cell>
          <cell r="L145">
            <v>597</v>
          </cell>
        </row>
        <row r="146">
          <cell r="A146">
            <v>2234</v>
          </cell>
          <cell r="B146" t="str">
            <v>온수보일러(2회로식)</v>
          </cell>
          <cell r="C146" t="str">
            <v>300,000kcal/hr</v>
          </cell>
          <cell r="D146" t="str">
            <v>대</v>
          </cell>
          <cell r="E146">
            <v>17700000</v>
          </cell>
          <cell r="F146">
            <v>0</v>
          </cell>
          <cell r="H146">
            <v>597</v>
          </cell>
          <cell r="I146">
            <v>17700000</v>
          </cell>
          <cell r="J146">
            <v>597</v>
          </cell>
          <cell r="L146">
            <v>597</v>
          </cell>
        </row>
        <row r="147">
          <cell r="A147">
            <v>2235</v>
          </cell>
          <cell r="B147" t="str">
            <v>온수보일러(2회로식)</v>
          </cell>
          <cell r="C147" t="str">
            <v>400,000kcal/hr</v>
          </cell>
          <cell r="D147" t="str">
            <v>대</v>
          </cell>
          <cell r="E147">
            <v>20000000</v>
          </cell>
          <cell r="F147">
            <v>0</v>
          </cell>
          <cell r="H147">
            <v>597</v>
          </cell>
          <cell r="I147">
            <v>20000000</v>
          </cell>
          <cell r="J147">
            <v>597</v>
          </cell>
          <cell r="L147">
            <v>597</v>
          </cell>
        </row>
        <row r="148">
          <cell r="A148">
            <v>2236</v>
          </cell>
          <cell r="B148" t="str">
            <v>온수보일러(2회로식)</v>
          </cell>
          <cell r="C148" t="str">
            <v>500,000kcal/hr</v>
          </cell>
          <cell r="D148" t="str">
            <v>대</v>
          </cell>
          <cell r="E148">
            <v>21300000</v>
          </cell>
          <cell r="F148">
            <v>0</v>
          </cell>
          <cell r="H148">
            <v>597</v>
          </cell>
          <cell r="I148">
            <v>21300000</v>
          </cell>
          <cell r="J148">
            <v>597</v>
          </cell>
          <cell r="L148">
            <v>597</v>
          </cell>
        </row>
        <row r="149">
          <cell r="A149">
            <v>2241</v>
          </cell>
          <cell r="B149" t="str">
            <v>경유관류형증기보일러</v>
          </cell>
          <cell r="C149" t="str">
            <v>100 kg/hr</v>
          </cell>
          <cell r="D149" t="str">
            <v>대</v>
          </cell>
          <cell r="E149">
            <v>5700000</v>
          </cell>
          <cell r="F149">
            <v>0</v>
          </cell>
          <cell r="H149">
            <v>602</v>
          </cell>
          <cell r="I149">
            <v>5700000</v>
          </cell>
          <cell r="J149">
            <v>602</v>
          </cell>
          <cell r="L149">
            <v>602</v>
          </cell>
        </row>
        <row r="150">
          <cell r="A150">
            <v>2242</v>
          </cell>
          <cell r="B150" t="str">
            <v>경유관류형증기보일러</v>
          </cell>
          <cell r="C150" t="str">
            <v>200 kg/hr</v>
          </cell>
          <cell r="D150" t="str">
            <v>대</v>
          </cell>
          <cell r="E150">
            <v>6940000</v>
          </cell>
          <cell r="F150">
            <v>0</v>
          </cell>
          <cell r="H150">
            <v>602</v>
          </cell>
          <cell r="I150">
            <v>6940000</v>
          </cell>
          <cell r="J150">
            <v>602</v>
          </cell>
          <cell r="L150">
            <v>602</v>
          </cell>
        </row>
        <row r="151">
          <cell r="A151">
            <v>2243</v>
          </cell>
          <cell r="B151" t="str">
            <v>경유관류형증기보일러</v>
          </cell>
          <cell r="C151" t="str">
            <v>300 kg/hr</v>
          </cell>
          <cell r="D151" t="str">
            <v>대</v>
          </cell>
          <cell r="E151">
            <v>8700000</v>
          </cell>
          <cell r="F151">
            <v>0</v>
          </cell>
          <cell r="H151">
            <v>602</v>
          </cell>
          <cell r="I151">
            <v>8700000</v>
          </cell>
          <cell r="J151">
            <v>602</v>
          </cell>
          <cell r="L151">
            <v>602</v>
          </cell>
        </row>
        <row r="152">
          <cell r="A152">
            <v>2244</v>
          </cell>
          <cell r="B152" t="str">
            <v>경유관류형증기보일러</v>
          </cell>
          <cell r="C152" t="str">
            <v>500 kg/hr</v>
          </cell>
          <cell r="D152" t="str">
            <v>대</v>
          </cell>
          <cell r="E152">
            <v>15950000</v>
          </cell>
          <cell r="F152">
            <v>0</v>
          </cell>
          <cell r="H152">
            <v>602</v>
          </cell>
          <cell r="I152">
            <v>15950000</v>
          </cell>
          <cell r="J152">
            <v>602</v>
          </cell>
          <cell r="L152">
            <v>602</v>
          </cell>
        </row>
        <row r="153">
          <cell r="A153">
            <v>2245</v>
          </cell>
          <cell r="B153" t="str">
            <v>경유관류형증기보일러</v>
          </cell>
          <cell r="C153" t="str">
            <v>1,000 kg/hr</v>
          </cell>
          <cell r="D153" t="str">
            <v>대</v>
          </cell>
          <cell r="E153">
            <v>21900000</v>
          </cell>
          <cell r="F153">
            <v>0</v>
          </cell>
          <cell r="H153">
            <v>602</v>
          </cell>
          <cell r="I153">
            <v>21900000</v>
          </cell>
          <cell r="J153">
            <v>602</v>
          </cell>
          <cell r="L153">
            <v>602</v>
          </cell>
        </row>
        <row r="154">
          <cell r="A154">
            <v>2246</v>
          </cell>
          <cell r="B154" t="str">
            <v>경유관류형증기보일러</v>
          </cell>
          <cell r="C154" t="str">
            <v>1,500 kg/hr</v>
          </cell>
          <cell r="D154" t="str">
            <v>대</v>
          </cell>
          <cell r="E154">
            <v>25000000</v>
          </cell>
          <cell r="F154">
            <v>0</v>
          </cell>
          <cell r="H154">
            <v>602</v>
          </cell>
          <cell r="I154">
            <v>25000000</v>
          </cell>
          <cell r="J154">
            <v>602</v>
          </cell>
          <cell r="L154">
            <v>602</v>
          </cell>
        </row>
        <row r="155">
          <cell r="A155">
            <v>2247</v>
          </cell>
          <cell r="B155" t="str">
            <v>경유관류형증기보일러</v>
          </cell>
          <cell r="C155" t="str">
            <v>2,000 kg/hr</v>
          </cell>
          <cell r="D155" t="str">
            <v>대</v>
          </cell>
          <cell r="E155">
            <v>37500000</v>
          </cell>
          <cell r="F155">
            <v>0</v>
          </cell>
          <cell r="H155">
            <v>602</v>
          </cell>
          <cell r="I155">
            <v>37500000</v>
          </cell>
          <cell r="J155">
            <v>602</v>
          </cell>
          <cell r="L155">
            <v>602</v>
          </cell>
        </row>
        <row r="156">
          <cell r="A156">
            <v>2248</v>
          </cell>
          <cell r="B156" t="str">
            <v>경유관류형증기보일러</v>
          </cell>
          <cell r="C156" t="str">
            <v>2,500 kg/hr</v>
          </cell>
          <cell r="D156" t="str">
            <v>대</v>
          </cell>
          <cell r="E156">
            <v>40490000</v>
          </cell>
          <cell r="F156">
            <v>0</v>
          </cell>
          <cell r="H156">
            <v>602</v>
          </cell>
          <cell r="I156">
            <v>40490000</v>
          </cell>
          <cell r="J156">
            <v>602</v>
          </cell>
          <cell r="L156">
            <v>602</v>
          </cell>
        </row>
        <row r="157">
          <cell r="A157">
            <v>2249</v>
          </cell>
          <cell r="B157" t="str">
            <v>경유관류형증기보일러</v>
          </cell>
          <cell r="C157" t="str">
            <v>3,000 kg/hr</v>
          </cell>
          <cell r="D157" t="str">
            <v>대</v>
          </cell>
          <cell r="E157">
            <v>42890000</v>
          </cell>
          <cell r="F157">
            <v>0</v>
          </cell>
          <cell r="H157">
            <v>602</v>
          </cell>
          <cell r="I157">
            <v>42890000</v>
          </cell>
          <cell r="J157">
            <v>602</v>
          </cell>
          <cell r="L157">
            <v>602</v>
          </cell>
        </row>
        <row r="158">
          <cell r="A158">
            <v>2251</v>
          </cell>
          <cell r="B158" t="str">
            <v>가스관류형증기보일러</v>
          </cell>
          <cell r="C158" t="str">
            <v>100 kg/hr</v>
          </cell>
          <cell r="D158" t="str">
            <v>대</v>
          </cell>
          <cell r="E158">
            <v>7545000</v>
          </cell>
          <cell r="F158">
            <v>0</v>
          </cell>
          <cell r="H158">
            <v>602</v>
          </cell>
          <cell r="I158">
            <v>7545000</v>
          </cell>
          <cell r="J158">
            <v>602</v>
          </cell>
          <cell r="L158">
            <v>602</v>
          </cell>
        </row>
        <row r="159">
          <cell r="A159">
            <v>2252</v>
          </cell>
          <cell r="B159" t="str">
            <v>가스관류형증기보일러</v>
          </cell>
          <cell r="C159" t="str">
            <v>200 kg/hr</v>
          </cell>
          <cell r="D159" t="str">
            <v>대</v>
          </cell>
          <cell r="E159">
            <v>8900000</v>
          </cell>
          <cell r="F159">
            <v>0</v>
          </cell>
          <cell r="H159">
            <v>602</v>
          </cell>
          <cell r="I159">
            <v>8900000</v>
          </cell>
          <cell r="J159">
            <v>602</v>
          </cell>
          <cell r="L159">
            <v>602</v>
          </cell>
        </row>
        <row r="160">
          <cell r="A160">
            <v>2253</v>
          </cell>
          <cell r="B160" t="str">
            <v>가스관류형증기보일러</v>
          </cell>
          <cell r="C160" t="str">
            <v>300 kg/hr</v>
          </cell>
          <cell r="D160" t="str">
            <v>대</v>
          </cell>
          <cell r="E160">
            <v>9940000</v>
          </cell>
          <cell r="F160">
            <v>0</v>
          </cell>
          <cell r="H160">
            <v>602</v>
          </cell>
          <cell r="I160">
            <v>9940000</v>
          </cell>
          <cell r="J160">
            <v>602</v>
          </cell>
          <cell r="L160">
            <v>602</v>
          </cell>
        </row>
        <row r="161">
          <cell r="A161">
            <v>2254</v>
          </cell>
          <cell r="B161" t="str">
            <v>가스관류형증기보일러</v>
          </cell>
          <cell r="C161" t="str">
            <v>500 kg/hr</v>
          </cell>
          <cell r="D161" t="str">
            <v>대</v>
          </cell>
          <cell r="E161">
            <v>20900000</v>
          </cell>
          <cell r="F161">
            <v>0</v>
          </cell>
          <cell r="H161">
            <v>602</v>
          </cell>
          <cell r="I161">
            <v>20900000</v>
          </cell>
          <cell r="J161">
            <v>602</v>
          </cell>
          <cell r="L161">
            <v>602</v>
          </cell>
        </row>
        <row r="162">
          <cell r="A162">
            <v>2255</v>
          </cell>
          <cell r="B162" t="str">
            <v>가스관류형증기보일러</v>
          </cell>
          <cell r="C162" t="str">
            <v>1,000 kg/hr</v>
          </cell>
          <cell r="D162" t="str">
            <v>대</v>
          </cell>
          <cell r="E162">
            <v>26500000</v>
          </cell>
          <cell r="F162">
            <v>0</v>
          </cell>
          <cell r="H162">
            <v>602</v>
          </cell>
          <cell r="I162">
            <v>26500000</v>
          </cell>
          <cell r="J162">
            <v>602</v>
          </cell>
          <cell r="L162">
            <v>602</v>
          </cell>
        </row>
        <row r="163">
          <cell r="A163">
            <v>2256</v>
          </cell>
          <cell r="B163" t="str">
            <v>가스관류형증기보일러</v>
          </cell>
          <cell r="C163" t="str">
            <v>1,500 kg/hr</v>
          </cell>
          <cell r="D163" t="str">
            <v>대</v>
          </cell>
          <cell r="E163">
            <v>30500000</v>
          </cell>
          <cell r="F163">
            <v>0</v>
          </cell>
          <cell r="H163">
            <v>602</v>
          </cell>
          <cell r="I163">
            <v>30500000</v>
          </cell>
          <cell r="J163">
            <v>602</v>
          </cell>
          <cell r="L163">
            <v>602</v>
          </cell>
        </row>
        <row r="164">
          <cell r="A164">
            <v>2257</v>
          </cell>
          <cell r="B164" t="str">
            <v>가스관류형증기보일러</v>
          </cell>
          <cell r="C164" t="str">
            <v>2,000 kg/hr</v>
          </cell>
          <cell r="D164" t="str">
            <v>대</v>
          </cell>
          <cell r="E164">
            <v>44590000</v>
          </cell>
          <cell r="F164">
            <v>0</v>
          </cell>
          <cell r="H164">
            <v>602</v>
          </cell>
          <cell r="I164">
            <v>44590000</v>
          </cell>
          <cell r="J164">
            <v>602</v>
          </cell>
          <cell r="L164">
            <v>602</v>
          </cell>
        </row>
        <row r="165">
          <cell r="A165">
            <v>2258</v>
          </cell>
          <cell r="B165" t="str">
            <v>가스관류형증기보일러</v>
          </cell>
          <cell r="C165" t="str">
            <v>2,500 kg/hr</v>
          </cell>
          <cell r="D165" t="str">
            <v>대</v>
          </cell>
          <cell r="E165">
            <v>46300000</v>
          </cell>
          <cell r="F165">
            <v>0</v>
          </cell>
          <cell r="H165">
            <v>602</v>
          </cell>
          <cell r="I165">
            <v>46300000</v>
          </cell>
          <cell r="J165">
            <v>602</v>
          </cell>
          <cell r="L165">
            <v>602</v>
          </cell>
        </row>
        <row r="166">
          <cell r="A166">
            <v>2259</v>
          </cell>
          <cell r="B166" t="str">
            <v>가스관류형증기보일러</v>
          </cell>
          <cell r="C166" t="str">
            <v>3,000 kg/hr</v>
          </cell>
          <cell r="D166" t="str">
            <v>대</v>
          </cell>
          <cell r="E166">
            <v>47900000</v>
          </cell>
          <cell r="F166">
            <v>0</v>
          </cell>
          <cell r="H166">
            <v>602</v>
          </cell>
          <cell r="I166">
            <v>47900000</v>
          </cell>
          <cell r="J166">
            <v>602</v>
          </cell>
          <cell r="L166">
            <v>602</v>
          </cell>
        </row>
        <row r="167">
          <cell r="A167">
            <v>2261</v>
          </cell>
          <cell r="B167" t="str">
            <v>경유노통증기보일러</v>
          </cell>
          <cell r="C167" t="str">
            <v>100 kg/hr</v>
          </cell>
          <cell r="D167" t="str">
            <v>대</v>
          </cell>
          <cell r="E167">
            <v>0</v>
          </cell>
          <cell r="F167">
            <v>0</v>
          </cell>
          <cell r="H167">
            <v>602</v>
          </cell>
          <cell r="J167">
            <v>602</v>
          </cell>
          <cell r="L167">
            <v>602</v>
          </cell>
        </row>
        <row r="168">
          <cell r="A168">
            <v>2262</v>
          </cell>
          <cell r="B168" t="str">
            <v>경유노통증기보일러</v>
          </cell>
          <cell r="C168" t="str">
            <v>200 kg/hr</v>
          </cell>
          <cell r="D168" t="str">
            <v>대</v>
          </cell>
          <cell r="E168">
            <v>0</v>
          </cell>
          <cell r="F168">
            <v>0</v>
          </cell>
          <cell r="H168">
            <v>602</v>
          </cell>
          <cell r="J168">
            <v>602</v>
          </cell>
          <cell r="L168">
            <v>602</v>
          </cell>
        </row>
        <row r="169">
          <cell r="A169">
            <v>2263</v>
          </cell>
          <cell r="B169" t="str">
            <v>경유노통증기보일러</v>
          </cell>
          <cell r="C169" t="str">
            <v>300 kg/hr</v>
          </cell>
          <cell r="D169" t="str">
            <v>대</v>
          </cell>
          <cell r="E169">
            <v>0</v>
          </cell>
          <cell r="F169">
            <v>0</v>
          </cell>
          <cell r="H169">
            <v>602</v>
          </cell>
          <cell r="J169">
            <v>602</v>
          </cell>
          <cell r="L169">
            <v>602</v>
          </cell>
        </row>
        <row r="170">
          <cell r="A170">
            <v>2264</v>
          </cell>
          <cell r="B170" t="str">
            <v>경유노통증기보일러</v>
          </cell>
          <cell r="C170" t="str">
            <v>500 kg/hr</v>
          </cell>
          <cell r="D170" t="str">
            <v>대</v>
          </cell>
          <cell r="E170">
            <v>20400000</v>
          </cell>
          <cell r="F170">
            <v>0</v>
          </cell>
          <cell r="H170">
            <v>602</v>
          </cell>
          <cell r="I170">
            <v>20400000</v>
          </cell>
          <cell r="J170">
            <v>602</v>
          </cell>
          <cell r="L170">
            <v>602</v>
          </cell>
        </row>
        <row r="171">
          <cell r="A171">
            <v>2265</v>
          </cell>
          <cell r="B171" t="str">
            <v>경유노통증기보일러</v>
          </cell>
          <cell r="C171" t="str">
            <v>1,000 kg/hr</v>
          </cell>
          <cell r="D171" t="str">
            <v>대</v>
          </cell>
          <cell r="E171">
            <v>28000000</v>
          </cell>
          <cell r="F171">
            <v>0</v>
          </cell>
          <cell r="H171">
            <v>602</v>
          </cell>
          <cell r="I171">
            <v>28000000</v>
          </cell>
          <cell r="J171">
            <v>602</v>
          </cell>
          <cell r="L171">
            <v>602</v>
          </cell>
        </row>
        <row r="172">
          <cell r="A172">
            <v>2266</v>
          </cell>
          <cell r="B172" t="str">
            <v>경유노통증기보일러</v>
          </cell>
          <cell r="C172" t="str">
            <v>1,500 kg/hr</v>
          </cell>
          <cell r="D172" t="str">
            <v>대</v>
          </cell>
          <cell r="E172">
            <v>29000000</v>
          </cell>
          <cell r="F172">
            <v>0</v>
          </cell>
          <cell r="H172">
            <v>602</v>
          </cell>
          <cell r="I172">
            <v>29000000</v>
          </cell>
          <cell r="J172">
            <v>602</v>
          </cell>
          <cell r="L172">
            <v>602</v>
          </cell>
        </row>
        <row r="173">
          <cell r="A173">
            <v>2267</v>
          </cell>
          <cell r="B173" t="str">
            <v>경유노통증기보일러</v>
          </cell>
          <cell r="C173" t="str">
            <v>2,000 kg/hr</v>
          </cell>
          <cell r="D173" t="str">
            <v>대</v>
          </cell>
          <cell r="E173">
            <v>31100000</v>
          </cell>
          <cell r="F173">
            <v>0</v>
          </cell>
          <cell r="H173">
            <v>602</v>
          </cell>
          <cell r="I173">
            <v>31100000</v>
          </cell>
          <cell r="J173">
            <v>602</v>
          </cell>
          <cell r="L173">
            <v>602</v>
          </cell>
        </row>
        <row r="174">
          <cell r="A174">
            <v>2268</v>
          </cell>
          <cell r="B174" t="str">
            <v>경유노통증기보일러</v>
          </cell>
          <cell r="C174" t="str">
            <v>2,500 kg/hr</v>
          </cell>
          <cell r="D174" t="str">
            <v>대</v>
          </cell>
          <cell r="E174">
            <v>33670000</v>
          </cell>
          <cell r="F174">
            <v>0</v>
          </cell>
          <cell r="H174">
            <v>602</v>
          </cell>
          <cell r="I174">
            <v>33670000</v>
          </cell>
          <cell r="J174">
            <v>602</v>
          </cell>
          <cell r="L174">
            <v>602</v>
          </cell>
        </row>
        <row r="175">
          <cell r="A175">
            <v>2269</v>
          </cell>
          <cell r="B175" t="str">
            <v>경유노통증기보일러</v>
          </cell>
          <cell r="C175" t="str">
            <v>3,000 kg/hr</v>
          </cell>
          <cell r="D175" t="str">
            <v>대</v>
          </cell>
          <cell r="E175">
            <v>35810000</v>
          </cell>
          <cell r="F175">
            <v>0</v>
          </cell>
          <cell r="H175">
            <v>602</v>
          </cell>
          <cell r="I175">
            <v>35810000</v>
          </cell>
          <cell r="J175">
            <v>602</v>
          </cell>
          <cell r="L175">
            <v>602</v>
          </cell>
        </row>
        <row r="176">
          <cell r="A176">
            <v>2271</v>
          </cell>
          <cell r="B176" t="str">
            <v>가스노통증기보일러</v>
          </cell>
          <cell r="C176" t="str">
            <v>100 kg/hr</v>
          </cell>
          <cell r="D176" t="str">
            <v>대</v>
          </cell>
          <cell r="E176">
            <v>0</v>
          </cell>
          <cell r="F176">
            <v>0</v>
          </cell>
          <cell r="H176">
            <v>602</v>
          </cell>
          <cell r="J176">
            <v>602</v>
          </cell>
          <cell r="L176">
            <v>602</v>
          </cell>
        </row>
        <row r="177">
          <cell r="A177">
            <v>2272</v>
          </cell>
          <cell r="B177" t="str">
            <v>가스노통증기보일러</v>
          </cell>
          <cell r="C177" t="str">
            <v>200 kg/hr</v>
          </cell>
          <cell r="D177" t="str">
            <v>대</v>
          </cell>
          <cell r="E177">
            <v>0</v>
          </cell>
          <cell r="F177">
            <v>0</v>
          </cell>
          <cell r="H177">
            <v>602</v>
          </cell>
          <cell r="J177">
            <v>602</v>
          </cell>
          <cell r="L177">
            <v>602</v>
          </cell>
        </row>
        <row r="178">
          <cell r="A178">
            <v>2273</v>
          </cell>
          <cell r="B178" t="str">
            <v>가스노통증기보일러</v>
          </cell>
          <cell r="C178" t="str">
            <v>300 kg/hr</v>
          </cell>
          <cell r="D178" t="str">
            <v>대</v>
          </cell>
          <cell r="E178">
            <v>0</v>
          </cell>
          <cell r="F178">
            <v>0</v>
          </cell>
          <cell r="H178">
            <v>602</v>
          </cell>
          <cell r="J178">
            <v>602</v>
          </cell>
          <cell r="L178">
            <v>602</v>
          </cell>
        </row>
        <row r="179">
          <cell r="A179">
            <v>2274</v>
          </cell>
          <cell r="B179" t="str">
            <v>가스노통증기보일러</v>
          </cell>
          <cell r="C179" t="str">
            <v>500 kg/hr</v>
          </cell>
          <cell r="D179" t="str">
            <v>대</v>
          </cell>
          <cell r="E179">
            <v>25000000</v>
          </cell>
          <cell r="F179">
            <v>0</v>
          </cell>
          <cell r="H179">
            <v>602</v>
          </cell>
          <cell r="I179">
            <v>25000000</v>
          </cell>
          <cell r="J179">
            <v>602</v>
          </cell>
          <cell r="L179">
            <v>602</v>
          </cell>
        </row>
        <row r="180">
          <cell r="A180">
            <v>2275</v>
          </cell>
          <cell r="B180" t="str">
            <v>가스노통증기보일러</v>
          </cell>
          <cell r="C180" t="str">
            <v>1,000 kg/hr</v>
          </cell>
          <cell r="D180" t="str">
            <v>대</v>
          </cell>
          <cell r="E180">
            <v>30780000</v>
          </cell>
          <cell r="F180">
            <v>0</v>
          </cell>
          <cell r="H180">
            <v>602</v>
          </cell>
          <cell r="I180">
            <v>30780000</v>
          </cell>
          <cell r="J180">
            <v>602</v>
          </cell>
          <cell r="L180">
            <v>602</v>
          </cell>
        </row>
        <row r="181">
          <cell r="A181">
            <v>2276</v>
          </cell>
          <cell r="B181" t="str">
            <v>가스노통증기보일러</v>
          </cell>
          <cell r="C181" t="str">
            <v>1,500 kg/hr</v>
          </cell>
          <cell r="D181" t="str">
            <v>대</v>
          </cell>
          <cell r="E181">
            <v>32460000</v>
          </cell>
          <cell r="F181">
            <v>0</v>
          </cell>
          <cell r="H181">
            <v>602</v>
          </cell>
          <cell r="I181">
            <v>32460000</v>
          </cell>
          <cell r="J181">
            <v>602</v>
          </cell>
          <cell r="L181">
            <v>602</v>
          </cell>
        </row>
        <row r="182">
          <cell r="A182">
            <v>2277</v>
          </cell>
          <cell r="B182" t="str">
            <v>가스노통증기보일러</v>
          </cell>
          <cell r="C182" t="str">
            <v>2,000 kg/hr</v>
          </cell>
          <cell r="D182" t="str">
            <v>대</v>
          </cell>
          <cell r="E182">
            <v>34360000</v>
          </cell>
          <cell r="F182">
            <v>0</v>
          </cell>
          <cell r="H182">
            <v>602</v>
          </cell>
          <cell r="I182">
            <v>34360000</v>
          </cell>
          <cell r="J182">
            <v>602</v>
          </cell>
          <cell r="L182">
            <v>602</v>
          </cell>
        </row>
        <row r="183">
          <cell r="A183">
            <v>2278</v>
          </cell>
          <cell r="B183" t="str">
            <v>가스노통증기보일러</v>
          </cell>
          <cell r="C183" t="str">
            <v>2,500 kg/hr</v>
          </cell>
          <cell r="D183" t="str">
            <v>대</v>
          </cell>
          <cell r="E183">
            <v>37000000</v>
          </cell>
          <cell r="F183">
            <v>0</v>
          </cell>
          <cell r="H183">
            <v>602</v>
          </cell>
          <cell r="I183">
            <v>37000000</v>
          </cell>
          <cell r="J183">
            <v>602</v>
          </cell>
          <cell r="L183">
            <v>602</v>
          </cell>
        </row>
        <row r="184">
          <cell r="A184">
            <v>2279</v>
          </cell>
          <cell r="B184" t="str">
            <v>가스노통증기보일러</v>
          </cell>
          <cell r="C184" t="str">
            <v>3,000 kg/hr</v>
          </cell>
          <cell r="D184" t="str">
            <v>대</v>
          </cell>
          <cell r="E184">
            <v>40000000</v>
          </cell>
          <cell r="F184">
            <v>0</v>
          </cell>
          <cell r="H184">
            <v>602</v>
          </cell>
          <cell r="I184">
            <v>40000000</v>
          </cell>
          <cell r="J184">
            <v>602</v>
          </cell>
          <cell r="L184">
            <v>602</v>
          </cell>
        </row>
        <row r="185">
          <cell r="E185">
            <v>0</v>
          </cell>
        </row>
        <row r="186">
          <cell r="A186">
            <v>2311</v>
          </cell>
          <cell r="B186" t="str">
            <v>온수순환펌프</v>
          </cell>
          <cell r="C186" t="str">
            <v>40 W</v>
          </cell>
          <cell r="D186" t="str">
            <v>대</v>
          </cell>
          <cell r="E186">
            <v>33000</v>
          </cell>
          <cell r="F186">
            <v>0</v>
          </cell>
          <cell r="H186">
            <v>1011</v>
          </cell>
          <cell r="I186">
            <v>33000</v>
          </cell>
          <cell r="J186">
            <v>1011</v>
          </cell>
          <cell r="L186">
            <v>1011</v>
          </cell>
        </row>
        <row r="187">
          <cell r="A187">
            <v>2312</v>
          </cell>
          <cell r="B187" t="str">
            <v>온수순환펌프</v>
          </cell>
          <cell r="C187" t="str">
            <v>100 W</v>
          </cell>
          <cell r="D187" t="str">
            <v>대</v>
          </cell>
          <cell r="E187">
            <v>52000</v>
          </cell>
          <cell r="F187">
            <v>0</v>
          </cell>
          <cell r="H187">
            <v>1011</v>
          </cell>
          <cell r="I187">
            <v>52000</v>
          </cell>
          <cell r="J187">
            <v>1011</v>
          </cell>
          <cell r="L187">
            <v>1011</v>
          </cell>
        </row>
        <row r="188">
          <cell r="A188">
            <v>2313</v>
          </cell>
          <cell r="B188" t="str">
            <v>온수순환펌프</v>
          </cell>
          <cell r="C188" t="str">
            <v>200 W</v>
          </cell>
          <cell r="D188" t="str">
            <v>대</v>
          </cell>
          <cell r="E188">
            <v>67000</v>
          </cell>
          <cell r="F188">
            <v>0</v>
          </cell>
          <cell r="H188">
            <v>1011</v>
          </cell>
          <cell r="I188">
            <v>67000</v>
          </cell>
          <cell r="J188">
            <v>1011</v>
          </cell>
          <cell r="L188">
            <v>1011</v>
          </cell>
        </row>
        <row r="189">
          <cell r="A189">
            <v>2314</v>
          </cell>
          <cell r="B189" t="str">
            <v>온수순환펌프</v>
          </cell>
          <cell r="C189" t="str">
            <v>375 W</v>
          </cell>
          <cell r="D189" t="str">
            <v>대</v>
          </cell>
          <cell r="E189">
            <v>130000</v>
          </cell>
          <cell r="F189">
            <v>0</v>
          </cell>
          <cell r="H189">
            <v>1011</v>
          </cell>
          <cell r="I189">
            <v>130000</v>
          </cell>
          <cell r="J189">
            <v>1011</v>
          </cell>
          <cell r="L189">
            <v>1011</v>
          </cell>
        </row>
        <row r="190">
          <cell r="A190">
            <v>2315</v>
          </cell>
          <cell r="B190" t="str">
            <v>온수순환펌프</v>
          </cell>
          <cell r="C190" t="str">
            <v>0.75 kW</v>
          </cell>
          <cell r="D190" t="str">
            <v>대</v>
          </cell>
          <cell r="E190">
            <v>200000</v>
          </cell>
          <cell r="F190">
            <v>0</v>
          </cell>
          <cell r="H190">
            <v>0</v>
          </cell>
          <cell r="I190">
            <v>200000</v>
          </cell>
          <cell r="J190">
            <v>0</v>
          </cell>
          <cell r="L190">
            <v>0</v>
          </cell>
        </row>
        <row r="191">
          <cell r="A191">
            <v>2316</v>
          </cell>
          <cell r="B191" t="str">
            <v>수중자동배수펌프</v>
          </cell>
          <cell r="C191" t="str">
            <v>0.75 kW</v>
          </cell>
          <cell r="D191" t="str">
            <v>대</v>
          </cell>
          <cell r="E191">
            <v>374000</v>
          </cell>
          <cell r="F191">
            <v>0</v>
          </cell>
          <cell r="G191">
            <v>374000</v>
          </cell>
          <cell r="H191">
            <v>1069</v>
          </cell>
          <cell r="J191">
            <v>0</v>
          </cell>
          <cell r="L191">
            <v>449</v>
          </cell>
        </row>
        <row r="192">
          <cell r="A192">
            <v>2317</v>
          </cell>
          <cell r="B192" t="str">
            <v>급수가압펌프</v>
          </cell>
          <cell r="C192" t="str">
            <v>0.75 kW</v>
          </cell>
          <cell r="D192" t="str">
            <v>대</v>
          </cell>
          <cell r="E192">
            <v>380000</v>
          </cell>
          <cell r="F192">
            <v>0</v>
          </cell>
          <cell r="H192">
            <v>0</v>
          </cell>
          <cell r="I192">
            <v>380000</v>
          </cell>
          <cell r="J192">
            <v>0</v>
          </cell>
          <cell r="L192">
            <v>0</v>
          </cell>
        </row>
        <row r="193">
          <cell r="A193">
            <v>2318</v>
          </cell>
          <cell r="B193" t="str">
            <v>파워후레쉬펌프(PE)</v>
          </cell>
          <cell r="C193" t="str">
            <v>0.37 kW</v>
          </cell>
          <cell r="D193" t="str">
            <v>대</v>
          </cell>
          <cell r="E193">
            <v>1050000</v>
          </cell>
          <cell r="F193">
            <v>0</v>
          </cell>
          <cell r="H193">
            <v>1011</v>
          </cell>
          <cell r="I193">
            <v>1050000</v>
          </cell>
          <cell r="J193">
            <v>1011</v>
          </cell>
          <cell r="L193">
            <v>1011</v>
          </cell>
        </row>
        <row r="194">
          <cell r="A194">
            <v>2321</v>
          </cell>
          <cell r="B194" t="str">
            <v>보류트펌프(모터포함)</v>
          </cell>
          <cell r="C194" t="str">
            <v>1.5 kW</v>
          </cell>
          <cell r="D194" t="str">
            <v>대</v>
          </cell>
          <cell r="E194">
            <v>380000</v>
          </cell>
          <cell r="F194">
            <v>0</v>
          </cell>
          <cell r="H194">
            <v>992</v>
          </cell>
          <cell r="I194">
            <v>380000</v>
          </cell>
          <cell r="J194">
            <v>992</v>
          </cell>
          <cell r="L194">
            <v>992</v>
          </cell>
        </row>
        <row r="195">
          <cell r="A195">
            <v>2322</v>
          </cell>
          <cell r="B195" t="str">
            <v>보류트펌프(모터포함)</v>
          </cell>
          <cell r="C195" t="str">
            <v>2.2 kW</v>
          </cell>
          <cell r="D195" t="str">
            <v>대</v>
          </cell>
          <cell r="E195">
            <v>445000</v>
          </cell>
          <cell r="F195">
            <v>0</v>
          </cell>
          <cell r="H195">
            <v>992</v>
          </cell>
          <cell r="I195">
            <v>445000</v>
          </cell>
          <cell r="J195">
            <v>992</v>
          </cell>
          <cell r="L195">
            <v>992</v>
          </cell>
        </row>
        <row r="196">
          <cell r="A196">
            <v>2323</v>
          </cell>
          <cell r="B196" t="str">
            <v>보류트펌프(모터포함)</v>
          </cell>
          <cell r="C196" t="str">
            <v>3.75 kW</v>
          </cell>
          <cell r="D196" t="str">
            <v>대</v>
          </cell>
          <cell r="E196">
            <v>501000</v>
          </cell>
          <cell r="F196">
            <v>0</v>
          </cell>
          <cell r="H196">
            <v>992</v>
          </cell>
          <cell r="I196">
            <v>501000</v>
          </cell>
          <cell r="J196">
            <v>992</v>
          </cell>
          <cell r="L196">
            <v>992</v>
          </cell>
        </row>
        <row r="197">
          <cell r="A197">
            <v>2324</v>
          </cell>
          <cell r="B197" t="str">
            <v>보류트펌프(모터포함)</v>
          </cell>
          <cell r="C197" t="str">
            <v>5.62 kW</v>
          </cell>
          <cell r="D197" t="str">
            <v>대</v>
          </cell>
          <cell r="E197">
            <v>606000</v>
          </cell>
          <cell r="F197">
            <v>0</v>
          </cell>
          <cell r="H197">
            <v>992</v>
          </cell>
          <cell r="I197">
            <v>606000</v>
          </cell>
          <cell r="J197">
            <v>992</v>
          </cell>
          <cell r="L197">
            <v>992</v>
          </cell>
        </row>
        <row r="198">
          <cell r="A198">
            <v>2325</v>
          </cell>
          <cell r="B198" t="str">
            <v>보류트펌프(모터포함)</v>
          </cell>
          <cell r="C198" t="str">
            <v>7.5 kW</v>
          </cell>
          <cell r="D198" t="str">
            <v>대</v>
          </cell>
          <cell r="E198">
            <v>643000</v>
          </cell>
          <cell r="F198">
            <v>0</v>
          </cell>
          <cell r="H198">
            <v>992</v>
          </cell>
          <cell r="I198">
            <v>643000</v>
          </cell>
          <cell r="J198">
            <v>992</v>
          </cell>
          <cell r="L198">
            <v>992</v>
          </cell>
        </row>
        <row r="199">
          <cell r="A199">
            <v>2326</v>
          </cell>
          <cell r="B199" t="str">
            <v>보류트펌프(모터포함)</v>
          </cell>
          <cell r="C199" t="str">
            <v>11.25 kW</v>
          </cell>
          <cell r="D199" t="str">
            <v>대</v>
          </cell>
          <cell r="E199">
            <v>716000</v>
          </cell>
          <cell r="F199">
            <v>0</v>
          </cell>
          <cell r="H199">
            <v>992</v>
          </cell>
          <cell r="I199">
            <v>716000</v>
          </cell>
          <cell r="J199">
            <v>992</v>
          </cell>
          <cell r="L199">
            <v>992</v>
          </cell>
        </row>
        <row r="200">
          <cell r="A200">
            <v>2327</v>
          </cell>
          <cell r="B200" t="str">
            <v>보류트펌프(모터포함)</v>
          </cell>
          <cell r="C200" t="str">
            <v>15.0 kW</v>
          </cell>
          <cell r="D200" t="str">
            <v>대</v>
          </cell>
          <cell r="E200">
            <v>847000</v>
          </cell>
          <cell r="F200">
            <v>0</v>
          </cell>
          <cell r="H200">
            <v>992</v>
          </cell>
          <cell r="I200">
            <v>847000</v>
          </cell>
          <cell r="J200">
            <v>992</v>
          </cell>
          <cell r="L200">
            <v>992</v>
          </cell>
        </row>
        <row r="201">
          <cell r="A201">
            <v>2328</v>
          </cell>
          <cell r="B201" t="str">
            <v>보류트펌프(모터포함)</v>
          </cell>
          <cell r="C201" t="str">
            <v>22.5 kW</v>
          </cell>
          <cell r="D201" t="str">
            <v>대</v>
          </cell>
          <cell r="E201">
            <v>1081000</v>
          </cell>
          <cell r="F201">
            <v>0</v>
          </cell>
          <cell r="H201">
            <v>992</v>
          </cell>
          <cell r="I201">
            <v>1081000</v>
          </cell>
          <cell r="J201">
            <v>992</v>
          </cell>
          <cell r="L201">
            <v>992</v>
          </cell>
        </row>
        <row r="202">
          <cell r="A202">
            <v>2329</v>
          </cell>
          <cell r="B202" t="str">
            <v>보류트펌프(모터포함)</v>
          </cell>
          <cell r="C202" t="str">
            <v>30.0 kW</v>
          </cell>
          <cell r="D202" t="str">
            <v>대</v>
          </cell>
          <cell r="E202">
            <v>1140000</v>
          </cell>
          <cell r="F202">
            <v>0</v>
          </cell>
          <cell r="H202">
            <v>992</v>
          </cell>
          <cell r="I202">
            <v>1140000</v>
          </cell>
          <cell r="J202">
            <v>992</v>
          </cell>
          <cell r="L202">
            <v>992</v>
          </cell>
        </row>
        <row r="203">
          <cell r="A203">
            <v>2331</v>
          </cell>
          <cell r="B203" t="str">
            <v>웨스코펌프</v>
          </cell>
          <cell r="C203" t="str">
            <v>2.2 kW</v>
          </cell>
          <cell r="D203" t="str">
            <v>대</v>
          </cell>
          <cell r="E203">
            <v>501000</v>
          </cell>
          <cell r="F203">
            <v>0</v>
          </cell>
          <cell r="H203">
            <v>0</v>
          </cell>
          <cell r="I203">
            <v>501000</v>
          </cell>
          <cell r="J203">
            <v>0</v>
          </cell>
          <cell r="L203">
            <v>0</v>
          </cell>
        </row>
        <row r="204">
          <cell r="A204">
            <v>2332</v>
          </cell>
          <cell r="B204" t="str">
            <v>다단터어빈펌프</v>
          </cell>
          <cell r="C204" t="str">
            <v>3.75 kW</v>
          </cell>
          <cell r="D204" t="str">
            <v>대</v>
          </cell>
          <cell r="E204">
            <v>562000</v>
          </cell>
          <cell r="F204">
            <v>0</v>
          </cell>
          <cell r="H204">
            <v>992</v>
          </cell>
          <cell r="I204">
            <v>562000</v>
          </cell>
          <cell r="J204">
            <v>992</v>
          </cell>
          <cell r="L204">
            <v>992</v>
          </cell>
        </row>
        <row r="205">
          <cell r="A205">
            <v>2333</v>
          </cell>
          <cell r="B205" t="str">
            <v>다단터어빈펌프</v>
          </cell>
          <cell r="C205" t="str">
            <v>5.62 kW</v>
          </cell>
          <cell r="D205" t="str">
            <v>대</v>
          </cell>
          <cell r="E205">
            <v>700000</v>
          </cell>
          <cell r="F205">
            <v>0</v>
          </cell>
          <cell r="H205">
            <v>992</v>
          </cell>
          <cell r="I205">
            <v>700000</v>
          </cell>
          <cell r="J205">
            <v>992</v>
          </cell>
          <cell r="L205">
            <v>992</v>
          </cell>
        </row>
        <row r="206">
          <cell r="A206">
            <v>2334</v>
          </cell>
          <cell r="B206" t="str">
            <v>다단터어빈펌프</v>
          </cell>
          <cell r="C206" t="str">
            <v>7.5 kW</v>
          </cell>
          <cell r="D206" t="str">
            <v>대</v>
          </cell>
          <cell r="E206">
            <v>816000</v>
          </cell>
          <cell r="F206">
            <v>0</v>
          </cell>
          <cell r="H206">
            <v>992</v>
          </cell>
          <cell r="I206">
            <v>816000</v>
          </cell>
          <cell r="J206">
            <v>992</v>
          </cell>
          <cell r="L206">
            <v>992</v>
          </cell>
        </row>
        <row r="207">
          <cell r="A207">
            <v>2335</v>
          </cell>
          <cell r="B207" t="str">
            <v>다단터어빈펌프</v>
          </cell>
          <cell r="C207" t="str">
            <v>11.25 kW</v>
          </cell>
          <cell r="D207" t="str">
            <v>대</v>
          </cell>
          <cell r="E207">
            <v>902000</v>
          </cell>
          <cell r="F207">
            <v>0</v>
          </cell>
          <cell r="H207">
            <v>992</v>
          </cell>
          <cell r="I207">
            <v>902000</v>
          </cell>
          <cell r="J207">
            <v>992</v>
          </cell>
          <cell r="L207">
            <v>992</v>
          </cell>
        </row>
        <row r="208">
          <cell r="A208">
            <v>2336</v>
          </cell>
          <cell r="B208" t="str">
            <v>다단터어빈펌프</v>
          </cell>
          <cell r="C208" t="str">
            <v>15.0 kW</v>
          </cell>
          <cell r="D208" t="str">
            <v>대</v>
          </cell>
          <cell r="E208">
            <v>956000</v>
          </cell>
          <cell r="F208">
            <v>0</v>
          </cell>
          <cell r="H208">
            <v>992</v>
          </cell>
          <cell r="I208">
            <v>956000</v>
          </cell>
          <cell r="J208">
            <v>992</v>
          </cell>
          <cell r="L208">
            <v>992</v>
          </cell>
        </row>
        <row r="209">
          <cell r="A209">
            <v>2337</v>
          </cell>
          <cell r="B209" t="str">
            <v>다단터어빈펌프</v>
          </cell>
          <cell r="C209" t="str">
            <v>22.5 kW</v>
          </cell>
          <cell r="D209" t="str">
            <v>대</v>
          </cell>
          <cell r="E209">
            <v>1100000</v>
          </cell>
          <cell r="F209">
            <v>0</v>
          </cell>
          <cell r="H209">
            <v>992</v>
          </cell>
          <cell r="I209">
            <v>1100000</v>
          </cell>
          <cell r="J209">
            <v>992</v>
          </cell>
          <cell r="L209">
            <v>992</v>
          </cell>
        </row>
        <row r="210">
          <cell r="A210">
            <v>2338</v>
          </cell>
          <cell r="B210" t="str">
            <v>다단터어빈펌프</v>
          </cell>
          <cell r="C210" t="str">
            <v>30.0 kW</v>
          </cell>
          <cell r="D210" t="str">
            <v>대</v>
          </cell>
          <cell r="E210">
            <v>1160000</v>
          </cell>
          <cell r="F210">
            <v>0</v>
          </cell>
          <cell r="H210">
            <v>992</v>
          </cell>
          <cell r="I210">
            <v>1160000</v>
          </cell>
          <cell r="J210">
            <v>992</v>
          </cell>
          <cell r="L210">
            <v>992</v>
          </cell>
        </row>
        <row r="212">
          <cell r="A212">
            <v>2341</v>
          </cell>
          <cell r="B212" t="str">
            <v>전동기</v>
          </cell>
          <cell r="C212" t="str">
            <v>1.5 kW</v>
          </cell>
          <cell r="D212" t="str">
            <v>대</v>
          </cell>
          <cell r="E212">
            <v>107000</v>
          </cell>
          <cell r="F212">
            <v>0</v>
          </cell>
          <cell r="H212">
            <v>805</v>
          </cell>
          <cell r="I212">
            <v>107000</v>
          </cell>
          <cell r="J212">
            <v>805</v>
          </cell>
          <cell r="L212">
            <v>805</v>
          </cell>
        </row>
        <row r="213">
          <cell r="A213">
            <v>2342</v>
          </cell>
          <cell r="B213" t="str">
            <v>전동기</v>
          </cell>
          <cell r="C213" t="str">
            <v>2.2 kW</v>
          </cell>
          <cell r="D213" t="str">
            <v>대</v>
          </cell>
          <cell r="E213">
            <v>140000</v>
          </cell>
          <cell r="F213">
            <v>0</v>
          </cell>
          <cell r="H213">
            <v>805</v>
          </cell>
          <cell r="I213">
            <v>140000</v>
          </cell>
          <cell r="J213">
            <v>805</v>
          </cell>
          <cell r="L213">
            <v>805</v>
          </cell>
        </row>
        <row r="214">
          <cell r="A214">
            <v>2343</v>
          </cell>
          <cell r="B214" t="str">
            <v>전동기</v>
          </cell>
          <cell r="C214" t="str">
            <v>3.75 kW</v>
          </cell>
          <cell r="D214" t="str">
            <v>대</v>
          </cell>
          <cell r="E214">
            <v>162000</v>
          </cell>
          <cell r="F214">
            <v>0</v>
          </cell>
          <cell r="H214">
            <v>805</v>
          </cell>
          <cell r="I214">
            <v>162000</v>
          </cell>
          <cell r="J214">
            <v>805</v>
          </cell>
          <cell r="L214">
            <v>805</v>
          </cell>
        </row>
        <row r="215">
          <cell r="A215">
            <v>2344</v>
          </cell>
          <cell r="B215" t="str">
            <v>전동기</v>
          </cell>
          <cell r="C215" t="str">
            <v>5.62 kW</v>
          </cell>
          <cell r="D215" t="str">
            <v>대</v>
          </cell>
          <cell r="E215">
            <v>255000</v>
          </cell>
          <cell r="F215">
            <v>0</v>
          </cell>
          <cell r="H215">
            <v>805</v>
          </cell>
          <cell r="I215">
            <v>255000</v>
          </cell>
          <cell r="J215">
            <v>805</v>
          </cell>
          <cell r="L215">
            <v>805</v>
          </cell>
        </row>
        <row r="216">
          <cell r="A216">
            <v>2345</v>
          </cell>
          <cell r="B216" t="str">
            <v>전동기</v>
          </cell>
          <cell r="C216" t="str">
            <v>7.5 kW</v>
          </cell>
          <cell r="D216" t="str">
            <v>대</v>
          </cell>
          <cell r="E216">
            <v>299000</v>
          </cell>
          <cell r="F216">
            <v>0</v>
          </cell>
          <cell r="H216">
            <v>805</v>
          </cell>
          <cell r="I216">
            <v>299000</v>
          </cell>
          <cell r="J216">
            <v>805</v>
          </cell>
          <cell r="L216">
            <v>805</v>
          </cell>
        </row>
        <row r="217">
          <cell r="A217">
            <v>2346</v>
          </cell>
          <cell r="B217" t="str">
            <v>전동기</v>
          </cell>
          <cell r="C217" t="str">
            <v>11.25 kW</v>
          </cell>
          <cell r="D217" t="str">
            <v>대</v>
          </cell>
          <cell r="E217">
            <v>407000</v>
          </cell>
          <cell r="F217">
            <v>0</v>
          </cell>
          <cell r="H217">
            <v>805</v>
          </cell>
          <cell r="I217">
            <v>407000</v>
          </cell>
          <cell r="J217">
            <v>805</v>
          </cell>
          <cell r="L217">
            <v>805</v>
          </cell>
        </row>
        <row r="218">
          <cell r="A218">
            <v>2347</v>
          </cell>
          <cell r="B218" t="str">
            <v>전동기</v>
          </cell>
          <cell r="C218" t="str">
            <v>15.0 kW</v>
          </cell>
          <cell r="D218" t="str">
            <v>대</v>
          </cell>
          <cell r="E218">
            <v>540000</v>
          </cell>
          <cell r="F218">
            <v>0</v>
          </cell>
          <cell r="H218">
            <v>805</v>
          </cell>
          <cell r="I218">
            <v>540000</v>
          </cell>
          <cell r="J218">
            <v>805</v>
          </cell>
          <cell r="L218">
            <v>805</v>
          </cell>
        </row>
        <row r="219">
          <cell r="A219">
            <v>2348</v>
          </cell>
          <cell r="B219" t="str">
            <v>전동기</v>
          </cell>
          <cell r="C219" t="str">
            <v>22.5 kW</v>
          </cell>
          <cell r="D219" t="str">
            <v>대</v>
          </cell>
          <cell r="E219">
            <v>897000</v>
          </cell>
          <cell r="F219">
            <v>0</v>
          </cell>
          <cell r="H219">
            <v>805</v>
          </cell>
          <cell r="I219">
            <v>897000</v>
          </cell>
          <cell r="J219">
            <v>805</v>
          </cell>
          <cell r="L219">
            <v>805</v>
          </cell>
        </row>
        <row r="220">
          <cell r="A220">
            <v>2349</v>
          </cell>
          <cell r="B220" t="str">
            <v>전동기</v>
          </cell>
          <cell r="C220" t="str">
            <v>30.0 kW</v>
          </cell>
          <cell r="D220" t="str">
            <v>대</v>
          </cell>
          <cell r="E220">
            <v>1367000</v>
          </cell>
          <cell r="F220">
            <v>0</v>
          </cell>
          <cell r="H220">
            <v>805</v>
          </cell>
          <cell r="I220">
            <v>1367000</v>
          </cell>
          <cell r="J220">
            <v>805</v>
          </cell>
          <cell r="L220">
            <v>805</v>
          </cell>
        </row>
        <row r="221">
          <cell r="A221">
            <v>2351</v>
          </cell>
          <cell r="B221" t="str">
            <v>방진가대(스프링방진)</v>
          </cell>
          <cell r="C221" t="str">
            <v>3.75 kW이하</v>
          </cell>
          <cell r="D221" t="str">
            <v>조</v>
          </cell>
          <cell r="E221">
            <v>343000</v>
          </cell>
          <cell r="F221">
            <v>0</v>
          </cell>
          <cell r="H221">
            <v>756</v>
          </cell>
          <cell r="I221">
            <v>343000</v>
          </cell>
          <cell r="J221">
            <v>756</v>
          </cell>
          <cell r="L221">
            <v>756</v>
          </cell>
        </row>
        <row r="222">
          <cell r="A222">
            <v>2352</v>
          </cell>
          <cell r="B222" t="str">
            <v>방진가대(스프링방진)</v>
          </cell>
          <cell r="C222" t="str">
            <v>5.62 kW이하</v>
          </cell>
          <cell r="D222" t="str">
            <v>조</v>
          </cell>
          <cell r="E222">
            <v>378000</v>
          </cell>
          <cell r="F222">
            <v>0</v>
          </cell>
          <cell r="H222">
            <v>756</v>
          </cell>
          <cell r="I222">
            <v>378000</v>
          </cell>
          <cell r="J222">
            <v>756</v>
          </cell>
          <cell r="L222">
            <v>756</v>
          </cell>
        </row>
        <row r="223">
          <cell r="A223">
            <v>2353</v>
          </cell>
          <cell r="B223" t="str">
            <v>방진가대(스프링방진)</v>
          </cell>
          <cell r="C223" t="str">
            <v>7.50 kW이하</v>
          </cell>
          <cell r="D223" t="str">
            <v>조</v>
          </cell>
          <cell r="E223">
            <v>412000</v>
          </cell>
          <cell r="F223">
            <v>0</v>
          </cell>
          <cell r="H223">
            <v>756</v>
          </cell>
          <cell r="I223">
            <v>412000</v>
          </cell>
          <cell r="J223">
            <v>756</v>
          </cell>
          <cell r="L223">
            <v>756</v>
          </cell>
        </row>
        <row r="224">
          <cell r="A224">
            <v>2354</v>
          </cell>
          <cell r="B224" t="str">
            <v>방진가대(스프링방진)</v>
          </cell>
          <cell r="C224" t="str">
            <v>10.0 kW이하</v>
          </cell>
          <cell r="D224" t="str">
            <v>조</v>
          </cell>
          <cell r="E224">
            <v>446000</v>
          </cell>
          <cell r="F224">
            <v>0</v>
          </cell>
          <cell r="H224">
            <v>756</v>
          </cell>
          <cell r="I224">
            <v>446000</v>
          </cell>
          <cell r="J224">
            <v>756</v>
          </cell>
          <cell r="L224">
            <v>756</v>
          </cell>
        </row>
        <row r="225">
          <cell r="A225">
            <v>2355</v>
          </cell>
          <cell r="B225" t="str">
            <v>방진가대(스프링방진)</v>
          </cell>
          <cell r="C225" t="str">
            <v>15.0 kW이하</v>
          </cell>
          <cell r="D225" t="str">
            <v>조</v>
          </cell>
          <cell r="E225">
            <v>480000</v>
          </cell>
          <cell r="F225">
            <v>0</v>
          </cell>
          <cell r="H225">
            <v>756</v>
          </cell>
          <cell r="I225">
            <v>480000</v>
          </cell>
          <cell r="J225">
            <v>756</v>
          </cell>
          <cell r="L225">
            <v>756</v>
          </cell>
        </row>
        <row r="226">
          <cell r="A226">
            <v>2356</v>
          </cell>
          <cell r="B226" t="str">
            <v>방진가대(스프링방진)</v>
          </cell>
          <cell r="C226" t="str">
            <v>20.0 kW이하</v>
          </cell>
          <cell r="D226" t="str">
            <v>조</v>
          </cell>
          <cell r="E226">
            <v>549000</v>
          </cell>
          <cell r="F226">
            <v>0</v>
          </cell>
          <cell r="H226">
            <v>756</v>
          </cell>
          <cell r="I226">
            <v>549000</v>
          </cell>
          <cell r="J226">
            <v>756</v>
          </cell>
          <cell r="L226">
            <v>756</v>
          </cell>
        </row>
        <row r="227">
          <cell r="A227">
            <v>2357</v>
          </cell>
          <cell r="B227" t="str">
            <v>방진가대(스프링방진)</v>
          </cell>
          <cell r="C227" t="str">
            <v>30.0 kW이하</v>
          </cell>
          <cell r="D227" t="str">
            <v>조</v>
          </cell>
          <cell r="E227">
            <v>583000</v>
          </cell>
          <cell r="F227">
            <v>0</v>
          </cell>
          <cell r="H227">
            <v>756</v>
          </cell>
          <cell r="I227">
            <v>583000</v>
          </cell>
          <cell r="J227">
            <v>756</v>
          </cell>
          <cell r="L227">
            <v>756</v>
          </cell>
        </row>
        <row r="229">
          <cell r="A229">
            <v>2384</v>
          </cell>
          <cell r="B229" t="str">
            <v>냉,난방기</v>
          </cell>
          <cell r="C229" t="str">
            <v>CH-402F</v>
          </cell>
          <cell r="D229" t="str">
            <v>대</v>
          </cell>
          <cell r="E229">
            <v>4050000</v>
          </cell>
          <cell r="F229">
            <v>0</v>
          </cell>
          <cell r="G229">
            <v>4050000</v>
          </cell>
          <cell r="H229">
            <v>696</v>
          </cell>
          <cell r="I229">
            <v>4170000</v>
          </cell>
          <cell r="J229">
            <v>651</v>
          </cell>
          <cell r="L229">
            <v>479</v>
          </cell>
        </row>
        <row r="230">
          <cell r="A230">
            <v>2391</v>
          </cell>
          <cell r="B230" t="str">
            <v>팬코일유닛(노출형)</v>
          </cell>
          <cell r="C230" t="str">
            <v>VL-102</v>
          </cell>
          <cell r="D230" t="str">
            <v>대</v>
          </cell>
          <cell r="E230">
            <v>255000</v>
          </cell>
          <cell r="F230">
            <v>0</v>
          </cell>
          <cell r="H230">
            <v>625</v>
          </cell>
          <cell r="I230">
            <v>255000</v>
          </cell>
          <cell r="J230">
            <v>625</v>
          </cell>
          <cell r="L230">
            <v>625</v>
          </cell>
        </row>
        <row r="231">
          <cell r="A231">
            <v>2392</v>
          </cell>
          <cell r="B231" t="str">
            <v>팬코일유닛(노출형)</v>
          </cell>
          <cell r="C231" t="str">
            <v>VL-103</v>
          </cell>
          <cell r="D231" t="str">
            <v>대</v>
          </cell>
          <cell r="E231">
            <v>265000</v>
          </cell>
          <cell r="F231">
            <v>0</v>
          </cell>
          <cell r="H231">
            <v>625</v>
          </cell>
          <cell r="I231">
            <v>265000</v>
          </cell>
          <cell r="J231">
            <v>625</v>
          </cell>
          <cell r="L231">
            <v>625</v>
          </cell>
        </row>
        <row r="232">
          <cell r="A232">
            <v>2393</v>
          </cell>
          <cell r="B232" t="str">
            <v>팬코일유닛(노출형)</v>
          </cell>
          <cell r="C232" t="str">
            <v>VL-104</v>
          </cell>
          <cell r="D232" t="str">
            <v>대</v>
          </cell>
          <cell r="E232">
            <v>315000</v>
          </cell>
          <cell r="F232">
            <v>0</v>
          </cell>
          <cell r="H232">
            <v>625</v>
          </cell>
          <cell r="I232">
            <v>315000</v>
          </cell>
          <cell r="J232">
            <v>625</v>
          </cell>
          <cell r="L232">
            <v>625</v>
          </cell>
        </row>
        <row r="233">
          <cell r="A233">
            <v>2394</v>
          </cell>
          <cell r="B233" t="str">
            <v>팬코일유닛(노출형)</v>
          </cell>
          <cell r="C233" t="str">
            <v>VL-106</v>
          </cell>
          <cell r="D233" t="str">
            <v>대</v>
          </cell>
          <cell r="E233">
            <v>350000</v>
          </cell>
          <cell r="F233">
            <v>0</v>
          </cell>
          <cell r="H233">
            <v>625</v>
          </cell>
          <cell r="I233">
            <v>350000</v>
          </cell>
          <cell r="J233">
            <v>625</v>
          </cell>
          <cell r="L233">
            <v>625</v>
          </cell>
        </row>
        <row r="234">
          <cell r="A234">
            <v>2395</v>
          </cell>
          <cell r="B234" t="str">
            <v>팬코일유닛(매입형)</v>
          </cell>
          <cell r="C234" t="str">
            <v>VM-102</v>
          </cell>
          <cell r="D234" t="str">
            <v>대</v>
          </cell>
          <cell r="E234">
            <v>224000</v>
          </cell>
          <cell r="F234">
            <v>0</v>
          </cell>
          <cell r="H234">
            <v>625</v>
          </cell>
          <cell r="I234">
            <v>224000</v>
          </cell>
          <cell r="J234">
            <v>625</v>
          </cell>
          <cell r="L234">
            <v>625</v>
          </cell>
        </row>
        <row r="235">
          <cell r="A235">
            <v>2396</v>
          </cell>
          <cell r="B235" t="str">
            <v>팬코일유닛(매입형)</v>
          </cell>
          <cell r="C235" t="str">
            <v>VM-103</v>
          </cell>
          <cell r="D235" t="str">
            <v>대</v>
          </cell>
          <cell r="E235">
            <v>267000</v>
          </cell>
          <cell r="F235">
            <v>0</v>
          </cell>
          <cell r="H235">
            <v>625</v>
          </cell>
          <cell r="I235">
            <v>267000</v>
          </cell>
          <cell r="J235">
            <v>625</v>
          </cell>
          <cell r="L235">
            <v>625</v>
          </cell>
        </row>
        <row r="236">
          <cell r="A236">
            <v>2397</v>
          </cell>
          <cell r="B236" t="str">
            <v>팬코일유닛(매입형)</v>
          </cell>
          <cell r="C236" t="str">
            <v>VM-104</v>
          </cell>
          <cell r="D236" t="str">
            <v>대</v>
          </cell>
          <cell r="E236">
            <v>295000</v>
          </cell>
          <cell r="F236">
            <v>0</v>
          </cell>
          <cell r="H236">
            <v>625</v>
          </cell>
          <cell r="I236">
            <v>295000</v>
          </cell>
          <cell r="J236">
            <v>625</v>
          </cell>
          <cell r="L236">
            <v>625</v>
          </cell>
        </row>
        <row r="237">
          <cell r="A237">
            <v>2398</v>
          </cell>
          <cell r="B237" t="str">
            <v>팬코일유닛(매입형)</v>
          </cell>
          <cell r="C237" t="str">
            <v>VM-106</v>
          </cell>
          <cell r="D237" t="str">
            <v>대</v>
          </cell>
          <cell r="E237">
            <v>330000</v>
          </cell>
          <cell r="F237">
            <v>0</v>
          </cell>
          <cell r="H237">
            <v>625</v>
          </cell>
          <cell r="I237">
            <v>330000</v>
          </cell>
          <cell r="J237">
            <v>625</v>
          </cell>
          <cell r="L237">
            <v>625</v>
          </cell>
        </row>
        <row r="238">
          <cell r="E238">
            <v>0</v>
          </cell>
        </row>
        <row r="239">
          <cell r="A239">
            <v>2411</v>
          </cell>
          <cell r="B239" t="str">
            <v>오수분뇨합병정화조</v>
          </cell>
          <cell r="C239" t="str">
            <v>5 인용</v>
          </cell>
          <cell r="D239" t="str">
            <v>조</v>
          </cell>
          <cell r="E239">
            <v>2641000</v>
          </cell>
          <cell r="F239">
            <v>0</v>
          </cell>
          <cell r="H239">
            <v>578</v>
          </cell>
          <cell r="I239">
            <v>2641000</v>
          </cell>
          <cell r="J239">
            <v>578</v>
          </cell>
          <cell r="L239">
            <v>578</v>
          </cell>
        </row>
        <row r="240">
          <cell r="A240">
            <v>2412</v>
          </cell>
          <cell r="B240" t="str">
            <v>오수분뇨합병정화조</v>
          </cell>
          <cell r="C240" t="str">
            <v>10 인용</v>
          </cell>
          <cell r="D240" t="str">
            <v>조</v>
          </cell>
          <cell r="E240">
            <v>3586000</v>
          </cell>
          <cell r="F240">
            <v>0</v>
          </cell>
          <cell r="H240">
            <v>578</v>
          </cell>
          <cell r="I240">
            <v>3586000</v>
          </cell>
          <cell r="J240">
            <v>578</v>
          </cell>
          <cell r="L240">
            <v>578</v>
          </cell>
        </row>
        <row r="241">
          <cell r="A241">
            <v>2413</v>
          </cell>
          <cell r="B241" t="str">
            <v>오수분뇨합병정화조</v>
          </cell>
          <cell r="C241" t="str">
            <v>20 인용</v>
          </cell>
          <cell r="D241" t="str">
            <v>조</v>
          </cell>
          <cell r="E241">
            <v>6643000</v>
          </cell>
          <cell r="F241">
            <v>0</v>
          </cell>
          <cell r="H241">
            <v>578</v>
          </cell>
          <cell r="I241">
            <v>6643000</v>
          </cell>
          <cell r="J241">
            <v>578</v>
          </cell>
          <cell r="L241">
            <v>578</v>
          </cell>
        </row>
        <row r="242">
          <cell r="A242">
            <v>2414</v>
          </cell>
          <cell r="B242" t="str">
            <v>오수분뇨합병정화조</v>
          </cell>
          <cell r="C242" t="str">
            <v>30 인용</v>
          </cell>
          <cell r="D242" t="str">
            <v>조</v>
          </cell>
          <cell r="E242">
            <v>10673000</v>
          </cell>
          <cell r="F242">
            <v>0</v>
          </cell>
          <cell r="H242">
            <v>578</v>
          </cell>
          <cell r="I242">
            <v>10673000</v>
          </cell>
          <cell r="J242">
            <v>578</v>
          </cell>
          <cell r="L242">
            <v>578</v>
          </cell>
        </row>
        <row r="243">
          <cell r="E243">
            <v>0</v>
          </cell>
        </row>
        <row r="244">
          <cell r="E244">
            <v>0</v>
          </cell>
        </row>
        <row r="245">
          <cell r="E245">
            <v>0</v>
          </cell>
        </row>
        <row r="246">
          <cell r="E246">
            <v>0</v>
          </cell>
        </row>
        <row r="247">
          <cell r="E247">
            <v>0</v>
          </cell>
        </row>
        <row r="248">
          <cell r="A248">
            <v>3101</v>
          </cell>
          <cell r="B248" t="str">
            <v>동관 (L형)</v>
          </cell>
          <cell r="C248" t="str">
            <v>100Ø</v>
          </cell>
          <cell r="D248" t="str">
            <v>M</v>
          </cell>
          <cell r="E248">
            <v>26490</v>
          </cell>
          <cell r="F248">
            <v>0</v>
          </cell>
          <cell r="G248">
            <v>30840</v>
          </cell>
          <cell r="H248">
            <v>534</v>
          </cell>
          <cell r="I248">
            <v>32190</v>
          </cell>
          <cell r="J248">
            <v>488</v>
          </cell>
          <cell r="L248">
            <v>488</v>
          </cell>
        </row>
        <row r="249">
          <cell r="A249">
            <v>3102</v>
          </cell>
          <cell r="B249" t="str">
            <v>동관 (L형)</v>
          </cell>
          <cell r="C249" t="str">
            <v>80Ø</v>
          </cell>
          <cell r="D249" t="str">
            <v>M</v>
          </cell>
          <cell r="E249">
            <v>16450</v>
          </cell>
          <cell r="F249">
            <v>0</v>
          </cell>
          <cell r="G249">
            <v>19040</v>
          </cell>
          <cell r="H249">
            <v>534</v>
          </cell>
          <cell r="I249">
            <v>19870</v>
          </cell>
          <cell r="J249">
            <v>488</v>
          </cell>
          <cell r="L249">
            <v>488</v>
          </cell>
        </row>
        <row r="250">
          <cell r="A250">
            <v>3103</v>
          </cell>
          <cell r="B250" t="str">
            <v>동관 (L형)</v>
          </cell>
          <cell r="C250" t="str">
            <v>65Ø</v>
          </cell>
          <cell r="D250" t="str">
            <v>M</v>
          </cell>
          <cell r="E250">
            <v>12230</v>
          </cell>
          <cell r="F250">
            <v>0</v>
          </cell>
          <cell r="G250">
            <v>14050</v>
          </cell>
          <cell r="H250">
            <v>534</v>
          </cell>
          <cell r="I250">
            <v>14630</v>
          </cell>
          <cell r="J250">
            <v>488</v>
          </cell>
          <cell r="L250">
            <v>488</v>
          </cell>
        </row>
        <row r="251">
          <cell r="A251">
            <v>3104</v>
          </cell>
          <cell r="B251" t="str">
            <v>동관 (L형)</v>
          </cell>
          <cell r="C251" t="str">
            <v>50Ø</v>
          </cell>
          <cell r="D251" t="str">
            <v>M</v>
          </cell>
          <cell r="E251">
            <v>8650</v>
          </cell>
          <cell r="F251">
            <v>0</v>
          </cell>
          <cell r="G251">
            <v>9850</v>
          </cell>
          <cell r="H251">
            <v>534</v>
          </cell>
          <cell r="I251">
            <v>10270</v>
          </cell>
          <cell r="J251">
            <v>488</v>
          </cell>
          <cell r="L251">
            <v>488</v>
          </cell>
        </row>
        <row r="252">
          <cell r="A252">
            <v>3105</v>
          </cell>
          <cell r="B252" t="str">
            <v>동관 (L형)</v>
          </cell>
          <cell r="C252" t="str">
            <v>40Ø</v>
          </cell>
          <cell r="D252" t="str">
            <v>M</v>
          </cell>
          <cell r="E252">
            <v>5630</v>
          </cell>
          <cell r="F252">
            <v>0</v>
          </cell>
          <cell r="G252">
            <v>6410</v>
          </cell>
          <cell r="H252">
            <v>534</v>
          </cell>
          <cell r="I252">
            <v>6690</v>
          </cell>
          <cell r="J252">
            <v>476</v>
          </cell>
          <cell r="L252">
            <v>376</v>
          </cell>
        </row>
        <row r="253">
          <cell r="A253">
            <v>3106</v>
          </cell>
          <cell r="B253" t="str">
            <v>동관 (L형)</v>
          </cell>
          <cell r="C253" t="str">
            <v>32Ø</v>
          </cell>
          <cell r="D253" t="str">
            <v>M</v>
          </cell>
          <cell r="E253">
            <v>4370</v>
          </cell>
          <cell r="F253">
            <v>0</v>
          </cell>
          <cell r="G253">
            <v>4980</v>
          </cell>
          <cell r="H253">
            <v>534</v>
          </cell>
          <cell r="I253">
            <v>5200</v>
          </cell>
          <cell r="J253">
            <v>476</v>
          </cell>
          <cell r="L253">
            <v>376</v>
          </cell>
        </row>
        <row r="254">
          <cell r="A254">
            <v>3107</v>
          </cell>
          <cell r="B254" t="str">
            <v>동관 (L형)</v>
          </cell>
          <cell r="C254" t="str">
            <v>25Ø</v>
          </cell>
          <cell r="D254" t="str">
            <v>M</v>
          </cell>
          <cell r="E254">
            <v>3220</v>
          </cell>
          <cell r="F254">
            <v>0</v>
          </cell>
          <cell r="G254">
            <v>3700</v>
          </cell>
          <cell r="H254">
            <v>534</v>
          </cell>
          <cell r="I254">
            <v>3850</v>
          </cell>
          <cell r="J254">
            <v>476</v>
          </cell>
          <cell r="L254">
            <v>376</v>
          </cell>
        </row>
        <row r="255">
          <cell r="A255">
            <v>3108</v>
          </cell>
          <cell r="B255" t="str">
            <v>동관 (L형)</v>
          </cell>
          <cell r="C255" t="str">
            <v>20Ø</v>
          </cell>
          <cell r="D255" t="str">
            <v>M</v>
          </cell>
          <cell r="E255">
            <v>2230</v>
          </cell>
          <cell r="F255">
            <v>0</v>
          </cell>
          <cell r="G255">
            <v>2570</v>
          </cell>
          <cell r="H255">
            <v>534</v>
          </cell>
          <cell r="I255">
            <v>2690</v>
          </cell>
          <cell r="J255">
            <v>476</v>
          </cell>
          <cell r="L255">
            <v>376</v>
          </cell>
        </row>
        <row r="256">
          <cell r="A256">
            <v>3109</v>
          </cell>
          <cell r="B256" t="str">
            <v>동관 (L형)</v>
          </cell>
          <cell r="C256" t="str">
            <v>15Ø</v>
          </cell>
          <cell r="D256" t="str">
            <v>M</v>
          </cell>
          <cell r="E256">
            <v>1400</v>
          </cell>
          <cell r="F256">
            <v>0</v>
          </cell>
          <cell r="G256">
            <v>1650</v>
          </cell>
          <cell r="H256">
            <v>534</v>
          </cell>
          <cell r="I256">
            <v>1710</v>
          </cell>
          <cell r="J256">
            <v>476</v>
          </cell>
          <cell r="L256">
            <v>376</v>
          </cell>
        </row>
        <row r="257">
          <cell r="A257">
            <v>3111</v>
          </cell>
          <cell r="B257" t="str">
            <v>동엘보</v>
          </cell>
          <cell r="C257" t="str">
            <v>100Ø</v>
          </cell>
          <cell r="D257" t="str">
            <v>개</v>
          </cell>
          <cell r="E257">
            <v>16110</v>
          </cell>
          <cell r="F257">
            <v>0</v>
          </cell>
          <cell r="G257">
            <v>18044</v>
          </cell>
          <cell r="H257">
            <v>535</v>
          </cell>
          <cell r="I257">
            <v>20621</v>
          </cell>
          <cell r="J257">
            <v>489</v>
          </cell>
          <cell r="L257">
            <v>489</v>
          </cell>
        </row>
        <row r="258">
          <cell r="A258">
            <v>3112</v>
          </cell>
          <cell r="B258" t="str">
            <v>동엘보</v>
          </cell>
          <cell r="C258" t="str">
            <v>80Ø</v>
          </cell>
          <cell r="D258" t="str">
            <v>개</v>
          </cell>
          <cell r="E258">
            <v>7192</v>
          </cell>
          <cell r="F258">
            <v>0</v>
          </cell>
          <cell r="G258">
            <v>8056</v>
          </cell>
          <cell r="H258">
            <v>535</v>
          </cell>
          <cell r="I258">
            <v>9206</v>
          </cell>
          <cell r="J258">
            <v>489</v>
          </cell>
          <cell r="L258">
            <v>489</v>
          </cell>
        </row>
        <row r="259">
          <cell r="A259">
            <v>3113</v>
          </cell>
          <cell r="B259" t="str">
            <v>동엘보</v>
          </cell>
          <cell r="C259" t="str">
            <v>65Ø</v>
          </cell>
          <cell r="D259" t="str">
            <v>개</v>
          </cell>
          <cell r="E259">
            <v>4520</v>
          </cell>
          <cell r="F259">
            <v>0</v>
          </cell>
          <cell r="G259">
            <v>5062</v>
          </cell>
          <cell r="H259">
            <v>535</v>
          </cell>
          <cell r="I259">
            <v>5785</v>
          </cell>
          <cell r="J259">
            <v>489</v>
          </cell>
          <cell r="L259">
            <v>489</v>
          </cell>
        </row>
        <row r="260">
          <cell r="A260">
            <v>3114</v>
          </cell>
          <cell r="B260" t="str">
            <v>동엘보</v>
          </cell>
          <cell r="C260" t="str">
            <v>50Ø</v>
          </cell>
          <cell r="D260" t="str">
            <v>개</v>
          </cell>
          <cell r="E260">
            <v>2505</v>
          </cell>
          <cell r="F260">
            <v>0</v>
          </cell>
          <cell r="G260">
            <v>2806</v>
          </cell>
          <cell r="H260">
            <v>535</v>
          </cell>
          <cell r="I260">
            <v>3206</v>
          </cell>
          <cell r="J260">
            <v>489</v>
          </cell>
          <cell r="L260">
            <v>489</v>
          </cell>
        </row>
        <row r="261">
          <cell r="A261">
            <v>3115</v>
          </cell>
          <cell r="B261" t="str">
            <v>동엘보</v>
          </cell>
          <cell r="C261" t="str">
            <v>40Ø</v>
          </cell>
          <cell r="D261" t="str">
            <v>개</v>
          </cell>
          <cell r="E261">
            <v>1120</v>
          </cell>
          <cell r="F261">
            <v>0</v>
          </cell>
          <cell r="G261">
            <v>1255</v>
          </cell>
          <cell r="H261">
            <v>535</v>
          </cell>
          <cell r="I261">
            <v>1434</v>
          </cell>
          <cell r="J261">
            <v>477</v>
          </cell>
          <cell r="L261">
            <v>377</v>
          </cell>
        </row>
        <row r="262">
          <cell r="A262">
            <v>3116</v>
          </cell>
          <cell r="B262" t="str">
            <v>동엘보</v>
          </cell>
          <cell r="C262" t="str">
            <v>32Ø</v>
          </cell>
          <cell r="D262" t="str">
            <v>개</v>
          </cell>
          <cell r="E262">
            <v>739</v>
          </cell>
          <cell r="F262">
            <v>0</v>
          </cell>
          <cell r="G262">
            <v>828</v>
          </cell>
          <cell r="H262">
            <v>535</v>
          </cell>
          <cell r="I262">
            <v>946</v>
          </cell>
          <cell r="J262">
            <v>477</v>
          </cell>
          <cell r="L262">
            <v>377</v>
          </cell>
        </row>
        <row r="263">
          <cell r="A263">
            <v>3117</v>
          </cell>
          <cell r="B263" t="str">
            <v>동엘보</v>
          </cell>
          <cell r="C263" t="str">
            <v>25Ø</v>
          </cell>
          <cell r="D263" t="str">
            <v>개</v>
          </cell>
          <cell r="E263">
            <v>481</v>
          </cell>
          <cell r="F263">
            <v>0</v>
          </cell>
          <cell r="G263">
            <v>539</v>
          </cell>
          <cell r="H263">
            <v>535</v>
          </cell>
          <cell r="I263">
            <v>616</v>
          </cell>
          <cell r="J263">
            <v>477</v>
          </cell>
          <cell r="L263">
            <v>377</v>
          </cell>
        </row>
        <row r="264">
          <cell r="A264">
            <v>3118</v>
          </cell>
          <cell r="B264" t="str">
            <v>동엘보</v>
          </cell>
          <cell r="C264" t="str">
            <v>20Ø</v>
          </cell>
          <cell r="D264" t="str">
            <v>개</v>
          </cell>
          <cell r="E264">
            <v>278</v>
          </cell>
          <cell r="F264">
            <v>0</v>
          </cell>
          <cell r="G264">
            <v>312</v>
          </cell>
          <cell r="H264">
            <v>535</v>
          </cell>
          <cell r="I264">
            <v>356</v>
          </cell>
          <cell r="J264">
            <v>477</v>
          </cell>
          <cell r="L264">
            <v>377</v>
          </cell>
        </row>
        <row r="265">
          <cell r="A265">
            <v>3119</v>
          </cell>
          <cell r="B265" t="str">
            <v>동엘보</v>
          </cell>
          <cell r="C265" t="str">
            <v>15Ø</v>
          </cell>
          <cell r="D265" t="str">
            <v>개</v>
          </cell>
          <cell r="E265">
            <v>136</v>
          </cell>
          <cell r="F265">
            <v>0</v>
          </cell>
          <cell r="G265">
            <v>153</v>
          </cell>
          <cell r="H265">
            <v>535</v>
          </cell>
          <cell r="I265">
            <v>174</v>
          </cell>
          <cell r="J265">
            <v>477</v>
          </cell>
          <cell r="L265">
            <v>377</v>
          </cell>
        </row>
        <row r="266">
          <cell r="A266">
            <v>3121</v>
          </cell>
          <cell r="B266" t="str">
            <v>동티</v>
          </cell>
          <cell r="C266" t="str">
            <v>100Ø</v>
          </cell>
          <cell r="D266" t="str">
            <v>개</v>
          </cell>
          <cell r="E266">
            <v>17761</v>
          </cell>
          <cell r="F266">
            <v>0</v>
          </cell>
          <cell r="G266">
            <v>19893</v>
          </cell>
          <cell r="H266">
            <v>535</v>
          </cell>
          <cell r="I266">
            <v>22734</v>
          </cell>
          <cell r="J266">
            <v>489</v>
          </cell>
          <cell r="L266">
            <v>489</v>
          </cell>
        </row>
        <row r="267">
          <cell r="A267">
            <v>3122</v>
          </cell>
          <cell r="B267" t="str">
            <v>동티</v>
          </cell>
          <cell r="C267" t="str">
            <v>80Ø</v>
          </cell>
          <cell r="D267" t="str">
            <v>개</v>
          </cell>
          <cell r="E267">
            <v>9748</v>
          </cell>
          <cell r="F267">
            <v>0</v>
          </cell>
          <cell r="G267">
            <v>10919</v>
          </cell>
          <cell r="H267">
            <v>535</v>
          </cell>
          <cell r="I267">
            <v>12478</v>
          </cell>
          <cell r="J267">
            <v>489</v>
          </cell>
          <cell r="L267">
            <v>489</v>
          </cell>
        </row>
        <row r="268">
          <cell r="A268">
            <v>3123</v>
          </cell>
          <cell r="B268" t="str">
            <v>동티</v>
          </cell>
          <cell r="C268" t="str">
            <v>65Ø</v>
          </cell>
          <cell r="D268" t="str">
            <v>개</v>
          </cell>
          <cell r="E268">
            <v>5087</v>
          </cell>
          <cell r="F268">
            <v>0</v>
          </cell>
          <cell r="G268">
            <v>5700</v>
          </cell>
          <cell r="H268">
            <v>535</v>
          </cell>
          <cell r="I268">
            <v>6512</v>
          </cell>
          <cell r="J268">
            <v>489</v>
          </cell>
          <cell r="L268">
            <v>489</v>
          </cell>
        </row>
        <row r="269">
          <cell r="A269">
            <v>3124</v>
          </cell>
          <cell r="B269" t="str">
            <v>동티</v>
          </cell>
          <cell r="C269" t="str">
            <v>50Ø</v>
          </cell>
          <cell r="D269" t="str">
            <v>개</v>
          </cell>
          <cell r="E269">
            <v>3110</v>
          </cell>
          <cell r="F269">
            <v>0</v>
          </cell>
          <cell r="G269">
            <v>3484</v>
          </cell>
          <cell r="H269">
            <v>535</v>
          </cell>
          <cell r="I269">
            <v>3981</v>
          </cell>
          <cell r="J269">
            <v>489</v>
          </cell>
          <cell r="L269">
            <v>489</v>
          </cell>
        </row>
        <row r="270">
          <cell r="A270">
            <v>3125</v>
          </cell>
          <cell r="B270" t="str">
            <v>동티</v>
          </cell>
          <cell r="C270" t="str">
            <v>40Ø</v>
          </cell>
          <cell r="D270" t="str">
            <v>개</v>
          </cell>
          <cell r="E270">
            <v>1707</v>
          </cell>
          <cell r="F270">
            <v>0</v>
          </cell>
          <cell r="G270">
            <v>1912</v>
          </cell>
          <cell r="H270">
            <v>535</v>
          </cell>
          <cell r="I270">
            <v>2185</v>
          </cell>
          <cell r="J270">
            <v>477</v>
          </cell>
          <cell r="L270">
            <v>377</v>
          </cell>
        </row>
        <row r="271">
          <cell r="A271">
            <v>3126</v>
          </cell>
          <cell r="B271" t="str">
            <v>동티</v>
          </cell>
          <cell r="C271" t="str">
            <v>32Ø</v>
          </cell>
          <cell r="D271" t="str">
            <v>개</v>
          </cell>
          <cell r="E271">
            <v>1145</v>
          </cell>
          <cell r="F271">
            <v>0</v>
          </cell>
          <cell r="G271">
            <v>1283</v>
          </cell>
          <cell r="H271">
            <v>535</v>
          </cell>
          <cell r="I271">
            <v>1466</v>
          </cell>
          <cell r="J271">
            <v>477</v>
          </cell>
          <cell r="L271">
            <v>377</v>
          </cell>
        </row>
        <row r="272">
          <cell r="A272">
            <v>3127</v>
          </cell>
          <cell r="B272" t="str">
            <v>동티</v>
          </cell>
          <cell r="C272" t="str">
            <v>25Ø</v>
          </cell>
          <cell r="D272" t="str">
            <v>개</v>
          </cell>
          <cell r="E272">
            <v>674</v>
          </cell>
          <cell r="F272">
            <v>0</v>
          </cell>
          <cell r="G272">
            <v>755</v>
          </cell>
          <cell r="H272">
            <v>535</v>
          </cell>
          <cell r="I272">
            <v>862</v>
          </cell>
          <cell r="J272">
            <v>477</v>
          </cell>
          <cell r="L272">
            <v>377</v>
          </cell>
        </row>
        <row r="273">
          <cell r="A273">
            <v>3128</v>
          </cell>
          <cell r="B273" t="str">
            <v>동티</v>
          </cell>
          <cell r="C273" t="str">
            <v>20Ø</v>
          </cell>
          <cell r="D273" t="str">
            <v>개</v>
          </cell>
          <cell r="E273">
            <v>437</v>
          </cell>
          <cell r="F273">
            <v>0</v>
          </cell>
          <cell r="G273">
            <v>490</v>
          </cell>
          <cell r="H273">
            <v>535</v>
          </cell>
          <cell r="I273">
            <v>560</v>
          </cell>
          <cell r="J273">
            <v>477</v>
          </cell>
          <cell r="L273">
            <v>377</v>
          </cell>
        </row>
        <row r="274">
          <cell r="A274">
            <v>3129</v>
          </cell>
          <cell r="B274" t="str">
            <v>동티</v>
          </cell>
          <cell r="C274" t="str">
            <v>15Ø</v>
          </cell>
          <cell r="D274" t="str">
            <v>개</v>
          </cell>
          <cell r="E274">
            <v>297</v>
          </cell>
          <cell r="F274">
            <v>0</v>
          </cell>
          <cell r="G274">
            <v>333</v>
          </cell>
          <cell r="H274">
            <v>535</v>
          </cell>
          <cell r="I274">
            <v>380</v>
          </cell>
          <cell r="J274">
            <v>477</v>
          </cell>
          <cell r="L274">
            <v>377</v>
          </cell>
        </row>
        <row r="275">
          <cell r="A275">
            <v>3131</v>
          </cell>
          <cell r="B275" t="str">
            <v>동레듀샤</v>
          </cell>
          <cell r="C275" t="str">
            <v>100Ø</v>
          </cell>
          <cell r="D275" t="str">
            <v>개</v>
          </cell>
          <cell r="E275">
            <v>6351</v>
          </cell>
          <cell r="F275">
            <v>0</v>
          </cell>
          <cell r="G275">
            <v>7113</v>
          </cell>
          <cell r="H275">
            <v>535</v>
          </cell>
          <cell r="I275">
            <v>8129</v>
          </cell>
          <cell r="J275">
            <v>489</v>
          </cell>
          <cell r="L275">
            <v>489</v>
          </cell>
        </row>
        <row r="276">
          <cell r="A276">
            <v>3132</v>
          </cell>
          <cell r="B276" t="str">
            <v>동레듀샤</v>
          </cell>
          <cell r="C276" t="str">
            <v>80Ø</v>
          </cell>
          <cell r="D276" t="str">
            <v>개</v>
          </cell>
          <cell r="E276">
            <v>2797</v>
          </cell>
          <cell r="F276">
            <v>0</v>
          </cell>
          <cell r="G276">
            <v>3133</v>
          </cell>
          <cell r="H276">
            <v>535</v>
          </cell>
          <cell r="I276">
            <v>3580</v>
          </cell>
          <cell r="J276">
            <v>489</v>
          </cell>
          <cell r="L276">
            <v>489</v>
          </cell>
        </row>
        <row r="277">
          <cell r="A277">
            <v>3133</v>
          </cell>
          <cell r="B277" t="str">
            <v>동레듀샤</v>
          </cell>
          <cell r="C277" t="str">
            <v>65Ø</v>
          </cell>
          <cell r="D277" t="str">
            <v>개</v>
          </cell>
          <cell r="E277">
            <v>1981</v>
          </cell>
          <cell r="F277">
            <v>0</v>
          </cell>
          <cell r="G277">
            <v>2220</v>
          </cell>
          <cell r="H277">
            <v>535</v>
          </cell>
          <cell r="I277">
            <v>2536</v>
          </cell>
          <cell r="J277">
            <v>489</v>
          </cell>
          <cell r="L277">
            <v>489</v>
          </cell>
        </row>
        <row r="278">
          <cell r="A278">
            <v>3134</v>
          </cell>
          <cell r="B278" t="str">
            <v>동레듀샤</v>
          </cell>
          <cell r="C278" t="str">
            <v>50Ø</v>
          </cell>
          <cell r="D278" t="str">
            <v>개</v>
          </cell>
          <cell r="E278">
            <v>1454</v>
          </cell>
          <cell r="F278">
            <v>0</v>
          </cell>
          <cell r="G278">
            <v>1629</v>
          </cell>
          <cell r="H278">
            <v>535</v>
          </cell>
          <cell r="I278">
            <v>1861</v>
          </cell>
          <cell r="J278">
            <v>489</v>
          </cell>
          <cell r="L278">
            <v>489</v>
          </cell>
        </row>
        <row r="279">
          <cell r="A279">
            <v>3135</v>
          </cell>
          <cell r="B279" t="str">
            <v>동레듀샤</v>
          </cell>
          <cell r="C279" t="str">
            <v>40Ø</v>
          </cell>
          <cell r="D279" t="str">
            <v>개</v>
          </cell>
          <cell r="E279">
            <v>606</v>
          </cell>
          <cell r="F279">
            <v>0</v>
          </cell>
          <cell r="G279">
            <v>679</v>
          </cell>
          <cell r="H279">
            <v>535</v>
          </cell>
          <cell r="I279">
            <v>776</v>
          </cell>
          <cell r="J279">
            <v>489</v>
          </cell>
          <cell r="L279">
            <v>489</v>
          </cell>
        </row>
        <row r="280">
          <cell r="A280">
            <v>3136</v>
          </cell>
          <cell r="B280" t="str">
            <v>동레듀샤</v>
          </cell>
          <cell r="C280" t="str">
            <v>32Ø</v>
          </cell>
          <cell r="D280" t="str">
            <v>개</v>
          </cell>
          <cell r="E280">
            <v>353</v>
          </cell>
          <cell r="F280">
            <v>0</v>
          </cell>
          <cell r="G280">
            <v>396</v>
          </cell>
          <cell r="H280">
            <v>535</v>
          </cell>
          <cell r="I280">
            <v>452</v>
          </cell>
          <cell r="J280">
            <v>489</v>
          </cell>
          <cell r="L280">
            <v>489</v>
          </cell>
        </row>
        <row r="281">
          <cell r="A281">
            <v>3137</v>
          </cell>
          <cell r="B281" t="str">
            <v>동레듀샤</v>
          </cell>
          <cell r="C281" t="str">
            <v>25Ø</v>
          </cell>
          <cell r="D281" t="str">
            <v>개</v>
          </cell>
          <cell r="E281">
            <v>258</v>
          </cell>
          <cell r="F281">
            <v>0</v>
          </cell>
          <cell r="G281">
            <v>290</v>
          </cell>
          <cell r="H281">
            <v>535</v>
          </cell>
          <cell r="I281">
            <v>331</v>
          </cell>
          <cell r="J281">
            <v>489</v>
          </cell>
          <cell r="L281">
            <v>489</v>
          </cell>
        </row>
        <row r="282">
          <cell r="A282">
            <v>3138</v>
          </cell>
          <cell r="B282" t="str">
            <v>동레듀샤</v>
          </cell>
          <cell r="C282" t="str">
            <v>20Ø</v>
          </cell>
          <cell r="D282" t="str">
            <v>개</v>
          </cell>
          <cell r="E282">
            <v>174</v>
          </cell>
          <cell r="F282">
            <v>0</v>
          </cell>
          <cell r="G282">
            <v>195</v>
          </cell>
          <cell r="H282">
            <v>535</v>
          </cell>
          <cell r="I282">
            <v>223</v>
          </cell>
          <cell r="J282">
            <v>489</v>
          </cell>
          <cell r="L282">
            <v>489</v>
          </cell>
        </row>
        <row r="283">
          <cell r="A283">
            <v>3141</v>
          </cell>
          <cell r="B283" t="str">
            <v>동소켓</v>
          </cell>
          <cell r="C283" t="str">
            <v>100Ø</v>
          </cell>
          <cell r="D283" t="str">
            <v>개</v>
          </cell>
          <cell r="E283">
            <v>5020</v>
          </cell>
          <cell r="F283">
            <v>0</v>
          </cell>
          <cell r="G283">
            <v>5622</v>
          </cell>
          <cell r="H283">
            <v>535</v>
          </cell>
          <cell r="I283">
            <v>6425</v>
          </cell>
          <cell r="J283">
            <v>489</v>
          </cell>
          <cell r="L283">
            <v>489</v>
          </cell>
        </row>
        <row r="284">
          <cell r="A284">
            <v>3142</v>
          </cell>
          <cell r="B284" t="str">
            <v>동소켓</v>
          </cell>
          <cell r="C284" t="str">
            <v>80Ø</v>
          </cell>
          <cell r="D284" t="str">
            <v>개</v>
          </cell>
          <cell r="E284">
            <v>2172</v>
          </cell>
          <cell r="F284">
            <v>0</v>
          </cell>
          <cell r="G284">
            <v>2433</v>
          </cell>
          <cell r="H284">
            <v>535</v>
          </cell>
          <cell r="I284">
            <v>2780</v>
          </cell>
          <cell r="J284">
            <v>489</v>
          </cell>
          <cell r="L284">
            <v>489</v>
          </cell>
        </row>
        <row r="285">
          <cell r="A285">
            <v>3143</v>
          </cell>
          <cell r="B285" t="str">
            <v>동소켓</v>
          </cell>
          <cell r="C285" t="str">
            <v>65Ø</v>
          </cell>
          <cell r="D285" t="str">
            <v>개</v>
          </cell>
          <cell r="E285">
            <v>1330</v>
          </cell>
          <cell r="F285">
            <v>0</v>
          </cell>
          <cell r="G285">
            <v>1490</v>
          </cell>
          <cell r="H285">
            <v>535</v>
          </cell>
          <cell r="I285">
            <v>1702</v>
          </cell>
          <cell r="J285">
            <v>489</v>
          </cell>
          <cell r="L285">
            <v>489</v>
          </cell>
        </row>
        <row r="286">
          <cell r="A286">
            <v>3144</v>
          </cell>
          <cell r="B286" t="str">
            <v>동소켓</v>
          </cell>
          <cell r="C286" t="str">
            <v>50Ø</v>
          </cell>
          <cell r="D286" t="str">
            <v>개</v>
          </cell>
          <cell r="E286">
            <v>663</v>
          </cell>
          <cell r="F286">
            <v>0</v>
          </cell>
          <cell r="G286">
            <v>743</v>
          </cell>
          <cell r="H286">
            <v>535</v>
          </cell>
          <cell r="I286">
            <v>848</v>
          </cell>
          <cell r="J286">
            <v>489</v>
          </cell>
          <cell r="L286">
            <v>489</v>
          </cell>
        </row>
        <row r="287">
          <cell r="A287">
            <v>3145</v>
          </cell>
          <cell r="B287" t="str">
            <v>동소켓</v>
          </cell>
          <cell r="C287" t="str">
            <v>40Ø</v>
          </cell>
          <cell r="D287" t="str">
            <v>개</v>
          </cell>
          <cell r="E287">
            <v>371</v>
          </cell>
          <cell r="F287">
            <v>0</v>
          </cell>
          <cell r="G287">
            <v>416</v>
          </cell>
          <cell r="H287">
            <v>535</v>
          </cell>
          <cell r="I287">
            <v>475</v>
          </cell>
          <cell r="J287">
            <v>477</v>
          </cell>
          <cell r="L287">
            <v>377</v>
          </cell>
        </row>
        <row r="288">
          <cell r="A288">
            <v>3146</v>
          </cell>
          <cell r="B288" t="str">
            <v>동소켓</v>
          </cell>
          <cell r="C288" t="str">
            <v>32Ø</v>
          </cell>
          <cell r="D288" t="str">
            <v>개</v>
          </cell>
          <cell r="E288">
            <v>258</v>
          </cell>
          <cell r="F288">
            <v>0</v>
          </cell>
          <cell r="G288">
            <v>290</v>
          </cell>
          <cell r="H288">
            <v>535</v>
          </cell>
          <cell r="I288">
            <v>331</v>
          </cell>
          <cell r="J288">
            <v>477</v>
          </cell>
          <cell r="L288">
            <v>377</v>
          </cell>
        </row>
        <row r="289">
          <cell r="A289">
            <v>3147</v>
          </cell>
          <cell r="B289" t="str">
            <v>동소켓</v>
          </cell>
          <cell r="C289" t="str">
            <v>25Ø</v>
          </cell>
          <cell r="D289" t="str">
            <v>개</v>
          </cell>
          <cell r="E289">
            <v>202</v>
          </cell>
          <cell r="F289">
            <v>0</v>
          </cell>
          <cell r="G289">
            <v>226</v>
          </cell>
          <cell r="H289">
            <v>535</v>
          </cell>
          <cell r="I289">
            <v>258</v>
          </cell>
          <cell r="J289">
            <v>477</v>
          </cell>
          <cell r="L289">
            <v>377</v>
          </cell>
        </row>
        <row r="290">
          <cell r="A290">
            <v>3148</v>
          </cell>
          <cell r="B290" t="str">
            <v>동소켓</v>
          </cell>
          <cell r="C290" t="str">
            <v>20Ø</v>
          </cell>
          <cell r="D290" t="str">
            <v>개</v>
          </cell>
          <cell r="E290">
            <v>135</v>
          </cell>
          <cell r="F290">
            <v>0</v>
          </cell>
          <cell r="G290">
            <v>151</v>
          </cell>
          <cell r="H290">
            <v>535</v>
          </cell>
          <cell r="I290">
            <v>172</v>
          </cell>
          <cell r="J290">
            <v>477</v>
          </cell>
          <cell r="L290">
            <v>377</v>
          </cell>
        </row>
        <row r="291">
          <cell r="A291">
            <v>3149</v>
          </cell>
          <cell r="B291" t="str">
            <v>동소켓</v>
          </cell>
          <cell r="C291" t="str">
            <v>15Ø</v>
          </cell>
          <cell r="D291" t="str">
            <v>개</v>
          </cell>
          <cell r="E291">
            <v>89</v>
          </cell>
          <cell r="F291">
            <v>0</v>
          </cell>
          <cell r="G291">
            <v>100</v>
          </cell>
          <cell r="H291">
            <v>535</v>
          </cell>
          <cell r="I291">
            <v>114</v>
          </cell>
          <cell r="J291">
            <v>477</v>
          </cell>
          <cell r="L291">
            <v>377</v>
          </cell>
        </row>
        <row r="292">
          <cell r="A292">
            <v>3151</v>
          </cell>
          <cell r="B292" t="str">
            <v>동캡</v>
          </cell>
          <cell r="C292" t="str">
            <v>100Ø</v>
          </cell>
          <cell r="D292" t="str">
            <v>개</v>
          </cell>
          <cell r="E292">
            <v>4537</v>
          </cell>
          <cell r="F292">
            <v>0</v>
          </cell>
          <cell r="G292">
            <v>5082</v>
          </cell>
          <cell r="H292">
            <v>535</v>
          </cell>
          <cell r="I292">
            <v>5808</v>
          </cell>
          <cell r="J292">
            <v>489</v>
          </cell>
          <cell r="L292">
            <v>489</v>
          </cell>
        </row>
        <row r="293">
          <cell r="A293">
            <v>3152</v>
          </cell>
          <cell r="B293" t="str">
            <v>동캡</v>
          </cell>
          <cell r="C293" t="str">
            <v>80Ø</v>
          </cell>
          <cell r="D293" t="str">
            <v>개</v>
          </cell>
          <cell r="E293">
            <v>2047</v>
          </cell>
          <cell r="F293">
            <v>0</v>
          </cell>
          <cell r="G293">
            <v>2629</v>
          </cell>
          <cell r="H293">
            <v>535</v>
          </cell>
          <cell r="I293">
            <v>3004</v>
          </cell>
          <cell r="J293">
            <v>489</v>
          </cell>
          <cell r="L293">
            <v>489</v>
          </cell>
        </row>
        <row r="294">
          <cell r="A294">
            <v>3153</v>
          </cell>
          <cell r="B294" t="str">
            <v>동캡</v>
          </cell>
          <cell r="C294" t="str">
            <v>65Ø</v>
          </cell>
          <cell r="D294" t="str">
            <v>개</v>
          </cell>
          <cell r="E294">
            <v>1578</v>
          </cell>
          <cell r="F294">
            <v>0</v>
          </cell>
          <cell r="G294">
            <v>1768</v>
          </cell>
          <cell r="H294">
            <v>535</v>
          </cell>
          <cell r="I294">
            <v>2020</v>
          </cell>
          <cell r="J294">
            <v>489</v>
          </cell>
          <cell r="L294">
            <v>489</v>
          </cell>
        </row>
        <row r="295">
          <cell r="A295">
            <v>3154</v>
          </cell>
          <cell r="B295" t="str">
            <v>동캡</v>
          </cell>
          <cell r="C295" t="str">
            <v>50Ø</v>
          </cell>
          <cell r="D295" t="str">
            <v>개</v>
          </cell>
          <cell r="E295">
            <v>932</v>
          </cell>
          <cell r="F295">
            <v>0</v>
          </cell>
          <cell r="G295">
            <v>1044</v>
          </cell>
          <cell r="H295">
            <v>535</v>
          </cell>
          <cell r="I295">
            <v>1192</v>
          </cell>
          <cell r="J295">
            <v>489</v>
          </cell>
          <cell r="L295">
            <v>489</v>
          </cell>
        </row>
        <row r="296">
          <cell r="A296">
            <v>3155</v>
          </cell>
          <cell r="B296" t="str">
            <v>동캡</v>
          </cell>
          <cell r="C296" t="str">
            <v>40Ø</v>
          </cell>
          <cell r="D296" t="str">
            <v>개</v>
          </cell>
          <cell r="E296">
            <v>539</v>
          </cell>
          <cell r="F296">
            <v>0</v>
          </cell>
          <cell r="G296">
            <v>603</v>
          </cell>
          <cell r="H296">
            <v>535</v>
          </cell>
          <cell r="I296">
            <v>689</v>
          </cell>
          <cell r="J296">
            <v>477</v>
          </cell>
          <cell r="L296">
            <v>377</v>
          </cell>
        </row>
        <row r="297">
          <cell r="A297">
            <v>3156</v>
          </cell>
          <cell r="B297" t="str">
            <v>동캡</v>
          </cell>
          <cell r="C297" t="str">
            <v>32Ø</v>
          </cell>
          <cell r="D297" t="str">
            <v>개</v>
          </cell>
          <cell r="E297">
            <v>331</v>
          </cell>
          <cell r="F297">
            <v>0</v>
          </cell>
          <cell r="G297">
            <v>371</v>
          </cell>
          <cell r="H297">
            <v>535</v>
          </cell>
          <cell r="I297">
            <v>424</v>
          </cell>
          <cell r="J297">
            <v>477</v>
          </cell>
          <cell r="L297">
            <v>377</v>
          </cell>
        </row>
        <row r="298">
          <cell r="A298">
            <v>3157</v>
          </cell>
          <cell r="B298" t="str">
            <v>동캡</v>
          </cell>
          <cell r="C298" t="str">
            <v>25Ø</v>
          </cell>
          <cell r="D298" t="str">
            <v>개</v>
          </cell>
          <cell r="E298">
            <v>241</v>
          </cell>
          <cell r="F298">
            <v>0</v>
          </cell>
          <cell r="G298">
            <v>270</v>
          </cell>
          <cell r="H298">
            <v>535</v>
          </cell>
          <cell r="I298">
            <v>308</v>
          </cell>
          <cell r="J298">
            <v>477</v>
          </cell>
          <cell r="L298">
            <v>377</v>
          </cell>
        </row>
        <row r="299">
          <cell r="A299">
            <v>3158</v>
          </cell>
          <cell r="B299" t="str">
            <v>동캡</v>
          </cell>
          <cell r="C299" t="str">
            <v>20Ø</v>
          </cell>
          <cell r="D299" t="str">
            <v>개</v>
          </cell>
          <cell r="E299">
            <v>162</v>
          </cell>
          <cell r="F299">
            <v>0</v>
          </cell>
          <cell r="G299">
            <v>182</v>
          </cell>
          <cell r="H299">
            <v>535</v>
          </cell>
          <cell r="I299">
            <v>208</v>
          </cell>
          <cell r="J299">
            <v>477</v>
          </cell>
          <cell r="L299">
            <v>377</v>
          </cell>
        </row>
        <row r="300">
          <cell r="A300">
            <v>3159</v>
          </cell>
          <cell r="B300" t="str">
            <v>동캡</v>
          </cell>
          <cell r="C300" t="str">
            <v>15Ø</v>
          </cell>
          <cell r="D300" t="str">
            <v>개</v>
          </cell>
          <cell r="E300">
            <v>123</v>
          </cell>
          <cell r="F300">
            <v>0</v>
          </cell>
          <cell r="G300">
            <v>139</v>
          </cell>
          <cell r="H300">
            <v>535</v>
          </cell>
          <cell r="I300">
            <v>158</v>
          </cell>
          <cell r="J300">
            <v>477</v>
          </cell>
          <cell r="L300">
            <v>377</v>
          </cell>
        </row>
        <row r="301">
          <cell r="A301">
            <v>3161</v>
          </cell>
          <cell r="B301" t="str">
            <v>동절연 합 후렌지</v>
          </cell>
          <cell r="C301" t="str">
            <v>100Ø</v>
          </cell>
          <cell r="D301" t="str">
            <v>개</v>
          </cell>
          <cell r="E301">
            <v>18144</v>
          </cell>
          <cell r="F301">
            <v>14373</v>
          </cell>
          <cell r="H301">
            <v>0</v>
          </cell>
          <cell r="I301">
            <v>25637</v>
          </cell>
          <cell r="J301">
            <v>0</v>
          </cell>
          <cell r="L301">
            <v>0</v>
          </cell>
        </row>
        <row r="302">
          <cell r="A302">
            <v>3162</v>
          </cell>
          <cell r="B302" t="str">
            <v>동절연 합 후렌지</v>
          </cell>
          <cell r="C302" t="str">
            <v>80Ø</v>
          </cell>
          <cell r="D302" t="str">
            <v>개</v>
          </cell>
          <cell r="E302">
            <v>12702</v>
          </cell>
          <cell r="F302">
            <v>10187</v>
          </cell>
          <cell r="H302">
            <v>0</v>
          </cell>
          <cell r="I302">
            <v>19335</v>
          </cell>
          <cell r="J302">
            <v>0</v>
          </cell>
          <cell r="L302">
            <v>0</v>
          </cell>
        </row>
        <row r="303">
          <cell r="A303">
            <v>3163</v>
          </cell>
          <cell r="B303" t="str">
            <v>동절연 합 후렌지</v>
          </cell>
          <cell r="C303" t="str">
            <v>65Ø</v>
          </cell>
          <cell r="D303" t="str">
            <v>개</v>
          </cell>
          <cell r="E303">
            <v>10162</v>
          </cell>
          <cell r="F303">
            <v>8791</v>
          </cell>
          <cell r="H303">
            <v>0</v>
          </cell>
          <cell r="I303">
            <v>13265</v>
          </cell>
          <cell r="J303">
            <v>0</v>
          </cell>
          <cell r="L303">
            <v>0</v>
          </cell>
        </row>
        <row r="304">
          <cell r="A304">
            <v>3164</v>
          </cell>
          <cell r="B304" t="str">
            <v>동절연유니온</v>
          </cell>
          <cell r="C304" t="str">
            <v>50Ø</v>
          </cell>
          <cell r="D304" t="str">
            <v>개</v>
          </cell>
          <cell r="E304">
            <v>5359</v>
          </cell>
          <cell r="F304">
            <v>0</v>
          </cell>
          <cell r="G304">
            <v>8972</v>
          </cell>
          <cell r="H304">
            <v>535</v>
          </cell>
          <cell r="I304">
            <v>8972</v>
          </cell>
          <cell r="J304">
            <v>489</v>
          </cell>
          <cell r="L304">
            <v>489</v>
          </cell>
        </row>
        <row r="305">
          <cell r="A305">
            <v>3165</v>
          </cell>
          <cell r="B305" t="str">
            <v>동절연유니온</v>
          </cell>
          <cell r="C305" t="str">
            <v>40Ø</v>
          </cell>
          <cell r="D305" t="str">
            <v>개</v>
          </cell>
          <cell r="E305">
            <v>4404</v>
          </cell>
          <cell r="F305">
            <v>0</v>
          </cell>
          <cell r="G305">
            <v>6850</v>
          </cell>
          <cell r="H305">
            <v>535</v>
          </cell>
          <cell r="I305">
            <v>6850</v>
          </cell>
          <cell r="J305">
            <v>477</v>
          </cell>
          <cell r="L305">
            <v>377</v>
          </cell>
        </row>
        <row r="306">
          <cell r="A306">
            <v>3166</v>
          </cell>
          <cell r="B306" t="str">
            <v>동절연유니온</v>
          </cell>
          <cell r="C306" t="str">
            <v>32Ø</v>
          </cell>
          <cell r="D306" t="str">
            <v>개</v>
          </cell>
          <cell r="E306">
            <v>3300</v>
          </cell>
          <cell r="F306">
            <v>0</v>
          </cell>
          <cell r="G306">
            <v>4604</v>
          </cell>
          <cell r="H306">
            <v>535</v>
          </cell>
          <cell r="I306">
            <v>4604</v>
          </cell>
          <cell r="J306">
            <v>477</v>
          </cell>
          <cell r="L306">
            <v>377</v>
          </cell>
        </row>
        <row r="307">
          <cell r="A307">
            <v>3167</v>
          </cell>
          <cell r="B307" t="str">
            <v>동절연유니온</v>
          </cell>
          <cell r="C307" t="str">
            <v>25Ø</v>
          </cell>
          <cell r="D307" t="str">
            <v>개</v>
          </cell>
          <cell r="E307">
            <v>2344</v>
          </cell>
          <cell r="F307">
            <v>0</v>
          </cell>
          <cell r="G307">
            <v>3096</v>
          </cell>
          <cell r="H307">
            <v>535</v>
          </cell>
          <cell r="I307">
            <v>3097</v>
          </cell>
          <cell r="J307">
            <v>477</v>
          </cell>
          <cell r="L307">
            <v>377</v>
          </cell>
        </row>
        <row r="308">
          <cell r="A308">
            <v>3168</v>
          </cell>
          <cell r="B308" t="str">
            <v>동절연유니온</v>
          </cell>
          <cell r="C308" t="str">
            <v>20Ø</v>
          </cell>
          <cell r="D308" t="str">
            <v>개</v>
          </cell>
          <cell r="E308">
            <v>1864</v>
          </cell>
          <cell r="F308">
            <v>0</v>
          </cell>
          <cell r="G308">
            <v>1980</v>
          </cell>
          <cell r="H308">
            <v>535</v>
          </cell>
          <cell r="I308">
            <v>1980</v>
          </cell>
          <cell r="J308">
            <v>477</v>
          </cell>
          <cell r="L308">
            <v>377</v>
          </cell>
        </row>
        <row r="309">
          <cell r="A309">
            <v>3169</v>
          </cell>
          <cell r="B309" t="str">
            <v>동절연유니온</v>
          </cell>
          <cell r="C309" t="str">
            <v>15Ø</v>
          </cell>
          <cell r="D309" t="str">
            <v>개</v>
          </cell>
          <cell r="E309">
            <v>1534</v>
          </cell>
          <cell r="F309">
            <v>0</v>
          </cell>
          <cell r="G309">
            <v>1130</v>
          </cell>
          <cell r="H309">
            <v>535</v>
          </cell>
          <cell r="I309">
            <v>1130</v>
          </cell>
          <cell r="J309">
            <v>477</v>
          </cell>
          <cell r="L309">
            <v>377</v>
          </cell>
        </row>
        <row r="310">
          <cell r="A310">
            <v>3171</v>
          </cell>
          <cell r="B310" t="str">
            <v>CM 아답타</v>
          </cell>
          <cell r="C310" t="str">
            <v>100Ø</v>
          </cell>
          <cell r="D310" t="str">
            <v>개</v>
          </cell>
          <cell r="E310">
            <v>26090</v>
          </cell>
          <cell r="F310">
            <v>0</v>
          </cell>
          <cell r="G310">
            <v>26090</v>
          </cell>
          <cell r="H310">
            <v>535</v>
          </cell>
          <cell r="I310">
            <v>26091</v>
          </cell>
          <cell r="J310">
            <v>489</v>
          </cell>
          <cell r="L310">
            <v>489</v>
          </cell>
        </row>
        <row r="311">
          <cell r="A311">
            <v>3172</v>
          </cell>
          <cell r="B311" t="str">
            <v>CM 아답타</v>
          </cell>
          <cell r="C311" t="str">
            <v>80Ø</v>
          </cell>
          <cell r="D311" t="str">
            <v>개</v>
          </cell>
          <cell r="E311">
            <v>13135</v>
          </cell>
          <cell r="F311">
            <v>0</v>
          </cell>
          <cell r="G311">
            <v>12490</v>
          </cell>
          <cell r="H311">
            <v>535</v>
          </cell>
          <cell r="I311">
            <v>12488</v>
          </cell>
          <cell r="J311">
            <v>489</v>
          </cell>
          <cell r="L311">
            <v>489</v>
          </cell>
        </row>
        <row r="312">
          <cell r="A312">
            <v>3173</v>
          </cell>
          <cell r="B312" t="str">
            <v>CM 아답타</v>
          </cell>
          <cell r="C312" t="str">
            <v>65Ø</v>
          </cell>
          <cell r="D312" t="str">
            <v>개</v>
          </cell>
          <cell r="E312">
            <v>7265</v>
          </cell>
          <cell r="F312">
            <v>0</v>
          </cell>
          <cell r="G312">
            <v>6906</v>
          </cell>
          <cell r="H312">
            <v>535</v>
          </cell>
          <cell r="I312">
            <v>6906</v>
          </cell>
          <cell r="J312">
            <v>489</v>
          </cell>
          <cell r="L312">
            <v>489</v>
          </cell>
        </row>
        <row r="313">
          <cell r="A313">
            <v>3174</v>
          </cell>
          <cell r="B313" t="str">
            <v>CM 아답타</v>
          </cell>
          <cell r="C313" t="str">
            <v>50Ø</v>
          </cell>
          <cell r="D313" t="str">
            <v>개</v>
          </cell>
          <cell r="E313">
            <v>3274</v>
          </cell>
          <cell r="F313">
            <v>0</v>
          </cell>
          <cell r="G313">
            <v>3223</v>
          </cell>
          <cell r="H313">
            <v>535</v>
          </cell>
          <cell r="I313">
            <v>3223</v>
          </cell>
          <cell r="J313">
            <v>489</v>
          </cell>
          <cell r="L313">
            <v>489</v>
          </cell>
        </row>
        <row r="314">
          <cell r="A314">
            <v>3175</v>
          </cell>
          <cell r="B314" t="str">
            <v>CM 아답타</v>
          </cell>
          <cell r="C314" t="str">
            <v>40Ø</v>
          </cell>
          <cell r="D314" t="str">
            <v>개</v>
          </cell>
          <cell r="E314">
            <v>2244</v>
          </cell>
          <cell r="F314">
            <v>0</v>
          </cell>
          <cell r="G314">
            <v>2300</v>
          </cell>
          <cell r="H314">
            <v>535</v>
          </cell>
          <cell r="I314">
            <v>2302</v>
          </cell>
          <cell r="J314">
            <v>477</v>
          </cell>
          <cell r="L314">
            <v>377</v>
          </cell>
        </row>
        <row r="315">
          <cell r="A315">
            <v>3176</v>
          </cell>
          <cell r="B315" t="str">
            <v>CM 아답타</v>
          </cell>
          <cell r="C315" t="str">
            <v>32Ø</v>
          </cell>
          <cell r="D315" t="str">
            <v>개</v>
          </cell>
          <cell r="E315">
            <v>1797</v>
          </cell>
          <cell r="F315">
            <v>0</v>
          </cell>
          <cell r="G315">
            <v>1565</v>
          </cell>
          <cell r="H315">
            <v>535</v>
          </cell>
          <cell r="I315">
            <v>1566</v>
          </cell>
          <cell r="J315">
            <v>477</v>
          </cell>
          <cell r="L315">
            <v>377</v>
          </cell>
        </row>
        <row r="316">
          <cell r="A316">
            <v>3177</v>
          </cell>
          <cell r="B316" t="str">
            <v>CM 아답타</v>
          </cell>
          <cell r="C316" t="str">
            <v>25Ø</v>
          </cell>
          <cell r="D316" t="str">
            <v>개</v>
          </cell>
          <cell r="E316">
            <v>1017</v>
          </cell>
          <cell r="F316">
            <v>0</v>
          </cell>
          <cell r="G316">
            <v>888</v>
          </cell>
          <cell r="H316">
            <v>535</v>
          </cell>
          <cell r="I316">
            <v>888</v>
          </cell>
          <cell r="J316">
            <v>477</v>
          </cell>
          <cell r="L316">
            <v>377</v>
          </cell>
        </row>
        <row r="317">
          <cell r="A317">
            <v>3178</v>
          </cell>
          <cell r="B317" t="str">
            <v>CM 아답타</v>
          </cell>
          <cell r="C317" t="str">
            <v>20Ø</v>
          </cell>
          <cell r="D317" t="str">
            <v>개</v>
          </cell>
          <cell r="E317">
            <v>558</v>
          </cell>
          <cell r="F317">
            <v>0</v>
          </cell>
          <cell r="G317">
            <v>556</v>
          </cell>
          <cell r="H317">
            <v>535</v>
          </cell>
          <cell r="I317">
            <v>556</v>
          </cell>
          <cell r="J317">
            <v>477</v>
          </cell>
          <cell r="L317">
            <v>377</v>
          </cell>
        </row>
        <row r="318">
          <cell r="A318">
            <v>3179</v>
          </cell>
          <cell r="B318" t="str">
            <v>CM 아답타</v>
          </cell>
          <cell r="C318" t="str">
            <v>15Ø</v>
          </cell>
          <cell r="D318" t="str">
            <v>개</v>
          </cell>
          <cell r="E318">
            <v>266</v>
          </cell>
          <cell r="F318">
            <v>0</v>
          </cell>
          <cell r="G318">
            <v>278</v>
          </cell>
          <cell r="H318">
            <v>535</v>
          </cell>
          <cell r="I318">
            <v>278</v>
          </cell>
          <cell r="J318">
            <v>477</v>
          </cell>
          <cell r="L318">
            <v>377</v>
          </cell>
        </row>
        <row r="319">
          <cell r="A319">
            <v>3181</v>
          </cell>
          <cell r="B319" t="str">
            <v>CF 아답타</v>
          </cell>
          <cell r="C319" t="str">
            <v>50Ø</v>
          </cell>
          <cell r="D319" t="str">
            <v>개</v>
          </cell>
          <cell r="E319">
            <v>5237</v>
          </cell>
          <cell r="F319">
            <v>0</v>
          </cell>
          <cell r="G319">
            <v>5469</v>
          </cell>
          <cell r="H319">
            <v>535</v>
          </cell>
          <cell r="I319">
            <v>5469</v>
          </cell>
          <cell r="J319">
            <v>489</v>
          </cell>
          <cell r="L319">
            <v>489</v>
          </cell>
        </row>
        <row r="320">
          <cell r="A320">
            <v>3182</v>
          </cell>
          <cell r="B320" t="str">
            <v>CF 아답타</v>
          </cell>
          <cell r="C320" t="str">
            <v>40Ø</v>
          </cell>
          <cell r="D320" t="str">
            <v>개</v>
          </cell>
          <cell r="E320">
            <v>3183</v>
          </cell>
          <cell r="F320">
            <v>0</v>
          </cell>
          <cell r="G320">
            <v>3322</v>
          </cell>
          <cell r="H320">
            <v>535</v>
          </cell>
          <cell r="I320">
            <v>3322</v>
          </cell>
          <cell r="J320">
            <v>477</v>
          </cell>
          <cell r="L320">
            <v>377</v>
          </cell>
        </row>
        <row r="321">
          <cell r="A321">
            <v>3183</v>
          </cell>
          <cell r="B321" t="str">
            <v>CF 아답타</v>
          </cell>
          <cell r="C321" t="str">
            <v>32Ø</v>
          </cell>
          <cell r="D321" t="str">
            <v>개</v>
          </cell>
          <cell r="E321">
            <v>2461</v>
          </cell>
          <cell r="F321">
            <v>0</v>
          </cell>
          <cell r="G321">
            <v>2566</v>
          </cell>
          <cell r="H321">
            <v>535</v>
          </cell>
          <cell r="I321">
            <v>2566</v>
          </cell>
          <cell r="J321">
            <v>477</v>
          </cell>
          <cell r="L321">
            <v>377</v>
          </cell>
        </row>
        <row r="322">
          <cell r="A322">
            <v>3184</v>
          </cell>
          <cell r="B322" t="str">
            <v>CF 아답타</v>
          </cell>
          <cell r="C322" t="str">
            <v>25Ø</v>
          </cell>
          <cell r="D322" t="str">
            <v>개</v>
          </cell>
          <cell r="E322">
            <v>1475</v>
          </cell>
          <cell r="F322">
            <v>0</v>
          </cell>
          <cell r="G322">
            <v>1535</v>
          </cell>
          <cell r="H322">
            <v>535</v>
          </cell>
          <cell r="I322">
            <v>1535</v>
          </cell>
          <cell r="J322">
            <v>477</v>
          </cell>
          <cell r="L322">
            <v>377</v>
          </cell>
        </row>
        <row r="323">
          <cell r="A323">
            <v>3185</v>
          </cell>
          <cell r="B323" t="str">
            <v>CF 아답타</v>
          </cell>
          <cell r="C323" t="str">
            <v>20Ø</v>
          </cell>
          <cell r="D323" t="str">
            <v>개</v>
          </cell>
          <cell r="E323">
            <v>659</v>
          </cell>
          <cell r="F323">
            <v>0</v>
          </cell>
          <cell r="G323">
            <v>681</v>
          </cell>
          <cell r="H323">
            <v>535</v>
          </cell>
          <cell r="I323">
            <v>682</v>
          </cell>
          <cell r="J323">
            <v>477</v>
          </cell>
          <cell r="L323">
            <v>377</v>
          </cell>
        </row>
        <row r="324">
          <cell r="A324">
            <v>3186</v>
          </cell>
          <cell r="B324" t="str">
            <v>CF 아답타</v>
          </cell>
          <cell r="C324" t="str">
            <v>15Ø</v>
          </cell>
          <cell r="D324" t="str">
            <v>개</v>
          </cell>
          <cell r="E324">
            <v>381</v>
          </cell>
          <cell r="F324">
            <v>0</v>
          </cell>
          <cell r="G324">
            <v>390</v>
          </cell>
          <cell r="H324">
            <v>535</v>
          </cell>
          <cell r="I324">
            <v>390</v>
          </cell>
          <cell r="J324">
            <v>477</v>
          </cell>
          <cell r="L324">
            <v>377</v>
          </cell>
        </row>
        <row r="325">
          <cell r="A325">
            <v>3191</v>
          </cell>
          <cell r="B325" t="str">
            <v>CF 엘보</v>
          </cell>
          <cell r="C325" t="str">
            <v>32Ø</v>
          </cell>
          <cell r="D325" t="str">
            <v>개</v>
          </cell>
          <cell r="E325">
            <v>3722</v>
          </cell>
          <cell r="F325">
            <v>0</v>
          </cell>
          <cell r="G325">
            <v>4911</v>
          </cell>
          <cell r="H325">
            <v>535</v>
          </cell>
          <cell r="I325">
            <v>4911</v>
          </cell>
          <cell r="J325">
            <v>477</v>
          </cell>
          <cell r="L325">
            <v>377</v>
          </cell>
        </row>
        <row r="326">
          <cell r="A326">
            <v>3192</v>
          </cell>
          <cell r="B326" t="str">
            <v>CF 엘보</v>
          </cell>
          <cell r="C326" t="str">
            <v>25Ø</v>
          </cell>
          <cell r="D326" t="str">
            <v>개</v>
          </cell>
          <cell r="E326">
            <v>2267</v>
          </cell>
          <cell r="F326">
            <v>0</v>
          </cell>
          <cell r="G326">
            <v>2766</v>
          </cell>
          <cell r="H326">
            <v>535</v>
          </cell>
          <cell r="I326">
            <v>2766</v>
          </cell>
          <cell r="J326">
            <v>477</v>
          </cell>
          <cell r="L326">
            <v>377</v>
          </cell>
        </row>
        <row r="327">
          <cell r="A327">
            <v>3193</v>
          </cell>
          <cell r="B327" t="str">
            <v>CF 엘보</v>
          </cell>
          <cell r="C327" t="str">
            <v>20Ø</v>
          </cell>
          <cell r="D327" t="str">
            <v>개</v>
          </cell>
          <cell r="E327">
            <v>1413</v>
          </cell>
          <cell r="F327">
            <v>0</v>
          </cell>
          <cell r="G327">
            <v>1316</v>
          </cell>
          <cell r="H327">
            <v>535</v>
          </cell>
          <cell r="I327">
            <v>1316</v>
          </cell>
          <cell r="J327">
            <v>477</v>
          </cell>
          <cell r="L327">
            <v>377</v>
          </cell>
        </row>
        <row r="328">
          <cell r="A328">
            <v>3194</v>
          </cell>
          <cell r="B328" t="str">
            <v>CF 엘보</v>
          </cell>
          <cell r="C328" t="str">
            <v>15Ø</v>
          </cell>
          <cell r="D328" t="str">
            <v>개</v>
          </cell>
          <cell r="E328">
            <v>1026</v>
          </cell>
          <cell r="F328">
            <v>0</v>
          </cell>
          <cell r="G328">
            <v>772</v>
          </cell>
          <cell r="H328">
            <v>535</v>
          </cell>
          <cell r="I328">
            <v>773</v>
          </cell>
          <cell r="J328">
            <v>477</v>
          </cell>
          <cell r="L328">
            <v>377</v>
          </cell>
        </row>
        <row r="329">
          <cell r="A329">
            <v>3195</v>
          </cell>
          <cell r="B329" t="str">
            <v>동에어챔버</v>
          </cell>
          <cell r="C329" t="str">
            <v>25Ø</v>
          </cell>
          <cell r="D329" t="str">
            <v>개</v>
          </cell>
          <cell r="E329">
            <v>1952</v>
          </cell>
          <cell r="F329">
            <v>0</v>
          </cell>
          <cell r="G329">
            <v>2187</v>
          </cell>
          <cell r="H329">
            <v>535</v>
          </cell>
          <cell r="I329">
            <v>2499</v>
          </cell>
          <cell r="J329">
            <v>477</v>
          </cell>
          <cell r="L329">
            <v>377</v>
          </cell>
        </row>
        <row r="330">
          <cell r="A330">
            <v>3196</v>
          </cell>
          <cell r="B330" t="str">
            <v>동에어챔버</v>
          </cell>
          <cell r="C330" t="str">
            <v>20Ø</v>
          </cell>
          <cell r="D330" t="str">
            <v>개</v>
          </cell>
          <cell r="E330">
            <v>1581</v>
          </cell>
          <cell r="F330">
            <v>0</v>
          </cell>
          <cell r="G330">
            <v>1770</v>
          </cell>
          <cell r="H330">
            <v>535</v>
          </cell>
          <cell r="I330">
            <v>2024</v>
          </cell>
          <cell r="J330">
            <v>477</v>
          </cell>
          <cell r="L330">
            <v>377</v>
          </cell>
        </row>
        <row r="331">
          <cell r="A331">
            <v>3197</v>
          </cell>
          <cell r="B331" t="str">
            <v>동에어챔버</v>
          </cell>
          <cell r="C331" t="str">
            <v>15Ø</v>
          </cell>
          <cell r="D331" t="str">
            <v>개</v>
          </cell>
          <cell r="E331">
            <v>1581</v>
          </cell>
          <cell r="F331">
            <v>0</v>
          </cell>
          <cell r="G331">
            <v>1770</v>
          </cell>
          <cell r="H331">
            <v>535</v>
          </cell>
          <cell r="I331">
            <v>2024</v>
          </cell>
          <cell r="J331">
            <v>477</v>
          </cell>
          <cell r="L331">
            <v>377</v>
          </cell>
        </row>
        <row r="332">
          <cell r="E332">
            <v>0</v>
          </cell>
        </row>
        <row r="333">
          <cell r="E333">
            <v>0</v>
          </cell>
        </row>
        <row r="334">
          <cell r="E334">
            <v>0</v>
          </cell>
        </row>
        <row r="335">
          <cell r="E335">
            <v>0</v>
          </cell>
        </row>
        <row r="336">
          <cell r="E336">
            <v>0</v>
          </cell>
        </row>
        <row r="337">
          <cell r="E337">
            <v>0</v>
          </cell>
        </row>
        <row r="338">
          <cell r="E338">
            <v>0</v>
          </cell>
        </row>
        <row r="339">
          <cell r="E339">
            <v>0</v>
          </cell>
        </row>
        <row r="346">
          <cell r="A346">
            <v>3201</v>
          </cell>
          <cell r="B346" t="str">
            <v>스테인레스관 (3.0t)</v>
          </cell>
          <cell r="C346" t="str">
            <v>100Ø</v>
          </cell>
          <cell r="D346" t="str">
            <v>M</v>
          </cell>
          <cell r="E346">
            <v>22873</v>
          </cell>
          <cell r="F346">
            <v>0</v>
          </cell>
          <cell r="H346">
            <v>480</v>
          </cell>
          <cell r="I346">
            <v>22873</v>
          </cell>
          <cell r="J346">
            <v>480</v>
          </cell>
          <cell r="L346">
            <v>480</v>
          </cell>
        </row>
        <row r="347">
          <cell r="A347">
            <v>3202</v>
          </cell>
          <cell r="B347" t="str">
            <v>스테인레스관 (3.0t)</v>
          </cell>
          <cell r="C347" t="str">
            <v>80Ø</v>
          </cell>
          <cell r="D347" t="str">
            <v>M</v>
          </cell>
          <cell r="E347">
            <v>17695</v>
          </cell>
          <cell r="F347">
            <v>0</v>
          </cell>
          <cell r="H347">
            <v>480</v>
          </cell>
          <cell r="I347">
            <v>17695</v>
          </cell>
          <cell r="J347">
            <v>480</v>
          </cell>
          <cell r="L347">
            <v>480</v>
          </cell>
        </row>
        <row r="348">
          <cell r="A348">
            <v>3203</v>
          </cell>
          <cell r="B348" t="str">
            <v>스테인레스관 (K형)</v>
          </cell>
          <cell r="C348" t="str">
            <v>60Ø</v>
          </cell>
          <cell r="D348" t="str">
            <v>M</v>
          </cell>
          <cell r="E348">
            <v>7640</v>
          </cell>
          <cell r="F348">
            <v>0</v>
          </cell>
          <cell r="G348">
            <v>7640</v>
          </cell>
          <cell r="H348">
            <v>479</v>
          </cell>
          <cell r="I348">
            <v>7160</v>
          </cell>
          <cell r="J348">
            <v>479</v>
          </cell>
          <cell r="L348">
            <v>479</v>
          </cell>
        </row>
        <row r="349">
          <cell r="A349">
            <v>3204</v>
          </cell>
          <cell r="B349" t="str">
            <v>스테인레스관 (K형)</v>
          </cell>
          <cell r="C349" t="str">
            <v>50Ø</v>
          </cell>
          <cell r="D349" t="str">
            <v>M</v>
          </cell>
          <cell r="E349">
            <v>5040</v>
          </cell>
          <cell r="F349">
            <v>0</v>
          </cell>
          <cell r="G349">
            <v>5040</v>
          </cell>
          <cell r="H349">
            <v>479</v>
          </cell>
          <cell r="I349">
            <v>4730</v>
          </cell>
          <cell r="J349">
            <v>479</v>
          </cell>
          <cell r="L349">
            <v>479</v>
          </cell>
        </row>
        <row r="350">
          <cell r="A350">
            <v>3205</v>
          </cell>
          <cell r="B350" t="str">
            <v>스테인레스관 (K형)</v>
          </cell>
          <cell r="C350" t="str">
            <v>40Ø</v>
          </cell>
          <cell r="D350" t="str">
            <v>M</v>
          </cell>
          <cell r="E350">
            <v>4480</v>
          </cell>
          <cell r="F350">
            <v>0</v>
          </cell>
          <cell r="G350">
            <v>4480</v>
          </cell>
          <cell r="H350">
            <v>479</v>
          </cell>
          <cell r="I350">
            <v>4220</v>
          </cell>
          <cell r="J350">
            <v>479</v>
          </cell>
          <cell r="L350">
            <v>479</v>
          </cell>
        </row>
        <row r="351">
          <cell r="A351">
            <v>3206</v>
          </cell>
          <cell r="B351" t="str">
            <v>스테인레스관 (K형)</v>
          </cell>
          <cell r="C351" t="str">
            <v>30Ø</v>
          </cell>
          <cell r="D351" t="str">
            <v>M</v>
          </cell>
          <cell r="E351">
            <v>3700</v>
          </cell>
          <cell r="F351">
            <v>0</v>
          </cell>
          <cell r="G351">
            <v>3700</v>
          </cell>
          <cell r="H351">
            <v>479</v>
          </cell>
          <cell r="I351">
            <v>3470</v>
          </cell>
          <cell r="J351">
            <v>479</v>
          </cell>
          <cell r="L351">
            <v>479</v>
          </cell>
        </row>
        <row r="352">
          <cell r="A352">
            <v>3207</v>
          </cell>
          <cell r="B352" t="str">
            <v>스테인레스관 (K형)</v>
          </cell>
          <cell r="C352" t="str">
            <v>25Ø</v>
          </cell>
          <cell r="D352" t="str">
            <v>M</v>
          </cell>
          <cell r="E352">
            <v>2750</v>
          </cell>
          <cell r="F352">
            <v>0</v>
          </cell>
          <cell r="G352">
            <v>2750</v>
          </cell>
          <cell r="H352">
            <v>479</v>
          </cell>
          <cell r="I352">
            <v>2500</v>
          </cell>
          <cell r="J352">
            <v>479</v>
          </cell>
          <cell r="L352">
            <v>479</v>
          </cell>
        </row>
        <row r="353">
          <cell r="A353">
            <v>3208</v>
          </cell>
          <cell r="B353" t="str">
            <v>스테인레스관 (K형)</v>
          </cell>
          <cell r="C353" t="str">
            <v>20Ø</v>
          </cell>
          <cell r="D353" t="str">
            <v>M</v>
          </cell>
          <cell r="E353">
            <v>2200</v>
          </cell>
          <cell r="F353">
            <v>0</v>
          </cell>
          <cell r="G353">
            <v>2200</v>
          </cell>
          <cell r="H353">
            <v>479</v>
          </cell>
          <cell r="I353">
            <v>2000</v>
          </cell>
          <cell r="J353">
            <v>479</v>
          </cell>
          <cell r="L353">
            <v>479</v>
          </cell>
        </row>
        <row r="354">
          <cell r="A354">
            <v>3209</v>
          </cell>
          <cell r="B354" t="str">
            <v>스테인레스관 (K형)</v>
          </cell>
          <cell r="C354" t="str">
            <v>13Ø</v>
          </cell>
          <cell r="D354" t="str">
            <v>M</v>
          </cell>
          <cell r="E354">
            <v>1390</v>
          </cell>
          <cell r="F354">
            <v>0</v>
          </cell>
          <cell r="G354">
            <v>1390</v>
          </cell>
          <cell r="H354">
            <v>479</v>
          </cell>
          <cell r="I354">
            <v>1280</v>
          </cell>
          <cell r="J354">
            <v>479</v>
          </cell>
          <cell r="L354">
            <v>479</v>
          </cell>
        </row>
        <row r="355">
          <cell r="A355">
            <v>3211</v>
          </cell>
          <cell r="B355" t="str">
            <v>엘보 (용접식 S20S)</v>
          </cell>
          <cell r="C355" t="str">
            <v>100Ø</v>
          </cell>
          <cell r="D355" t="str">
            <v>개</v>
          </cell>
          <cell r="E355">
            <v>18400</v>
          </cell>
          <cell r="F355">
            <v>0</v>
          </cell>
          <cell r="H355">
            <v>482</v>
          </cell>
          <cell r="I355">
            <v>18400</v>
          </cell>
          <cell r="J355">
            <v>482</v>
          </cell>
          <cell r="L355">
            <v>482</v>
          </cell>
        </row>
        <row r="356">
          <cell r="A356">
            <v>3212</v>
          </cell>
          <cell r="B356" t="str">
            <v>엘보 (용접식 S20S)</v>
          </cell>
          <cell r="C356" t="str">
            <v>80Ø</v>
          </cell>
          <cell r="D356" t="str">
            <v>개</v>
          </cell>
          <cell r="E356">
            <v>11200</v>
          </cell>
          <cell r="F356">
            <v>0</v>
          </cell>
          <cell r="H356">
            <v>482</v>
          </cell>
          <cell r="I356">
            <v>11200</v>
          </cell>
          <cell r="J356">
            <v>482</v>
          </cell>
          <cell r="L356">
            <v>482</v>
          </cell>
        </row>
        <row r="357">
          <cell r="A357">
            <v>3213</v>
          </cell>
          <cell r="B357" t="str">
            <v>엘보 (SR죠인트)</v>
          </cell>
          <cell r="C357" t="str">
            <v>60Ø</v>
          </cell>
          <cell r="D357" t="str">
            <v>개</v>
          </cell>
          <cell r="E357">
            <v>11520</v>
          </cell>
          <cell r="F357">
            <v>0</v>
          </cell>
          <cell r="H357">
            <v>486</v>
          </cell>
          <cell r="I357">
            <v>11510</v>
          </cell>
          <cell r="J357">
            <v>486</v>
          </cell>
          <cell r="L357">
            <v>486</v>
          </cell>
        </row>
        <row r="358">
          <cell r="A358">
            <v>3214</v>
          </cell>
          <cell r="B358" t="str">
            <v>엘보 (SR죠인트)</v>
          </cell>
          <cell r="C358" t="str">
            <v>50Ø</v>
          </cell>
          <cell r="D358" t="str">
            <v>개</v>
          </cell>
          <cell r="E358">
            <v>9030</v>
          </cell>
          <cell r="F358">
            <v>0</v>
          </cell>
          <cell r="H358">
            <v>486</v>
          </cell>
          <cell r="I358">
            <v>9030</v>
          </cell>
          <cell r="J358">
            <v>486</v>
          </cell>
          <cell r="L358">
            <v>486</v>
          </cell>
        </row>
        <row r="359">
          <cell r="A359">
            <v>3215</v>
          </cell>
          <cell r="B359" t="str">
            <v>엘보 (SR죠인트)</v>
          </cell>
          <cell r="C359" t="str">
            <v>40Ø</v>
          </cell>
          <cell r="D359" t="str">
            <v>개</v>
          </cell>
          <cell r="E359">
            <v>6820</v>
          </cell>
          <cell r="F359">
            <v>0</v>
          </cell>
          <cell r="H359">
            <v>486</v>
          </cell>
          <cell r="I359">
            <v>6810</v>
          </cell>
          <cell r="J359">
            <v>486</v>
          </cell>
          <cell r="L359">
            <v>486</v>
          </cell>
        </row>
        <row r="360">
          <cell r="A360">
            <v>3216</v>
          </cell>
          <cell r="B360" t="str">
            <v>엘보 (SR죠인트)</v>
          </cell>
          <cell r="C360" t="str">
            <v>30Ø</v>
          </cell>
          <cell r="D360" t="str">
            <v>개</v>
          </cell>
          <cell r="E360">
            <v>5510</v>
          </cell>
          <cell r="F360">
            <v>0</v>
          </cell>
          <cell r="H360">
            <v>486</v>
          </cell>
          <cell r="I360">
            <v>5510</v>
          </cell>
          <cell r="J360">
            <v>486</v>
          </cell>
          <cell r="L360">
            <v>486</v>
          </cell>
        </row>
        <row r="361">
          <cell r="A361">
            <v>3217</v>
          </cell>
          <cell r="B361" t="str">
            <v>엘보 (SR죠인트)</v>
          </cell>
          <cell r="C361" t="str">
            <v>25Ø</v>
          </cell>
          <cell r="D361" t="str">
            <v>개</v>
          </cell>
          <cell r="E361">
            <v>2580</v>
          </cell>
          <cell r="F361">
            <v>0</v>
          </cell>
          <cell r="H361">
            <v>486</v>
          </cell>
          <cell r="I361">
            <v>2580</v>
          </cell>
          <cell r="J361">
            <v>486</v>
          </cell>
          <cell r="L361">
            <v>486</v>
          </cell>
        </row>
        <row r="362">
          <cell r="A362">
            <v>3218</v>
          </cell>
          <cell r="B362" t="str">
            <v>엘보 (SR죠인트)</v>
          </cell>
          <cell r="C362" t="str">
            <v>20Ø</v>
          </cell>
          <cell r="D362" t="str">
            <v>개</v>
          </cell>
          <cell r="E362">
            <v>1980</v>
          </cell>
          <cell r="F362">
            <v>0</v>
          </cell>
          <cell r="H362">
            <v>486</v>
          </cell>
          <cell r="I362">
            <v>1980</v>
          </cell>
          <cell r="J362">
            <v>486</v>
          </cell>
          <cell r="L362">
            <v>486</v>
          </cell>
        </row>
        <row r="363">
          <cell r="A363">
            <v>3219</v>
          </cell>
          <cell r="B363" t="str">
            <v>엘보 (SR죠인트)</v>
          </cell>
          <cell r="C363" t="str">
            <v>13Ø</v>
          </cell>
          <cell r="D363" t="str">
            <v>개</v>
          </cell>
          <cell r="E363">
            <v>1370</v>
          </cell>
          <cell r="F363">
            <v>0</v>
          </cell>
          <cell r="H363">
            <v>486</v>
          </cell>
          <cell r="I363">
            <v>1370</v>
          </cell>
          <cell r="J363">
            <v>486</v>
          </cell>
          <cell r="L363">
            <v>486</v>
          </cell>
        </row>
        <row r="364">
          <cell r="A364">
            <v>3221</v>
          </cell>
          <cell r="B364" t="str">
            <v>티 (용접식 S20S)</v>
          </cell>
          <cell r="C364" t="str">
            <v>100Ø</v>
          </cell>
          <cell r="D364" t="str">
            <v>개</v>
          </cell>
          <cell r="E364">
            <v>26720</v>
          </cell>
          <cell r="F364">
            <v>0</v>
          </cell>
          <cell r="H364">
            <v>482</v>
          </cell>
          <cell r="I364">
            <v>26720</v>
          </cell>
          <cell r="J364">
            <v>482</v>
          </cell>
          <cell r="L364">
            <v>482</v>
          </cell>
        </row>
        <row r="365">
          <cell r="A365">
            <v>3222</v>
          </cell>
          <cell r="B365" t="str">
            <v>티 (용접식 S20S)</v>
          </cell>
          <cell r="C365" t="str">
            <v>80Ø</v>
          </cell>
          <cell r="D365" t="str">
            <v>개</v>
          </cell>
          <cell r="E365">
            <v>17760</v>
          </cell>
          <cell r="F365">
            <v>0</v>
          </cell>
          <cell r="H365">
            <v>482</v>
          </cell>
          <cell r="I365">
            <v>17760</v>
          </cell>
          <cell r="J365">
            <v>482</v>
          </cell>
          <cell r="L365">
            <v>482</v>
          </cell>
        </row>
        <row r="366">
          <cell r="A366">
            <v>3223</v>
          </cell>
          <cell r="B366" t="str">
            <v>티 (SR죠인트)</v>
          </cell>
          <cell r="C366" t="str">
            <v>60Ø</v>
          </cell>
          <cell r="D366" t="str">
            <v>개</v>
          </cell>
          <cell r="E366">
            <v>23310</v>
          </cell>
          <cell r="F366">
            <v>0</v>
          </cell>
          <cell r="H366">
            <v>486</v>
          </cell>
          <cell r="I366">
            <v>23310</v>
          </cell>
          <cell r="J366">
            <v>486</v>
          </cell>
          <cell r="L366">
            <v>486</v>
          </cell>
        </row>
        <row r="367">
          <cell r="A367">
            <v>3224</v>
          </cell>
          <cell r="B367" t="str">
            <v>티 (SR죠인트)</v>
          </cell>
          <cell r="C367" t="str">
            <v>50Ø</v>
          </cell>
          <cell r="D367" t="str">
            <v>개</v>
          </cell>
          <cell r="E367">
            <v>20850</v>
          </cell>
          <cell r="F367">
            <v>0</v>
          </cell>
          <cell r="H367">
            <v>486</v>
          </cell>
          <cell r="I367">
            <v>20850</v>
          </cell>
          <cell r="J367">
            <v>486</v>
          </cell>
          <cell r="L367">
            <v>486</v>
          </cell>
        </row>
        <row r="368">
          <cell r="A368">
            <v>3225</v>
          </cell>
          <cell r="B368" t="str">
            <v>티 (SR죠인트)</v>
          </cell>
          <cell r="C368" t="str">
            <v>40Ø</v>
          </cell>
          <cell r="D368" t="str">
            <v>개</v>
          </cell>
          <cell r="E368">
            <v>15610</v>
          </cell>
          <cell r="F368">
            <v>0</v>
          </cell>
          <cell r="H368">
            <v>486</v>
          </cell>
          <cell r="I368">
            <v>15610</v>
          </cell>
          <cell r="J368">
            <v>486</v>
          </cell>
          <cell r="L368">
            <v>486</v>
          </cell>
        </row>
        <row r="369">
          <cell r="A369">
            <v>3226</v>
          </cell>
          <cell r="B369" t="str">
            <v>티 (SR죠인트)</v>
          </cell>
          <cell r="C369" t="str">
            <v>30Ø</v>
          </cell>
          <cell r="D369" t="str">
            <v>개</v>
          </cell>
          <cell r="E369">
            <v>12120</v>
          </cell>
          <cell r="F369">
            <v>0</v>
          </cell>
          <cell r="H369">
            <v>486</v>
          </cell>
          <cell r="I369">
            <v>12120</v>
          </cell>
          <cell r="J369">
            <v>486</v>
          </cell>
          <cell r="L369">
            <v>486</v>
          </cell>
        </row>
        <row r="370">
          <cell r="A370">
            <v>3227</v>
          </cell>
          <cell r="B370" t="str">
            <v>티 (SR죠인트)</v>
          </cell>
          <cell r="C370" t="str">
            <v>25Ø</v>
          </cell>
          <cell r="D370" t="str">
            <v>개</v>
          </cell>
          <cell r="E370">
            <v>7620</v>
          </cell>
          <cell r="F370">
            <v>0</v>
          </cell>
          <cell r="H370">
            <v>486</v>
          </cell>
          <cell r="I370">
            <v>7620</v>
          </cell>
          <cell r="J370">
            <v>486</v>
          </cell>
          <cell r="L370">
            <v>486</v>
          </cell>
        </row>
        <row r="371">
          <cell r="A371">
            <v>3228</v>
          </cell>
          <cell r="B371" t="str">
            <v>티 (SR죠인트)</v>
          </cell>
          <cell r="C371" t="str">
            <v>20Ø</v>
          </cell>
          <cell r="D371" t="str">
            <v>개</v>
          </cell>
          <cell r="E371">
            <v>5070</v>
          </cell>
          <cell r="F371">
            <v>0</v>
          </cell>
          <cell r="H371">
            <v>486</v>
          </cell>
          <cell r="I371">
            <v>5070</v>
          </cell>
          <cell r="J371">
            <v>486</v>
          </cell>
          <cell r="L371">
            <v>486</v>
          </cell>
        </row>
        <row r="372">
          <cell r="A372">
            <v>3229</v>
          </cell>
          <cell r="B372" t="str">
            <v>티 (SR죠인트)</v>
          </cell>
          <cell r="C372" t="str">
            <v>13Ø</v>
          </cell>
          <cell r="D372" t="str">
            <v>개</v>
          </cell>
          <cell r="E372">
            <v>3470</v>
          </cell>
          <cell r="F372">
            <v>0</v>
          </cell>
          <cell r="H372">
            <v>486</v>
          </cell>
          <cell r="I372">
            <v>3470</v>
          </cell>
          <cell r="J372">
            <v>486</v>
          </cell>
          <cell r="L372">
            <v>486</v>
          </cell>
        </row>
        <row r="373">
          <cell r="A373">
            <v>3232</v>
          </cell>
          <cell r="B373" t="str">
            <v>레듀샤 (용접식 S20S)</v>
          </cell>
          <cell r="C373" t="str">
            <v>100Ø</v>
          </cell>
          <cell r="D373" t="str">
            <v>개</v>
          </cell>
          <cell r="E373">
            <v>15200</v>
          </cell>
          <cell r="F373">
            <v>0</v>
          </cell>
          <cell r="H373">
            <v>482</v>
          </cell>
          <cell r="I373">
            <v>15200</v>
          </cell>
          <cell r="J373">
            <v>482</v>
          </cell>
          <cell r="L373">
            <v>482</v>
          </cell>
        </row>
        <row r="374">
          <cell r="A374">
            <v>3232</v>
          </cell>
          <cell r="B374" t="str">
            <v>레듀샤 (용접식 S20S)</v>
          </cell>
          <cell r="C374" t="str">
            <v>80Ø</v>
          </cell>
          <cell r="D374" t="str">
            <v>개</v>
          </cell>
          <cell r="E374">
            <v>10640</v>
          </cell>
          <cell r="F374">
            <v>0</v>
          </cell>
          <cell r="H374">
            <v>482</v>
          </cell>
          <cell r="I374">
            <v>10640</v>
          </cell>
          <cell r="J374">
            <v>482</v>
          </cell>
          <cell r="L374">
            <v>482</v>
          </cell>
        </row>
        <row r="375">
          <cell r="A375">
            <v>3233</v>
          </cell>
          <cell r="B375" t="str">
            <v>레듀샤 (SR죠인트)</v>
          </cell>
          <cell r="C375" t="str">
            <v>60Ø</v>
          </cell>
          <cell r="D375" t="str">
            <v>개</v>
          </cell>
          <cell r="E375">
            <v>13000</v>
          </cell>
          <cell r="F375">
            <v>0</v>
          </cell>
          <cell r="H375">
            <v>486</v>
          </cell>
          <cell r="I375">
            <v>13000</v>
          </cell>
          <cell r="J375">
            <v>486</v>
          </cell>
          <cell r="L375">
            <v>486</v>
          </cell>
        </row>
        <row r="376">
          <cell r="A376">
            <v>3234</v>
          </cell>
          <cell r="B376" t="str">
            <v>레듀샤 (SR죠인트)</v>
          </cell>
          <cell r="C376" t="str">
            <v>50Ø</v>
          </cell>
          <cell r="D376" t="str">
            <v>개</v>
          </cell>
          <cell r="E376">
            <v>11150</v>
          </cell>
          <cell r="F376">
            <v>0</v>
          </cell>
          <cell r="H376">
            <v>486</v>
          </cell>
          <cell r="I376">
            <v>11150</v>
          </cell>
          <cell r="J376">
            <v>486</v>
          </cell>
          <cell r="L376">
            <v>486</v>
          </cell>
        </row>
        <row r="377">
          <cell r="A377">
            <v>3235</v>
          </cell>
          <cell r="B377" t="str">
            <v>레듀샤 (SR죠인트)</v>
          </cell>
          <cell r="C377" t="str">
            <v>40Ø</v>
          </cell>
          <cell r="D377" t="str">
            <v>개</v>
          </cell>
          <cell r="E377">
            <v>9170</v>
          </cell>
          <cell r="F377">
            <v>0</v>
          </cell>
          <cell r="H377">
            <v>486</v>
          </cell>
          <cell r="I377">
            <v>9170</v>
          </cell>
          <cell r="J377">
            <v>486</v>
          </cell>
          <cell r="L377">
            <v>486</v>
          </cell>
        </row>
        <row r="378">
          <cell r="A378">
            <v>3236</v>
          </cell>
          <cell r="B378" t="str">
            <v>레듀샤 (SR죠인트)</v>
          </cell>
          <cell r="C378" t="str">
            <v>30Ø</v>
          </cell>
          <cell r="D378" t="str">
            <v>개</v>
          </cell>
          <cell r="E378">
            <v>7080</v>
          </cell>
          <cell r="F378">
            <v>0</v>
          </cell>
          <cell r="H378">
            <v>486</v>
          </cell>
          <cell r="I378">
            <v>7080</v>
          </cell>
          <cell r="J378">
            <v>486</v>
          </cell>
          <cell r="L378">
            <v>486</v>
          </cell>
        </row>
        <row r="379">
          <cell r="A379">
            <v>3237</v>
          </cell>
          <cell r="B379" t="str">
            <v>레듀샤 (SR죠인트)</v>
          </cell>
          <cell r="C379" t="str">
            <v>25Ø</v>
          </cell>
          <cell r="D379" t="str">
            <v>개</v>
          </cell>
          <cell r="E379">
            <v>3830</v>
          </cell>
          <cell r="F379">
            <v>0</v>
          </cell>
          <cell r="H379">
            <v>486</v>
          </cell>
          <cell r="I379">
            <v>3830</v>
          </cell>
          <cell r="J379">
            <v>486</v>
          </cell>
          <cell r="L379">
            <v>486</v>
          </cell>
        </row>
        <row r="380">
          <cell r="A380">
            <v>3238</v>
          </cell>
          <cell r="B380" t="str">
            <v>레듀샤 (SR죠인트)</v>
          </cell>
          <cell r="C380" t="str">
            <v>20Ø</v>
          </cell>
          <cell r="D380" t="str">
            <v>개</v>
          </cell>
          <cell r="E380">
            <v>2210</v>
          </cell>
          <cell r="F380">
            <v>0</v>
          </cell>
          <cell r="H380">
            <v>486</v>
          </cell>
          <cell r="I380">
            <v>2210</v>
          </cell>
          <cell r="J380">
            <v>486</v>
          </cell>
          <cell r="L380">
            <v>486</v>
          </cell>
        </row>
        <row r="381">
          <cell r="A381">
            <v>3241</v>
          </cell>
          <cell r="B381" t="str">
            <v>소켓 (SR죠인트)</v>
          </cell>
          <cell r="C381" t="str">
            <v>60Ø</v>
          </cell>
          <cell r="D381" t="str">
            <v>개</v>
          </cell>
          <cell r="E381">
            <v>8820</v>
          </cell>
          <cell r="F381">
            <v>0</v>
          </cell>
          <cell r="H381">
            <v>486</v>
          </cell>
          <cell r="I381">
            <v>8820</v>
          </cell>
          <cell r="J381">
            <v>486</v>
          </cell>
          <cell r="L381">
            <v>486</v>
          </cell>
        </row>
        <row r="382">
          <cell r="A382">
            <v>3242</v>
          </cell>
          <cell r="B382" t="str">
            <v>소켓 (SR죠인트)</v>
          </cell>
          <cell r="C382" t="str">
            <v>50Ø</v>
          </cell>
          <cell r="D382" t="str">
            <v>개</v>
          </cell>
          <cell r="E382">
            <v>7660</v>
          </cell>
          <cell r="F382">
            <v>0</v>
          </cell>
          <cell r="H382">
            <v>486</v>
          </cell>
          <cell r="I382">
            <v>7660</v>
          </cell>
          <cell r="J382">
            <v>486</v>
          </cell>
          <cell r="L382">
            <v>486</v>
          </cell>
        </row>
        <row r="383">
          <cell r="A383">
            <v>3243</v>
          </cell>
          <cell r="B383" t="str">
            <v>소켓 (SR죠인트)</v>
          </cell>
          <cell r="C383" t="str">
            <v>40Ø</v>
          </cell>
          <cell r="D383" t="str">
            <v>개</v>
          </cell>
          <cell r="E383">
            <v>5140</v>
          </cell>
          <cell r="F383">
            <v>0</v>
          </cell>
          <cell r="H383">
            <v>486</v>
          </cell>
          <cell r="I383">
            <v>5140</v>
          </cell>
          <cell r="J383">
            <v>486</v>
          </cell>
          <cell r="L383">
            <v>486</v>
          </cell>
        </row>
        <row r="384">
          <cell r="A384">
            <v>3244</v>
          </cell>
          <cell r="B384" t="str">
            <v>소켓 (SR죠인트)</v>
          </cell>
          <cell r="C384" t="str">
            <v>30Ø</v>
          </cell>
          <cell r="D384" t="str">
            <v>개</v>
          </cell>
          <cell r="E384">
            <v>3960</v>
          </cell>
          <cell r="F384">
            <v>0</v>
          </cell>
          <cell r="H384">
            <v>486</v>
          </cell>
          <cell r="I384">
            <v>3960</v>
          </cell>
          <cell r="J384">
            <v>486</v>
          </cell>
          <cell r="L384">
            <v>486</v>
          </cell>
        </row>
        <row r="385">
          <cell r="A385">
            <v>3245</v>
          </cell>
          <cell r="B385" t="str">
            <v>소켓 (SR죠인트)</v>
          </cell>
          <cell r="C385" t="str">
            <v>25Ø</v>
          </cell>
          <cell r="D385" t="str">
            <v>개</v>
          </cell>
          <cell r="E385">
            <v>2130</v>
          </cell>
          <cell r="F385">
            <v>0</v>
          </cell>
          <cell r="H385">
            <v>486</v>
          </cell>
          <cell r="I385">
            <v>2130</v>
          </cell>
          <cell r="J385">
            <v>486</v>
          </cell>
          <cell r="L385">
            <v>486</v>
          </cell>
        </row>
        <row r="386">
          <cell r="A386">
            <v>3246</v>
          </cell>
          <cell r="B386" t="str">
            <v>소켓 (SR죠인트)</v>
          </cell>
          <cell r="C386" t="str">
            <v>20Ø</v>
          </cell>
          <cell r="D386" t="str">
            <v>개</v>
          </cell>
          <cell r="E386">
            <v>1570</v>
          </cell>
          <cell r="F386">
            <v>0</v>
          </cell>
          <cell r="H386">
            <v>486</v>
          </cell>
          <cell r="I386">
            <v>1570</v>
          </cell>
          <cell r="J386">
            <v>486</v>
          </cell>
          <cell r="L386">
            <v>486</v>
          </cell>
        </row>
        <row r="387">
          <cell r="A387">
            <v>3247</v>
          </cell>
          <cell r="B387" t="str">
            <v>소켓 (SR죠인트)</v>
          </cell>
          <cell r="C387" t="str">
            <v>13Ø</v>
          </cell>
          <cell r="D387" t="str">
            <v>개</v>
          </cell>
          <cell r="E387">
            <v>1250</v>
          </cell>
          <cell r="F387">
            <v>0</v>
          </cell>
          <cell r="H387">
            <v>486</v>
          </cell>
          <cell r="I387">
            <v>1250</v>
          </cell>
          <cell r="J387">
            <v>486</v>
          </cell>
          <cell r="L387">
            <v>486</v>
          </cell>
        </row>
        <row r="388">
          <cell r="A388">
            <v>3251</v>
          </cell>
          <cell r="B388" t="str">
            <v>캡 (용접식 S20S)</v>
          </cell>
          <cell r="C388" t="str">
            <v>100Ø</v>
          </cell>
          <cell r="D388" t="str">
            <v>개</v>
          </cell>
          <cell r="E388">
            <v>8960</v>
          </cell>
          <cell r="F388">
            <v>0</v>
          </cell>
          <cell r="H388">
            <v>482</v>
          </cell>
          <cell r="I388">
            <v>8960</v>
          </cell>
          <cell r="J388">
            <v>482</v>
          </cell>
          <cell r="L388">
            <v>482</v>
          </cell>
        </row>
        <row r="389">
          <cell r="A389">
            <v>3252</v>
          </cell>
          <cell r="B389" t="str">
            <v>캡 (용접식 S20S)</v>
          </cell>
          <cell r="C389" t="str">
            <v>80Ø</v>
          </cell>
          <cell r="D389" t="str">
            <v>개</v>
          </cell>
          <cell r="E389">
            <v>6110</v>
          </cell>
          <cell r="F389">
            <v>0</v>
          </cell>
          <cell r="H389">
            <v>482</v>
          </cell>
          <cell r="I389">
            <v>6110</v>
          </cell>
          <cell r="J389">
            <v>482</v>
          </cell>
          <cell r="L389">
            <v>482</v>
          </cell>
        </row>
        <row r="390">
          <cell r="A390">
            <v>3253</v>
          </cell>
          <cell r="B390" t="str">
            <v>캡 (SR죠인트)</v>
          </cell>
          <cell r="C390" t="str">
            <v>60Ø</v>
          </cell>
          <cell r="D390" t="str">
            <v>개</v>
          </cell>
          <cell r="E390">
            <v>10600</v>
          </cell>
          <cell r="F390">
            <v>0</v>
          </cell>
          <cell r="H390">
            <v>486</v>
          </cell>
          <cell r="I390">
            <v>10600</v>
          </cell>
          <cell r="J390">
            <v>486</v>
          </cell>
          <cell r="L390">
            <v>486</v>
          </cell>
        </row>
        <row r="391">
          <cell r="A391">
            <v>3254</v>
          </cell>
          <cell r="B391" t="str">
            <v>캡 (SR죠인트)</v>
          </cell>
          <cell r="C391" t="str">
            <v>50Ø</v>
          </cell>
          <cell r="D391" t="str">
            <v>개</v>
          </cell>
          <cell r="E391">
            <v>8430</v>
          </cell>
          <cell r="F391">
            <v>0</v>
          </cell>
          <cell r="H391">
            <v>486</v>
          </cell>
          <cell r="I391">
            <v>8430</v>
          </cell>
          <cell r="J391">
            <v>486</v>
          </cell>
          <cell r="L391">
            <v>486</v>
          </cell>
        </row>
        <row r="392">
          <cell r="A392">
            <v>3255</v>
          </cell>
          <cell r="B392" t="str">
            <v>캡 (SR죠인트)</v>
          </cell>
          <cell r="C392" t="str">
            <v>40Ø</v>
          </cell>
          <cell r="D392" t="str">
            <v>개</v>
          </cell>
          <cell r="E392">
            <v>7610</v>
          </cell>
          <cell r="F392">
            <v>0</v>
          </cell>
          <cell r="H392">
            <v>486</v>
          </cell>
          <cell r="I392">
            <v>7610</v>
          </cell>
          <cell r="J392">
            <v>486</v>
          </cell>
          <cell r="L392">
            <v>486</v>
          </cell>
        </row>
        <row r="393">
          <cell r="A393">
            <v>3256</v>
          </cell>
          <cell r="B393" t="str">
            <v>캡 (SR죠인트)</v>
          </cell>
          <cell r="C393" t="str">
            <v>30Ø</v>
          </cell>
          <cell r="D393" t="str">
            <v>개</v>
          </cell>
          <cell r="E393">
            <v>5430</v>
          </cell>
          <cell r="F393">
            <v>0</v>
          </cell>
          <cell r="H393">
            <v>486</v>
          </cell>
          <cell r="I393">
            <v>5430</v>
          </cell>
          <cell r="J393">
            <v>486</v>
          </cell>
          <cell r="L393">
            <v>486</v>
          </cell>
        </row>
        <row r="394">
          <cell r="A394">
            <v>3257</v>
          </cell>
          <cell r="B394" t="str">
            <v>캡 (SR죠인트)</v>
          </cell>
          <cell r="C394" t="str">
            <v>25Ø</v>
          </cell>
          <cell r="D394" t="str">
            <v>개</v>
          </cell>
          <cell r="E394">
            <v>3050</v>
          </cell>
          <cell r="F394">
            <v>0</v>
          </cell>
          <cell r="H394">
            <v>486</v>
          </cell>
          <cell r="I394">
            <v>3050</v>
          </cell>
          <cell r="J394">
            <v>486</v>
          </cell>
          <cell r="L394">
            <v>486</v>
          </cell>
        </row>
        <row r="395">
          <cell r="A395">
            <v>3258</v>
          </cell>
          <cell r="B395" t="str">
            <v>캡 (SR죠인트)</v>
          </cell>
          <cell r="C395" t="str">
            <v>20Ø</v>
          </cell>
          <cell r="D395" t="str">
            <v>개</v>
          </cell>
          <cell r="E395">
            <v>2340</v>
          </cell>
          <cell r="F395">
            <v>0</v>
          </cell>
          <cell r="H395">
            <v>486</v>
          </cell>
          <cell r="I395">
            <v>2340</v>
          </cell>
          <cell r="J395">
            <v>486</v>
          </cell>
          <cell r="L395">
            <v>486</v>
          </cell>
        </row>
        <row r="396">
          <cell r="A396">
            <v>3259</v>
          </cell>
          <cell r="B396" t="str">
            <v>캡 (SR죠인트)</v>
          </cell>
          <cell r="C396" t="str">
            <v>13Ø</v>
          </cell>
          <cell r="D396" t="str">
            <v>개</v>
          </cell>
          <cell r="E396">
            <v>1920</v>
          </cell>
          <cell r="F396">
            <v>0</v>
          </cell>
          <cell r="H396">
            <v>486</v>
          </cell>
          <cell r="I396">
            <v>1920</v>
          </cell>
          <cell r="J396">
            <v>486</v>
          </cell>
          <cell r="L396">
            <v>486</v>
          </cell>
        </row>
        <row r="397">
          <cell r="A397">
            <v>3261</v>
          </cell>
          <cell r="B397" t="str">
            <v>SUS용접 합 후렌지</v>
          </cell>
          <cell r="C397" t="str">
            <v>100Ø</v>
          </cell>
          <cell r="D397" t="str">
            <v>개</v>
          </cell>
          <cell r="E397">
            <v>12300</v>
          </cell>
          <cell r="F397">
            <v>0</v>
          </cell>
          <cell r="H397">
            <v>0</v>
          </cell>
          <cell r="I397">
            <v>12300</v>
          </cell>
          <cell r="J397">
            <v>0</v>
          </cell>
          <cell r="L397">
            <v>0</v>
          </cell>
        </row>
        <row r="398">
          <cell r="A398">
            <v>3262</v>
          </cell>
          <cell r="B398" t="str">
            <v>SUS용접 합 후렌지</v>
          </cell>
          <cell r="C398" t="str">
            <v>80Ø</v>
          </cell>
          <cell r="D398" t="str">
            <v>개</v>
          </cell>
          <cell r="E398">
            <v>10300</v>
          </cell>
          <cell r="F398">
            <v>0</v>
          </cell>
          <cell r="H398">
            <v>0</v>
          </cell>
          <cell r="I398">
            <v>10300</v>
          </cell>
          <cell r="J398">
            <v>0</v>
          </cell>
          <cell r="L398">
            <v>0</v>
          </cell>
        </row>
        <row r="399">
          <cell r="A399">
            <v>3263</v>
          </cell>
          <cell r="B399" t="str">
            <v>유니온 (SR죠인트)</v>
          </cell>
          <cell r="C399" t="str">
            <v>60Ø</v>
          </cell>
          <cell r="D399" t="str">
            <v>개</v>
          </cell>
          <cell r="E399">
            <v>17460</v>
          </cell>
          <cell r="F399">
            <v>0</v>
          </cell>
          <cell r="H399">
            <v>486</v>
          </cell>
          <cell r="I399">
            <v>17460</v>
          </cell>
          <cell r="J399">
            <v>486</v>
          </cell>
          <cell r="L399">
            <v>486</v>
          </cell>
        </row>
        <row r="400">
          <cell r="A400">
            <v>3264</v>
          </cell>
          <cell r="B400" t="str">
            <v>유니온 (SR죠인트)</v>
          </cell>
          <cell r="C400" t="str">
            <v>50Ø</v>
          </cell>
          <cell r="D400" t="str">
            <v>개</v>
          </cell>
          <cell r="E400">
            <v>14000</v>
          </cell>
          <cell r="F400">
            <v>0</v>
          </cell>
          <cell r="H400">
            <v>486</v>
          </cell>
          <cell r="I400">
            <v>14000</v>
          </cell>
          <cell r="J400">
            <v>486</v>
          </cell>
          <cell r="L400">
            <v>486</v>
          </cell>
        </row>
        <row r="401">
          <cell r="A401">
            <v>3265</v>
          </cell>
          <cell r="B401" t="str">
            <v>유니온 (SR죠인트)</v>
          </cell>
          <cell r="C401" t="str">
            <v>40Ø</v>
          </cell>
          <cell r="D401" t="str">
            <v>개</v>
          </cell>
          <cell r="E401">
            <v>10470</v>
          </cell>
          <cell r="F401">
            <v>0</v>
          </cell>
          <cell r="H401">
            <v>486</v>
          </cell>
          <cell r="I401">
            <v>10470</v>
          </cell>
          <cell r="J401">
            <v>486</v>
          </cell>
          <cell r="L401">
            <v>486</v>
          </cell>
        </row>
        <row r="402">
          <cell r="A402">
            <v>3266</v>
          </cell>
          <cell r="B402" t="str">
            <v>유니온 (SR죠인트)</v>
          </cell>
          <cell r="C402" t="str">
            <v>30Ø</v>
          </cell>
          <cell r="D402" t="str">
            <v>개</v>
          </cell>
          <cell r="E402">
            <v>6980</v>
          </cell>
          <cell r="F402">
            <v>0</v>
          </cell>
          <cell r="H402">
            <v>486</v>
          </cell>
          <cell r="I402">
            <v>6980</v>
          </cell>
          <cell r="J402">
            <v>486</v>
          </cell>
          <cell r="L402">
            <v>486</v>
          </cell>
        </row>
        <row r="403">
          <cell r="A403">
            <v>3267</v>
          </cell>
          <cell r="B403" t="str">
            <v>유니온 (SR죠인트)</v>
          </cell>
          <cell r="C403" t="str">
            <v>25Ø</v>
          </cell>
          <cell r="D403" t="str">
            <v>개</v>
          </cell>
          <cell r="E403">
            <v>4660</v>
          </cell>
          <cell r="F403">
            <v>0</v>
          </cell>
          <cell r="H403">
            <v>486</v>
          </cell>
          <cell r="I403">
            <v>4660</v>
          </cell>
          <cell r="J403">
            <v>486</v>
          </cell>
          <cell r="L403">
            <v>486</v>
          </cell>
        </row>
        <row r="404">
          <cell r="A404">
            <v>3268</v>
          </cell>
          <cell r="B404" t="str">
            <v>유니온 (SR죠인트)</v>
          </cell>
          <cell r="C404" t="str">
            <v>20Ø</v>
          </cell>
          <cell r="D404" t="str">
            <v>개</v>
          </cell>
          <cell r="E404">
            <v>3490</v>
          </cell>
          <cell r="F404">
            <v>0</v>
          </cell>
          <cell r="H404">
            <v>486</v>
          </cell>
          <cell r="I404">
            <v>3490</v>
          </cell>
          <cell r="J404">
            <v>486</v>
          </cell>
          <cell r="L404">
            <v>486</v>
          </cell>
        </row>
        <row r="405">
          <cell r="A405">
            <v>3269</v>
          </cell>
          <cell r="B405" t="str">
            <v>유니온 (SR죠인트)</v>
          </cell>
          <cell r="C405" t="str">
            <v>13Ø</v>
          </cell>
          <cell r="D405" t="str">
            <v>개</v>
          </cell>
          <cell r="E405">
            <v>2330</v>
          </cell>
          <cell r="F405">
            <v>0</v>
          </cell>
          <cell r="H405">
            <v>486</v>
          </cell>
          <cell r="I405">
            <v>2330</v>
          </cell>
          <cell r="J405">
            <v>486</v>
          </cell>
          <cell r="L405">
            <v>486</v>
          </cell>
        </row>
        <row r="406">
          <cell r="A406">
            <v>3271</v>
          </cell>
          <cell r="B406" t="str">
            <v>밸브소켓 (SR죠인트)</v>
          </cell>
          <cell r="C406" t="str">
            <v>60Ø</v>
          </cell>
          <cell r="D406" t="str">
            <v>개</v>
          </cell>
          <cell r="E406">
            <v>9200</v>
          </cell>
          <cell r="F406">
            <v>0</v>
          </cell>
          <cell r="H406">
            <v>486</v>
          </cell>
          <cell r="I406">
            <v>9200</v>
          </cell>
          <cell r="J406">
            <v>486</v>
          </cell>
          <cell r="L406">
            <v>486</v>
          </cell>
        </row>
        <row r="407">
          <cell r="A407">
            <v>3272</v>
          </cell>
          <cell r="B407" t="str">
            <v>밸브소켓 (SR죠인트)</v>
          </cell>
          <cell r="C407" t="str">
            <v>50Ø</v>
          </cell>
          <cell r="D407" t="str">
            <v>개</v>
          </cell>
          <cell r="E407">
            <v>7850</v>
          </cell>
          <cell r="F407">
            <v>0</v>
          </cell>
          <cell r="H407">
            <v>486</v>
          </cell>
          <cell r="I407">
            <v>7850</v>
          </cell>
          <cell r="J407">
            <v>486</v>
          </cell>
          <cell r="L407">
            <v>486</v>
          </cell>
        </row>
        <row r="408">
          <cell r="A408">
            <v>3273</v>
          </cell>
          <cell r="B408" t="str">
            <v>밸브소켓 (SR죠인트)</v>
          </cell>
          <cell r="C408" t="str">
            <v>40Ø</v>
          </cell>
          <cell r="D408" t="str">
            <v>개</v>
          </cell>
          <cell r="E408">
            <v>6770</v>
          </cell>
          <cell r="F408">
            <v>0</v>
          </cell>
          <cell r="H408">
            <v>486</v>
          </cell>
          <cell r="I408">
            <v>6770</v>
          </cell>
          <cell r="J408">
            <v>486</v>
          </cell>
          <cell r="L408">
            <v>486</v>
          </cell>
        </row>
        <row r="409">
          <cell r="A409">
            <v>3274</v>
          </cell>
          <cell r="B409" t="str">
            <v>밸브소켓 (SR죠인트)</v>
          </cell>
          <cell r="C409" t="str">
            <v>30Ø</v>
          </cell>
          <cell r="D409" t="str">
            <v>개</v>
          </cell>
          <cell r="E409">
            <v>4630</v>
          </cell>
          <cell r="F409">
            <v>0</v>
          </cell>
          <cell r="H409">
            <v>486</v>
          </cell>
          <cell r="I409">
            <v>4630</v>
          </cell>
          <cell r="J409">
            <v>486</v>
          </cell>
          <cell r="L409">
            <v>486</v>
          </cell>
        </row>
        <row r="410">
          <cell r="A410">
            <v>3275</v>
          </cell>
          <cell r="B410" t="str">
            <v>밸브소켓 (SR죠인트)</v>
          </cell>
          <cell r="C410" t="str">
            <v>25Ø</v>
          </cell>
          <cell r="D410" t="str">
            <v>개</v>
          </cell>
          <cell r="E410">
            <v>2860</v>
          </cell>
          <cell r="F410">
            <v>0</v>
          </cell>
          <cell r="H410">
            <v>486</v>
          </cell>
          <cell r="I410">
            <v>2860</v>
          </cell>
          <cell r="J410">
            <v>486</v>
          </cell>
          <cell r="L410">
            <v>486</v>
          </cell>
        </row>
        <row r="411">
          <cell r="A411">
            <v>3276</v>
          </cell>
          <cell r="B411" t="str">
            <v>밸브소켓 (SR죠인트)</v>
          </cell>
          <cell r="C411" t="str">
            <v>20Ø</v>
          </cell>
          <cell r="D411" t="str">
            <v>개</v>
          </cell>
          <cell r="E411">
            <v>1980</v>
          </cell>
          <cell r="F411">
            <v>0</v>
          </cell>
          <cell r="H411">
            <v>486</v>
          </cell>
          <cell r="I411">
            <v>1980</v>
          </cell>
          <cell r="J411">
            <v>486</v>
          </cell>
          <cell r="L411">
            <v>486</v>
          </cell>
        </row>
        <row r="412">
          <cell r="A412">
            <v>3277</v>
          </cell>
          <cell r="B412" t="str">
            <v>밸브소켓 (SR죠인트)</v>
          </cell>
          <cell r="C412" t="str">
            <v>13Ø</v>
          </cell>
          <cell r="D412" t="str">
            <v>개</v>
          </cell>
          <cell r="E412">
            <v>1260</v>
          </cell>
          <cell r="F412">
            <v>0</v>
          </cell>
          <cell r="H412">
            <v>486</v>
          </cell>
          <cell r="I412">
            <v>1260</v>
          </cell>
          <cell r="J412">
            <v>486</v>
          </cell>
          <cell r="L412">
            <v>486</v>
          </cell>
        </row>
        <row r="413">
          <cell r="A413">
            <v>3281</v>
          </cell>
          <cell r="B413" t="str">
            <v>수전소켓 (SR죠인트)</v>
          </cell>
          <cell r="C413" t="str">
            <v>25Ø</v>
          </cell>
          <cell r="D413" t="str">
            <v>개</v>
          </cell>
          <cell r="E413">
            <v>4220</v>
          </cell>
          <cell r="F413">
            <v>0</v>
          </cell>
          <cell r="H413">
            <v>486</v>
          </cell>
          <cell r="I413">
            <v>4220</v>
          </cell>
          <cell r="J413">
            <v>486</v>
          </cell>
          <cell r="L413">
            <v>486</v>
          </cell>
        </row>
        <row r="414">
          <cell r="A414">
            <v>3282</v>
          </cell>
          <cell r="B414" t="str">
            <v>수전소켓 (SR죠인트)</v>
          </cell>
          <cell r="C414" t="str">
            <v>20Ø</v>
          </cell>
          <cell r="D414" t="str">
            <v>개</v>
          </cell>
          <cell r="E414">
            <v>3390</v>
          </cell>
          <cell r="F414">
            <v>0</v>
          </cell>
          <cell r="H414">
            <v>486</v>
          </cell>
          <cell r="I414">
            <v>3390</v>
          </cell>
          <cell r="J414">
            <v>486</v>
          </cell>
          <cell r="L414">
            <v>486</v>
          </cell>
        </row>
        <row r="415">
          <cell r="A415">
            <v>3283</v>
          </cell>
          <cell r="B415" t="str">
            <v>수전소켓 (SR죠인트)</v>
          </cell>
          <cell r="C415" t="str">
            <v>13Ø</v>
          </cell>
          <cell r="D415" t="str">
            <v>개</v>
          </cell>
          <cell r="E415">
            <v>2860</v>
          </cell>
          <cell r="F415">
            <v>0</v>
          </cell>
          <cell r="H415">
            <v>486</v>
          </cell>
          <cell r="I415">
            <v>2860</v>
          </cell>
          <cell r="J415">
            <v>486</v>
          </cell>
          <cell r="L415">
            <v>486</v>
          </cell>
        </row>
        <row r="416">
          <cell r="A416">
            <v>3291</v>
          </cell>
          <cell r="B416" t="str">
            <v>아답타엘보(SR죠인트)</v>
          </cell>
          <cell r="C416" t="str">
            <v>25Ø</v>
          </cell>
          <cell r="D416" t="str">
            <v>개</v>
          </cell>
          <cell r="E416">
            <v>5710</v>
          </cell>
          <cell r="F416">
            <v>0</v>
          </cell>
          <cell r="H416">
            <v>486</v>
          </cell>
          <cell r="I416">
            <v>5710</v>
          </cell>
          <cell r="J416">
            <v>486</v>
          </cell>
          <cell r="L416">
            <v>486</v>
          </cell>
        </row>
        <row r="417">
          <cell r="A417">
            <v>3292</v>
          </cell>
          <cell r="B417" t="str">
            <v>아답타엘보(SR죠인트)</v>
          </cell>
          <cell r="C417" t="str">
            <v>20Ø</v>
          </cell>
          <cell r="D417" t="str">
            <v>개</v>
          </cell>
          <cell r="E417">
            <v>4010</v>
          </cell>
          <cell r="F417">
            <v>0</v>
          </cell>
          <cell r="H417">
            <v>486</v>
          </cell>
          <cell r="I417">
            <v>4010</v>
          </cell>
          <cell r="J417">
            <v>486</v>
          </cell>
          <cell r="L417">
            <v>486</v>
          </cell>
        </row>
        <row r="418">
          <cell r="A418">
            <v>3293</v>
          </cell>
          <cell r="B418" t="str">
            <v>아답타엘보(SR죠인트)</v>
          </cell>
          <cell r="C418" t="str">
            <v>13Ø</v>
          </cell>
          <cell r="D418" t="str">
            <v>개</v>
          </cell>
          <cell r="E418">
            <v>3440</v>
          </cell>
          <cell r="F418">
            <v>0</v>
          </cell>
          <cell r="H418">
            <v>486</v>
          </cell>
          <cell r="I418">
            <v>3440</v>
          </cell>
          <cell r="J418">
            <v>486</v>
          </cell>
          <cell r="L418">
            <v>486</v>
          </cell>
        </row>
        <row r="419">
          <cell r="E419">
            <v>0</v>
          </cell>
        </row>
        <row r="420">
          <cell r="E420">
            <v>0</v>
          </cell>
        </row>
        <row r="421">
          <cell r="E421">
            <v>0</v>
          </cell>
        </row>
        <row r="444">
          <cell r="A444">
            <v>3299</v>
          </cell>
          <cell r="B444" t="str">
            <v>백강관</v>
          </cell>
          <cell r="C444" t="str">
            <v>150Ø</v>
          </cell>
          <cell r="D444" t="str">
            <v>M</v>
          </cell>
          <cell r="E444">
            <v>12628</v>
          </cell>
          <cell r="F444">
            <v>0</v>
          </cell>
          <cell r="H444">
            <v>457</v>
          </cell>
          <cell r="I444">
            <v>12628</v>
          </cell>
          <cell r="J444">
            <v>457</v>
          </cell>
          <cell r="L444">
            <v>457</v>
          </cell>
        </row>
        <row r="445">
          <cell r="A445">
            <v>3300</v>
          </cell>
          <cell r="B445" t="str">
            <v>백강관</v>
          </cell>
          <cell r="C445" t="str">
            <v>125Ø</v>
          </cell>
          <cell r="D445" t="str">
            <v>M</v>
          </cell>
          <cell r="E445">
            <v>10605</v>
          </cell>
          <cell r="F445">
            <v>0</v>
          </cell>
          <cell r="H445">
            <v>457</v>
          </cell>
          <cell r="I445">
            <v>10605</v>
          </cell>
          <cell r="J445">
            <v>457</v>
          </cell>
          <cell r="L445">
            <v>457</v>
          </cell>
        </row>
        <row r="446">
          <cell r="A446">
            <v>3301</v>
          </cell>
          <cell r="B446" t="str">
            <v>백강관</v>
          </cell>
          <cell r="C446" t="str">
            <v>100Ø</v>
          </cell>
          <cell r="D446" t="str">
            <v>M</v>
          </cell>
          <cell r="E446">
            <v>7822</v>
          </cell>
          <cell r="F446">
            <v>0</v>
          </cell>
          <cell r="H446">
            <v>457</v>
          </cell>
          <cell r="I446">
            <v>7822</v>
          </cell>
          <cell r="J446">
            <v>457</v>
          </cell>
          <cell r="L446">
            <v>457</v>
          </cell>
        </row>
        <row r="447">
          <cell r="A447">
            <v>3302</v>
          </cell>
          <cell r="B447" t="str">
            <v>백강관</v>
          </cell>
          <cell r="C447" t="str">
            <v>80Ø</v>
          </cell>
          <cell r="D447" t="str">
            <v>M</v>
          </cell>
          <cell r="E447">
            <v>5487</v>
          </cell>
          <cell r="F447">
            <v>0</v>
          </cell>
          <cell r="H447">
            <v>457</v>
          </cell>
          <cell r="I447">
            <v>5487</v>
          </cell>
          <cell r="J447">
            <v>457</v>
          </cell>
          <cell r="L447">
            <v>457</v>
          </cell>
        </row>
        <row r="448">
          <cell r="A448">
            <v>3303</v>
          </cell>
          <cell r="B448" t="str">
            <v>백강관</v>
          </cell>
          <cell r="C448" t="str">
            <v>65Ø</v>
          </cell>
          <cell r="D448" t="str">
            <v>M</v>
          </cell>
          <cell r="E448">
            <v>4402</v>
          </cell>
          <cell r="F448">
            <v>0</v>
          </cell>
          <cell r="H448">
            <v>457</v>
          </cell>
          <cell r="I448">
            <v>4402</v>
          </cell>
          <cell r="J448">
            <v>457</v>
          </cell>
          <cell r="L448">
            <v>457</v>
          </cell>
        </row>
        <row r="449">
          <cell r="A449">
            <v>3304</v>
          </cell>
          <cell r="B449" t="str">
            <v>백강관</v>
          </cell>
          <cell r="C449" t="str">
            <v>50Ø</v>
          </cell>
          <cell r="D449" t="str">
            <v>M</v>
          </cell>
          <cell r="E449">
            <v>3450</v>
          </cell>
          <cell r="F449">
            <v>0</v>
          </cell>
          <cell r="H449">
            <v>457</v>
          </cell>
          <cell r="I449">
            <v>3450</v>
          </cell>
          <cell r="J449">
            <v>457</v>
          </cell>
          <cell r="L449">
            <v>457</v>
          </cell>
        </row>
        <row r="450">
          <cell r="A450">
            <v>3305</v>
          </cell>
          <cell r="B450" t="str">
            <v>백강관</v>
          </cell>
          <cell r="C450" t="str">
            <v>40Ø</v>
          </cell>
          <cell r="D450" t="str">
            <v>M</v>
          </cell>
          <cell r="E450">
            <v>2513</v>
          </cell>
          <cell r="F450">
            <v>0</v>
          </cell>
          <cell r="H450">
            <v>457</v>
          </cell>
          <cell r="I450">
            <v>2513</v>
          </cell>
          <cell r="J450">
            <v>457</v>
          </cell>
          <cell r="L450">
            <v>457</v>
          </cell>
        </row>
        <row r="451">
          <cell r="A451">
            <v>3306</v>
          </cell>
          <cell r="B451" t="str">
            <v>백강관</v>
          </cell>
          <cell r="C451" t="str">
            <v>32Ø</v>
          </cell>
          <cell r="D451" t="str">
            <v>M</v>
          </cell>
          <cell r="E451">
            <v>2187</v>
          </cell>
          <cell r="F451">
            <v>0</v>
          </cell>
          <cell r="H451">
            <v>457</v>
          </cell>
          <cell r="I451">
            <v>2187</v>
          </cell>
          <cell r="J451">
            <v>457</v>
          </cell>
          <cell r="L451">
            <v>457</v>
          </cell>
        </row>
        <row r="452">
          <cell r="A452">
            <v>3307</v>
          </cell>
          <cell r="B452" t="str">
            <v>백강관</v>
          </cell>
          <cell r="C452" t="str">
            <v>25Ø</v>
          </cell>
          <cell r="D452" t="str">
            <v>M</v>
          </cell>
          <cell r="E452">
            <v>1782</v>
          </cell>
          <cell r="F452">
            <v>0</v>
          </cell>
          <cell r="H452">
            <v>457</v>
          </cell>
          <cell r="I452">
            <v>1782</v>
          </cell>
          <cell r="J452">
            <v>457</v>
          </cell>
          <cell r="L452">
            <v>457</v>
          </cell>
        </row>
        <row r="453">
          <cell r="A453">
            <v>3308</v>
          </cell>
          <cell r="B453" t="str">
            <v>백강관</v>
          </cell>
          <cell r="C453" t="str">
            <v>20Ø</v>
          </cell>
          <cell r="D453" t="str">
            <v>M</v>
          </cell>
          <cell r="E453">
            <v>1252</v>
          </cell>
          <cell r="F453">
            <v>0</v>
          </cell>
          <cell r="H453">
            <v>457</v>
          </cell>
          <cell r="I453">
            <v>1252</v>
          </cell>
          <cell r="J453">
            <v>457</v>
          </cell>
          <cell r="L453">
            <v>457</v>
          </cell>
        </row>
        <row r="454">
          <cell r="A454">
            <v>3309</v>
          </cell>
          <cell r="B454" t="str">
            <v>백강관</v>
          </cell>
          <cell r="C454" t="str">
            <v>15Ø</v>
          </cell>
          <cell r="D454" t="str">
            <v>M</v>
          </cell>
          <cell r="E454">
            <v>993</v>
          </cell>
          <cell r="F454">
            <v>0</v>
          </cell>
          <cell r="H454">
            <v>457</v>
          </cell>
          <cell r="I454">
            <v>993</v>
          </cell>
          <cell r="J454">
            <v>457</v>
          </cell>
          <cell r="L454">
            <v>457</v>
          </cell>
        </row>
        <row r="455">
          <cell r="A455">
            <v>3310</v>
          </cell>
          <cell r="B455" t="str">
            <v>백엘보 (용접식)</v>
          </cell>
          <cell r="C455" t="str">
            <v>150Ø</v>
          </cell>
          <cell r="D455" t="str">
            <v>개</v>
          </cell>
          <cell r="E455">
            <v>16800</v>
          </cell>
          <cell r="F455">
            <v>0</v>
          </cell>
          <cell r="H455">
            <v>461</v>
          </cell>
          <cell r="I455">
            <v>16800</v>
          </cell>
          <cell r="J455">
            <v>461</v>
          </cell>
          <cell r="L455">
            <v>461</v>
          </cell>
        </row>
        <row r="456">
          <cell r="A456">
            <v>3311</v>
          </cell>
          <cell r="B456" t="str">
            <v>백엘보 (용접식)</v>
          </cell>
          <cell r="C456" t="str">
            <v>100Ø</v>
          </cell>
          <cell r="D456" t="str">
            <v>개</v>
          </cell>
          <cell r="E456">
            <v>6440</v>
          </cell>
          <cell r="F456">
            <v>0</v>
          </cell>
          <cell r="H456">
            <v>461</v>
          </cell>
          <cell r="I456">
            <v>6440</v>
          </cell>
          <cell r="J456">
            <v>461</v>
          </cell>
          <cell r="L456">
            <v>461</v>
          </cell>
        </row>
        <row r="457">
          <cell r="A457">
            <v>3312</v>
          </cell>
          <cell r="B457" t="str">
            <v>백엘보 (용접식)</v>
          </cell>
          <cell r="C457" t="str">
            <v>80Ø</v>
          </cell>
          <cell r="D457" t="str">
            <v>개</v>
          </cell>
          <cell r="E457">
            <v>3780</v>
          </cell>
          <cell r="F457">
            <v>0</v>
          </cell>
          <cell r="H457">
            <v>461</v>
          </cell>
          <cell r="I457">
            <v>3780</v>
          </cell>
          <cell r="J457">
            <v>461</v>
          </cell>
          <cell r="L457">
            <v>461</v>
          </cell>
        </row>
        <row r="458">
          <cell r="A458">
            <v>3313</v>
          </cell>
          <cell r="B458" t="str">
            <v>백엘보 (용접식)</v>
          </cell>
          <cell r="C458" t="str">
            <v>65Ø</v>
          </cell>
          <cell r="D458" t="str">
            <v>개</v>
          </cell>
          <cell r="E458">
            <v>2760</v>
          </cell>
          <cell r="F458">
            <v>0</v>
          </cell>
          <cell r="H458">
            <v>461</v>
          </cell>
          <cell r="I458">
            <v>2760</v>
          </cell>
          <cell r="J458">
            <v>461</v>
          </cell>
          <cell r="L458">
            <v>461</v>
          </cell>
        </row>
        <row r="459">
          <cell r="A459">
            <v>3314</v>
          </cell>
          <cell r="B459" t="str">
            <v>백엘보 (나사식)</v>
          </cell>
          <cell r="C459" t="str">
            <v>50Ø</v>
          </cell>
          <cell r="D459" t="str">
            <v>개</v>
          </cell>
          <cell r="E459">
            <v>1498</v>
          </cell>
          <cell r="F459">
            <v>0</v>
          </cell>
          <cell r="H459">
            <v>460</v>
          </cell>
          <cell r="I459">
            <v>1498</v>
          </cell>
          <cell r="J459">
            <v>460</v>
          </cell>
          <cell r="L459">
            <v>460</v>
          </cell>
        </row>
        <row r="460">
          <cell r="A460">
            <v>3315</v>
          </cell>
          <cell r="B460" t="str">
            <v>백엘보 (나사식)</v>
          </cell>
          <cell r="C460" t="str">
            <v>40Ø</v>
          </cell>
          <cell r="D460" t="str">
            <v>개</v>
          </cell>
          <cell r="E460">
            <v>957</v>
          </cell>
          <cell r="F460">
            <v>0</v>
          </cell>
          <cell r="H460">
            <v>460</v>
          </cell>
          <cell r="I460">
            <v>957</v>
          </cell>
          <cell r="J460">
            <v>460</v>
          </cell>
          <cell r="L460">
            <v>460</v>
          </cell>
        </row>
        <row r="461">
          <cell r="A461">
            <v>3316</v>
          </cell>
          <cell r="B461" t="str">
            <v>백엘보 (나사식)</v>
          </cell>
          <cell r="C461" t="str">
            <v>32Ø</v>
          </cell>
          <cell r="D461" t="str">
            <v>개</v>
          </cell>
          <cell r="E461">
            <v>805</v>
          </cell>
          <cell r="F461">
            <v>0</v>
          </cell>
          <cell r="H461">
            <v>460</v>
          </cell>
          <cell r="I461">
            <v>805</v>
          </cell>
          <cell r="J461">
            <v>460</v>
          </cell>
          <cell r="L461">
            <v>460</v>
          </cell>
        </row>
        <row r="462">
          <cell r="A462">
            <v>3317</v>
          </cell>
          <cell r="B462" t="str">
            <v>백엘보 (나사식)</v>
          </cell>
          <cell r="C462" t="str">
            <v>25Ø</v>
          </cell>
          <cell r="D462" t="str">
            <v>개</v>
          </cell>
          <cell r="E462">
            <v>523</v>
          </cell>
          <cell r="F462">
            <v>0</v>
          </cell>
          <cell r="H462">
            <v>460</v>
          </cell>
          <cell r="I462">
            <v>523</v>
          </cell>
          <cell r="J462">
            <v>460</v>
          </cell>
          <cell r="L462">
            <v>460</v>
          </cell>
        </row>
        <row r="463">
          <cell r="A463">
            <v>3318</v>
          </cell>
          <cell r="B463" t="str">
            <v>백엘보 (나사식)</v>
          </cell>
          <cell r="C463" t="str">
            <v>20Ø</v>
          </cell>
          <cell r="D463" t="str">
            <v>개</v>
          </cell>
          <cell r="E463">
            <v>326</v>
          </cell>
          <cell r="F463">
            <v>0</v>
          </cell>
          <cell r="H463">
            <v>460</v>
          </cell>
          <cell r="I463">
            <v>326</v>
          </cell>
          <cell r="J463">
            <v>460</v>
          </cell>
          <cell r="L463">
            <v>460</v>
          </cell>
        </row>
        <row r="464">
          <cell r="A464">
            <v>3319</v>
          </cell>
          <cell r="B464" t="str">
            <v>백엘보 (나사식)</v>
          </cell>
          <cell r="C464" t="str">
            <v>15Ø</v>
          </cell>
          <cell r="D464" t="str">
            <v>개</v>
          </cell>
          <cell r="E464">
            <v>221</v>
          </cell>
          <cell r="F464">
            <v>0</v>
          </cell>
          <cell r="H464">
            <v>460</v>
          </cell>
          <cell r="I464">
            <v>221</v>
          </cell>
          <cell r="J464">
            <v>460</v>
          </cell>
          <cell r="L464">
            <v>460</v>
          </cell>
        </row>
        <row r="465">
          <cell r="A465">
            <v>3320</v>
          </cell>
          <cell r="B465" t="str">
            <v>백티 (용접식)</v>
          </cell>
          <cell r="C465" t="str">
            <v>150Ø</v>
          </cell>
          <cell r="D465" t="str">
            <v>개</v>
          </cell>
          <cell r="E465">
            <v>21000</v>
          </cell>
          <cell r="F465">
            <v>0</v>
          </cell>
          <cell r="H465">
            <v>461</v>
          </cell>
          <cell r="I465">
            <v>21000</v>
          </cell>
          <cell r="J465">
            <v>461</v>
          </cell>
          <cell r="L465">
            <v>461</v>
          </cell>
        </row>
        <row r="466">
          <cell r="A466">
            <v>3321</v>
          </cell>
          <cell r="B466" t="str">
            <v>백티 (용접식)</v>
          </cell>
          <cell r="C466" t="str">
            <v>100Ø</v>
          </cell>
          <cell r="D466" t="str">
            <v>개</v>
          </cell>
          <cell r="E466">
            <v>9030</v>
          </cell>
          <cell r="F466">
            <v>0</v>
          </cell>
          <cell r="H466">
            <v>461</v>
          </cell>
          <cell r="I466">
            <v>9030</v>
          </cell>
          <cell r="J466">
            <v>461</v>
          </cell>
          <cell r="L466">
            <v>461</v>
          </cell>
        </row>
        <row r="467">
          <cell r="A467">
            <v>3322</v>
          </cell>
          <cell r="B467" t="str">
            <v>백티 (용접식)</v>
          </cell>
          <cell r="C467" t="str">
            <v>80Ø</v>
          </cell>
          <cell r="D467" t="str">
            <v>개</v>
          </cell>
          <cell r="E467">
            <v>5480</v>
          </cell>
          <cell r="F467">
            <v>0</v>
          </cell>
          <cell r="H467">
            <v>461</v>
          </cell>
          <cell r="I467">
            <v>5480</v>
          </cell>
          <cell r="J467">
            <v>461</v>
          </cell>
          <cell r="L467">
            <v>461</v>
          </cell>
        </row>
        <row r="468">
          <cell r="A468">
            <v>3323</v>
          </cell>
          <cell r="B468" t="str">
            <v>백티 (용접식)</v>
          </cell>
          <cell r="C468" t="str">
            <v>65Ø</v>
          </cell>
          <cell r="D468" t="str">
            <v>개</v>
          </cell>
          <cell r="E468">
            <v>4060</v>
          </cell>
          <cell r="F468">
            <v>0</v>
          </cell>
          <cell r="H468">
            <v>461</v>
          </cell>
          <cell r="I468">
            <v>4060</v>
          </cell>
          <cell r="J468">
            <v>461</v>
          </cell>
          <cell r="L468">
            <v>461</v>
          </cell>
        </row>
        <row r="469">
          <cell r="A469">
            <v>3324</v>
          </cell>
          <cell r="B469" t="str">
            <v>백티 (나사식)</v>
          </cell>
          <cell r="C469" t="str">
            <v>50Ø</v>
          </cell>
          <cell r="D469" t="str">
            <v>개</v>
          </cell>
          <cell r="E469">
            <v>1957</v>
          </cell>
          <cell r="F469">
            <v>0</v>
          </cell>
          <cell r="H469">
            <v>460</v>
          </cell>
          <cell r="I469">
            <v>1957</v>
          </cell>
          <cell r="J469">
            <v>460</v>
          </cell>
          <cell r="L469">
            <v>460</v>
          </cell>
        </row>
        <row r="470">
          <cell r="A470">
            <v>3325</v>
          </cell>
          <cell r="B470" t="str">
            <v>백티 (나사식)</v>
          </cell>
          <cell r="C470" t="str">
            <v>40Ø</v>
          </cell>
          <cell r="D470" t="str">
            <v>개</v>
          </cell>
          <cell r="E470">
            <v>1338</v>
          </cell>
          <cell r="F470">
            <v>0</v>
          </cell>
          <cell r="H470">
            <v>460</v>
          </cell>
          <cell r="I470">
            <v>1338</v>
          </cell>
          <cell r="J470">
            <v>460</v>
          </cell>
          <cell r="L470">
            <v>460</v>
          </cell>
        </row>
        <row r="471">
          <cell r="A471">
            <v>3326</v>
          </cell>
          <cell r="B471" t="str">
            <v>백티 (나사식)</v>
          </cell>
          <cell r="C471" t="str">
            <v>32Ø</v>
          </cell>
          <cell r="D471" t="str">
            <v>개</v>
          </cell>
          <cell r="E471">
            <v>1000</v>
          </cell>
          <cell r="F471">
            <v>0</v>
          </cell>
          <cell r="H471">
            <v>460</v>
          </cell>
          <cell r="I471">
            <v>1000</v>
          </cell>
          <cell r="J471">
            <v>460</v>
          </cell>
          <cell r="L471">
            <v>460</v>
          </cell>
        </row>
        <row r="472">
          <cell r="A472">
            <v>3327</v>
          </cell>
          <cell r="B472" t="str">
            <v>백티 (나사식)</v>
          </cell>
          <cell r="C472" t="str">
            <v>25Ø</v>
          </cell>
          <cell r="D472" t="str">
            <v>개</v>
          </cell>
          <cell r="E472">
            <v>724</v>
          </cell>
          <cell r="F472">
            <v>0</v>
          </cell>
          <cell r="H472">
            <v>460</v>
          </cell>
          <cell r="I472">
            <v>724</v>
          </cell>
          <cell r="J472">
            <v>460</v>
          </cell>
          <cell r="L472">
            <v>460</v>
          </cell>
        </row>
        <row r="473">
          <cell r="A473">
            <v>3328</v>
          </cell>
          <cell r="B473" t="str">
            <v>백티 (나사식)</v>
          </cell>
          <cell r="C473" t="str">
            <v>20Ø</v>
          </cell>
          <cell r="D473" t="str">
            <v>개</v>
          </cell>
          <cell r="E473">
            <v>483</v>
          </cell>
          <cell r="F473">
            <v>0</v>
          </cell>
          <cell r="H473">
            <v>460</v>
          </cell>
          <cell r="I473">
            <v>483</v>
          </cell>
          <cell r="J473">
            <v>460</v>
          </cell>
          <cell r="L473">
            <v>460</v>
          </cell>
        </row>
        <row r="474">
          <cell r="A474">
            <v>3329</v>
          </cell>
          <cell r="B474" t="str">
            <v>백티 (나사식)</v>
          </cell>
          <cell r="C474" t="str">
            <v>15Ø</v>
          </cell>
          <cell r="D474" t="str">
            <v>개</v>
          </cell>
          <cell r="E474">
            <v>330</v>
          </cell>
          <cell r="F474">
            <v>0</v>
          </cell>
          <cell r="H474">
            <v>460</v>
          </cell>
          <cell r="I474">
            <v>330</v>
          </cell>
          <cell r="J474">
            <v>460</v>
          </cell>
          <cell r="L474">
            <v>460</v>
          </cell>
        </row>
        <row r="475">
          <cell r="A475">
            <v>3330</v>
          </cell>
          <cell r="B475" t="str">
            <v>백레듀샤 (용접식)</v>
          </cell>
          <cell r="C475" t="str">
            <v>150Ø</v>
          </cell>
          <cell r="D475" t="str">
            <v>개</v>
          </cell>
          <cell r="E475">
            <v>11200</v>
          </cell>
          <cell r="F475">
            <v>0</v>
          </cell>
          <cell r="H475">
            <v>461</v>
          </cell>
          <cell r="I475">
            <v>11200</v>
          </cell>
          <cell r="J475">
            <v>461</v>
          </cell>
          <cell r="L475">
            <v>461</v>
          </cell>
        </row>
        <row r="476">
          <cell r="A476">
            <v>3331</v>
          </cell>
          <cell r="B476" t="str">
            <v>백레듀샤 (용접식)</v>
          </cell>
          <cell r="C476" t="str">
            <v>100Ø</v>
          </cell>
          <cell r="D476" t="str">
            <v>개</v>
          </cell>
          <cell r="E476">
            <v>5390</v>
          </cell>
          <cell r="F476">
            <v>0</v>
          </cell>
          <cell r="H476">
            <v>461</v>
          </cell>
          <cell r="I476">
            <v>5390</v>
          </cell>
          <cell r="J476">
            <v>461</v>
          </cell>
          <cell r="L476">
            <v>461</v>
          </cell>
        </row>
        <row r="477">
          <cell r="A477">
            <v>3332</v>
          </cell>
          <cell r="B477" t="str">
            <v>백레듀샤 (용접식)</v>
          </cell>
          <cell r="C477" t="str">
            <v>80Ø</v>
          </cell>
          <cell r="D477" t="str">
            <v>개</v>
          </cell>
          <cell r="E477">
            <v>3780</v>
          </cell>
          <cell r="F477">
            <v>0</v>
          </cell>
          <cell r="H477">
            <v>461</v>
          </cell>
          <cell r="I477">
            <v>3780</v>
          </cell>
          <cell r="J477">
            <v>461</v>
          </cell>
          <cell r="L477">
            <v>461</v>
          </cell>
        </row>
        <row r="478">
          <cell r="A478">
            <v>3333</v>
          </cell>
          <cell r="B478" t="str">
            <v>백레듀샤 (용접식)</v>
          </cell>
          <cell r="C478" t="str">
            <v>65Ø</v>
          </cell>
          <cell r="D478" t="str">
            <v>개</v>
          </cell>
          <cell r="E478">
            <v>3360</v>
          </cell>
          <cell r="F478">
            <v>0</v>
          </cell>
          <cell r="H478">
            <v>461</v>
          </cell>
          <cell r="I478">
            <v>3360</v>
          </cell>
          <cell r="J478">
            <v>461</v>
          </cell>
          <cell r="L478">
            <v>461</v>
          </cell>
        </row>
        <row r="479">
          <cell r="A479">
            <v>3334</v>
          </cell>
          <cell r="B479" t="str">
            <v>백레듀샤 (나사식)</v>
          </cell>
          <cell r="C479" t="str">
            <v>50Ø</v>
          </cell>
          <cell r="D479" t="str">
            <v>개</v>
          </cell>
          <cell r="E479">
            <v>884</v>
          </cell>
          <cell r="F479">
            <v>0</v>
          </cell>
          <cell r="H479">
            <v>460</v>
          </cell>
          <cell r="I479">
            <v>884</v>
          </cell>
          <cell r="J479">
            <v>460</v>
          </cell>
          <cell r="L479">
            <v>460</v>
          </cell>
        </row>
        <row r="480">
          <cell r="A480">
            <v>3335</v>
          </cell>
          <cell r="B480" t="str">
            <v>백레듀샤 (나사식)</v>
          </cell>
          <cell r="C480" t="str">
            <v>40Ø</v>
          </cell>
          <cell r="D480" t="str">
            <v>개</v>
          </cell>
          <cell r="E480">
            <v>685</v>
          </cell>
          <cell r="F480">
            <v>0</v>
          </cell>
          <cell r="H480">
            <v>460</v>
          </cell>
          <cell r="I480">
            <v>685</v>
          </cell>
          <cell r="J480">
            <v>460</v>
          </cell>
          <cell r="L480">
            <v>460</v>
          </cell>
        </row>
        <row r="481">
          <cell r="A481">
            <v>3336</v>
          </cell>
          <cell r="B481" t="str">
            <v>백레듀샤 (나사식)</v>
          </cell>
          <cell r="C481" t="str">
            <v>32Ø</v>
          </cell>
          <cell r="D481" t="str">
            <v>개</v>
          </cell>
          <cell r="E481">
            <v>530</v>
          </cell>
          <cell r="F481">
            <v>0</v>
          </cell>
          <cell r="H481">
            <v>460</v>
          </cell>
          <cell r="I481">
            <v>530</v>
          </cell>
          <cell r="J481">
            <v>460</v>
          </cell>
          <cell r="L481">
            <v>460</v>
          </cell>
        </row>
        <row r="482">
          <cell r="A482">
            <v>3337</v>
          </cell>
          <cell r="B482" t="str">
            <v>백레듀샤 (나사식)</v>
          </cell>
          <cell r="C482" t="str">
            <v>25Ø</v>
          </cell>
          <cell r="D482" t="str">
            <v>개</v>
          </cell>
          <cell r="E482">
            <v>400</v>
          </cell>
          <cell r="F482">
            <v>0</v>
          </cell>
          <cell r="H482">
            <v>460</v>
          </cell>
          <cell r="I482">
            <v>400</v>
          </cell>
          <cell r="J482">
            <v>460</v>
          </cell>
          <cell r="L482">
            <v>460</v>
          </cell>
        </row>
        <row r="483">
          <cell r="A483">
            <v>3338</v>
          </cell>
          <cell r="B483" t="str">
            <v>백레듀샤 (나사식)</v>
          </cell>
          <cell r="C483" t="str">
            <v>20Ø</v>
          </cell>
          <cell r="D483" t="str">
            <v>개</v>
          </cell>
          <cell r="E483">
            <v>277</v>
          </cell>
          <cell r="F483">
            <v>0</v>
          </cell>
          <cell r="H483">
            <v>460</v>
          </cell>
          <cell r="I483">
            <v>277</v>
          </cell>
          <cell r="J483">
            <v>460</v>
          </cell>
          <cell r="L483">
            <v>460</v>
          </cell>
        </row>
        <row r="484">
          <cell r="A484">
            <v>3341</v>
          </cell>
          <cell r="B484" t="str">
            <v>백소켓 (나사식)</v>
          </cell>
          <cell r="C484" t="str">
            <v>80Ø</v>
          </cell>
          <cell r="D484" t="str">
            <v>개</v>
          </cell>
          <cell r="E484">
            <v>2633</v>
          </cell>
          <cell r="F484">
            <v>0</v>
          </cell>
          <cell r="H484">
            <v>460</v>
          </cell>
          <cell r="I484">
            <v>2633</v>
          </cell>
          <cell r="J484">
            <v>460</v>
          </cell>
          <cell r="L484">
            <v>460</v>
          </cell>
        </row>
        <row r="485">
          <cell r="A485">
            <v>3342</v>
          </cell>
          <cell r="B485" t="str">
            <v>백소켓 (나사식)</v>
          </cell>
          <cell r="C485" t="str">
            <v>65Ø</v>
          </cell>
          <cell r="D485" t="str">
            <v>개</v>
          </cell>
          <cell r="E485">
            <v>2103</v>
          </cell>
          <cell r="F485">
            <v>0</v>
          </cell>
          <cell r="H485">
            <v>460</v>
          </cell>
          <cell r="I485">
            <v>2103</v>
          </cell>
          <cell r="J485">
            <v>460</v>
          </cell>
          <cell r="L485">
            <v>460</v>
          </cell>
        </row>
        <row r="486">
          <cell r="A486">
            <v>3343</v>
          </cell>
          <cell r="B486" t="str">
            <v>백소켓 (나사식)</v>
          </cell>
          <cell r="C486" t="str">
            <v>50Ø</v>
          </cell>
          <cell r="D486" t="str">
            <v>개</v>
          </cell>
          <cell r="E486">
            <v>1197</v>
          </cell>
          <cell r="F486">
            <v>0</v>
          </cell>
          <cell r="H486">
            <v>460</v>
          </cell>
          <cell r="I486">
            <v>1197</v>
          </cell>
          <cell r="J486">
            <v>460</v>
          </cell>
          <cell r="L486">
            <v>460</v>
          </cell>
        </row>
        <row r="487">
          <cell r="A487">
            <v>3344</v>
          </cell>
          <cell r="B487" t="str">
            <v>백소켓 (나사식)</v>
          </cell>
          <cell r="C487" t="str">
            <v>40Ø</v>
          </cell>
          <cell r="D487" t="str">
            <v>개</v>
          </cell>
          <cell r="E487">
            <v>748</v>
          </cell>
          <cell r="F487">
            <v>0</v>
          </cell>
          <cell r="H487">
            <v>460</v>
          </cell>
          <cell r="I487">
            <v>748</v>
          </cell>
          <cell r="J487">
            <v>460</v>
          </cell>
          <cell r="L487">
            <v>460</v>
          </cell>
        </row>
        <row r="488">
          <cell r="A488">
            <v>3345</v>
          </cell>
          <cell r="B488" t="str">
            <v>백소켓 (나사식)</v>
          </cell>
          <cell r="C488" t="str">
            <v>32Ø</v>
          </cell>
          <cell r="D488" t="str">
            <v>개</v>
          </cell>
          <cell r="E488">
            <v>627</v>
          </cell>
          <cell r="F488">
            <v>0</v>
          </cell>
          <cell r="H488">
            <v>460</v>
          </cell>
          <cell r="I488">
            <v>627</v>
          </cell>
          <cell r="J488">
            <v>460</v>
          </cell>
          <cell r="L488">
            <v>460</v>
          </cell>
        </row>
        <row r="489">
          <cell r="A489">
            <v>3346</v>
          </cell>
          <cell r="B489" t="str">
            <v>백소켓 (나사식)</v>
          </cell>
          <cell r="C489" t="str">
            <v>25Ø</v>
          </cell>
          <cell r="D489" t="str">
            <v>개</v>
          </cell>
          <cell r="E489">
            <v>490</v>
          </cell>
          <cell r="F489">
            <v>0</v>
          </cell>
          <cell r="H489">
            <v>460</v>
          </cell>
          <cell r="I489">
            <v>490</v>
          </cell>
          <cell r="J489">
            <v>460</v>
          </cell>
          <cell r="L489">
            <v>460</v>
          </cell>
        </row>
        <row r="490">
          <cell r="A490">
            <v>3347</v>
          </cell>
          <cell r="B490" t="str">
            <v>백소켓 (나사식)</v>
          </cell>
          <cell r="C490" t="str">
            <v>20Ø</v>
          </cell>
          <cell r="D490" t="str">
            <v>개</v>
          </cell>
          <cell r="E490">
            <v>303</v>
          </cell>
          <cell r="F490">
            <v>0</v>
          </cell>
          <cell r="H490">
            <v>460</v>
          </cell>
          <cell r="I490">
            <v>303</v>
          </cell>
          <cell r="J490">
            <v>460</v>
          </cell>
          <cell r="L490">
            <v>460</v>
          </cell>
        </row>
        <row r="491">
          <cell r="A491">
            <v>3348</v>
          </cell>
          <cell r="B491" t="str">
            <v>백소켓 (나사식)</v>
          </cell>
          <cell r="C491" t="str">
            <v>15Ø</v>
          </cell>
          <cell r="D491" t="str">
            <v>개</v>
          </cell>
          <cell r="E491">
            <v>249</v>
          </cell>
          <cell r="F491">
            <v>0</v>
          </cell>
          <cell r="H491">
            <v>460</v>
          </cell>
          <cell r="I491">
            <v>249</v>
          </cell>
          <cell r="J491">
            <v>460</v>
          </cell>
          <cell r="L491">
            <v>460</v>
          </cell>
        </row>
        <row r="492">
          <cell r="A492">
            <v>3350</v>
          </cell>
          <cell r="B492" t="str">
            <v>백캡 (용접식)</v>
          </cell>
          <cell r="C492" t="str">
            <v>150Ø</v>
          </cell>
          <cell r="D492" t="str">
            <v>개</v>
          </cell>
          <cell r="E492">
            <v>8120</v>
          </cell>
          <cell r="F492">
            <v>0</v>
          </cell>
          <cell r="H492">
            <v>461</v>
          </cell>
          <cell r="I492">
            <v>8120</v>
          </cell>
          <cell r="J492">
            <v>461</v>
          </cell>
          <cell r="L492">
            <v>461</v>
          </cell>
        </row>
        <row r="493">
          <cell r="A493">
            <v>3351</v>
          </cell>
          <cell r="B493" t="str">
            <v>백캡 (용접식)</v>
          </cell>
          <cell r="C493" t="str">
            <v>100Ø</v>
          </cell>
          <cell r="D493" t="str">
            <v>개</v>
          </cell>
          <cell r="E493">
            <v>5600</v>
          </cell>
          <cell r="F493">
            <v>0</v>
          </cell>
          <cell r="H493">
            <v>461</v>
          </cell>
          <cell r="I493">
            <v>5600</v>
          </cell>
          <cell r="J493">
            <v>461</v>
          </cell>
          <cell r="L493">
            <v>461</v>
          </cell>
        </row>
        <row r="494">
          <cell r="A494">
            <v>3352</v>
          </cell>
          <cell r="B494" t="str">
            <v>백캡 (용접식)</v>
          </cell>
          <cell r="C494" t="str">
            <v>80Ø</v>
          </cell>
          <cell r="D494" t="str">
            <v>개</v>
          </cell>
          <cell r="E494">
            <v>3360</v>
          </cell>
          <cell r="F494">
            <v>0</v>
          </cell>
          <cell r="H494">
            <v>461</v>
          </cell>
          <cell r="I494">
            <v>3360</v>
          </cell>
          <cell r="J494">
            <v>461</v>
          </cell>
          <cell r="L494">
            <v>461</v>
          </cell>
        </row>
        <row r="495">
          <cell r="A495">
            <v>3353</v>
          </cell>
          <cell r="B495" t="str">
            <v>백캡 (용접식)</v>
          </cell>
          <cell r="C495" t="str">
            <v>65Ø</v>
          </cell>
          <cell r="D495" t="str">
            <v>개</v>
          </cell>
          <cell r="E495">
            <v>2450</v>
          </cell>
          <cell r="F495">
            <v>0</v>
          </cell>
          <cell r="H495">
            <v>461</v>
          </cell>
          <cell r="I495">
            <v>2450</v>
          </cell>
          <cell r="J495">
            <v>461</v>
          </cell>
          <cell r="L495">
            <v>461</v>
          </cell>
        </row>
        <row r="496">
          <cell r="A496">
            <v>3354</v>
          </cell>
          <cell r="B496" t="str">
            <v>백캡 (나사식)</v>
          </cell>
          <cell r="C496" t="str">
            <v>50Ø</v>
          </cell>
          <cell r="D496" t="str">
            <v>개</v>
          </cell>
          <cell r="E496">
            <v>1132</v>
          </cell>
          <cell r="F496">
            <v>0</v>
          </cell>
          <cell r="H496">
            <v>460</v>
          </cell>
          <cell r="I496">
            <v>1132</v>
          </cell>
          <cell r="J496">
            <v>460</v>
          </cell>
          <cell r="L496">
            <v>460</v>
          </cell>
        </row>
        <row r="497">
          <cell r="A497">
            <v>3355</v>
          </cell>
          <cell r="B497" t="str">
            <v>백캡 (나사식)</v>
          </cell>
          <cell r="C497" t="str">
            <v>40Ø</v>
          </cell>
          <cell r="D497" t="str">
            <v>개</v>
          </cell>
          <cell r="E497">
            <v>757</v>
          </cell>
          <cell r="F497">
            <v>0</v>
          </cell>
          <cell r="H497">
            <v>460</v>
          </cell>
          <cell r="I497">
            <v>757</v>
          </cell>
          <cell r="J497">
            <v>460</v>
          </cell>
          <cell r="L497">
            <v>460</v>
          </cell>
        </row>
        <row r="498">
          <cell r="A498">
            <v>3356</v>
          </cell>
          <cell r="B498" t="str">
            <v>백캡 (나사식)</v>
          </cell>
          <cell r="C498" t="str">
            <v>32Ø</v>
          </cell>
          <cell r="D498" t="str">
            <v>개</v>
          </cell>
          <cell r="E498">
            <v>571</v>
          </cell>
          <cell r="F498">
            <v>0</v>
          </cell>
          <cell r="H498">
            <v>460</v>
          </cell>
          <cell r="I498">
            <v>571</v>
          </cell>
          <cell r="J498">
            <v>460</v>
          </cell>
          <cell r="L498">
            <v>460</v>
          </cell>
        </row>
        <row r="499">
          <cell r="A499">
            <v>3357</v>
          </cell>
          <cell r="B499" t="str">
            <v>백캡 (나사식)</v>
          </cell>
          <cell r="C499" t="str">
            <v>25Ø</v>
          </cell>
          <cell r="D499" t="str">
            <v>개</v>
          </cell>
          <cell r="E499">
            <v>364</v>
          </cell>
          <cell r="F499">
            <v>0</v>
          </cell>
          <cell r="H499">
            <v>460</v>
          </cell>
          <cell r="I499">
            <v>364</v>
          </cell>
          <cell r="J499">
            <v>460</v>
          </cell>
          <cell r="L499">
            <v>460</v>
          </cell>
        </row>
        <row r="500">
          <cell r="A500">
            <v>3358</v>
          </cell>
          <cell r="B500" t="str">
            <v>백캡 (나사식)</v>
          </cell>
          <cell r="C500" t="str">
            <v>20Ø</v>
          </cell>
          <cell r="D500" t="str">
            <v>개</v>
          </cell>
          <cell r="E500">
            <v>304</v>
          </cell>
          <cell r="F500">
            <v>0</v>
          </cell>
          <cell r="H500">
            <v>460</v>
          </cell>
          <cell r="I500">
            <v>304</v>
          </cell>
          <cell r="J500">
            <v>460</v>
          </cell>
          <cell r="L500">
            <v>460</v>
          </cell>
        </row>
        <row r="501">
          <cell r="A501">
            <v>3359</v>
          </cell>
          <cell r="B501" t="str">
            <v>백캡 (나사식)</v>
          </cell>
          <cell r="C501" t="str">
            <v>15Ø</v>
          </cell>
          <cell r="D501" t="str">
            <v>개</v>
          </cell>
          <cell r="E501">
            <v>198</v>
          </cell>
          <cell r="F501">
            <v>0</v>
          </cell>
          <cell r="H501">
            <v>460</v>
          </cell>
          <cell r="I501">
            <v>198</v>
          </cell>
          <cell r="J501">
            <v>460</v>
          </cell>
          <cell r="L501">
            <v>460</v>
          </cell>
        </row>
        <row r="502">
          <cell r="A502">
            <v>3360</v>
          </cell>
          <cell r="B502" t="str">
            <v>용접 합 후렌지</v>
          </cell>
          <cell r="C502" t="str">
            <v>150Ø</v>
          </cell>
          <cell r="D502" t="str">
            <v>개</v>
          </cell>
          <cell r="E502">
            <v>16559</v>
          </cell>
          <cell r="F502">
            <v>13583</v>
          </cell>
          <cell r="H502">
            <v>0</v>
          </cell>
          <cell r="I502">
            <v>16559</v>
          </cell>
          <cell r="J502">
            <v>0</v>
          </cell>
          <cell r="L502">
            <v>0</v>
          </cell>
        </row>
        <row r="503">
          <cell r="A503">
            <v>3361</v>
          </cell>
          <cell r="B503" t="str">
            <v>용접 합 후렌지</v>
          </cell>
          <cell r="C503" t="str">
            <v>100Ø</v>
          </cell>
          <cell r="D503" t="str">
            <v>개</v>
          </cell>
          <cell r="E503">
            <v>11296</v>
          </cell>
          <cell r="F503">
            <v>10564</v>
          </cell>
          <cell r="H503">
            <v>0</v>
          </cell>
          <cell r="I503">
            <v>11296</v>
          </cell>
          <cell r="J503">
            <v>0</v>
          </cell>
          <cell r="L503">
            <v>0</v>
          </cell>
        </row>
        <row r="504">
          <cell r="A504">
            <v>3362</v>
          </cell>
          <cell r="B504" t="str">
            <v>용접 합 후렌지</v>
          </cell>
          <cell r="C504" t="str">
            <v>80Ø</v>
          </cell>
          <cell r="D504" t="str">
            <v>개</v>
          </cell>
          <cell r="E504">
            <v>10455</v>
          </cell>
          <cell r="F504">
            <v>9055</v>
          </cell>
          <cell r="H504">
            <v>0</v>
          </cell>
          <cell r="I504">
            <v>10455</v>
          </cell>
          <cell r="J504">
            <v>0</v>
          </cell>
          <cell r="L504">
            <v>0</v>
          </cell>
        </row>
        <row r="505">
          <cell r="A505">
            <v>3363</v>
          </cell>
          <cell r="B505" t="str">
            <v>용접 합 후렌지</v>
          </cell>
          <cell r="C505" t="str">
            <v>65Ø</v>
          </cell>
          <cell r="D505" t="str">
            <v>개</v>
          </cell>
          <cell r="E505">
            <v>5909</v>
          </cell>
          <cell r="F505">
            <v>8331</v>
          </cell>
          <cell r="H505">
            <v>0</v>
          </cell>
          <cell r="I505">
            <v>5909</v>
          </cell>
          <cell r="J505">
            <v>0</v>
          </cell>
          <cell r="L505">
            <v>0</v>
          </cell>
        </row>
        <row r="506">
          <cell r="A506">
            <v>3364</v>
          </cell>
          <cell r="B506" t="str">
            <v>백유니온 (나사식)</v>
          </cell>
          <cell r="C506" t="str">
            <v>50Ø</v>
          </cell>
          <cell r="D506" t="str">
            <v>개</v>
          </cell>
          <cell r="E506">
            <v>3701</v>
          </cell>
          <cell r="F506">
            <v>0</v>
          </cell>
          <cell r="H506">
            <v>460</v>
          </cell>
          <cell r="I506">
            <v>3701</v>
          </cell>
          <cell r="J506">
            <v>460</v>
          </cell>
          <cell r="L506">
            <v>460</v>
          </cell>
        </row>
        <row r="507">
          <cell r="A507">
            <v>3365</v>
          </cell>
          <cell r="B507" t="str">
            <v>백유니온 (나사식)</v>
          </cell>
          <cell r="C507" t="str">
            <v>40Ø</v>
          </cell>
          <cell r="D507" t="str">
            <v>개</v>
          </cell>
          <cell r="E507">
            <v>2876</v>
          </cell>
          <cell r="F507">
            <v>0</v>
          </cell>
          <cell r="H507">
            <v>460</v>
          </cell>
          <cell r="I507">
            <v>2876</v>
          </cell>
          <cell r="J507">
            <v>460</v>
          </cell>
          <cell r="L507">
            <v>460</v>
          </cell>
        </row>
        <row r="508">
          <cell r="A508">
            <v>3366</v>
          </cell>
          <cell r="B508" t="str">
            <v>백유니온 (나사식)</v>
          </cell>
          <cell r="C508" t="str">
            <v>32Ø</v>
          </cell>
          <cell r="D508" t="str">
            <v>개</v>
          </cell>
          <cell r="E508">
            <v>2223</v>
          </cell>
          <cell r="F508">
            <v>0</v>
          </cell>
          <cell r="H508">
            <v>460</v>
          </cell>
          <cell r="I508">
            <v>2223</v>
          </cell>
          <cell r="J508">
            <v>460</v>
          </cell>
          <cell r="L508">
            <v>460</v>
          </cell>
        </row>
        <row r="509">
          <cell r="A509">
            <v>3367</v>
          </cell>
          <cell r="B509" t="str">
            <v>백유니온 (나사식)</v>
          </cell>
          <cell r="C509" t="str">
            <v>25Ø</v>
          </cell>
          <cell r="D509" t="str">
            <v>개</v>
          </cell>
          <cell r="E509">
            <v>1754</v>
          </cell>
          <cell r="F509">
            <v>0</v>
          </cell>
          <cell r="H509">
            <v>460</v>
          </cell>
          <cell r="I509">
            <v>1754</v>
          </cell>
          <cell r="J509">
            <v>460</v>
          </cell>
          <cell r="L509">
            <v>460</v>
          </cell>
        </row>
        <row r="510">
          <cell r="A510">
            <v>3368</v>
          </cell>
          <cell r="B510" t="str">
            <v>백유니온 (나사식)</v>
          </cell>
          <cell r="C510" t="str">
            <v>20Ø</v>
          </cell>
          <cell r="D510" t="str">
            <v>개</v>
          </cell>
          <cell r="E510">
            <v>1253</v>
          </cell>
          <cell r="F510">
            <v>0</v>
          </cell>
          <cell r="H510">
            <v>460</v>
          </cell>
          <cell r="I510">
            <v>1253</v>
          </cell>
          <cell r="J510">
            <v>460</v>
          </cell>
          <cell r="L510">
            <v>460</v>
          </cell>
        </row>
        <row r="511">
          <cell r="A511">
            <v>3369</v>
          </cell>
          <cell r="B511" t="str">
            <v>백유니온 (나사식)</v>
          </cell>
          <cell r="C511" t="str">
            <v>15Ø</v>
          </cell>
          <cell r="D511" t="str">
            <v>개</v>
          </cell>
          <cell r="E511">
            <v>1149</v>
          </cell>
          <cell r="F511">
            <v>0</v>
          </cell>
          <cell r="H511">
            <v>460</v>
          </cell>
          <cell r="I511">
            <v>1149</v>
          </cell>
          <cell r="J511">
            <v>460</v>
          </cell>
          <cell r="L511">
            <v>460</v>
          </cell>
        </row>
        <row r="512">
          <cell r="A512">
            <v>3371</v>
          </cell>
          <cell r="B512" t="str">
            <v>백니플 (나사식)</v>
          </cell>
          <cell r="C512" t="str">
            <v>80Ø</v>
          </cell>
          <cell r="D512" t="str">
            <v>개</v>
          </cell>
          <cell r="E512">
            <v>2542</v>
          </cell>
          <cell r="F512">
            <v>0</v>
          </cell>
          <cell r="H512">
            <v>460</v>
          </cell>
          <cell r="I512">
            <v>2542</v>
          </cell>
          <cell r="J512">
            <v>460</v>
          </cell>
          <cell r="L512">
            <v>460</v>
          </cell>
        </row>
        <row r="513">
          <cell r="A513">
            <v>3372</v>
          </cell>
          <cell r="B513" t="str">
            <v>백니플 (나사식)</v>
          </cell>
          <cell r="C513" t="str">
            <v>65Ø</v>
          </cell>
          <cell r="D513" t="str">
            <v>개</v>
          </cell>
          <cell r="E513">
            <v>1699</v>
          </cell>
          <cell r="F513">
            <v>0</v>
          </cell>
          <cell r="H513">
            <v>460</v>
          </cell>
          <cell r="I513">
            <v>1699</v>
          </cell>
          <cell r="J513">
            <v>460</v>
          </cell>
          <cell r="L513">
            <v>460</v>
          </cell>
        </row>
        <row r="514">
          <cell r="A514">
            <v>3373</v>
          </cell>
          <cell r="B514" t="str">
            <v>백니플 (나사식)</v>
          </cell>
          <cell r="C514" t="str">
            <v>50Ø</v>
          </cell>
          <cell r="D514" t="str">
            <v>개</v>
          </cell>
          <cell r="E514">
            <v>1099</v>
          </cell>
          <cell r="F514">
            <v>0</v>
          </cell>
          <cell r="H514">
            <v>460</v>
          </cell>
          <cell r="I514">
            <v>1099</v>
          </cell>
          <cell r="J514">
            <v>460</v>
          </cell>
          <cell r="L514">
            <v>460</v>
          </cell>
        </row>
        <row r="515">
          <cell r="A515">
            <v>3374</v>
          </cell>
          <cell r="B515" t="str">
            <v>백니플 (나사식)</v>
          </cell>
          <cell r="C515" t="str">
            <v>40Ø</v>
          </cell>
          <cell r="D515" t="str">
            <v>개</v>
          </cell>
          <cell r="E515">
            <v>913</v>
          </cell>
          <cell r="F515">
            <v>0</v>
          </cell>
          <cell r="H515">
            <v>460</v>
          </cell>
          <cell r="I515">
            <v>913</v>
          </cell>
          <cell r="J515">
            <v>460</v>
          </cell>
          <cell r="L515">
            <v>460</v>
          </cell>
        </row>
        <row r="516">
          <cell r="A516">
            <v>3375</v>
          </cell>
          <cell r="B516" t="str">
            <v>백니플 (나사식)</v>
          </cell>
          <cell r="C516" t="str">
            <v>32Ø</v>
          </cell>
          <cell r="D516" t="str">
            <v>개</v>
          </cell>
          <cell r="E516">
            <v>644</v>
          </cell>
          <cell r="F516">
            <v>0</v>
          </cell>
          <cell r="H516">
            <v>460</v>
          </cell>
          <cell r="I516">
            <v>644</v>
          </cell>
          <cell r="J516">
            <v>460</v>
          </cell>
          <cell r="L516">
            <v>460</v>
          </cell>
        </row>
        <row r="517">
          <cell r="A517">
            <v>3376</v>
          </cell>
          <cell r="B517" t="str">
            <v>백니플 (나사식)</v>
          </cell>
          <cell r="C517" t="str">
            <v>25Ø</v>
          </cell>
          <cell r="D517" t="str">
            <v>개</v>
          </cell>
          <cell r="E517">
            <v>505</v>
          </cell>
          <cell r="F517">
            <v>0</v>
          </cell>
          <cell r="H517">
            <v>460</v>
          </cell>
          <cell r="I517">
            <v>505</v>
          </cell>
          <cell r="J517">
            <v>460</v>
          </cell>
          <cell r="L517">
            <v>460</v>
          </cell>
        </row>
        <row r="518">
          <cell r="A518">
            <v>3377</v>
          </cell>
          <cell r="B518" t="str">
            <v>백니플 (나사식)</v>
          </cell>
          <cell r="C518" t="str">
            <v>20Ø</v>
          </cell>
          <cell r="D518" t="str">
            <v>개</v>
          </cell>
          <cell r="E518">
            <v>353</v>
          </cell>
          <cell r="F518">
            <v>0</v>
          </cell>
          <cell r="H518">
            <v>460</v>
          </cell>
          <cell r="I518">
            <v>353</v>
          </cell>
          <cell r="J518">
            <v>460</v>
          </cell>
          <cell r="L518">
            <v>460</v>
          </cell>
        </row>
        <row r="519">
          <cell r="A519">
            <v>3378</v>
          </cell>
          <cell r="B519" t="str">
            <v>백니플 (나사식)</v>
          </cell>
          <cell r="C519" t="str">
            <v>15Ø</v>
          </cell>
          <cell r="D519" t="str">
            <v>개</v>
          </cell>
          <cell r="E519">
            <v>305</v>
          </cell>
          <cell r="F519">
            <v>0</v>
          </cell>
          <cell r="H519">
            <v>460</v>
          </cell>
          <cell r="I519">
            <v>305</v>
          </cell>
          <cell r="J519">
            <v>460</v>
          </cell>
          <cell r="L519">
            <v>460</v>
          </cell>
        </row>
        <row r="542">
          <cell r="A542">
            <v>3400</v>
          </cell>
          <cell r="B542" t="str">
            <v>흑강관</v>
          </cell>
          <cell r="C542" t="str">
            <v>150Ø</v>
          </cell>
          <cell r="D542" t="str">
            <v>M</v>
          </cell>
          <cell r="E542">
            <v>9755</v>
          </cell>
          <cell r="F542">
            <v>0</v>
          </cell>
          <cell r="H542">
            <v>458</v>
          </cell>
          <cell r="I542">
            <v>9755</v>
          </cell>
          <cell r="J542">
            <v>458</v>
          </cell>
          <cell r="L542">
            <v>458</v>
          </cell>
        </row>
        <row r="543">
          <cell r="A543">
            <v>3401</v>
          </cell>
          <cell r="B543" t="str">
            <v>흑강관</v>
          </cell>
          <cell r="C543" t="str">
            <v>100Ø</v>
          </cell>
          <cell r="D543" t="str">
            <v>M</v>
          </cell>
          <cell r="E543">
            <v>5962</v>
          </cell>
          <cell r="F543">
            <v>0</v>
          </cell>
          <cell r="H543">
            <v>458</v>
          </cell>
          <cell r="I543">
            <v>5962</v>
          </cell>
          <cell r="J543">
            <v>458</v>
          </cell>
          <cell r="L543">
            <v>458</v>
          </cell>
        </row>
        <row r="544">
          <cell r="A544">
            <v>3402</v>
          </cell>
          <cell r="B544" t="str">
            <v>흑강관</v>
          </cell>
          <cell r="C544" t="str">
            <v>80Ø</v>
          </cell>
          <cell r="D544" t="str">
            <v>M</v>
          </cell>
          <cell r="E544">
            <v>4173</v>
          </cell>
          <cell r="F544">
            <v>0</v>
          </cell>
          <cell r="H544">
            <v>458</v>
          </cell>
          <cell r="I544">
            <v>4173</v>
          </cell>
          <cell r="J544">
            <v>458</v>
          </cell>
          <cell r="L544">
            <v>458</v>
          </cell>
        </row>
        <row r="545">
          <cell r="A545">
            <v>3403</v>
          </cell>
          <cell r="B545" t="str">
            <v>흑강관</v>
          </cell>
          <cell r="C545" t="str">
            <v>65Ø</v>
          </cell>
          <cell r="D545" t="str">
            <v>M</v>
          </cell>
          <cell r="E545">
            <v>3223</v>
          </cell>
          <cell r="F545">
            <v>0</v>
          </cell>
          <cell r="H545">
            <v>458</v>
          </cell>
          <cell r="I545">
            <v>3223</v>
          </cell>
          <cell r="J545">
            <v>458</v>
          </cell>
          <cell r="L545">
            <v>458</v>
          </cell>
        </row>
        <row r="546">
          <cell r="A546">
            <v>3404</v>
          </cell>
          <cell r="B546" t="str">
            <v>흑강관</v>
          </cell>
          <cell r="C546" t="str">
            <v>50Ø</v>
          </cell>
          <cell r="D546" t="str">
            <v>M</v>
          </cell>
          <cell r="E546">
            <v>2530</v>
          </cell>
          <cell r="F546">
            <v>0</v>
          </cell>
          <cell r="H546">
            <v>458</v>
          </cell>
          <cell r="I546">
            <v>2530</v>
          </cell>
          <cell r="J546">
            <v>458</v>
          </cell>
          <cell r="L546">
            <v>458</v>
          </cell>
        </row>
        <row r="547">
          <cell r="A547">
            <v>3405</v>
          </cell>
          <cell r="B547" t="str">
            <v>흑강관</v>
          </cell>
          <cell r="C547" t="str">
            <v>40Ø</v>
          </cell>
          <cell r="D547" t="str">
            <v>M</v>
          </cell>
          <cell r="E547">
            <v>1794</v>
          </cell>
          <cell r="F547">
            <v>0</v>
          </cell>
          <cell r="H547">
            <v>458</v>
          </cell>
          <cell r="I547">
            <v>1794</v>
          </cell>
          <cell r="J547">
            <v>458</v>
          </cell>
          <cell r="L547">
            <v>458</v>
          </cell>
        </row>
        <row r="548">
          <cell r="A548">
            <v>3406</v>
          </cell>
          <cell r="B548" t="str">
            <v>흑강관</v>
          </cell>
          <cell r="C548" t="str">
            <v>32Ø</v>
          </cell>
          <cell r="D548" t="str">
            <v>M</v>
          </cell>
          <cell r="E548">
            <v>1553</v>
          </cell>
          <cell r="F548">
            <v>0</v>
          </cell>
          <cell r="H548">
            <v>458</v>
          </cell>
          <cell r="I548">
            <v>1553</v>
          </cell>
          <cell r="J548">
            <v>458</v>
          </cell>
          <cell r="L548">
            <v>458</v>
          </cell>
        </row>
        <row r="549">
          <cell r="A549">
            <v>3407</v>
          </cell>
          <cell r="B549" t="str">
            <v>흑강관</v>
          </cell>
          <cell r="C549" t="str">
            <v>25Ø</v>
          </cell>
          <cell r="D549" t="str">
            <v>M</v>
          </cell>
          <cell r="E549">
            <v>1233</v>
          </cell>
          <cell r="F549">
            <v>0</v>
          </cell>
          <cell r="H549">
            <v>458</v>
          </cell>
          <cell r="I549">
            <v>1233</v>
          </cell>
          <cell r="J549">
            <v>458</v>
          </cell>
          <cell r="L549">
            <v>458</v>
          </cell>
        </row>
        <row r="550">
          <cell r="A550">
            <v>3408</v>
          </cell>
          <cell r="B550" t="str">
            <v>흑강관</v>
          </cell>
          <cell r="C550" t="str">
            <v>20Ø</v>
          </cell>
          <cell r="D550" t="str">
            <v>M</v>
          </cell>
          <cell r="E550">
            <v>821</v>
          </cell>
          <cell r="F550">
            <v>0</v>
          </cell>
          <cell r="H550">
            <v>458</v>
          </cell>
          <cell r="I550">
            <v>821</v>
          </cell>
          <cell r="J550">
            <v>458</v>
          </cell>
          <cell r="L550">
            <v>458</v>
          </cell>
        </row>
        <row r="551">
          <cell r="A551">
            <v>3409</v>
          </cell>
          <cell r="B551" t="str">
            <v>흑강관</v>
          </cell>
          <cell r="C551" t="str">
            <v>15Ø</v>
          </cell>
          <cell r="D551" t="str">
            <v>M</v>
          </cell>
          <cell r="E551">
            <v>672</v>
          </cell>
          <cell r="F551">
            <v>0</v>
          </cell>
          <cell r="H551">
            <v>458</v>
          </cell>
          <cell r="I551">
            <v>672</v>
          </cell>
          <cell r="J551">
            <v>458</v>
          </cell>
          <cell r="L551">
            <v>458</v>
          </cell>
        </row>
        <row r="552">
          <cell r="A552">
            <v>3410</v>
          </cell>
          <cell r="B552" t="str">
            <v>흑엘보 (용접식)</v>
          </cell>
          <cell r="C552" t="str">
            <v>150Ø</v>
          </cell>
          <cell r="D552" t="str">
            <v>개</v>
          </cell>
          <cell r="E552">
            <v>13300</v>
          </cell>
          <cell r="F552">
            <v>0</v>
          </cell>
          <cell r="H552">
            <v>465</v>
          </cell>
          <cell r="I552">
            <v>13300</v>
          </cell>
          <cell r="J552">
            <v>465</v>
          </cell>
          <cell r="L552">
            <v>465</v>
          </cell>
        </row>
        <row r="553">
          <cell r="A553">
            <v>3411</v>
          </cell>
          <cell r="B553" t="str">
            <v>흑엘보 (용접식)</v>
          </cell>
          <cell r="C553" t="str">
            <v>100Ø</v>
          </cell>
          <cell r="D553" t="str">
            <v>개</v>
          </cell>
          <cell r="E553">
            <v>5110</v>
          </cell>
          <cell r="F553">
            <v>0</v>
          </cell>
          <cell r="H553">
            <v>465</v>
          </cell>
          <cell r="I553">
            <v>5110</v>
          </cell>
          <cell r="J553">
            <v>465</v>
          </cell>
          <cell r="L553">
            <v>465</v>
          </cell>
        </row>
        <row r="554">
          <cell r="A554">
            <v>3412</v>
          </cell>
          <cell r="B554" t="str">
            <v>흑엘보 (용접식)</v>
          </cell>
          <cell r="C554" t="str">
            <v>80Ø</v>
          </cell>
          <cell r="D554" t="str">
            <v>개</v>
          </cell>
          <cell r="E554">
            <v>3080</v>
          </cell>
          <cell r="F554">
            <v>0</v>
          </cell>
          <cell r="H554">
            <v>463</v>
          </cell>
          <cell r="I554">
            <v>3080</v>
          </cell>
          <cell r="J554">
            <v>463</v>
          </cell>
          <cell r="L554">
            <v>463</v>
          </cell>
        </row>
        <row r="555">
          <cell r="A555">
            <v>3413</v>
          </cell>
          <cell r="B555" t="str">
            <v>흑엘보 (용접식)</v>
          </cell>
          <cell r="C555" t="str">
            <v>65Ø</v>
          </cell>
          <cell r="D555" t="str">
            <v>개</v>
          </cell>
          <cell r="E555">
            <v>2310</v>
          </cell>
          <cell r="F555">
            <v>0</v>
          </cell>
          <cell r="H555">
            <v>463</v>
          </cell>
          <cell r="I555">
            <v>2310</v>
          </cell>
          <cell r="J555">
            <v>463</v>
          </cell>
          <cell r="L555">
            <v>463</v>
          </cell>
        </row>
        <row r="556">
          <cell r="A556">
            <v>3414</v>
          </cell>
          <cell r="B556" t="str">
            <v>흑엘보 (나사식)</v>
          </cell>
          <cell r="C556" t="str">
            <v>50Ø</v>
          </cell>
          <cell r="D556" t="str">
            <v>개</v>
          </cell>
          <cell r="E556">
            <v>1363</v>
          </cell>
          <cell r="F556">
            <v>0</v>
          </cell>
          <cell r="H556">
            <v>463</v>
          </cell>
          <cell r="I556">
            <v>1363</v>
          </cell>
          <cell r="J556">
            <v>463</v>
          </cell>
          <cell r="L556">
            <v>463</v>
          </cell>
        </row>
        <row r="557">
          <cell r="A557">
            <v>3415</v>
          </cell>
          <cell r="B557" t="str">
            <v>흑엘보 (나사식)</v>
          </cell>
          <cell r="C557" t="str">
            <v>40Ø</v>
          </cell>
          <cell r="D557" t="str">
            <v>개</v>
          </cell>
          <cell r="E557">
            <v>868</v>
          </cell>
          <cell r="F557">
            <v>0</v>
          </cell>
          <cell r="H557">
            <v>463</v>
          </cell>
          <cell r="I557">
            <v>868</v>
          </cell>
          <cell r="J557">
            <v>463</v>
          </cell>
          <cell r="L557">
            <v>463</v>
          </cell>
        </row>
        <row r="558">
          <cell r="A558">
            <v>3416</v>
          </cell>
          <cell r="B558" t="str">
            <v>흑엘보 (나사식)</v>
          </cell>
          <cell r="C558" t="str">
            <v>32Ø</v>
          </cell>
          <cell r="D558" t="str">
            <v>개</v>
          </cell>
          <cell r="E558">
            <v>732</v>
          </cell>
          <cell r="F558">
            <v>0</v>
          </cell>
          <cell r="H558">
            <v>463</v>
          </cell>
          <cell r="I558">
            <v>732</v>
          </cell>
          <cell r="J558">
            <v>463</v>
          </cell>
          <cell r="L558">
            <v>463</v>
          </cell>
        </row>
        <row r="559">
          <cell r="A559">
            <v>3417</v>
          </cell>
          <cell r="B559" t="str">
            <v>흑엘보 (나사식)</v>
          </cell>
          <cell r="C559" t="str">
            <v>25Ø</v>
          </cell>
          <cell r="D559" t="str">
            <v>개</v>
          </cell>
          <cell r="E559">
            <v>475</v>
          </cell>
          <cell r="F559">
            <v>0</v>
          </cell>
          <cell r="H559">
            <v>463</v>
          </cell>
          <cell r="I559">
            <v>475</v>
          </cell>
          <cell r="J559">
            <v>463</v>
          </cell>
          <cell r="L559">
            <v>463</v>
          </cell>
        </row>
        <row r="560">
          <cell r="A560">
            <v>3418</v>
          </cell>
          <cell r="B560" t="str">
            <v>흑엘보 (나사식)</v>
          </cell>
          <cell r="C560" t="str">
            <v>20Ø</v>
          </cell>
          <cell r="D560" t="str">
            <v>개</v>
          </cell>
          <cell r="E560">
            <v>299</v>
          </cell>
          <cell r="F560">
            <v>0</v>
          </cell>
          <cell r="H560">
            <v>463</v>
          </cell>
          <cell r="I560">
            <v>299</v>
          </cell>
          <cell r="J560">
            <v>463</v>
          </cell>
          <cell r="L560">
            <v>463</v>
          </cell>
        </row>
        <row r="561">
          <cell r="A561">
            <v>3419</v>
          </cell>
          <cell r="B561" t="str">
            <v>흑엘보 (나사식)</v>
          </cell>
          <cell r="C561" t="str">
            <v>15Ø</v>
          </cell>
          <cell r="D561" t="str">
            <v>개</v>
          </cell>
          <cell r="E561">
            <v>200</v>
          </cell>
          <cell r="F561">
            <v>0</v>
          </cell>
          <cell r="H561">
            <v>463</v>
          </cell>
          <cell r="I561">
            <v>200</v>
          </cell>
          <cell r="J561">
            <v>463</v>
          </cell>
          <cell r="L561">
            <v>463</v>
          </cell>
        </row>
        <row r="562">
          <cell r="A562">
            <v>3420</v>
          </cell>
          <cell r="B562" t="str">
            <v>흑티 (용접식)</v>
          </cell>
          <cell r="C562" t="str">
            <v>150Ø</v>
          </cell>
          <cell r="D562" t="str">
            <v>개</v>
          </cell>
          <cell r="E562">
            <v>17500</v>
          </cell>
          <cell r="F562">
            <v>0</v>
          </cell>
          <cell r="H562">
            <v>465</v>
          </cell>
          <cell r="I562">
            <v>17500</v>
          </cell>
          <cell r="J562">
            <v>465</v>
          </cell>
          <cell r="L562">
            <v>465</v>
          </cell>
        </row>
        <row r="563">
          <cell r="A563">
            <v>3421</v>
          </cell>
          <cell r="B563" t="str">
            <v>흑티 (용접식)</v>
          </cell>
          <cell r="C563" t="str">
            <v>100Ø</v>
          </cell>
          <cell r="D563" t="str">
            <v>개</v>
          </cell>
          <cell r="E563">
            <v>7280</v>
          </cell>
          <cell r="F563">
            <v>0</v>
          </cell>
          <cell r="H563">
            <v>465</v>
          </cell>
          <cell r="I563">
            <v>7280</v>
          </cell>
          <cell r="J563">
            <v>465</v>
          </cell>
          <cell r="L563">
            <v>465</v>
          </cell>
        </row>
        <row r="564">
          <cell r="A564">
            <v>3422</v>
          </cell>
          <cell r="B564" t="str">
            <v>흑티 (용접식)</v>
          </cell>
          <cell r="C564" t="str">
            <v>80Ø</v>
          </cell>
          <cell r="D564" t="str">
            <v>개</v>
          </cell>
          <cell r="E564">
            <v>4620</v>
          </cell>
          <cell r="F564">
            <v>0</v>
          </cell>
          <cell r="H564">
            <v>463</v>
          </cell>
          <cell r="I564">
            <v>4620</v>
          </cell>
          <cell r="J564">
            <v>463</v>
          </cell>
          <cell r="L564">
            <v>463</v>
          </cell>
        </row>
        <row r="565">
          <cell r="A565">
            <v>3423</v>
          </cell>
          <cell r="B565" t="str">
            <v>흑티 (용접식)</v>
          </cell>
          <cell r="C565" t="str">
            <v>65Ø</v>
          </cell>
          <cell r="D565" t="str">
            <v>개</v>
          </cell>
          <cell r="E565">
            <v>3360</v>
          </cell>
          <cell r="F565">
            <v>0</v>
          </cell>
          <cell r="H565">
            <v>463</v>
          </cell>
          <cell r="I565">
            <v>3360</v>
          </cell>
          <cell r="J565">
            <v>463</v>
          </cell>
          <cell r="L565">
            <v>463</v>
          </cell>
        </row>
        <row r="566">
          <cell r="A566">
            <v>3424</v>
          </cell>
          <cell r="B566" t="str">
            <v>흑티 (나사식)</v>
          </cell>
          <cell r="C566" t="str">
            <v>50Ø</v>
          </cell>
          <cell r="D566" t="str">
            <v>개</v>
          </cell>
          <cell r="E566">
            <v>1778</v>
          </cell>
          <cell r="F566">
            <v>0</v>
          </cell>
          <cell r="H566">
            <v>463</v>
          </cell>
          <cell r="I566">
            <v>1778</v>
          </cell>
          <cell r="J566">
            <v>463</v>
          </cell>
          <cell r="L566">
            <v>463</v>
          </cell>
        </row>
        <row r="567">
          <cell r="A567">
            <v>3437</v>
          </cell>
          <cell r="B567" t="str">
            <v>흑티 (나사식)</v>
          </cell>
          <cell r="C567" t="str">
            <v>40Ø</v>
          </cell>
          <cell r="D567" t="str">
            <v>개</v>
          </cell>
          <cell r="E567">
            <v>1218</v>
          </cell>
          <cell r="F567">
            <v>0</v>
          </cell>
          <cell r="H567">
            <v>463</v>
          </cell>
          <cell r="I567">
            <v>1218</v>
          </cell>
          <cell r="J567">
            <v>463</v>
          </cell>
          <cell r="L567">
            <v>463</v>
          </cell>
        </row>
        <row r="568">
          <cell r="A568">
            <v>3426</v>
          </cell>
          <cell r="B568" t="str">
            <v>흑티 (나사식)</v>
          </cell>
          <cell r="C568" t="str">
            <v>32Ø</v>
          </cell>
          <cell r="D568" t="str">
            <v>개</v>
          </cell>
          <cell r="E568">
            <v>911</v>
          </cell>
          <cell r="F568">
            <v>0</v>
          </cell>
          <cell r="H568">
            <v>463</v>
          </cell>
          <cell r="I568">
            <v>911</v>
          </cell>
          <cell r="J568">
            <v>463</v>
          </cell>
          <cell r="L568">
            <v>463</v>
          </cell>
        </row>
        <row r="569">
          <cell r="A569">
            <v>3427</v>
          </cell>
          <cell r="B569" t="str">
            <v>흑티 (나사식)</v>
          </cell>
          <cell r="C569" t="str">
            <v>25Ø</v>
          </cell>
          <cell r="D569" t="str">
            <v>개</v>
          </cell>
          <cell r="E569">
            <v>661</v>
          </cell>
          <cell r="F569">
            <v>0</v>
          </cell>
          <cell r="H569">
            <v>463</v>
          </cell>
          <cell r="I569">
            <v>661</v>
          </cell>
          <cell r="J569">
            <v>463</v>
          </cell>
          <cell r="L569">
            <v>463</v>
          </cell>
        </row>
        <row r="570">
          <cell r="A570">
            <v>3428</v>
          </cell>
          <cell r="B570" t="str">
            <v>흑티 (나사식)</v>
          </cell>
          <cell r="C570" t="str">
            <v>20Ø</v>
          </cell>
          <cell r="D570" t="str">
            <v>개</v>
          </cell>
          <cell r="E570">
            <v>440</v>
          </cell>
          <cell r="F570">
            <v>0</v>
          </cell>
          <cell r="H570">
            <v>463</v>
          </cell>
          <cell r="I570">
            <v>440</v>
          </cell>
          <cell r="J570">
            <v>463</v>
          </cell>
          <cell r="L570">
            <v>463</v>
          </cell>
        </row>
        <row r="571">
          <cell r="A571">
            <v>3429</v>
          </cell>
          <cell r="B571" t="str">
            <v>흑티 (나사식)</v>
          </cell>
          <cell r="C571" t="str">
            <v>15Ø</v>
          </cell>
          <cell r="D571" t="str">
            <v>개</v>
          </cell>
          <cell r="E571">
            <v>302</v>
          </cell>
          <cell r="F571">
            <v>0</v>
          </cell>
          <cell r="H571">
            <v>463</v>
          </cell>
          <cell r="I571">
            <v>302</v>
          </cell>
          <cell r="J571">
            <v>463</v>
          </cell>
          <cell r="L571">
            <v>463</v>
          </cell>
        </row>
        <row r="572">
          <cell r="A572">
            <v>3430</v>
          </cell>
          <cell r="B572" t="str">
            <v>흑레듀샤 (용접식)</v>
          </cell>
          <cell r="C572" t="str">
            <v>150Ø</v>
          </cell>
          <cell r="D572" t="str">
            <v>개</v>
          </cell>
          <cell r="E572">
            <v>16100</v>
          </cell>
          <cell r="F572">
            <v>0</v>
          </cell>
          <cell r="H572">
            <v>465</v>
          </cell>
          <cell r="I572">
            <v>16100</v>
          </cell>
          <cell r="J572">
            <v>465</v>
          </cell>
          <cell r="L572">
            <v>465</v>
          </cell>
        </row>
        <row r="573">
          <cell r="A573">
            <v>3431</v>
          </cell>
          <cell r="B573" t="str">
            <v>흑레듀샤 (용접식)</v>
          </cell>
          <cell r="C573" t="str">
            <v>100Ø</v>
          </cell>
          <cell r="D573" t="str">
            <v>개</v>
          </cell>
          <cell r="E573">
            <v>6440</v>
          </cell>
          <cell r="F573">
            <v>0</v>
          </cell>
          <cell r="H573">
            <v>465</v>
          </cell>
          <cell r="I573">
            <v>6440</v>
          </cell>
          <cell r="J573">
            <v>465</v>
          </cell>
          <cell r="L573">
            <v>465</v>
          </cell>
        </row>
        <row r="574">
          <cell r="A574">
            <v>3432</v>
          </cell>
          <cell r="B574" t="str">
            <v>흑레듀샤 (용접식)</v>
          </cell>
          <cell r="C574" t="str">
            <v>80Ø</v>
          </cell>
          <cell r="D574" t="str">
            <v>개</v>
          </cell>
          <cell r="E574">
            <v>4200</v>
          </cell>
          <cell r="F574">
            <v>0</v>
          </cell>
          <cell r="H574">
            <v>463</v>
          </cell>
          <cell r="I574">
            <v>4200</v>
          </cell>
          <cell r="J574">
            <v>463</v>
          </cell>
          <cell r="L574">
            <v>463</v>
          </cell>
        </row>
        <row r="575">
          <cell r="A575">
            <v>3433</v>
          </cell>
          <cell r="B575" t="str">
            <v>흑레듀샤 (용접식)</v>
          </cell>
          <cell r="C575" t="str">
            <v>65Ø</v>
          </cell>
          <cell r="D575" t="str">
            <v>개</v>
          </cell>
          <cell r="E575">
            <v>3520</v>
          </cell>
          <cell r="F575">
            <v>0</v>
          </cell>
          <cell r="H575">
            <v>463</v>
          </cell>
          <cell r="I575">
            <v>3520</v>
          </cell>
          <cell r="J575">
            <v>463</v>
          </cell>
          <cell r="L575">
            <v>463</v>
          </cell>
        </row>
        <row r="576">
          <cell r="A576">
            <v>3434</v>
          </cell>
          <cell r="B576" t="str">
            <v>흑레듀샤 (나사식)</v>
          </cell>
          <cell r="C576" t="str">
            <v>50Ø</v>
          </cell>
          <cell r="D576" t="str">
            <v>개</v>
          </cell>
          <cell r="E576">
            <v>884</v>
          </cell>
          <cell r="F576">
            <v>0</v>
          </cell>
          <cell r="H576">
            <v>463</v>
          </cell>
          <cell r="I576">
            <v>884</v>
          </cell>
          <cell r="J576">
            <v>463</v>
          </cell>
          <cell r="L576">
            <v>463</v>
          </cell>
        </row>
        <row r="577">
          <cell r="A577">
            <v>3435</v>
          </cell>
          <cell r="B577" t="str">
            <v>흑레듀샤 (나사식)</v>
          </cell>
          <cell r="C577" t="str">
            <v>40Ø</v>
          </cell>
          <cell r="D577" t="str">
            <v>개</v>
          </cell>
          <cell r="E577">
            <v>685</v>
          </cell>
          <cell r="F577">
            <v>0</v>
          </cell>
          <cell r="H577">
            <v>463</v>
          </cell>
          <cell r="I577">
            <v>685</v>
          </cell>
          <cell r="J577">
            <v>463</v>
          </cell>
          <cell r="L577">
            <v>463</v>
          </cell>
        </row>
        <row r="578">
          <cell r="A578">
            <v>3436</v>
          </cell>
          <cell r="B578" t="str">
            <v>흑레듀샤 (나사식)</v>
          </cell>
          <cell r="C578" t="str">
            <v>32Ø</v>
          </cell>
          <cell r="D578" t="str">
            <v>개</v>
          </cell>
          <cell r="E578">
            <v>530</v>
          </cell>
          <cell r="F578">
            <v>0</v>
          </cell>
          <cell r="H578">
            <v>463</v>
          </cell>
          <cell r="I578">
            <v>530</v>
          </cell>
          <cell r="J578">
            <v>463</v>
          </cell>
          <cell r="L578">
            <v>463</v>
          </cell>
        </row>
        <row r="579">
          <cell r="A579">
            <v>3437</v>
          </cell>
          <cell r="B579" t="str">
            <v>흑레듀샤 (나사식)</v>
          </cell>
          <cell r="C579" t="str">
            <v>25Ø</v>
          </cell>
          <cell r="D579" t="str">
            <v>개</v>
          </cell>
          <cell r="E579">
            <v>400</v>
          </cell>
          <cell r="F579">
            <v>0</v>
          </cell>
          <cell r="H579">
            <v>463</v>
          </cell>
          <cell r="I579">
            <v>400</v>
          </cell>
          <cell r="J579">
            <v>463</v>
          </cell>
          <cell r="L579">
            <v>463</v>
          </cell>
        </row>
        <row r="580">
          <cell r="A580">
            <v>3438</v>
          </cell>
          <cell r="B580" t="str">
            <v>흑레듀샤 (나사식)</v>
          </cell>
          <cell r="C580" t="str">
            <v>20Ø</v>
          </cell>
          <cell r="D580" t="str">
            <v>개</v>
          </cell>
          <cell r="E580">
            <v>277</v>
          </cell>
          <cell r="F580">
            <v>0</v>
          </cell>
          <cell r="H580">
            <v>463</v>
          </cell>
          <cell r="I580">
            <v>277</v>
          </cell>
          <cell r="J580">
            <v>463</v>
          </cell>
          <cell r="L580">
            <v>463</v>
          </cell>
        </row>
        <row r="581">
          <cell r="A581">
            <v>3441</v>
          </cell>
          <cell r="B581" t="str">
            <v>흑소켓 (나사식)</v>
          </cell>
          <cell r="C581" t="str">
            <v>80Ø</v>
          </cell>
          <cell r="D581" t="str">
            <v>개</v>
          </cell>
          <cell r="E581">
            <v>2026</v>
          </cell>
          <cell r="F581">
            <v>0</v>
          </cell>
          <cell r="H581">
            <v>463</v>
          </cell>
          <cell r="I581">
            <v>2026</v>
          </cell>
          <cell r="J581">
            <v>463</v>
          </cell>
          <cell r="L581">
            <v>463</v>
          </cell>
        </row>
        <row r="582">
          <cell r="A582">
            <v>3442</v>
          </cell>
          <cell r="B582" t="str">
            <v>흑소켓 (나사식)</v>
          </cell>
          <cell r="C582" t="str">
            <v>65Ø</v>
          </cell>
          <cell r="D582" t="str">
            <v>개</v>
          </cell>
          <cell r="E582">
            <v>1617</v>
          </cell>
          <cell r="F582">
            <v>0</v>
          </cell>
          <cell r="H582">
            <v>463</v>
          </cell>
          <cell r="I582">
            <v>1617</v>
          </cell>
          <cell r="J582">
            <v>463</v>
          </cell>
          <cell r="L582">
            <v>463</v>
          </cell>
        </row>
        <row r="583">
          <cell r="A583">
            <v>3443</v>
          </cell>
          <cell r="B583" t="str">
            <v>흑소켓 (나사식)</v>
          </cell>
          <cell r="C583" t="str">
            <v>50Ø</v>
          </cell>
          <cell r="D583" t="str">
            <v>개</v>
          </cell>
          <cell r="E583">
            <v>917</v>
          </cell>
          <cell r="F583">
            <v>0</v>
          </cell>
          <cell r="H583">
            <v>463</v>
          </cell>
          <cell r="I583">
            <v>917</v>
          </cell>
          <cell r="J583">
            <v>463</v>
          </cell>
          <cell r="L583">
            <v>463</v>
          </cell>
        </row>
        <row r="584">
          <cell r="A584">
            <v>3444</v>
          </cell>
          <cell r="B584" t="str">
            <v>흑소켓 (나사식)</v>
          </cell>
          <cell r="C584" t="str">
            <v>40Ø</v>
          </cell>
          <cell r="D584" t="str">
            <v>개</v>
          </cell>
          <cell r="E584">
            <v>576</v>
          </cell>
          <cell r="F584">
            <v>0</v>
          </cell>
          <cell r="H584">
            <v>463</v>
          </cell>
          <cell r="I584">
            <v>576</v>
          </cell>
          <cell r="J584">
            <v>463</v>
          </cell>
          <cell r="L584">
            <v>463</v>
          </cell>
        </row>
        <row r="585">
          <cell r="A585">
            <v>3445</v>
          </cell>
          <cell r="B585" t="str">
            <v>흑소켓 (나사식)</v>
          </cell>
          <cell r="C585" t="str">
            <v>32Ø</v>
          </cell>
          <cell r="D585" t="str">
            <v>개</v>
          </cell>
          <cell r="E585">
            <v>483</v>
          </cell>
          <cell r="F585">
            <v>0</v>
          </cell>
          <cell r="H585">
            <v>463</v>
          </cell>
          <cell r="I585">
            <v>483</v>
          </cell>
          <cell r="J585">
            <v>463</v>
          </cell>
          <cell r="L585">
            <v>463</v>
          </cell>
        </row>
        <row r="586">
          <cell r="A586">
            <v>3446</v>
          </cell>
          <cell r="B586" t="str">
            <v>흑소켓 (나사식)</v>
          </cell>
          <cell r="C586" t="str">
            <v>25Ø</v>
          </cell>
          <cell r="D586" t="str">
            <v>개</v>
          </cell>
          <cell r="E586">
            <v>377</v>
          </cell>
          <cell r="F586">
            <v>0</v>
          </cell>
          <cell r="H586">
            <v>463</v>
          </cell>
          <cell r="I586">
            <v>377</v>
          </cell>
          <cell r="J586">
            <v>463</v>
          </cell>
          <cell r="L586">
            <v>463</v>
          </cell>
        </row>
        <row r="587">
          <cell r="A587">
            <v>3447</v>
          </cell>
          <cell r="B587" t="str">
            <v>흑소켓 (나사식)</v>
          </cell>
          <cell r="C587" t="str">
            <v>20Ø</v>
          </cell>
          <cell r="D587" t="str">
            <v>개</v>
          </cell>
          <cell r="E587">
            <v>232</v>
          </cell>
          <cell r="F587">
            <v>0</v>
          </cell>
          <cell r="H587">
            <v>463</v>
          </cell>
          <cell r="I587">
            <v>232</v>
          </cell>
          <cell r="J587">
            <v>463</v>
          </cell>
          <cell r="L587">
            <v>463</v>
          </cell>
        </row>
        <row r="588">
          <cell r="A588">
            <v>3448</v>
          </cell>
          <cell r="B588" t="str">
            <v>흑소켓 (나사식)</v>
          </cell>
          <cell r="C588" t="str">
            <v>15Ø</v>
          </cell>
          <cell r="D588" t="str">
            <v>개</v>
          </cell>
          <cell r="E588">
            <v>193</v>
          </cell>
          <cell r="F588">
            <v>0</v>
          </cell>
          <cell r="H588">
            <v>463</v>
          </cell>
          <cell r="I588">
            <v>193</v>
          </cell>
          <cell r="J588">
            <v>463</v>
          </cell>
          <cell r="L588">
            <v>463</v>
          </cell>
        </row>
        <row r="589">
          <cell r="A589">
            <v>3450</v>
          </cell>
          <cell r="B589" t="str">
            <v>흑캡 (용접식)</v>
          </cell>
          <cell r="C589" t="str">
            <v>150Ø</v>
          </cell>
          <cell r="D589" t="str">
            <v>개</v>
          </cell>
          <cell r="E589">
            <v>7000</v>
          </cell>
          <cell r="F589">
            <v>0</v>
          </cell>
          <cell r="H589">
            <v>465</v>
          </cell>
          <cell r="I589">
            <v>7000</v>
          </cell>
          <cell r="J589">
            <v>465</v>
          </cell>
          <cell r="L589">
            <v>465</v>
          </cell>
        </row>
        <row r="590">
          <cell r="A590">
            <v>3451</v>
          </cell>
          <cell r="B590" t="str">
            <v>흑캡 (용접식)</v>
          </cell>
          <cell r="C590" t="str">
            <v>100Ø</v>
          </cell>
          <cell r="D590" t="str">
            <v>개</v>
          </cell>
          <cell r="E590">
            <v>2940</v>
          </cell>
          <cell r="F590">
            <v>0</v>
          </cell>
          <cell r="H590">
            <v>465</v>
          </cell>
          <cell r="I590">
            <v>2940</v>
          </cell>
          <cell r="J590">
            <v>465</v>
          </cell>
          <cell r="L590">
            <v>465</v>
          </cell>
        </row>
        <row r="591">
          <cell r="A591">
            <v>3452</v>
          </cell>
          <cell r="B591" t="str">
            <v>흑캡 (용접식)</v>
          </cell>
          <cell r="C591" t="str">
            <v>80Ø</v>
          </cell>
          <cell r="D591" t="str">
            <v>개</v>
          </cell>
          <cell r="E591">
            <v>2070</v>
          </cell>
          <cell r="F591">
            <v>0</v>
          </cell>
          <cell r="H591">
            <v>463</v>
          </cell>
          <cell r="I591">
            <v>2070</v>
          </cell>
          <cell r="J591">
            <v>463</v>
          </cell>
          <cell r="L591">
            <v>463</v>
          </cell>
        </row>
        <row r="592">
          <cell r="A592">
            <v>3453</v>
          </cell>
          <cell r="B592" t="str">
            <v>흑캡 (용접식)</v>
          </cell>
          <cell r="C592" t="str">
            <v>65Ø</v>
          </cell>
          <cell r="D592" t="str">
            <v>개</v>
          </cell>
          <cell r="E592">
            <v>1490</v>
          </cell>
          <cell r="F592">
            <v>0</v>
          </cell>
          <cell r="H592">
            <v>463</v>
          </cell>
          <cell r="I592">
            <v>1490</v>
          </cell>
          <cell r="J592">
            <v>463</v>
          </cell>
          <cell r="L592">
            <v>463</v>
          </cell>
        </row>
        <row r="593">
          <cell r="A593">
            <v>3454</v>
          </cell>
          <cell r="B593" t="str">
            <v>흑캡 (나사식)</v>
          </cell>
          <cell r="C593" t="str">
            <v>50Ø</v>
          </cell>
          <cell r="D593" t="str">
            <v>개</v>
          </cell>
          <cell r="E593">
            <v>872</v>
          </cell>
          <cell r="F593">
            <v>0</v>
          </cell>
          <cell r="H593">
            <v>463</v>
          </cell>
          <cell r="I593">
            <v>872</v>
          </cell>
          <cell r="J593">
            <v>463</v>
          </cell>
          <cell r="L593">
            <v>463</v>
          </cell>
        </row>
        <row r="594">
          <cell r="A594">
            <v>3455</v>
          </cell>
          <cell r="B594" t="str">
            <v>흑캡 (나사식)</v>
          </cell>
          <cell r="C594" t="str">
            <v>40Ø</v>
          </cell>
          <cell r="D594" t="str">
            <v>개</v>
          </cell>
          <cell r="E594">
            <v>583</v>
          </cell>
          <cell r="F594">
            <v>0</v>
          </cell>
          <cell r="H594">
            <v>463</v>
          </cell>
          <cell r="I594">
            <v>583</v>
          </cell>
          <cell r="J594">
            <v>463</v>
          </cell>
          <cell r="L594">
            <v>463</v>
          </cell>
        </row>
        <row r="595">
          <cell r="A595">
            <v>3456</v>
          </cell>
          <cell r="B595" t="str">
            <v>흑캡 (나사식)</v>
          </cell>
          <cell r="C595" t="str">
            <v>32Ø</v>
          </cell>
          <cell r="D595" t="str">
            <v>개</v>
          </cell>
          <cell r="E595">
            <v>440</v>
          </cell>
          <cell r="F595">
            <v>0</v>
          </cell>
          <cell r="H595">
            <v>463</v>
          </cell>
          <cell r="I595">
            <v>440</v>
          </cell>
          <cell r="J595">
            <v>463</v>
          </cell>
          <cell r="L595">
            <v>463</v>
          </cell>
        </row>
        <row r="596">
          <cell r="A596">
            <v>3457</v>
          </cell>
          <cell r="B596" t="str">
            <v>흑캡 (나사식)</v>
          </cell>
          <cell r="C596" t="str">
            <v>25Ø</v>
          </cell>
          <cell r="D596" t="str">
            <v>개</v>
          </cell>
          <cell r="E596">
            <v>278</v>
          </cell>
          <cell r="F596">
            <v>0</v>
          </cell>
          <cell r="H596">
            <v>463</v>
          </cell>
          <cell r="I596">
            <v>278</v>
          </cell>
          <cell r="J596">
            <v>463</v>
          </cell>
          <cell r="L596">
            <v>463</v>
          </cell>
        </row>
        <row r="597">
          <cell r="A597">
            <v>3458</v>
          </cell>
          <cell r="B597" t="str">
            <v>흑캡 (나사식)</v>
          </cell>
          <cell r="C597" t="str">
            <v>20Ø</v>
          </cell>
          <cell r="D597" t="str">
            <v>개</v>
          </cell>
          <cell r="E597">
            <v>234</v>
          </cell>
          <cell r="F597">
            <v>0</v>
          </cell>
          <cell r="H597">
            <v>463</v>
          </cell>
          <cell r="I597">
            <v>234</v>
          </cell>
          <cell r="J597">
            <v>463</v>
          </cell>
          <cell r="L597">
            <v>463</v>
          </cell>
        </row>
        <row r="598">
          <cell r="A598">
            <v>3459</v>
          </cell>
          <cell r="B598" t="str">
            <v>흑캡 (나사식)</v>
          </cell>
          <cell r="C598" t="str">
            <v>15Ø</v>
          </cell>
          <cell r="D598" t="str">
            <v>개</v>
          </cell>
          <cell r="E598">
            <v>151</v>
          </cell>
          <cell r="F598">
            <v>0</v>
          </cell>
          <cell r="H598">
            <v>463</v>
          </cell>
          <cell r="I598">
            <v>151</v>
          </cell>
          <cell r="J598">
            <v>463</v>
          </cell>
          <cell r="L598">
            <v>463</v>
          </cell>
        </row>
        <row r="599">
          <cell r="A599">
            <v>3461</v>
          </cell>
          <cell r="B599" t="str">
            <v>흑유니온 (나사식)</v>
          </cell>
          <cell r="C599" t="str">
            <v>80Ø</v>
          </cell>
          <cell r="D599" t="str">
            <v>개</v>
          </cell>
          <cell r="E599">
            <v>6843</v>
          </cell>
          <cell r="F599">
            <v>0</v>
          </cell>
          <cell r="H599">
            <v>463</v>
          </cell>
          <cell r="I599">
            <v>6843</v>
          </cell>
          <cell r="J599">
            <v>463</v>
          </cell>
          <cell r="L599">
            <v>463</v>
          </cell>
        </row>
        <row r="600">
          <cell r="A600">
            <v>3462</v>
          </cell>
          <cell r="B600" t="str">
            <v>흑유니온 (나사식)</v>
          </cell>
          <cell r="C600" t="str">
            <v>65Ø</v>
          </cell>
          <cell r="D600" t="str">
            <v>개</v>
          </cell>
          <cell r="E600">
            <v>5353</v>
          </cell>
          <cell r="F600">
            <v>0</v>
          </cell>
          <cell r="H600">
            <v>463</v>
          </cell>
          <cell r="I600">
            <v>5353</v>
          </cell>
          <cell r="J600">
            <v>463</v>
          </cell>
          <cell r="L600">
            <v>463</v>
          </cell>
        </row>
        <row r="601">
          <cell r="A601">
            <v>3463</v>
          </cell>
          <cell r="B601" t="str">
            <v>흑유니온 (나사식)</v>
          </cell>
          <cell r="C601" t="str">
            <v>50Ø</v>
          </cell>
          <cell r="D601" t="str">
            <v>개</v>
          </cell>
          <cell r="E601">
            <v>2848</v>
          </cell>
          <cell r="F601">
            <v>0</v>
          </cell>
          <cell r="H601">
            <v>463</v>
          </cell>
          <cell r="I601">
            <v>2848</v>
          </cell>
          <cell r="J601">
            <v>463</v>
          </cell>
          <cell r="L601">
            <v>463</v>
          </cell>
        </row>
        <row r="602">
          <cell r="A602">
            <v>3464</v>
          </cell>
          <cell r="B602" t="str">
            <v>흑유니온 (나사식)</v>
          </cell>
          <cell r="C602" t="str">
            <v>40Ø</v>
          </cell>
          <cell r="D602" t="str">
            <v>개</v>
          </cell>
          <cell r="E602">
            <v>2213</v>
          </cell>
          <cell r="F602">
            <v>0</v>
          </cell>
          <cell r="H602">
            <v>463</v>
          </cell>
          <cell r="I602">
            <v>2213</v>
          </cell>
          <cell r="J602">
            <v>463</v>
          </cell>
          <cell r="L602">
            <v>463</v>
          </cell>
        </row>
        <row r="603">
          <cell r="A603">
            <v>3465</v>
          </cell>
          <cell r="B603" t="str">
            <v>흑유니온 (나사식)</v>
          </cell>
          <cell r="C603" t="str">
            <v>32Ø</v>
          </cell>
          <cell r="D603" t="str">
            <v>개</v>
          </cell>
          <cell r="E603">
            <v>1712</v>
          </cell>
          <cell r="F603">
            <v>0</v>
          </cell>
          <cell r="H603">
            <v>463</v>
          </cell>
          <cell r="I603">
            <v>1712</v>
          </cell>
          <cell r="J603">
            <v>463</v>
          </cell>
          <cell r="L603">
            <v>463</v>
          </cell>
        </row>
        <row r="604">
          <cell r="A604">
            <v>3466</v>
          </cell>
          <cell r="B604" t="str">
            <v>흑유니온 (나사식)</v>
          </cell>
          <cell r="C604" t="str">
            <v>25Ø</v>
          </cell>
          <cell r="D604" t="str">
            <v>개</v>
          </cell>
          <cell r="E604">
            <v>1351</v>
          </cell>
          <cell r="F604">
            <v>0</v>
          </cell>
          <cell r="H604">
            <v>463</v>
          </cell>
          <cell r="I604">
            <v>1351</v>
          </cell>
          <cell r="J604">
            <v>463</v>
          </cell>
          <cell r="L604">
            <v>463</v>
          </cell>
        </row>
        <row r="605">
          <cell r="A605">
            <v>3467</v>
          </cell>
          <cell r="B605" t="str">
            <v>흑유니온 (나사식)</v>
          </cell>
          <cell r="C605" t="str">
            <v>20Ø</v>
          </cell>
          <cell r="D605" t="str">
            <v>개</v>
          </cell>
          <cell r="E605">
            <v>963</v>
          </cell>
          <cell r="F605">
            <v>0</v>
          </cell>
          <cell r="H605">
            <v>463</v>
          </cell>
          <cell r="I605">
            <v>963</v>
          </cell>
          <cell r="J605">
            <v>463</v>
          </cell>
          <cell r="L605">
            <v>463</v>
          </cell>
        </row>
        <row r="606">
          <cell r="A606">
            <v>3467</v>
          </cell>
          <cell r="B606" t="str">
            <v>흑유니온 (나사식)</v>
          </cell>
          <cell r="C606" t="str">
            <v>15Ø</v>
          </cell>
          <cell r="D606" t="str">
            <v>개</v>
          </cell>
          <cell r="E606">
            <v>883</v>
          </cell>
          <cell r="F606">
            <v>0</v>
          </cell>
          <cell r="H606">
            <v>463</v>
          </cell>
          <cell r="I606">
            <v>883</v>
          </cell>
          <cell r="J606">
            <v>463</v>
          </cell>
          <cell r="L606">
            <v>463</v>
          </cell>
        </row>
        <row r="607">
          <cell r="A607">
            <v>3471</v>
          </cell>
          <cell r="B607" t="str">
            <v>흑니플 (나사식)</v>
          </cell>
          <cell r="C607" t="str">
            <v>80Ø</v>
          </cell>
          <cell r="D607" t="str">
            <v>개</v>
          </cell>
          <cell r="E607">
            <v>1955</v>
          </cell>
          <cell r="F607">
            <v>0</v>
          </cell>
          <cell r="H607">
            <v>463</v>
          </cell>
          <cell r="I607">
            <v>1955</v>
          </cell>
          <cell r="J607">
            <v>463</v>
          </cell>
          <cell r="L607">
            <v>463</v>
          </cell>
        </row>
        <row r="608">
          <cell r="A608">
            <v>3472</v>
          </cell>
          <cell r="B608" t="str">
            <v>흑니플 (나사식)</v>
          </cell>
          <cell r="C608" t="str">
            <v>65Ø</v>
          </cell>
          <cell r="D608" t="str">
            <v>개</v>
          </cell>
          <cell r="E608">
            <v>1308</v>
          </cell>
          <cell r="F608">
            <v>0</v>
          </cell>
          <cell r="H608">
            <v>463</v>
          </cell>
          <cell r="I608">
            <v>1308</v>
          </cell>
          <cell r="J608">
            <v>463</v>
          </cell>
          <cell r="L608">
            <v>463</v>
          </cell>
        </row>
        <row r="609">
          <cell r="A609">
            <v>3473</v>
          </cell>
          <cell r="B609" t="str">
            <v>흑니플 (나사식)</v>
          </cell>
          <cell r="C609" t="str">
            <v>50Ø</v>
          </cell>
          <cell r="D609" t="str">
            <v>개</v>
          </cell>
          <cell r="E609">
            <v>845</v>
          </cell>
          <cell r="F609">
            <v>0</v>
          </cell>
          <cell r="H609">
            <v>463</v>
          </cell>
          <cell r="I609">
            <v>845</v>
          </cell>
          <cell r="J609">
            <v>463</v>
          </cell>
          <cell r="L609">
            <v>463</v>
          </cell>
        </row>
        <row r="610">
          <cell r="A610">
            <v>3474</v>
          </cell>
          <cell r="B610" t="str">
            <v>흑니플 (나사식)</v>
          </cell>
          <cell r="C610" t="str">
            <v>40Ø</v>
          </cell>
          <cell r="D610" t="str">
            <v>개</v>
          </cell>
          <cell r="E610">
            <v>706</v>
          </cell>
          <cell r="F610">
            <v>0</v>
          </cell>
          <cell r="H610">
            <v>463</v>
          </cell>
          <cell r="I610">
            <v>706</v>
          </cell>
          <cell r="J610">
            <v>463</v>
          </cell>
          <cell r="L610">
            <v>463</v>
          </cell>
        </row>
        <row r="611">
          <cell r="A611">
            <v>3475</v>
          </cell>
          <cell r="B611" t="str">
            <v>흑니플 (나사식)</v>
          </cell>
          <cell r="C611" t="str">
            <v>32Ø</v>
          </cell>
          <cell r="D611" t="str">
            <v>개</v>
          </cell>
          <cell r="E611">
            <v>495</v>
          </cell>
          <cell r="F611">
            <v>0</v>
          </cell>
          <cell r="H611">
            <v>463</v>
          </cell>
          <cell r="I611">
            <v>495</v>
          </cell>
          <cell r="J611">
            <v>463</v>
          </cell>
          <cell r="L611">
            <v>463</v>
          </cell>
        </row>
        <row r="612">
          <cell r="A612">
            <v>3476</v>
          </cell>
          <cell r="B612" t="str">
            <v>흑니플 (나사식)</v>
          </cell>
          <cell r="C612" t="str">
            <v>25Ø</v>
          </cell>
          <cell r="D612" t="str">
            <v>개</v>
          </cell>
          <cell r="E612">
            <v>390</v>
          </cell>
          <cell r="F612">
            <v>0</v>
          </cell>
          <cell r="H612">
            <v>463</v>
          </cell>
          <cell r="I612">
            <v>390</v>
          </cell>
          <cell r="J612">
            <v>463</v>
          </cell>
          <cell r="L612">
            <v>463</v>
          </cell>
        </row>
        <row r="613">
          <cell r="A613">
            <v>3477</v>
          </cell>
          <cell r="B613" t="str">
            <v>흑니플 (나사식)</v>
          </cell>
          <cell r="C613" t="str">
            <v>20Ø</v>
          </cell>
          <cell r="D613" t="str">
            <v>개</v>
          </cell>
          <cell r="E613">
            <v>273</v>
          </cell>
          <cell r="F613">
            <v>0</v>
          </cell>
          <cell r="H613">
            <v>463</v>
          </cell>
          <cell r="I613">
            <v>273</v>
          </cell>
          <cell r="J613">
            <v>463</v>
          </cell>
          <cell r="L613">
            <v>463</v>
          </cell>
        </row>
        <row r="614">
          <cell r="A614">
            <v>3478</v>
          </cell>
          <cell r="B614" t="str">
            <v>흑니플 (나사식)</v>
          </cell>
          <cell r="C614" t="str">
            <v>15Ø</v>
          </cell>
          <cell r="D614" t="str">
            <v>개</v>
          </cell>
          <cell r="E614">
            <v>234</v>
          </cell>
          <cell r="F614">
            <v>0</v>
          </cell>
          <cell r="H614">
            <v>463</v>
          </cell>
          <cell r="I614">
            <v>234</v>
          </cell>
          <cell r="J614">
            <v>463</v>
          </cell>
          <cell r="L614">
            <v>463</v>
          </cell>
        </row>
        <row r="615">
          <cell r="E615">
            <v>0</v>
          </cell>
        </row>
        <row r="616">
          <cell r="E616">
            <v>0</v>
          </cell>
        </row>
        <row r="617">
          <cell r="E617">
            <v>0</v>
          </cell>
        </row>
        <row r="640">
          <cell r="A640">
            <v>3501</v>
          </cell>
          <cell r="B640" t="str">
            <v>PFP관 (D형)</v>
          </cell>
          <cell r="C640" t="str">
            <v>100Ø</v>
          </cell>
          <cell r="D640" t="str">
            <v>M</v>
          </cell>
          <cell r="E640">
            <v>16237</v>
          </cell>
          <cell r="F640">
            <v>0</v>
          </cell>
          <cell r="H640">
            <v>520</v>
          </cell>
          <cell r="I640">
            <v>16237</v>
          </cell>
          <cell r="J640">
            <v>466</v>
          </cell>
          <cell r="L640">
            <v>366</v>
          </cell>
        </row>
        <row r="641">
          <cell r="A641">
            <v>3502</v>
          </cell>
          <cell r="B641" t="str">
            <v>PFP관 (D형)</v>
          </cell>
          <cell r="C641" t="str">
            <v>80Ø</v>
          </cell>
          <cell r="D641" t="str">
            <v>M</v>
          </cell>
          <cell r="E641">
            <v>11953</v>
          </cell>
          <cell r="F641">
            <v>0</v>
          </cell>
          <cell r="H641">
            <v>520</v>
          </cell>
          <cell r="I641">
            <v>11953</v>
          </cell>
          <cell r="J641">
            <v>466</v>
          </cell>
          <cell r="L641">
            <v>366</v>
          </cell>
        </row>
        <row r="642">
          <cell r="A642">
            <v>3503</v>
          </cell>
          <cell r="B642" t="str">
            <v>PFP관 (D형)</v>
          </cell>
          <cell r="C642" t="str">
            <v>65Ø</v>
          </cell>
          <cell r="D642" t="str">
            <v>M</v>
          </cell>
          <cell r="E642">
            <v>9179</v>
          </cell>
          <cell r="F642">
            <v>0</v>
          </cell>
          <cell r="H642">
            <v>520</v>
          </cell>
          <cell r="I642">
            <v>9179</v>
          </cell>
          <cell r="J642">
            <v>466</v>
          </cell>
          <cell r="L642">
            <v>366</v>
          </cell>
        </row>
        <row r="643">
          <cell r="A643">
            <v>3504</v>
          </cell>
          <cell r="B643" t="str">
            <v>PFP관 (D형)</v>
          </cell>
          <cell r="C643" t="str">
            <v>50Ø</v>
          </cell>
          <cell r="D643" t="str">
            <v>M</v>
          </cell>
          <cell r="E643">
            <v>7096</v>
          </cell>
          <cell r="F643">
            <v>0</v>
          </cell>
          <cell r="H643">
            <v>520</v>
          </cell>
          <cell r="I643">
            <v>7096</v>
          </cell>
          <cell r="J643">
            <v>466</v>
          </cell>
          <cell r="L643">
            <v>366</v>
          </cell>
        </row>
        <row r="644">
          <cell r="A644">
            <v>3505</v>
          </cell>
          <cell r="B644" t="str">
            <v>PFP관 (D형)</v>
          </cell>
          <cell r="C644" t="str">
            <v>40Ø</v>
          </cell>
          <cell r="D644" t="str">
            <v>M</v>
          </cell>
          <cell r="E644">
            <v>5201</v>
          </cell>
          <cell r="F644">
            <v>0</v>
          </cell>
          <cell r="H644">
            <v>520</v>
          </cell>
          <cell r="I644">
            <v>5201</v>
          </cell>
          <cell r="J644">
            <v>466</v>
          </cell>
          <cell r="L644">
            <v>366</v>
          </cell>
        </row>
        <row r="645">
          <cell r="A645">
            <v>3506</v>
          </cell>
          <cell r="B645" t="str">
            <v>PFP관 (D형)</v>
          </cell>
          <cell r="C645" t="str">
            <v>32Ø</v>
          </cell>
          <cell r="D645" t="str">
            <v>M</v>
          </cell>
          <cell r="E645">
            <v>4763</v>
          </cell>
          <cell r="F645">
            <v>0</v>
          </cell>
          <cell r="H645">
            <v>520</v>
          </cell>
          <cell r="I645">
            <v>4763</v>
          </cell>
          <cell r="J645">
            <v>466</v>
          </cell>
          <cell r="L645">
            <v>366</v>
          </cell>
        </row>
        <row r="646">
          <cell r="A646">
            <v>3507</v>
          </cell>
          <cell r="B646" t="str">
            <v>PFP관 (D형)</v>
          </cell>
          <cell r="C646" t="str">
            <v>25Ø</v>
          </cell>
          <cell r="D646" t="str">
            <v>M</v>
          </cell>
          <cell r="E646">
            <v>3640</v>
          </cell>
          <cell r="F646">
            <v>0</v>
          </cell>
          <cell r="H646">
            <v>520</v>
          </cell>
          <cell r="I646">
            <v>3640</v>
          </cell>
          <cell r="J646">
            <v>466</v>
          </cell>
          <cell r="L646">
            <v>366</v>
          </cell>
        </row>
        <row r="647">
          <cell r="A647">
            <v>3508</v>
          </cell>
          <cell r="B647" t="str">
            <v>PFP관 (D형)</v>
          </cell>
          <cell r="C647" t="str">
            <v>20Ø</v>
          </cell>
          <cell r="D647" t="str">
            <v>M</v>
          </cell>
          <cell r="E647">
            <v>2625</v>
          </cell>
          <cell r="F647">
            <v>0</v>
          </cell>
          <cell r="H647">
            <v>520</v>
          </cell>
          <cell r="I647">
            <v>2625</v>
          </cell>
          <cell r="J647">
            <v>466</v>
          </cell>
          <cell r="L647">
            <v>366</v>
          </cell>
        </row>
        <row r="648">
          <cell r="A648">
            <v>3509</v>
          </cell>
          <cell r="B648" t="str">
            <v>PFP관 (D형)</v>
          </cell>
          <cell r="C648" t="str">
            <v>15Ø</v>
          </cell>
          <cell r="D648" t="str">
            <v>M</v>
          </cell>
          <cell r="E648">
            <v>2177</v>
          </cell>
          <cell r="F648">
            <v>0</v>
          </cell>
          <cell r="H648">
            <v>520</v>
          </cell>
          <cell r="I648">
            <v>2177</v>
          </cell>
          <cell r="J648">
            <v>466</v>
          </cell>
          <cell r="L648">
            <v>366</v>
          </cell>
        </row>
        <row r="649">
          <cell r="A649">
            <v>3511</v>
          </cell>
          <cell r="B649" t="str">
            <v>PM엘보 (무나사)</v>
          </cell>
          <cell r="C649" t="str">
            <v>100Ø</v>
          </cell>
          <cell r="D649" t="str">
            <v>개</v>
          </cell>
          <cell r="E649">
            <v>25589</v>
          </cell>
          <cell r="F649">
            <v>0</v>
          </cell>
          <cell r="H649">
            <v>520</v>
          </cell>
          <cell r="I649">
            <v>25589</v>
          </cell>
          <cell r="J649">
            <v>466</v>
          </cell>
          <cell r="L649">
            <v>366</v>
          </cell>
        </row>
        <row r="650">
          <cell r="A650">
            <v>3512</v>
          </cell>
          <cell r="B650" t="str">
            <v>PM엘보 (무나사)</v>
          </cell>
          <cell r="C650" t="str">
            <v>80Ø</v>
          </cell>
          <cell r="D650" t="str">
            <v>개</v>
          </cell>
          <cell r="E650">
            <v>17868</v>
          </cell>
          <cell r="F650">
            <v>0</v>
          </cell>
          <cell r="H650">
            <v>520</v>
          </cell>
          <cell r="I650">
            <v>17868</v>
          </cell>
          <cell r="J650">
            <v>466</v>
          </cell>
          <cell r="L650">
            <v>366</v>
          </cell>
        </row>
        <row r="651">
          <cell r="A651">
            <v>3513</v>
          </cell>
          <cell r="B651" t="str">
            <v>PM엘보 (무나사)</v>
          </cell>
          <cell r="C651" t="str">
            <v>65Ø</v>
          </cell>
          <cell r="D651" t="str">
            <v>개</v>
          </cell>
          <cell r="E651">
            <v>12223</v>
          </cell>
          <cell r="F651">
            <v>0</v>
          </cell>
          <cell r="H651">
            <v>520</v>
          </cell>
          <cell r="I651">
            <v>12223</v>
          </cell>
          <cell r="J651">
            <v>466</v>
          </cell>
          <cell r="L651">
            <v>366</v>
          </cell>
        </row>
        <row r="652">
          <cell r="A652">
            <v>3514</v>
          </cell>
          <cell r="B652" t="str">
            <v>PM엘보 (무나사)</v>
          </cell>
          <cell r="C652" t="str">
            <v>50Ø</v>
          </cell>
          <cell r="D652" t="str">
            <v>개</v>
          </cell>
          <cell r="E652">
            <v>7606</v>
          </cell>
          <cell r="F652">
            <v>0</v>
          </cell>
          <cell r="H652">
            <v>520</v>
          </cell>
          <cell r="I652">
            <v>7606</v>
          </cell>
          <cell r="J652">
            <v>466</v>
          </cell>
          <cell r="L652">
            <v>366</v>
          </cell>
        </row>
        <row r="653">
          <cell r="A653">
            <v>3515</v>
          </cell>
          <cell r="B653" t="str">
            <v>PM엘보 (무나사)</v>
          </cell>
          <cell r="C653" t="str">
            <v>40Ø</v>
          </cell>
          <cell r="D653" t="str">
            <v>개</v>
          </cell>
          <cell r="E653">
            <v>5767</v>
          </cell>
          <cell r="F653">
            <v>0</v>
          </cell>
          <cell r="H653">
            <v>520</v>
          </cell>
          <cell r="I653">
            <v>5767</v>
          </cell>
          <cell r="J653">
            <v>466</v>
          </cell>
          <cell r="L653">
            <v>366</v>
          </cell>
        </row>
        <row r="654">
          <cell r="A654">
            <v>3516</v>
          </cell>
          <cell r="B654" t="str">
            <v>PM엘보 (무나사)</v>
          </cell>
          <cell r="C654" t="str">
            <v>32Ø</v>
          </cell>
          <cell r="D654" t="str">
            <v>개</v>
          </cell>
          <cell r="E654">
            <v>4676</v>
          </cell>
          <cell r="F654">
            <v>0</v>
          </cell>
          <cell r="H654">
            <v>520</v>
          </cell>
          <cell r="I654">
            <v>4676</v>
          </cell>
          <cell r="J654">
            <v>466</v>
          </cell>
          <cell r="L654">
            <v>366</v>
          </cell>
        </row>
        <row r="655">
          <cell r="A655">
            <v>3517</v>
          </cell>
          <cell r="B655" t="str">
            <v>PM엘보 (무나사)</v>
          </cell>
          <cell r="C655" t="str">
            <v>25Ø</v>
          </cell>
          <cell r="D655" t="str">
            <v>개</v>
          </cell>
          <cell r="E655">
            <v>3593</v>
          </cell>
          <cell r="F655">
            <v>0</v>
          </cell>
          <cell r="H655">
            <v>520</v>
          </cell>
          <cell r="I655">
            <v>3593</v>
          </cell>
          <cell r="J655">
            <v>466</v>
          </cell>
          <cell r="L655">
            <v>366</v>
          </cell>
        </row>
        <row r="656">
          <cell r="A656">
            <v>3518</v>
          </cell>
          <cell r="B656" t="str">
            <v>PM엘보 (무나사)</v>
          </cell>
          <cell r="C656" t="str">
            <v>20Ø</v>
          </cell>
          <cell r="D656" t="str">
            <v>개</v>
          </cell>
          <cell r="E656">
            <v>2639</v>
          </cell>
          <cell r="F656">
            <v>0</v>
          </cell>
          <cell r="H656">
            <v>520</v>
          </cell>
          <cell r="I656">
            <v>2639</v>
          </cell>
          <cell r="J656">
            <v>466</v>
          </cell>
          <cell r="L656">
            <v>366</v>
          </cell>
        </row>
        <row r="657">
          <cell r="A657">
            <v>3519</v>
          </cell>
          <cell r="B657" t="str">
            <v>PM엘보 (무나사)</v>
          </cell>
          <cell r="C657" t="str">
            <v>15Ø</v>
          </cell>
          <cell r="D657" t="str">
            <v>개</v>
          </cell>
          <cell r="E657">
            <v>2397</v>
          </cell>
          <cell r="F657">
            <v>0</v>
          </cell>
          <cell r="H657">
            <v>520</v>
          </cell>
          <cell r="I657">
            <v>2397</v>
          </cell>
          <cell r="J657">
            <v>466</v>
          </cell>
          <cell r="L657">
            <v>366</v>
          </cell>
        </row>
        <row r="658">
          <cell r="A658">
            <v>3521</v>
          </cell>
          <cell r="B658" t="str">
            <v>PM티 (무나사)</v>
          </cell>
          <cell r="C658" t="str">
            <v>100Ø</v>
          </cell>
          <cell r="D658" t="str">
            <v>개</v>
          </cell>
          <cell r="E658">
            <v>35353</v>
          </cell>
          <cell r="F658">
            <v>0</v>
          </cell>
          <cell r="H658">
            <v>520</v>
          </cell>
          <cell r="I658">
            <v>35353</v>
          </cell>
          <cell r="J658">
            <v>466</v>
          </cell>
          <cell r="L658">
            <v>366</v>
          </cell>
        </row>
        <row r="659">
          <cell r="A659">
            <v>3522</v>
          </cell>
          <cell r="B659" t="str">
            <v>PM티 (무나사)</v>
          </cell>
          <cell r="C659" t="str">
            <v>80Ø</v>
          </cell>
          <cell r="D659" t="str">
            <v>개</v>
          </cell>
          <cell r="E659">
            <v>25893</v>
          </cell>
          <cell r="F659">
            <v>0</v>
          </cell>
          <cell r="H659">
            <v>520</v>
          </cell>
          <cell r="I659">
            <v>25893</v>
          </cell>
          <cell r="J659">
            <v>466</v>
          </cell>
          <cell r="L659">
            <v>366</v>
          </cell>
        </row>
        <row r="660">
          <cell r="A660">
            <v>3523</v>
          </cell>
          <cell r="B660" t="str">
            <v>PM티 (무나사)</v>
          </cell>
          <cell r="C660" t="str">
            <v>65Ø</v>
          </cell>
          <cell r="D660" t="str">
            <v>개</v>
          </cell>
          <cell r="E660">
            <v>16967</v>
          </cell>
          <cell r="F660">
            <v>0</v>
          </cell>
          <cell r="H660">
            <v>520</v>
          </cell>
          <cell r="I660">
            <v>16967</v>
          </cell>
          <cell r="J660">
            <v>466</v>
          </cell>
          <cell r="L660">
            <v>366</v>
          </cell>
        </row>
        <row r="661">
          <cell r="A661">
            <v>3524</v>
          </cell>
          <cell r="B661" t="str">
            <v>PM티 (무나사)</v>
          </cell>
          <cell r="C661" t="str">
            <v>50Ø</v>
          </cell>
          <cell r="D661" t="str">
            <v>개</v>
          </cell>
          <cell r="E661">
            <v>8620</v>
          </cell>
          <cell r="F661">
            <v>0</v>
          </cell>
          <cell r="H661">
            <v>520</v>
          </cell>
          <cell r="I661">
            <v>8620</v>
          </cell>
          <cell r="J661">
            <v>466</v>
          </cell>
          <cell r="L661">
            <v>366</v>
          </cell>
        </row>
        <row r="662">
          <cell r="A662">
            <v>3525</v>
          </cell>
          <cell r="B662" t="str">
            <v>PM티 (무나사)</v>
          </cell>
          <cell r="C662" t="str">
            <v>40Ø</v>
          </cell>
          <cell r="D662" t="str">
            <v>개</v>
          </cell>
          <cell r="E662">
            <v>6707</v>
          </cell>
          <cell r="F662">
            <v>0</v>
          </cell>
          <cell r="H662">
            <v>520</v>
          </cell>
          <cell r="I662">
            <v>6707</v>
          </cell>
          <cell r="J662">
            <v>466</v>
          </cell>
          <cell r="L662">
            <v>366</v>
          </cell>
        </row>
        <row r="663">
          <cell r="A663">
            <v>3526</v>
          </cell>
          <cell r="B663" t="str">
            <v>PM티 (무나사)</v>
          </cell>
          <cell r="C663" t="str">
            <v>32Ø</v>
          </cell>
          <cell r="D663" t="str">
            <v>개</v>
          </cell>
          <cell r="E663">
            <v>5572</v>
          </cell>
          <cell r="F663">
            <v>0</v>
          </cell>
          <cell r="H663">
            <v>520</v>
          </cell>
          <cell r="I663">
            <v>5572</v>
          </cell>
          <cell r="J663">
            <v>466</v>
          </cell>
          <cell r="L663">
            <v>366</v>
          </cell>
        </row>
        <row r="664">
          <cell r="A664">
            <v>3527</v>
          </cell>
          <cell r="B664" t="str">
            <v>PM티 (무나사)</v>
          </cell>
          <cell r="C664" t="str">
            <v>25Ø</v>
          </cell>
          <cell r="D664" t="str">
            <v>개</v>
          </cell>
          <cell r="E664">
            <v>4180</v>
          </cell>
          <cell r="F664">
            <v>0</v>
          </cell>
          <cell r="H664">
            <v>520</v>
          </cell>
          <cell r="I664">
            <v>4180</v>
          </cell>
          <cell r="J664">
            <v>466</v>
          </cell>
          <cell r="L664">
            <v>366</v>
          </cell>
        </row>
        <row r="665">
          <cell r="A665">
            <v>3528</v>
          </cell>
          <cell r="B665" t="str">
            <v>PM티 (무나사)</v>
          </cell>
          <cell r="C665" t="str">
            <v>20Ø</v>
          </cell>
          <cell r="D665" t="str">
            <v>개</v>
          </cell>
          <cell r="E665">
            <v>3227</v>
          </cell>
          <cell r="F665">
            <v>0</v>
          </cell>
          <cell r="H665">
            <v>520</v>
          </cell>
          <cell r="I665">
            <v>3227</v>
          </cell>
          <cell r="J665">
            <v>466</v>
          </cell>
          <cell r="L665">
            <v>366</v>
          </cell>
        </row>
        <row r="666">
          <cell r="A666">
            <v>3529</v>
          </cell>
          <cell r="B666" t="str">
            <v>PM티 (무나사)</v>
          </cell>
          <cell r="C666" t="str">
            <v>15Ø</v>
          </cell>
          <cell r="D666" t="str">
            <v>개</v>
          </cell>
          <cell r="E666">
            <v>2930</v>
          </cell>
          <cell r="F666">
            <v>0</v>
          </cell>
          <cell r="H666">
            <v>520</v>
          </cell>
          <cell r="I666">
            <v>2930</v>
          </cell>
          <cell r="J666">
            <v>466</v>
          </cell>
          <cell r="L666">
            <v>366</v>
          </cell>
        </row>
        <row r="667">
          <cell r="A667">
            <v>3531</v>
          </cell>
          <cell r="B667" t="str">
            <v>PM소켓 (무나사)</v>
          </cell>
          <cell r="C667" t="str">
            <v>100Ø</v>
          </cell>
          <cell r="D667" t="str">
            <v>개</v>
          </cell>
          <cell r="E667">
            <v>23875</v>
          </cell>
          <cell r="F667">
            <v>0</v>
          </cell>
          <cell r="H667">
            <v>520</v>
          </cell>
          <cell r="I667">
            <v>23875</v>
          </cell>
          <cell r="J667">
            <v>466</v>
          </cell>
          <cell r="L667">
            <v>366</v>
          </cell>
        </row>
        <row r="668">
          <cell r="A668">
            <v>3532</v>
          </cell>
          <cell r="B668" t="str">
            <v>PM소켓 (무나사)</v>
          </cell>
          <cell r="C668" t="str">
            <v>80Ø</v>
          </cell>
          <cell r="D668" t="str">
            <v>개</v>
          </cell>
          <cell r="E668">
            <v>17504</v>
          </cell>
          <cell r="F668">
            <v>0</v>
          </cell>
          <cell r="H668">
            <v>520</v>
          </cell>
          <cell r="I668">
            <v>17504</v>
          </cell>
          <cell r="J668">
            <v>466</v>
          </cell>
          <cell r="L668">
            <v>366</v>
          </cell>
        </row>
        <row r="669">
          <cell r="A669">
            <v>3533</v>
          </cell>
          <cell r="B669" t="str">
            <v>PM소켓 (무나사)</v>
          </cell>
          <cell r="C669" t="str">
            <v>65Ø</v>
          </cell>
          <cell r="D669" t="str">
            <v>개</v>
          </cell>
          <cell r="E669">
            <v>12900</v>
          </cell>
          <cell r="F669">
            <v>0</v>
          </cell>
          <cell r="H669">
            <v>520</v>
          </cell>
          <cell r="I669">
            <v>12900</v>
          </cell>
          <cell r="J669">
            <v>466</v>
          </cell>
          <cell r="L669">
            <v>366</v>
          </cell>
        </row>
        <row r="670">
          <cell r="A670">
            <v>3534</v>
          </cell>
          <cell r="B670" t="str">
            <v>PM소켓 (무나사)</v>
          </cell>
          <cell r="C670" t="str">
            <v>50Ø</v>
          </cell>
          <cell r="D670" t="str">
            <v>개</v>
          </cell>
          <cell r="E670">
            <v>5819</v>
          </cell>
          <cell r="F670">
            <v>0</v>
          </cell>
          <cell r="H670">
            <v>520</v>
          </cell>
          <cell r="I670">
            <v>5819</v>
          </cell>
          <cell r="J670">
            <v>466</v>
          </cell>
          <cell r="L670">
            <v>366</v>
          </cell>
        </row>
        <row r="671">
          <cell r="A671">
            <v>3535</v>
          </cell>
          <cell r="B671" t="str">
            <v>PM소켓 (무나사)</v>
          </cell>
          <cell r="C671" t="str">
            <v>40Ø</v>
          </cell>
          <cell r="D671" t="str">
            <v>개</v>
          </cell>
          <cell r="E671">
            <v>4526</v>
          </cell>
          <cell r="F671">
            <v>0</v>
          </cell>
          <cell r="H671">
            <v>520</v>
          </cell>
          <cell r="I671">
            <v>4526</v>
          </cell>
          <cell r="J671">
            <v>466</v>
          </cell>
          <cell r="L671">
            <v>366</v>
          </cell>
        </row>
        <row r="672">
          <cell r="A672">
            <v>3536</v>
          </cell>
          <cell r="B672" t="str">
            <v>PM소켓 (무나사)</v>
          </cell>
          <cell r="C672" t="str">
            <v>32Ø</v>
          </cell>
          <cell r="D672" t="str">
            <v>개</v>
          </cell>
          <cell r="E672">
            <v>3761</v>
          </cell>
          <cell r="F672">
            <v>0</v>
          </cell>
          <cell r="H672">
            <v>520</v>
          </cell>
          <cell r="I672">
            <v>3761</v>
          </cell>
          <cell r="J672">
            <v>466</v>
          </cell>
          <cell r="L672">
            <v>366</v>
          </cell>
        </row>
        <row r="673">
          <cell r="A673">
            <v>3537</v>
          </cell>
          <cell r="B673" t="str">
            <v>PM소켓 (무나사)</v>
          </cell>
          <cell r="C673" t="str">
            <v>25Ø</v>
          </cell>
          <cell r="D673" t="str">
            <v>개</v>
          </cell>
          <cell r="E673">
            <v>3013</v>
          </cell>
          <cell r="F673">
            <v>0</v>
          </cell>
          <cell r="H673">
            <v>520</v>
          </cell>
          <cell r="I673">
            <v>3013</v>
          </cell>
          <cell r="J673">
            <v>466</v>
          </cell>
          <cell r="L673">
            <v>366</v>
          </cell>
        </row>
        <row r="674">
          <cell r="A674">
            <v>3538</v>
          </cell>
          <cell r="B674" t="str">
            <v>PM소켓 (무나사)</v>
          </cell>
          <cell r="C674" t="str">
            <v>20Ø</v>
          </cell>
          <cell r="D674" t="str">
            <v>개</v>
          </cell>
          <cell r="E674">
            <v>2320</v>
          </cell>
          <cell r="F674">
            <v>0</v>
          </cell>
          <cell r="H674">
            <v>520</v>
          </cell>
          <cell r="I674">
            <v>2320</v>
          </cell>
          <cell r="J674">
            <v>466</v>
          </cell>
          <cell r="L674">
            <v>366</v>
          </cell>
        </row>
        <row r="675">
          <cell r="A675">
            <v>3539</v>
          </cell>
          <cell r="B675" t="str">
            <v>PM소켓 (무나사)</v>
          </cell>
          <cell r="C675" t="str">
            <v>15Ø</v>
          </cell>
          <cell r="D675" t="str">
            <v>개</v>
          </cell>
          <cell r="E675">
            <v>1999</v>
          </cell>
          <cell r="F675">
            <v>0</v>
          </cell>
          <cell r="H675">
            <v>520</v>
          </cell>
          <cell r="I675">
            <v>1999</v>
          </cell>
          <cell r="J675">
            <v>466</v>
          </cell>
          <cell r="L675">
            <v>366</v>
          </cell>
        </row>
        <row r="676">
          <cell r="A676">
            <v>3541</v>
          </cell>
          <cell r="B676" t="str">
            <v>PM계 (플렌지)</v>
          </cell>
          <cell r="C676" t="str">
            <v>100Ø</v>
          </cell>
          <cell r="D676" t="str">
            <v>개</v>
          </cell>
          <cell r="E676">
            <v>14435</v>
          </cell>
          <cell r="F676">
            <v>0</v>
          </cell>
          <cell r="H676">
            <v>520</v>
          </cell>
          <cell r="I676">
            <v>14435</v>
          </cell>
          <cell r="J676">
            <v>466</v>
          </cell>
          <cell r="L676">
            <v>366</v>
          </cell>
        </row>
        <row r="677">
          <cell r="A677">
            <v>3542</v>
          </cell>
          <cell r="B677" t="str">
            <v>PM계 (플렌지)</v>
          </cell>
          <cell r="C677" t="str">
            <v>80Ø</v>
          </cell>
          <cell r="D677" t="str">
            <v>개</v>
          </cell>
          <cell r="E677">
            <v>12326</v>
          </cell>
          <cell r="F677">
            <v>0</v>
          </cell>
          <cell r="H677">
            <v>520</v>
          </cell>
          <cell r="I677">
            <v>12326</v>
          </cell>
          <cell r="J677">
            <v>466</v>
          </cell>
          <cell r="L677">
            <v>366</v>
          </cell>
        </row>
        <row r="678">
          <cell r="A678">
            <v>3543</v>
          </cell>
          <cell r="B678" t="str">
            <v>PM계 (플렌지)</v>
          </cell>
          <cell r="C678" t="str">
            <v>65Ø</v>
          </cell>
          <cell r="D678" t="str">
            <v>개</v>
          </cell>
          <cell r="E678">
            <v>10534</v>
          </cell>
          <cell r="F678">
            <v>0</v>
          </cell>
          <cell r="H678">
            <v>520</v>
          </cell>
          <cell r="I678">
            <v>10534</v>
          </cell>
          <cell r="J678">
            <v>466</v>
          </cell>
          <cell r="L678">
            <v>366</v>
          </cell>
        </row>
        <row r="679">
          <cell r="A679">
            <v>3544</v>
          </cell>
          <cell r="B679" t="str">
            <v>PM계 (니플)</v>
          </cell>
          <cell r="C679" t="str">
            <v>50Ø</v>
          </cell>
          <cell r="D679" t="str">
            <v>개</v>
          </cell>
          <cell r="E679">
            <v>2807</v>
          </cell>
          <cell r="F679">
            <v>0</v>
          </cell>
          <cell r="H679">
            <v>520</v>
          </cell>
          <cell r="I679">
            <v>2807</v>
          </cell>
          <cell r="J679">
            <v>466</v>
          </cell>
          <cell r="L679">
            <v>366</v>
          </cell>
        </row>
        <row r="680">
          <cell r="A680">
            <v>3545</v>
          </cell>
          <cell r="B680" t="str">
            <v>PM계 (니플)</v>
          </cell>
          <cell r="C680" t="str">
            <v>40Ø</v>
          </cell>
          <cell r="D680" t="str">
            <v>개</v>
          </cell>
          <cell r="E680">
            <v>2121</v>
          </cell>
          <cell r="F680">
            <v>0</v>
          </cell>
          <cell r="H680">
            <v>520</v>
          </cell>
          <cell r="I680">
            <v>2121</v>
          </cell>
          <cell r="J680">
            <v>466</v>
          </cell>
          <cell r="L680">
            <v>366</v>
          </cell>
        </row>
        <row r="681">
          <cell r="A681">
            <v>3546</v>
          </cell>
          <cell r="B681" t="str">
            <v>PM계 (니플)</v>
          </cell>
          <cell r="C681" t="str">
            <v>32Ø</v>
          </cell>
          <cell r="D681" t="str">
            <v>개</v>
          </cell>
          <cell r="E681">
            <v>1755</v>
          </cell>
          <cell r="F681">
            <v>0</v>
          </cell>
          <cell r="H681">
            <v>520</v>
          </cell>
          <cell r="I681">
            <v>1755</v>
          </cell>
          <cell r="J681">
            <v>466</v>
          </cell>
          <cell r="L681">
            <v>366</v>
          </cell>
        </row>
        <row r="682">
          <cell r="A682">
            <v>3547</v>
          </cell>
          <cell r="B682" t="str">
            <v>PM계 (니플)</v>
          </cell>
          <cell r="C682" t="str">
            <v>25Ø</v>
          </cell>
          <cell r="D682" t="str">
            <v>개</v>
          </cell>
          <cell r="E682">
            <v>1434</v>
          </cell>
          <cell r="F682">
            <v>0</v>
          </cell>
          <cell r="H682">
            <v>520</v>
          </cell>
          <cell r="I682">
            <v>1434</v>
          </cell>
          <cell r="J682">
            <v>466</v>
          </cell>
          <cell r="L682">
            <v>366</v>
          </cell>
        </row>
        <row r="683">
          <cell r="A683">
            <v>3548</v>
          </cell>
          <cell r="B683" t="str">
            <v>PM계 (니플)</v>
          </cell>
          <cell r="C683" t="str">
            <v>20Ø</v>
          </cell>
          <cell r="D683" t="str">
            <v>개</v>
          </cell>
          <cell r="E683">
            <v>1022</v>
          </cell>
          <cell r="F683">
            <v>0</v>
          </cell>
          <cell r="H683">
            <v>520</v>
          </cell>
          <cell r="I683">
            <v>1022</v>
          </cell>
          <cell r="J683">
            <v>466</v>
          </cell>
          <cell r="L683">
            <v>366</v>
          </cell>
        </row>
        <row r="684">
          <cell r="A684">
            <v>3549</v>
          </cell>
          <cell r="B684" t="str">
            <v>PM계 (니플)</v>
          </cell>
          <cell r="C684" t="str">
            <v>15Ø</v>
          </cell>
          <cell r="D684" t="str">
            <v>개</v>
          </cell>
          <cell r="E684">
            <v>808</v>
          </cell>
          <cell r="F684">
            <v>0</v>
          </cell>
          <cell r="H684">
            <v>520</v>
          </cell>
          <cell r="I684">
            <v>808</v>
          </cell>
          <cell r="J684">
            <v>466</v>
          </cell>
          <cell r="L684">
            <v>366</v>
          </cell>
        </row>
        <row r="685">
          <cell r="E685">
            <v>0</v>
          </cell>
        </row>
        <row r="689">
          <cell r="A689">
            <v>3600</v>
          </cell>
          <cell r="B689" t="str">
            <v>PVC관 (VG1)</v>
          </cell>
          <cell r="C689" t="str">
            <v>200Ø</v>
          </cell>
          <cell r="D689" t="str">
            <v>M</v>
          </cell>
          <cell r="E689">
            <v>18853</v>
          </cell>
          <cell r="G689">
            <v>14685</v>
          </cell>
          <cell r="H689">
            <v>542</v>
          </cell>
          <cell r="I689">
            <v>18433</v>
          </cell>
          <cell r="J689">
            <v>485</v>
          </cell>
          <cell r="L689">
            <v>485</v>
          </cell>
        </row>
        <row r="690">
          <cell r="A690">
            <v>3601</v>
          </cell>
          <cell r="B690" t="str">
            <v>PVC관 (VG1)</v>
          </cell>
          <cell r="C690" t="str">
            <v>150Ø</v>
          </cell>
          <cell r="D690" t="str">
            <v>M</v>
          </cell>
          <cell r="E690">
            <v>12370</v>
          </cell>
          <cell r="G690">
            <v>9715</v>
          </cell>
          <cell r="H690">
            <v>542</v>
          </cell>
          <cell r="I690">
            <v>12195</v>
          </cell>
          <cell r="J690">
            <v>485</v>
          </cell>
          <cell r="L690">
            <v>385</v>
          </cell>
        </row>
        <row r="691">
          <cell r="A691">
            <v>3602</v>
          </cell>
          <cell r="B691" t="str">
            <v>PVC관 (VG1)</v>
          </cell>
          <cell r="C691" t="str">
            <v>125Ø</v>
          </cell>
          <cell r="D691" t="str">
            <v>M</v>
          </cell>
          <cell r="E691">
            <v>9063</v>
          </cell>
          <cell r="G691">
            <v>6472</v>
          </cell>
          <cell r="H691">
            <v>542</v>
          </cell>
          <cell r="I691">
            <v>8123</v>
          </cell>
          <cell r="J691">
            <v>485</v>
          </cell>
          <cell r="L691">
            <v>385</v>
          </cell>
        </row>
        <row r="692">
          <cell r="A692">
            <v>3603</v>
          </cell>
          <cell r="B692" t="str">
            <v>PVC관 (VG1)</v>
          </cell>
          <cell r="C692" t="str">
            <v>100Ø</v>
          </cell>
          <cell r="D692" t="str">
            <v>M</v>
          </cell>
          <cell r="E692">
            <v>6105</v>
          </cell>
          <cell r="G692">
            <v>4942</v>
          </cell>
          <cell r="H692">
            <v>542</v>
          </cell>
          <cell r="I692">
            <v>6203</v>
          </cell>
          <cell r="J692">
            <v>485</v>
          </cell>
          <cell r="L692">
            <v>385</v>
          </cell>
        </row>
        <row r="693">
          <cell r="A693">
            <v>3604</v>
          </cell>
          <cell r="B693" t="str">
            <v>PVC관 (VG1)</v>
          </cell>
          <cell r="C693" t="str">
            <v>75Ø</v>
          </cell>
          <cell r="D693" t="str">
            <v>M</v>
          </cell>
          <cell r="E693">
            <v>4063</v>
          </cell>
          <cell r="G693">
            <v>3192</v>
          </cell>
          <cell r="H693">
            <v>542</v>
          </cell>
          <cell r="I693">
            <v>4008</v>
          </cell>
          <cell r="J693">
            <v>485</v>
          </cell>
          <cell r="L693">
            <v>385</v>
          </cell>
        </row>
        <row r="694">
          <cell r="A694">
            <v>3605</v>
          </cell>
          <cell r="B694" t="str">
            <v>PVC관 (VG1)</v>
          </cell>
          <cell r="C694" t="str">
            <v>50Ø</v>
          </cell>
          <cell r="D694" t="str">
            <v>M</v>
          </cell>
          <cell r="E694">
            <v>2008</v>
          </cell>
          <cell r="G694">
            <v>1625</v>
          </cell>
          <cell r="H694">
            <v>542</v>
          </cell>
          <cell r="I694">
            <v>2040</v>
          </cell>
          <cell r="J694">
            <v>485</v>
          </cell>
          <cell r="L694">
            <v>385</v>
          </cell>
        </row>
        <row r="695">
          <cell r="A695">
            <v>3610</v>
          </cell>
          <cell r="B695" t="str">
            <v>90˚곡관(접착재접합)</v>
          </cell>
          <cell r="C695" t="str">
            <v>150Ø</v>
          </cell>
          <cell r="D695" t="str">
            <v>개</v>
          </cell>
          <cell r="E695">
            <v>5044</v>
          </cell>
          <cell r="G695">
            <v>4500</v>
          </cell>
          <cell r="H695">
            <v>544</v>
          </cell>
          <cell r="I695">
            <v>4610</v>
          </cell>
          <cell r="J695">
            <v>486</v>
          </cell>
          <cell r="L695">
            <v>0</v>
          </cell>
        </row>
        <row r="696">
          <cell r="A696">
            <v>3611</v>
          </cell>
          <cell r="B696" t="str">
            <v>90˚곡관(접착재접합)</v>
          </cell>
          <cell r="C696" t="str">
            <v>125Ø</v>
          </cell>
          <cell r="D696" t="str">
            <v>개</v>
          </cell>
          <cell r="E696">
            <v>2850</v>
          </cell>
          <cell r="G696">
            <v>2540</v>
          </cell>
          <cell r="H696">
            <v>544</v>
          </cell>
          <cell r="I696">
            <v>2610</v>
          </cell>
          <cell r="J696">
            <v>486</v>
          </cell>
          <cell r="L696">
            <v>0</v>
          </cell>
        </row>
        <row r="697">
          <cell r="A697">
            <v>3612</v>
          </cell>
          <cell r="B697" t="str">
            <v>90˚곡관(접착재접합)</v>
          </cell>
          <cell r="C697" t="str">
            <v>100Ø</v>
          </cell>
          <cell r="D697" t="str">
            <v>개</v>
          </cell>
          <cell r="E697">
            <v>1751</v>
          </cell>
          <cell r="G697">
            <v>1550</v>
          </cell>
          <cell r="H697">
            <v>544</v>
          </cell>
          <cell r="I697">
            <v>1600</v>
          </cell>
          <cell r="J697">
            <v>486</v>
          </cell>
          <cell r="L697">
            <v>0</v>
          </cell>
        </row>
        <row r="698">
          <cell r="A698">
            <v>3613</v>
          </cell>
          <cell r="B698" t="str">
            <v>90˚곡관(접착재접합)</v>
          </cell>
          <cell r="C698" t="str">
            <v>75Ø</v>
          </cell>
          <cell r="D698" t="str">
            <v>개</v>
          </cell>
          <cell r="E698">
            <v>876</v>
          </cell>
          <cell r="G698">
            <v>780</v>
          </cell>
          <cell r="H698">
            <v>544</v>
          </cell>
          <cell r="I698">
            <v>810</v>
          </cell>
          <cell r="J698">
            <v>486</v>
          </cell>
          <cell r="L698">
            <v>0</v>
          </cell>
        </row>
        <row r="699">
          <cell r="A699">
            <v>3614</v>
          </cell>
          <cell r="B699" t="str">
            <v>90˚곡관(접착재접합)</v>
          </cell>
          <cell r="C699" t="str">
            <v>50Ø</v>
          </cell>
          <cell r="D699" t="str">
            <v>개</v>
          </cell>
          <cell r="E699">
            <v>354</v>
          </cell>
          <cell r="G699">
            <v>310</v>
          </cell>
          <cell r="H699">
            <v>544</v>
          </cell>
          <cell r="I699">
            <v>350</v>
          </cell>
          <cell r="J699">
            <v>486</v>
          </cell>
          <cell r="L699">
            <v>0</v>
          </cell>
        </row>
        <row r="700">
          <cell r="A700">
            <v>3615</v>
          </cell>
          <cell r="B700" t="str">
            <v>45˚곡관(접착재접합)</v>
          </cell>
          <cell r="C700" t="str">
            <v>150Ø</v>
          </cell>
          <cell r="D700" t="str">
            <v>개</v>
          </cell>
          <cell r="E700">
            <v>5044</v>
          </cell>
          <cell r="F700">
            <v>0</v>
          </cell>
          <cell r="G700">
            <v>4500</v>
          </cell>
          <cell r="H700">
            <v>544</v>
          </cell>
          <cell r="I700">
            <v>4610</v>
          </cell>
          <cell r="J700">
            <v>486</v>
          </cell>
          <cell r="L700">
            <v>0</v>
          </cell>
        </row>
        <row r="701">
          <cell r="A701">
            <v>3616</v>
          </cell>
          <cell r="B701" t="str">
            <v>45˚곡관(접착재접합)</v>
          </cell>
          <cell r="C701" t="str">
            <v>125Ø</v>
          </cell>
          <cell r="D701" t="str">
            <v>개</v>
          </cell>
          <cell r="E701">
            <v>2850</v>
          </cell>
          <cell r="F701">
            <v>0</v>
          </cell>
          <cell r="G701">
            <v>2540</v>
          </cell>
          <cell r="H701">
            <v>544</v>
          </cell>
          <cell r="I701">
            <v>2610</v>
          </cell>
          <cell r="J701">
            <v>486</v>
          </cell>
          <cell r="L701">
            <v>0</v>
          </cell>
        </row>
        <row r="702">
          <cell r="A702">
            <v>3617</v>
          </cell>
          <cell r="B702" t="str">
            <v>45˚곡관(접착재접합)</v>
          </cell>
          <cell r="C702" t="str">
            <v>100Ø</v>
          </cell>
          <cell r="D702" t="str">
            <v>개</v>
          </cell>
          <cell r="E702">
            <v>1751</v>
          </cell>
          <cell r="F702">
            <v>0</v>
          </cell>
          <cell r="G702">
            <v>1560</v>
          </cell>
          <cell r="H702">
            <v>544</v>
          </cell>
          <cell r="I702">
            <v>1600</v>
          </cell>
          <cell r="J702">
            <v>486</v>
          </cell>
          <cell r="L702">
            <v>0</v>
          </cell>
        </row>
        <row r="703">
          <cell r="A703">
            <v>3618</v>
          </cell>
          <cell r="B703" t="str">
            <v>45˚곡관(접착재접합)</v>
          </cell>
          <cell r="C703" t="str">
            <v>75Ø</v>
          </cell>
          <cell r="D703" t="str">
            <v>개</v>
          </cell>
          <cell r="E703">
            <v>960</v>
          </cell>
          <cell r="F703">
            <v>0</v>
          </cell>
          <cell r="G703">
            <v>850</v>
          </cell>
          <cell r="H703">
            <v>544</v>
          </cell>
          <cell r="I703">
            <v>870</v>
          </cell>
          <cell r="J703">
            <v>486</v>
          </cell>
          <cell r="L703">
            <v>0</v>
          </cell>
        </row>
        <row r="704">
          <cell r="A704">
            <v>3619</v>
          </cell>
          <cell r="B704" t="str">
            <v>45˚곡관(접착재접합)</v>
          </cell>
          <cell r="C704" t="str">
            <v>50Ø</v>
          </cell>
          <cell r="D704" t="str">
            <v>개</v>
          </cell>
          <cell r="E704">
            <v>610</v>
          </cell>
          <cell r="F704">
            <v>0</v>
          </cell>
          <cell r="G704">
            <v>360</v>
          </cell>
          <cell r="H704">
            <v>544</v>
          </cell>
          <cell r="I704">
            <v>400</v>
          </cell>
          <cell r="J704">
            <v>486</v>
          </cell>
          <cell r="L704">
            <v>0</v>
          </cell>
        </row>
        <row r="705">
          <cell r="A705">
            <v>3620</v>
          </cell>
          <cell r="B705" t="str">
            <v>LT관(접착재접합)</v>
          </cell>
          <cell r="C705" t="str">
            <v>150Øx150Ø</v>
          </cell>
          <cell r="D705" t="str">
            <v>개</v>
          </cell>
          <cell r="E705">
            <v>12987</v>
          </cell>
          <cell r="G705">
            <v>11560</v>
          </cell>
          <cell r="H705">
            <v>544</v>
          </cell>
          <cell r="I705">
            <v>11870</v>
          </cell>
          <cell r="J705">
            <v>486</v>
          </cell>
          <cell r="L705">
            <v>0</v>
          </cell>
        </row>
        <row r="706">
          <cell r="A706">
            <v>3621</v>
          </cell>
          <cell r="B706" t="str">
            <v>LT관(접착재접합)</v>
          </cell>
          <cell r="C706" t="str">
            <v>150Øx125Ø</v>
          </cell>
          <cell r="D706" t="str">
            <v>개</v>
          </cell>
          <cell r="E706">
            <v>8067</v>
          </cell>
          <cell r="G706">
            <v>7180</v>
          </cell>
          <cell r="H706">
            <v>544</v>
          </cell>
          <cell r="I706">
            <v>7980</v>
          </cell>
          <cell r="J706">
            <v>486</v>
          </cell>
          <cell r="L706">
            <v>0</v>
          </cell>
        </row>
        <row r="707">
          <cell r="A707">
            <v>3622</v>
          </cell>
          <cell r="B707" t="str">
            <v>LT관(접착재접합)</v>
          </cell>
          <cell r="C707" t="str">
            <v>150Øx100Ø</v>
          </cell>
          <cell r="D707" t="str">
            <v>개</v>
          </cell>
          <cell r="E707">
            <v>7084</v>
          </cell>
          <cell r="G707">
            <v>6300</v>
          </cell>
          <cell r="H707">
            <v>544</v>
          </cell>
          <cell r="I707">
            <v>7010</v>
          </cell>
          <cell r="J707">
            <v>486</v>
          </cell>
          <cell r="L707">
            <v>0</v>
          </cell>
        </row>
        <row r="708">
          <cell r="A708">
            <v>3623</v>
          </cell>
          <cell r="B708" t="str">
            <v>LT관(접착재접합)</v>
          </cell>
          <cell r="C708" t="str">
            <v>150Øx 75Ø</v>
          </cell>
          <cell r="D708" t="str">
            <v>개</v>
          </cell>
          <cell r="E708">
            <v>5719</v>
          </cell>
          <cell r="G708">
            <v>5090</v>
          </cell>
          <cell r="H708">
            <v>544</v>
          </cell>
          <cell r="I708">
            <v>5660</v>
          </cell>
          <cell r="J708">
            <v>486</v>
          </cell>
          <cell r="L708">
            <v>0</v>
          </cell>
        </row>
        <row r="709">
          <cell r="A709">
            <v>3624</v>
          </cell>
          <cell r="B709" t="str">
            <v>LT관(접착재접합)</v>
          </cell>
          <cell r="C709" t="str">
            <v>125Øx125Ø</v>
          </cell>
          <cell r="D709" t="str">
            <v>개</v>
          </cell>
          <cell r="E709">
            <v>5736</v>
          </cell>
          <cell r="G709">
            <v>5100</v>
          </cell>
          <cell r="H709">
            <v>544</v>
          </cell>
          <cell r="I709">
            <v>5240</v>
          </cell>
          <cell r="J709">
            <v>486</v>
          </cell>
          <cell r="L709">
            <v>0</v>
          </cell>
        </row>
        <row r="710">
          <cell r="A710">
            <v>3625</v>
          </cell>
          <cell r="B710" t="str">
            <v>LT관(접착재접합)</v>
          </cell>
          <cell r="C710" t="str">
            <v>125Øx100Ø</v>
          </cell>
          <cell r="D710" t="str">
            <v>개</v>
          </cell>
          <cell r="E710">
            <v>4874</v>
          </cell>
          <cell r="G710">
            <v>4340</v>
          </cell>
          <cell r="H710">
            <v>544</v>
          </cell>
          <cell r="I710">
            <v>4820</v>
          </cell>
          <cell r="J710">
            <v>486</v>
          </cell>
          <cell r="L710">
            <v>0</v>
          </cell>
        </row>
        <row r="711">
          <cell r="A711">
            <v>3626</v>
          </cell>
          <cell r="B711" t="str">
            <v>LT관(접착재접합)</v>
          </cell>
          <cell r="C711" t="str">
            <v>125Øx 75Ø</v>
          </cell>
          <cell r="D711" t="str">
            <v>개</v>
          </cell>
          <cell r="E711">
            <v>4492</v>
          </cell>
          <cell r="G711">
            <v>4000</v>
          </cell>
          <cell r="H711">
            <v>544</v>
          </cell>
          <cell r="I711">
            <v>4440</v>
          </cell>
          <cell r="J711">
            <v>486</v>
          </cell>
          <cell r="L711">
            <v>0</v>
          </cell>
        </row>
        <row r="712">
          <cell r="A712">
            <v>3627</v>
          </cell>
          <cell r="B712" t="str">
            <v>Y관(접착재접합)</v>
          </cell>
          <cell r="C712" t="str">
            <v>100Øx100Ø</v>
          </cell>
          <cell r="D712" t="str">
            <v>개</v>
          </cell>
          <cell r="E712">
            <v>3275</v>
          </cell>
          <cell r="G712">
            <v>2910</v>
          </cell>
          <cell r="H712">
            <v>544</v>
          </cell>
          <cell r="I712">
            <v>3240</v>
          </cell>
          <cell r="J712">
            <v>486</v>
          </cell>
          <cell r="L712">
            <v>0</v>
          </cell>
        </row>
        <row r="713">
          <cell r="A713">
            <v>3628</v>
          </cell>
          <cell r="B713" t="str">
            <v>Y관(접착재접합)</v>
          </cell>
          <cell r="C713" t="str">
            <v>100Øx 75Ø</v>
          </cell>
          <cell r="D713" t="str">
            <v>개</v>
          </cell>
          <cell r="E713">
            <v>4157</v>
          </cell>
          <cell r="G713">
            <v>3700</v>
          </cell>
          <cell r="H713">
            <v>544</v>
          </cell>
          <cell r="I713">
            <v>4110</v>
          </cell>
          <cell r="J713">
            <v>486</v>
          </cell>
          <cell r="L713">
            <v>0</v>
          </cell>
        </row>
        <row r="714">
          <cell r="A714">
            <v>3629</v>
          </cell>
          <cell r="B714" t="str">
            <v>Y관(접착재접합)</v>
          </cell>
          <cell r="C714" t="str">
            <v>100Øx 50Ø</v>
          </cell>
          <cell r="D714" t="str">
            <v>개</v>
          </cell>
          <cell r="E714">
            <v>3387</v>
          </cell>
          <cell r="G714">
            <v>3010</v>
          </cell>
          <cell r="H714">
            <v>544</v>
          </cell>
          <cell r="I714">
            <v>3350</v>
          </cell>
          <cell r="J714">
            <v>486</v>
          </cell>
          <cell r="L714">
            <v>0</v>
          </cell>
        </row>
        <row r="715">
          <cell r="A715">
            <v>3630</v>
          </cell>
          <cell r="B715" t="str">
            <v>Y관(접착재접합)</v>
          </cell>
          <cell r="C715" t="str">
            <v xml:space="preserve"> 75Øx 75Ø</v>
          </cell>
          <cell r="D715" t="str">
            <v>개</v>
          </cell>
          <cell r="E715">
            <v>1669</v>
          </cell>
          <cell r="G715">
            <v>1480</v>
          </cell>
          <cell r="H715">
            <v>544</v>
          </cell>
          <cell r="I715">
            <v>1650</v>
          </cell>
          <cell r="J715">
            <v>486</v>
          </cell>
          <cell r="L715">
            <v>0</v>
          </cell>
        </row>
        <row r="716">
          <cell r="A716">
            <v>3631</v>
          </cell>
          <cell r="B716" t="str">
            <v>Y관(접착재접합)</v>
          </cell>
          <cell r="C716" t="str">
            <v xml:space="preserve"> 75Øx 50Ø</v>
          </cell>
          <cell r="D716" t="str">
            <v>개</v>
          </cell>
          <cell r="E716">
            <v>1533</v>
          </cell>
          <cell r="G716">
            <v>1370</v>
          </cell>
          <cell r="H716">
            <v>544</v>
          </cell>
          <cell r="I716">
            <v>1520</v>
          </cell>
          <cell r="J716">
            <v>486</v>
          </cell>
          <cell r="L716">
            <v>0</v>
          </cell>
        </row>
        <row r="717">
          <cell r="A717">
            <v>3632</v>
          </cell>
          <cell r="B717" t="str">
            <v>Y관(접착재접합)</v>
          </cell>
          <cell r="C717" t="str">
            <v xml:space="preserve"> 50Øx 50Ø</v>
          </cell>
          <cell r="D717" t="str">
            <v>개</v>
          </cell>
          <cell r="E717">
            <v>1016</v>
          </cell>
          <cell r="G717">
            <v>640</v>
          </cell>
          <cell r="H717">
            <v>544</v>
          </cell>
          <cell r="I717">
            <v>710</v>
          </cell>
          <cell r="J717">
            <v>486</v>
          </cell>
          <cell r="L717">
            <v>0</v>
          </cell>
        </row>
        <row r="718">
          <cell r="A718">
            <v>3633</v>
          </cell>
          <cell r="B718" t="str">
            <v>인크리져(접착재접합)</v>
          </cell>
          <cell r="C718" t="str">
            <v>100Øx 75Ø</v>
          </cell>
          <cell r="D718" t="str">
            <v>개</v>
          </cell>
          <cell r="E718">
            <v>974</v>
          </cell>
          <cell r="G718">
            <v>870</v>
          </cell>
          <cell r="H718">
            <v>544</v>
          </cell>
          <cell r="I718">
            <v>900</v>
          </cell>
          <cell r="J718">
            <v>486</v>
          </cell>
          <cell r="L718">
            <v>0</v>
          </cell>
        </row>
        <row r="719">
          <cell r="A719">
            <v>3634</v>
          </cell>
          <cell r="B719" t="str">
            <v>인크리져(접착재접합)</v>
          </cell>
          <cell r="C719" t="str">
            <v>100Øx 50Ø</v>
          </cell>
          <cell r="D719" t="str">
            <v>개</v>
          </cell>
          <cell r="E719">
            <v>813</v>
          </cell>
          <cell r="G719">
            <v>730</v>
          </cell>
          <cell r="H719">
            <v>544</v>
          </cell>
          <cell r="I719">
            <v>750</v>
          </cell>
          <cell r="J719">
            <v>486</v>
          </cell>
          <cell r="L719">
            <v>0</v>
          </cell>
        </row>
        <row r="720">
          <cell r="A720">
            <v>3635</v>
          </cell>
          <cell r="B720" t="str">
            <v>소켓</v>
          </cell>
          <cell r="C720" t="str">
            <v>150Ø</v>
          </cell>
          <cell r="D720" t="str">
            <v>개</v>
          </cell>
          <cell r="E720">
            <v>2778</v>
          </cell>
          <cell r="G720">
            <v>2470</v>
          </cell>
          <cell r="H720">
            <v>544</v>
          </cell>
          <cell r="I720">
            <v>2540</v>
          </cell>
          <cell r="J720">
            <v>486</v>
          </cell>
          <cell r="L720">
            <v>0</v>
          </cell>
        </row>
        <row r="721">
          <cell r="A721">
            <v>3636</v>
          </cell>
          <cell r="B721" t="str">
            <v>소켓</v>
          </cell>
          <cell r="C721" t="str">
            <v>125Ø</v>
          </cell>
          <cell r="D721" t="str">
            <v>개</v>
          </cell>
          <cell r="E721">
            <v>1684</v>
          </cell>
          <cell r="G721">
            <v>1500</v>
          </cell>
          <cell r="H721">
            <v>544</v>
          </cell>
          <cell r="I721">
            <v>1540</v>
          </cell>
          <cell r="J721">
            <v>486</v>
          </cell>
          <cell r="L721">
            <v>0</v>
          </cell>
        </row>
        <row r="722">
          <cell r="A722">
            <v>3637</v>
          </cell>
          <cell r="B722" t="str">
            <v>소켓</v>
          </cell>
          <cell r="C722" t="str">
            <v>100Ø</v>
          </cell>
          <cell r="D722" t="str">
            <v>개</v>
          </cell>
          <cell r="E722">
            <v>956</v>
          </cell>
          <cell r="G722">
            <v>850</v>
          </cell>
          <cell r="H722">
            <v>544</v>
          </cell>
          <cell r="I722">
            <v>880</v>
          </cell>
          <cell r="J722">
            <v>486</v>
          </cell>
          <cell r="L722">
            <v>0</v>
          </cell>
        </row>
        <row r="723">
          <cell r="A723">
            <v>3638</v>
          </cell>
          <cell r="B723" t="str">
            <v>소켓</v>
          </cell>
          <cell r="C723" t="str">
            <v>75Ø</v>
          </cell>
          <cell r="D723" t="str">
            <v>개</v>
          </cell>
          <cell r="E723">
            <v>520</v>
          </cell>
          <cell r="G723">
            <v>470</v>
          </cell>
          <cell r="H723">
            <v>544</v>
          </cell>
          <cell r="I723">
            <v>480</v>
          </cell>
          <cell r="J723">
            <v>486</v>
          </cell>
          <cell r="L723">
            <v>0</v>
          </cell>
        </row>
        <row r="724">
          <cell r="A724">
            <v>3639</v>
          </cell>
          <cell r="B724" t="str">
            <v>소켓</v>
          </cell>
          <cell r="C724" t="str">
            <v>50Ø</v>
          </cell>
          <cell r="D724" t="str">
            <v>개</v>
          </cell>
          <cell r="E724">
            <v>305</v>
          </cell>
          <cell r="G724">
            <v>180</v>
          </cell>
          <cell r="H724">
            <v>544</v>
          </cell>
          <cell r="I724">
            <v>200</v>
          </cell>
          <cell r="J724">
            <v>486</v>
          </cell>
          <cell r="L724">
            <v>0</v>
          </cell>
        </row>
        <row r="725">
          <cell r="A725">
            <v>3641</v>
          </cell>
          <cell r="B725" t="str">
            <v>90˚곡관(고무링접합)</v>
          </cell>
          <cell r="C725" t="str">
            <v>125Ø</v>
          </cell>
          <cell r="D725" t="str">
            <v>개</v>
          </cell>
          <cell r="E725">
            <v>7471</v>
          </cell>
          <cell r="F725">
            <v>0</v>
          </cell>
          <cell r="G725">
            <v>8121</v>
          </cell>
          <cell r="H725">
            <v>546</v>
          </cell>
          <cell r="I725">
            <v>7471</v>
          </cell>
          <cell r="J725">
            <v>487</v>
          </cell>
          <cell r="L725">
            <v>487</v>
          </cell>
        </row>
        <row r="726">
          <cell r="A726">
            <v>3642</v>
          </cell>
          <cell r="B726" t="str">
            <v>90˚곡관(고무링접합)</v>
          </cell>
          <cell r="C726" t="str">
            <v>100Ø</v>
          </cell>
          <cell r="D726" t="str">
            <v>개</v>
          </cell>
          <cell r="E726">
            <v>4016</v>
          </cell>
          <cell r="F726">
            <v>0</v>
          </cell>
          <cell r="G726">
            <v>4366</v>
          </cell>
          <cell r="H726">
            <v>546</v>
          </cell>
          <cell r="I726">
            <v>4016</v>
          </cell>
          <cell r="J726">
            <v>487</v>
          </cell>
          <cell r="L726">
            <v>487</v>
          </cell>
        </row>
        <row r="727">
          <cell r="A727">
            <v>3643</v>
          </cell>
          <cell r="B727" t="str">
            <v>90˚곡관(고무링접합)</v>
          </cell>
          <cell r="C727" t="str">
            <v>75Ø</v>
          </cell>
          <cell r="D727" t="str">
            <v>개</v>
          </cell>
          <cell r="E727">
            <v>2222</v>
          </cell>
          <cell r="F727">
            <v>0</v>
          </cell>
          <cell r="G727">
            <v>2416</v>
          </cell>
          <cell r="H727">
            <v>546</v>
          </cell>
          <cell r="I727">
            <v>2222</v>
          </cell>
          <cell r="J727">
            <v>487</v>
          </cell>
          <cell r="L727">
            <v>487</v>
          </cell>
        </row>
        <row r="728">
          <cell r="A728">
            <v>3644</v>
          </cell>
          <cell r="B728" t="str">
            <v>90˚곡관(고무링접합)</v>
          </cell>
          <cell r="C728" t="str">
            <v>50Ø</v>
          </cell>
          <cell r="D728" t="str">
            <v>개</v>
          </cell>
          <cell r="E728">
            <v>1114</v>
          </cell>
          <cell r="F728">
            <v>0</v>
          </cell>
          <cell r="G728">
            <v>1211</v>
          </cell>
          <cell r="H728">
            <v>546</v>
          </cell>
          <cell r="I728">
            <v>1114</v>
          </cell>
          <cell r="J728">
            <v>487</v>
          </cell>
          <cell r="L728">
            <v>487</v>
          </cell>
        </row>
        <row r="729">
          <cell r="A729">
            <v>3646</v>
          </cell>
          <cell r="B729" t="str">
            <v>45˚곡관(고무링접합)</v>
          </cell>
          <cell r="C729" t="str">
            <v>125Ø</v>
          </cell>
          <cell r="D729" t="str">
            <v>개</v>
          </cell>
          <cell r="E729">
            <v>5323</v>
          </cell>
          <cell r="F729">
            <v>0</v>
          </cell>
          <cell r="G729">
            <v>5786</v>
          </cell>
          <cell r="H729">
            <v>546</v>
          </cell>
          <cell r="I729">
            <v>5323</v>
          </cell>
          <cell r="J729">
            <v>487</v>
          </cell>
          <cell r="L729">
            <v>487</v>
          </cell>
        </row>
        <row r="730">
          <cell r="A730">
            <v>3647</v>
          </cell>
          <cell r="B730" t="str">
            <v>45˚곡관(고무링접합)</v>
          </cell>
          <cell r="C730" t="str">
            <v>100Ø</v>
          </cell>
          <cell r="D730" t="str">
            <v>개</v>
          </cell>
          <cell r="E730">
            <v>2940</v>
          </cell>
          <cell r="F730">
            <v>0</v>
          </cell>
          <cell r="G730">
            <v>3196</v>
          </cell>
          <cell r="H730">
            <v>546</v>
          </cell>
          <cell r="I730">
            <v>2940</v>
          </cell>
          <cell r="J730">
            <v>487</v>
          </cell>
          <cell r="L730">
            <v>487</v>
          </cell>
        </row>
        <row r="731">
          <cell r="A731">
            <v>3648</v>
          </cell>
          <cell r="B731" t="str">
            <v>45˚곡관(고무링접합)</v>
          </cell>
          <cell r="C731" t="str">
            <v>75Ø</v>
          </cell>
          <cell r="D731" t="str">
            <v>개</v>
          </cell>
          <cell r="E731">
            <v>1796</v>
          </cell>
          <cell r="F731">
            <v>0</v>
          </cell>
          <cell r="G731">
            <v>1953</v>
          </cell>
          <cell r="H731">
            <v>546</v>
          </cell>
          <cell r="I731">
            <v>1796</v>
          </cell>
          <cell r="J731">
            <v>487</v>
          </cell>
          <cell r="L731">
            <v>487</v>
          </cell>
        </row>
        <row r="732">
          <cell r="A732">
            <v>3649</v>
          </cell>
          <cell r="B732" t="str">
            <v>45˚곡관(고무링접합)</v>
          </cell>
          <cell r="C732" t="str">
            <v>50Ø</v>
          </cell>
          <cell r="D732" t="str">
            <v>개</v>
          </cell>
          <cell r="E732">
            <v>984</v>
          </cell>
          <cell r="F732">
            <v>0</v>
          </cell>
          <cell r="G732">
            <v>1070</v>
          </cell>
          <cell r="H732">
            <v>546</v>
          </cell>
          <cell r="I732">
            <v>984</v>
          </cell>
          <cell r="J732">
            <v>487</v>
          </cell>
          <cell r="L732">
            <v>487</v>
          </cell>
        </row>
        <row r="733">
          <cell r="A733">
            <v>3650</v>
          </cell>
          <cell r="B733" t="str">
            <v>LT관(고무링접합)</v>
          </cell>
          <cell r="C733" t="str">
            <v>125Øx125Ø</v>
          </cell>
          <cell r="D733" t="str">
            <v>개</v>
          </cell>
          <cell r="E733">
            <v>10384</v>
          </cell>
          <cell r="F733">
            <v>0</v>
          </cell>
          <cell r="G733">
            <v>11287</v>
          </cell>
          <cell r="H733">
            <v>546</v>
          </cell>
          <cell r="I733">
            <v>10384</v>
          </cell>
          <cell r="J733">
            <v>487</v>
          </cell>
          <cell r="L733">
            <v>487</v>
          </cell>
        </row>
        <row r="734">
          <cell r="A734">
            <v>3651</v>
          </cell>
          <cell r="B734" t="str">
            <v>LT관(고무링접합)</v>
          </cell>
          <cell r="C734" t="str">
            <v>125Øx100Ø</v>
          </cell>
          <cell r="D734" t="str">
            <v>개</v>
          </cell>
          <cell r="E734">
            <v>8271</v>
          </cell>
          <cell r="F734">
            <v>0</v>
          </cell>
          <cell r="G734">
            <v>8991</v>
          </cell>
          <cell r="H734">
            <v>546</v>
          </cell>
          <cell r="I734">
            <v>8271</v>
          </cell>
          <cell r="J734">
            <v>487</v>
          </cell>
          <cell r="L734">
            <v>487</v>
          </cell>
        </row>
        <row r="735">
          <cell r="A735">
            <v>3652</v>
          </cell>
          <cell r="B735" t="str">
            <v>Y관(고무링접합)</v>
          </cell>
          <cell r="C735" t="str">
            <v>100Øx100Ø</v>
          </cell>
          <cell r="D735" t="str">
            <v>개</v>
          </cell>
          <cell r="E735">
            <v>5062</v>
          </cell>
          <cell r="F735">
            <v>0</v>
          </cell>
          <cell r="G735">
            <v>5544</v>
          </cell>
          <cell r="H735">
            <v>546</v>
          </cell>
          <cell r="I735">
            <v>5062</v>
          </cell>
          <cell r="J735">
            <v>487</v>
          </cell>
          <cell r="L735">
            <v>487</v>
          </cell>
        </row>
        <row r="736">
          <cell r="A736">
            <v>3653</v>
          </cell>
          <cell r="B736" t="str">
            <v>Y관(고무링접합)</v>
          </cell>
          <cell r="C736" t="str">
            <v>100Øx 75Ø</v>
          </cell>
          <cell r="D736" t="str">
            <v>개</v>
          </cell>
          <cell r="E736">
            <v>4292</v>
          </cell>
          <cell r="F736">
            <v>0</v>
          </cell>
          <cell r="G736">
            <v>4638</v>
          </cell>
          <cell r="H736">
            <v>546</v>
          </cell>
          <cell r="I736">
            <v>4292</v>
          </cell>
          <cell r="J736">
            <v>487</v>
          </cell>
          <cell r="L736">
            <v>487</v>
          </cell>
        </row>
        <row r="737">
          <cell r="A737">
            <v>3654</v>
          </cell>
          <cell r="B737" t="str">
            <v>Y관(고무링접합)</v>
          </cell>
          <cell r="C737" t="str">
            <v>100Øx 50Ø</v>
          </cell>
          <cell r="D737" t="str">
            <v>개</v>
          </cell>
          <cell r="E737">
            <v>3796</v>
          </cell>
          <cell r="F737">
            <v>0</v>
          </cell>
          <cell r="G737">
            <v>3796</v>
          </cell>
          <cell r="H737">
            <v>546</v>
          </cell>
          <cell r="I737">
            <v>3800</v>
          </cell>
          <cell r="J737">
            <v>487</v>
          </cell>
          <cell r="L737">
            <v>487</v>
          </cell>
        </row>
        <row r="738">
          <cell r="A738">
            <v>3655</v>
          </cell>
          <cell r="B738" t="str">
            <v>Y관(고무링접합)</v>
          </cell>
          <cell r="C738" t="str">
            <v xml:space="preserve"> 75Øx 75Ø</v>
          </cell>
          <cell r="D738" t="str">
            <v>개</v>
          </cell>
          <cell r="E738">
            <v>2985</v>
          </cell>
          <cell r="F738">
            <v>0</v>
          </cell>
          <cell r="G738">
            <v>4414</v>
          </cell>
          <cell r="H738">
            <v>546</v>
          </cell>
          <cell r="I738">
            <v>2985</v>
          </cell>
          <cell r="J738">
            <v>487</v>
          </cell>
          <cell r="L738">
            <v>487</v>
          </cell>
        </row>
        <row r="739">
          <cell r="A739">
            <v>3656</v>
          </cell>
          <cell r="B739" t="str">
            <v>Y관(고무링접합)</v>
          </cell>
          <cell r="C739" t="str">
            <v xml:space="preserve"> 75Øx 50Ø</v>
          </cell>
          <cell r="D739" t="str">
            <v>개</v>
          </cell>
          <cell r="E739">
            <v>3216</v>
          </cell>
          <cell r="F739">
            <v>0</v>
          </cell>
          <cell r="G739">
            <v>3496</v>
          </cell>
          <cell r="H739">
            <v>546</v>
          </cell>
          <cell r="I739">
            <v>3216</v>
          </cell>
          <cell r="J739">
            <v>487</v>
          </cell>
          <cell r="L739">
            <v>487</v>
          </cell>
        </row>
        <row r="740">
          <cell r="A740">
            <v>3657</v>
          </cell>
          <cell r="B740" t="str">
            <v>Y관(고무링접합)</v>
          </cell>
          <cell r="C740" t="str">
            <v xml:space="preserve"> 50Øx 50Ø</v>
          </cell>
          <cell r="D740" t="str">
            <v>개</v>
          </cell>
          <cell r="E740">
            <v>1774</v>
          </cell>
          <cell r="F740">
            <v>0</v>
          </cell>
          <cell r="G740">
            <v>2129</v>
          </cell>
          <cell r="H740">
            <v>546</v>
          </cell>
          <cell r="I740">
            <v>1774</v>
          </cell>
          <cell r="J740">
            <v>487</v>
          </cell>
          <cell r="L740">
            <v>487</v>
          </cell>
        </row>
        <row r="741">
          <cell r="A741">
            <v>3658</v>
          </cell>
          <cell r="B741" t="str">
            <v>인크리져(고무링접합)</v>
          </cell>
          <cell r="C741" t="str">
            <v>100Øx 75Ø</v>
          </cell>
          <cell r="D741" t="str">
            <v>개</v>
          </cell>
          <cell r="E741">
            <v>2290</v>
          </cell>
          <cell r="F741">
            <v>0</v>
          </cell>
          <cell r="G741">
            <v>2490</v>
          </cell>
          <cell r="H741">
            <v>546</v>
          </cell>
          <cell r="I741">
            <v>2290</v>
          </cell>
          <cell r="J741">
            <v>487</v>
          </cell>
          <cell r="L741">
            <v>487</v>
          </cell>
        </row>
        <row r="742">
          <cell r="A742">
            <v>3659</v>
          </cell>
          <cell r="B742" t="str">
            <v>인크리져(고무링접합)</v>
          </cell>
          <cell r="C742" t="str">
            <v>100Øx 50Ø</v>
          </cell>
          <cell r="D742" t="str">
            <v>개</v>
          </cell>
          <cell r="E742">
            <v>2239</v>
          </cell>
          <cell r="F742">
            <v>0</v>
          </cell>
          <cell r="G742">
            <v>2434</v>
          </cell>
          <cell r="H742">
            <v>546</v>
          </cell>
          <cell r="I742">
            <v>2239</v>
          </cell>
          <cell r="J742">
            <v>487</v>
          </cell>
          <cell r="L742">
            <v>487</v>
          </cell>
        </row>
        <row r="743">
          <cell r="A743">
            <v>3661</v>
          </cell>
          <cell r="B743" t="str">
            <v>소제구</v>
          </cell>
          <cell r="C743" t="str">
            <v>150Ø</v>
          </cell>
          <cell r="D743" t="str">
            <v>개</v>
          </cell>
          <cell r="E743">
            <v>4867</v>
          </cell>
          <cell r="G743">
            <v>4330</v>
          </cell>
          <cell r="H743">
            <v>544</v>
          </cell>
          <cell r="I743">
            <v>4450</v>
          </cell>
          <cell r="J743">
            <v>486</v>
          </cell>
          <cell r="L743">
            <v>0</v>
          </cell>
        </row>
        <row r="744">
          <cell r="A744">
            <v>3662</v>
          </cell>
          <cell r="B744" t="str">
            <v>소제구</v>
          </cell>
          <cell r="C744" t="str">
            <v>125Ø</v>
          </cell>
          <cell r="D744" t="str">
            <v>개</v>
          </cell>
          <cell r="E744">
            <v>2805</v>
          </cell>
          <cell r="G744">
            <v>2500</v>
          </cell>
          <cell r="H744">
            <v>544</v>
          </cell>
          <cell r="I744">
            <v>2570</v>
          </cell>
          <cell r="J744">
            <v>486</v>
          </cell>
          <cell r="L744">
            <v>0</v>
          </cell>
        </row>
        <row r="745">
          <cell r="A745">
            <v>3663</v>
          </cell>
          <cell r="B745" t="str">
            <v>소제구</v>
          </cell>
          <cell r="C745" t="str">
            <v>100Ø</v>
          </cell>
          <cell r="D745" t="str">
            <v>개</v>
          </cell>
          <cell r="E745">
            <v>1628</v>
          </cell>
          <cell r="G745">
            <v>1450</v>
          </cell>
          <cell r="H745">
            <v>544</v>
          </cell>
          <cell r="I745">
            <v>1490</v>
          </cell>
          <cell r="J745">
            <v>486</v>
          </cell>
          <cell r="L745">
            <v>0</v>
          </cell>
        </row>
        <row r="746">
          <cell r="A746">
            <v>3664</v>
          </cell>
          <cell r="B746" t="str">
            <v>소제구</v>
          </cell>
          <cell r="C746" t="str">
            <v>75Ø</v>
          </cell>
          <cell r="D746" t="str">
            <v>개</v>
          </cell>
          <cell r="E746">
            <v>1169</v>
          </cell>
          <cell r="G746">
            <v>1040</v>
          </cell>
          <cell r="H746">
            <v>544</v>
          </cell>
          <cell r="I746">
            <v>1070</v>
          </cell>
          <cell r="J746">
            <v>486</v>
          </cell>
          <cell r="L746">
            <v>0</v>
          </cell>
        </row>
        <row r="747">
          <cell r="A747">
            <v>3665</v>
          </cell>
          <cell r="B747" t="str">
            <v>소제구</v>
          </cell>
          <cell r="C747" t="str">
            <v>50Ø</v>
          </cell>
          <cell r="D747" t="str">
            <v>개</v>
          </cell>
          <cell r="E747">
            <v>731</v>
          </cell>
          <cell r="G747">
            <v>470</v>
          </cell>
          <cell r="H747">
            <v>544</v>
          </cell>
          <cell r="I747">
            <v>520</v>
          </cell>
          <cell r="J747">
            <v>486</v>
          </cell>
          <cell r="L747">
            <v>0</v>
          </cell>
        </row>
        <row r="748">
          <cell r="A748">
            <v>3666</v>
          </cell>
          <cell r="B748" t="str">
            <v>바닥소제구</v>
          </cell>
          <cell r="C748" t="str">
            <v>150Ø</v>
          </cell>
          <cell r="D748" t="str">
            <v>개</v>
          </cell>
          <cell r="E748">
            <v>24500</v>
          </cell>
          <cell r="F748">
            <v>0</v>
          </cell>
          <cell r="H748">
            <v>0</v>
          </cell>
          <cell r="I748">
            <v>24500</v>
          </cell>
          <cell r="J748">
            <v>0</v>
          </cell>
          <cell r="L748">
            <v>0</v>
          </cell>
        </row>
        <row r="749">
          <cell r="A749">
            <v>3667</v>
          </cell>
          <cell r="B749" t="str">
            <v>바닥소제구</v>
          </cell>
          <cell r="C749" t="str">
            <v>125Ø</v>
          </cell>
          <cell r="D749" t="str">
            <v>개</v>
          </cell>
          <cell r="E749">
            <v>19800</v>
          </cell>
          <cell r="F749">
            <v>0</v>
          </cell>
          <cell r="H749">
            <v>0</v>
          </cell>
          <cell r="I749">
            <v>19800</v>
          </cell>
          <cell r="J749">
            <v>0</v>
          </cell>
          <cell r="L749">
            <v>0</v>
          </cell>
        </row>
        <row r="750">
          <cell r="A750">
            <v>3668</v>
          </cell>
          <cell r="B750" t="str">
            <v>바닥소제구</v>
          </cell>
          <cell r="C750" t="str">
            <v>100Ø</v>
          </cell>
          <cell r="D750" t="str">
            <v>개</v>
          </cell>
          <cell r="E750">
            <v>7000</v>
          </cell>
          <cell r="F750">
            <v>0</v>
          </cell>
          <cell r="H750">
            <v>0</v>
          </cell>
          <cell r="I750">
            <v>7000</v>
          </cell>
          <cell r="J750">
            <v>0</v>
          </cell>
          <cell r="L750">
            <v>0</v>
          </cell>
        </row>
        <row r="751">
          <cell r="A751">
            <v>3671</v>
          </cell>
          <cell r="B751" t="str">
            <v>바닥배수구</v>
          </cell>
          <cell r="C751" t="str">
            <v>100Ø</v>
          </cell>
          <cell r="D751" t="str">
            <v>개</v>
          </cell>
          <cell r="E751">
            <v>13120</v>
          </cell>
          <cell r="F751">
            <v>0</v>
          </cell>
          <cell r="H751">
            <v>0</v>
          </cell>
          <cell r="I751">
            <v>13120</v>
          </cell>
          <cell r="J751">
            <v>534</v>
          </cell>
          <cell r="L751">
            <v>0</v>
          </cell>
        </row>
        <row r="752">
          <cell r="A752">
            <v>3672</v>
          </cell>
          <cell r="B752" t="str">
            <v>바닥배수구</v>
          </cell>
          <cell r="C752" t="str">
            <v>75Ø</v>
          </cell>
          <cell r="D752" t="str">
            <v>개</v>
          </cell>
          <cell r="E752">
            <v>10500</v>
          </cell>
          <cell r="F752">
            <v>0</v>
          </cell>
          <cell r="H752">
            <v>0</v>
          </cell>
          <cell r="I752">
            <v>10500</v>
          </cell>
          <cell r="J752">
            <v>534</v>
          </cell>
          <cell r="L752">
            <v>0</v>
          </cell>
        </row>
        <row r="753">
          <cell r="A753">
            <v>3673</v>
          </cell>
          <cell r="B753" t="str">
            <v>바닥배수구</v>
          </cell>
          <cell r="C753" t="str">
            <v>50Ø</v>
          </cell>
          <cell r="D753" t="str">
            <v>개</v>
          </cell>
          <cell r="E753">
            <v>4950</v>
          </cell>
          <cell r="F753">
            <v>0</v>
          </cell>
          <cell r="H753">
            <v>0</v>
          </cell>
          <cell r="I753">
            <v>4950</v>
          </cell>
          <cell r="J753">
            <v>534</v>
          </cell>
          <cell r="L753">
            <v>0</v>
          </cell>
        </row>
        <row r="754">
          <cell r="A754">
            <v>3674</v>
          </cell>
          <cell r="B754" t="str">
            <v>세탁기용바닥배수구</v>
          </cell>
          <cell r="C754" t="str">
            <v>50Ø</v>
          </cell>
          <cell r="D754" t="str">
            <v>개</v>
          </cell>
          <cell r="E754">
            <v>6480</v>
          </cell>
          <cell r="F754">
            <v>0</v>
          </cell>
          <cell r="H754">
            <v>0</v>
          </cell>
          <cell r="I754">
            <v>6480</v>
          </cell>
          <cell r="J754">
            <v>534</v>
          </cell>
          <cell r="L754">
            <v>0</v>
          </cell>
        </row>
        <row r="755">
          <cell r="A755">
            <v>3681</v>
          </cell>
          <cell r="B755" t="str">
            <v>P-TRAP</v>
          </cell>
          <cell r="C755" t="str">
            <v>100Ø</v>
          </cell>
          <cell r="D755" t="str">
            <v>개</v>
          </cell>
          <cell r="E755">
            <v>7753</v>
          </cell>
          <cell r="G755">
            <v>6900</v>
          </cell>
          <cell r="H755">
            <v>544</v>
          </cell>
          <cell r="I755">
            <v>7670</v>
          </cell>
          <cell r="J755">
            <v>486</v>
          </cell>
          <cell r="L755">
            <v>0</v>
          </cell>
        </row>
        <row r="756">
          <cell r="A756">
            <v>3682</v>
          </cell>
          <cell r="B756" t="str">
            <v>P-TRAP</v>
          </cell>
          <cell r="C756" t="str">
            <v>75Ø</v>
          </cell>
          <cell r="D756" t="str">
            <v>개</v>
          </cell>
          <cell r="E756">
            <v>3878</v>
          </cell>
          <cell r="G756">
            <v>3450</v>
          </cell>
          <cell r="H756">
            <v>544</v>
          </cell>
          <cell r="I756">
            <v>3840</v>
          </cell>
          <cell r="J756">
            <v>486</v>
          </cell>
          <cell r="L756">
            <v>0</v>
          </cell>
        </row>
        <row r="757">
          <cell r="A757">
            <v>3683</v>
          </cell>
          <cell r="B757" t="str">
            <v>P-TRAP</v>
          </cell>
          <cell r="C757" t="str">
            <v>50Ø</v>
          </cell>
          <cell r="D757" t="str">
            <v>개</v>
          </cell>
          <cell r="E757">
            <v>1845</v>
          </cell>
          <cell r="G757">
            <v>1650</v>
          </cell>
          <cell r="H757">
            <v>544</v>
          </cell>
          <cell r="I757">
            <v>1830</v>
          </cell>
          <cell r="J757">
            <v>486</v>
          </cell>
          <cell r="L757">
            <v>0</v>
          </cell>
        </row>
        <row r="758">
          <cell r="A758">
            <v>3691</v>
          </cell>
          <cell r="B758" t="str">
            <v>PVC 스리브</v>
          </cell>
          <cell r="C758" t="str">
            <v>150Ø</v>
          </cell>
          <cell r="D758" t="str">
            <v>개</v>
          </cell>
          <cell r="E758">
            <v>1500</v>
          </cell>
          <cell r="F758">
            <v>0</v>
          </cell>
          <cell r="H758">
            <v>0</v>
          </cell>
          <cell r="I758">
            <v>1500</v>
          </cell>
          <cell r="J758">
            <v>534</v>
          </cell>
          <cell r="L758">
            <v>0</v>
          </cell>
        </row>
        <row r="759">
          <cell r="A759">
            <v>3692</v>
          </cell>
          <cell r="B759" t="str">
            <v>PVC 스리브</v>
          </cell>
          <cell r="C759" t="str">
            <v>125Ø</v>
          </cell>
          <cell r="D759" t="str">
            <v>개</v>
          </cell>
          <cell r="E759">
            <v>1400</v>
          </cell>
          <cell r="F759">
            <v>0</v>
          </cell>
          <cell r="H759">
            <v>0</v>
          </cell>
          <cell r="I759">
            <v>1400</v>
          </cell>
          <cell r="J759">
            <v>534</v>
          </cell>
          <cell r="L759">
            <v>0</v>
          </cell>
        </row>
        <row r="760">
          <cell r="A760">
            <v>3693</v>
          </cell>
          <cell r="B760" t="str">
            <v>PVC 스리브</v>
          </cell>
          <cell r="C760" t="str">
            <v>100Ø</v>
          </cell>
          <cell r="D760" t="str">
            <v>개</v>
          </cell>
          <cell r="E760">
            <v>1300</v>
          </cell>
          <cell r="F760">
            <v>0</v>
          </cell>
          <cell r="H760">
            <v>0</v>
          </cell>
          <cell r="I760">
            <v>1300</v>
          </cell>
          <cell r="J760">
            <v>534</v>
          </cell>
          <cell r="L760">
            <v>0</v>
          </cell>
        </row>
        <row r="761">
          <cell r="A761">
            <v>3694</v>
          </cell>
          <cell r="B761" t="str">
            <v>PVC 스리브</v>
          </cell>
          <cell r="C761" t="str">
            <v>75Ø</v>
          </cell>
          <cell r="D761" t="str">
            <v>개</v>
          </cell>
          <cell r="E761">
            <v>1100</v>
          </cell>
          <cell r="F761">
            <v>0</v>
          </cell>
          <cell r="H761">
            <v>0</v>
          </cell>
          <cell r="I761">
            <v>1100</v>
          </cell>
          <cell r="J761">
            <v>534</v>
          </cell>
          <cell r="L761">
            <v>0</v>
          </cell>
        </row>
        <row r="762">
          <cell r="A762">
            <v>3695</v>
          </cell>
          <cell r="B762" t="str">
            <v>PVC 스리브</v>
          </cell>
          <cell r="C762" t="str">
            <v>50Ø</v>
          </cell>
          <cell r="D762" t="str">
            <v>개</v>
          </cell>
          <cell r="E762">
            <v>800</v>
          </cell>
          <cell r="F762">
            <v>0</v>
          </cell>
          <cell r="H762">
            <v>0</v>
          </cell>
          <cell r="I762">
            <v>800</v>
          </cell>
          <cell r="J762">
            <v>534</v>
          </cell>
          <cell r="L762">
            <v>0</v>
          </cell>
        </row>
        <row r="787">
          <cell r="A787">
            <v>3710</v>
          </cell>
          <cell r="B787" t="str">
            <v>주철 G/V(10kg/㎠)</v>
          </cell>
          <cell r="C787" t="str">
            <v>150Ø</v>
          </cell>
          <cell r="D787" t="str">
            <v>개</v>
          </cell>
          <cell r="E787">
            <v>148000</v>
          </cell>
          <cell r="F787">
            <v>0</v>
          </cell>
          <cell r="G787">
            <v>148000</v>
          </cell>
          <cell r="H787">
            <v>596</v>
          </cell>
          <cell r="I787">
            <v>160000</v>
          </cell>
          <cell r="J787">
            <v>529</v>
          </cell>
          <cell r="L787">
            <v>529</v>
          </cell>
        </row>
        <row r="788">
          <cell r="A788">
            <v>3711</v>
          </cell>
          <cell r="B788" t="str">
            <v>주철 G/V(10kg/㎠)</v>
          </cell>
          <cell r="C788" t="str">
            <v>100Ø</v>
          </cell>
          <cell r="D788" t="str">
            <v>개</v>
          </cell>
          <cell r="E788">
            <v>77700</v>
          </cell>
          <cell r="F788">
            <v>0</v>
          </cell>
          <cell r="G788">
            <v>77700</v>
          </cell>
          <cell r="H788">
            <v>596</v>
          </cell>
          <cell r="I788">
            <v>84000</v>
          </cell>
          <cell r="J788">
            <v>529</v>
          </cell>
          <cell r="L788">
            <v>529</v>
          </cell>
        </row>
        <row r="789">
          <cell r="A789">
            <v>3712</v>
          </cell>
          <cell r="B789" t="str">
            <v>주철 G/V(10kg/㎠)</v>
          </cell>
          <cell r="C789" t="str">
            <v>80Ø</v>
          </cell>
          <cell r="D789" t="str">
            <v>개</v>
          </cell>
          <cell r="E789">
            <v>55500</v>
          </cell>
          <cell r="F789">
            <v>0</v>
          </cell>
          <cell r="G789">
            <v>55500</v>
          </cell>
          <cell r="H789">
            <v>596</v>
          </cell>
          <cell r="I789">
            <v>60000</v>
          </cell>
          <cell r="J789">
            <v>529</v>
          </cell>
          <cell r="L789">
            <v>529</v>
          </cell>
        </row>
        <row r="790">
          <cell r="A790">
            <v>3713</v>
          </cell>
          <cell r="B790" t="str">
            <v>주철 G/V(10kg/㎠)</v>
          </cell>
          <cell r="C790" t="str">
            <v>65Ø</v>
          </cell>
          <cell r="D790" t="str">
            <v>개</v>
          </cell>
          <cell r="E790">
            <v>45880</v>
          </cell>
          <cell r="F790">
            <v>0</v>
          </cell>
          <cell r="G790">
            <v>45880</v>
          </cell>
          <cell r="H790">
            <v>596</v>
          </cell>
          <cell r="I790">
            <v>49600</v>
          </cell>
          <cell r="J790">
            <v>529</v>
          </cell>
          <cell r="L790">
            <v>529</v>
          </cell>
        </row>
        <row r="791">
          <cell r="A791">
            <v>3714</v>
          </cell>
          <cell r="B791" t="str">
            <v>청동 G/V(10kg/㎠)</v>
          </cell>
          <cell r="C791" t="str">
            <v>50Ø</v>
          </cell>
          <cell r="D791" t="str">
            <v>개</v>
          </cell>
          <cell r="E791">
            <v>29690</v>
          </cell>
          <cell r="F791">
            <v>0</v>
          </cell>
          <cell r="G791">
            <v>29690</v>
          </cell>
          <cell r="H791">
            <v>595</v>
          </cell>
          <cell r="I791">
            <v>30120</v>
          </cell>
          <cell r="J791">
            <v>511</v>
          </cell>
          <cell r="L791">
            <v>414</v>
          </cell>
        </row>
        <row r="792">
          <cell r="A792">
            <v>3715</v>
          </cell>
          <cell r="B792" t="str">
            <v>청동 G/V(10kg/㎠)</v>
          </cell>
          <cell r="C792" t="str">
            <v>40Ø</v>
          </cell>
          <cell r="D792" t="str">
            <v>개</v>
          </cell>
          <cell r="E792">
            <v>19260</v>
          </cell>
          <cell r="F792">
            <v>0</v>
          </cell>
          <cell r="G792">
            <v>19260</v>
          </cell>
          <cell r="H792">
            <v>595</v>
          </cell>
          <cell r="I792">
            <v>19540</v>
          </cell>
          <cell r="J792">
            <v>511</v>
          </cell>
          <cell r="L792">
            <v>414</v>
          </cell>
        </row>
        <row r="793">
          <cell r="A793">
            <v>3716</v>
          </cell>
          <cell r="B793" t="str">
            <v>청동 G/V(10kg/㎠)</v>
          </cell>
          <cell r="C793" t="str">
            <v>32Ø</v>
          </cell>
          <cell r="D793" t="str">
            <v>개</v>
          </cell>
          <cell r="E793">
            <v>14370</v>
          </cell>
          <cell r="F793">
            <v>0</v>
          </cell>
          <cell r="G793">
            <v>14370</v>
          </cell>
          <cell r="H793">
            <v>595</v>
          </cell>
          <cell r="I793">
            <v>14580</v>
          </cell>
          <cell r="J793">
            <v>511</v>
          </cell>
          <cell r="L793">
            <v>414</v>
          </cell>
        </row>
        <row r="794">
          <cell r="A794">
            <v>3717</v>
          </cell>
          <cell r="B794" t="str">
            <v>청동 G/V(10kg/㎠)</v>
          </cell>
          <cell r="C794" t="str">
            <v>25Ø</v>
          </cell>
          <cell r="D794" t="str">
            <v>개</v>
          </cell>
          <cell r="E794">
            <v>10100</v>
          </cell>
          <cell r="F794">
            <v>0</v>
          </cell>
          <cell r="G794">
            <v>10100</v>
          </cell>
          <cell r="H794">
            <v>595</v>
          </cell>
          <cell r="I794">
            <v>10250</v>
          </cell>
          <cell r="J794">
            <v>511</v>
          </cell>
          <cell r="L794">
            <v>414</v>
          </cell>
        </row>
        <row r="795">
          <cell r="A795">
            <v>3718</v>
          </cell>
          <cell r="B795" t="str">
            <v>청동 G/V(10kg/㎠)</v>
          </cell>
          <cell r="C795" t="str">
            <v>20Ø</v>
          </cell>
          <cell r="D795" t="str">
            <v>개</v>
          </cell>
          <cell r="E795">
            <v>6620</v>
          </cell>
          <cell r="F795">
            <v>0</v>
          </cell>
          <cell r="G795">
            <v>6620</v>
          </cell>
          <cell r="H795">
            <v>595</v>
          </cell>
          <cell r="I795">
            <v>6710</v>
          </cell>
          <cell r="J795">
            <v>511</v>
          </cell>
          <cell r="L795">
            <v>414</v>
          </cell>
        </row>
        <row r="796">
          <cell r="A796">
            <v>3719</v>
          </cell>
          <cell r="B796" t="str">
            <v>청동 G/V(10kg/㎠)</v>
          </cell>
          <cell r="C796" t="str">
            <v>15Ø</v>
          </cell>
          <cell r="D796" t="str">
            <v>개</v>
          </cell>
          <cell r="E796">
            <v>4610</v>
          </cell>
          <cell r="F796">
            <v>0</v>
          </cell>
          <cell r="G796">
            <v>4610</v>
          </cell>
          <cell r="H796">
            <v>595</v>
          </cell>
          <cell r="I796">
            <v>4680</v>
          </cell>
          <cell r="J796">
            <v>511</v>
          </cell>
          <cell r="L796">
            <v>414</v>
          </cell>
        </row>
        <row r="797">
          <cell r="A797">
            <v>3720</v>
          </cell>
          <cell r="B797" t="str">
            <v>주철볼밸브(10kg/㎠)</v>
          </cell>
          <cell r="C797" t="str">
            <v>150Ø</v>
          </cell>
          <cell r="D797" t="str">
            <v>개</v>
          </cell>
          <cell r="E797">
            <v>197100</v>
          </cell>
          <cell r="F797">
            <v>0</v>
          </cell>
          <cell r="G797">
            <v>197100</v>
          </cell>
          <cell r="H797">
            <v>597</v>
          </cell>
          <cell r="I797">
            <v>580000</v>
          </cell>
          <cell r="J797">
            <v>529</v>
          </cell>
          <cell r="L797">
            <v>529</v>
          </cell>
        </row>
        <row r="798">
          <cell r="A798">
            <v>3721</v>
          </cell>
          <cell r="B798" t="str">
            <v>주철볼밸브(10kg/㎠)</v>
          </cell>
          <cell r="C798" t="str">
            <v>100Ø</v>
          </cell>
          <cell r="D798" t="str">
            <v>개</v>
          </cell>
          <cell r="E798">
            <v>97820</v>
          </cell>
          <cell r="F798">
            <v>0</v>
          </cell>
          <cell r="G798">
            <v>97820</v>
          </cell>
          <cell r="H798">
            <v>597</v>
          </cell>
          <cell r="I798">
            <v>200000</v>
          </cell>
          <cell r="J798">
            <v>529</v>
          </cell>
          <cell r="L798">
            <v>529</v>
          </cell>
        </row>
        <row r="799">
          <cell r="A799">
            <v>3722</v>
          </cell>
          <cell r="B799" t="str">
            <v>주철볼밸브(10kg/㎠)</v>
          </cell>
          <cell r="C799" t="str">
            <v>80Ø</v>
          </cell>
          <cell r="D799" t="str">
            <v>개</v>
          </cell>
          <cell r="E799">
            <v>65700</v>
          </cell>
          <cell r="F799">
            <v>0</v>
          </cell>
          <cell r="G799">
            <v>65700</v>
          </cell>
          <cell r="H799">
            <v>597</v>
          </cell>
          <cell r="I799">
            <v>140800</v>
          </cell>
          <cell r="J799">
            <v>529</v>
          </cell>
          <cell r="L799">
            <v>529</v>
          </cell>
        </row>
        <row r="800">
          <cell r="A800">
            <v>3723</v>
          </cell>
          <cell r="B800" t="str">
            <v>주철볼밸브(10kg/㎠)</v>
          </cell>
          <cell r="C800" t="str">
            <v>65Ø</v>
          </cell>
          <cell r="D800" t="str">
            <v>개</v>
          </cell>
          <cell r="E800">
            <v>52560</v>
          </cell>
          <cell r="F800">
            <v>0</v>
          </cell>
          <cell r="G800">
            <v>52560</v>
          </cell>
          <cell r="H800">
            <v>597</v>
          </cell>
          <cell r="I800">
            <v>107200</v>
          </cell>
          <cell r="J800">
            <v>529</v>
          </cell>
          <cell r="L800">
            <v>529</v>
          </cell>
        </row>
        <row r="801">
          <cell r="A801">
            <v>3724</v>
          </cell>
          <cell r="B801" t="str">
            <v>황동볼밸브(10kg/㎠)</v>
          </cell>
          <cell r="C801" t="str">
            <v>50Ø</v>
          </cell>
          <cell r="D801" t="str">
            <v>개</v>
          </cell>
          <cell r="E801">
            <v>13300</v>
          </cell>
          <cell r="F801">
            <v>0</v>
          </cell>
          <cell r="G801">
            <v>15390</v>
          </cell>
          <cell r="H801">
            <v>597</v>
          </cell>
          <cell r="I801">
            <v>13300</v>
          </cell>
          <cell r="J801">
            <v>529</v>
          </cell>
          <cell r="L801">
            <v>529</v>
          </cell>
        </row>
        <row r="802">
          <cell r="A802">
            <v>3725</v>
          </cell>
          <cell r="B802" t="str">
            <v>황동볼밸브(10kg/㎠)</v>
          </cell>
          <cell r="C802" t="str">
            <v>40Ø</v>
          </cell>
          <cell r="D802" t="str">
            <v>개</v>
          </cell>
          <cell r="E802">
            <v>8750</v>
          </cell>
          <cell r="F802">
            <v>0</v>
          </cell>
          <cell r="G802">
            <v>10120</v>
          </cell>
          <cell r="H802">
            <v>597</v>
          </cell>
          <cell r="I802">
            <v>8750</v>
          </cell>
          <cell r="J802">
            <v>529</v>
          </cell>
          <cell r="L802">
            <v>529</v>
          </cell>
        </row>
        <row r="803">
          <cell r="A803">
            <v>3726</v>
          </cell>
          <cell r="B803" t="str">
            <v>황동볼밸브(10kg/㎠)</v>
          </cell>
          <cell r="C803" t="str">
            <v>32Ø</v>
          </cell>
          <cell r="D803" t="str">
            <v>개</v>
          </cell>
          <cell r="E803">
            <v>6300</v>
          </cell>
          <cell r="F803">
            <v>0</v>
          </cell>
          <cell r="G803">
            <v>7290</v>
          </cell>
          <cell r="H803">
            <v>597</v>
          </cell>
          <cell r="I803">
            <v>6300</v>
          </cell>
          <cell r="J803">
            <v>529</v>
          </cell>
          <cell r="L803">
            <v>529</v>
          </cell>
        </row>
        <row r="804">
          <cell r="A804">
            <v>3727</v>
          </cell>
          <cell r="B804" t="str">
            <v>황동볼밸브(10kg/㎠)</v>
          </cell>
          <cell r="C804" t="str">
            <v>25Ø</v>
          </cell>
          <cell r="D804" t="str">
            <v>개</v>
          </cell>
          <cell r="E804">
            <v>4340</v>
          </cell>
          <cell r="F804">
            <v>0</v>
          </cell>
          <cell r="G804">
            <v>5020</v>
          </cell>
          <cell r="H804">
            <v>597</v>
          </cell>
          <cell r="I804">
            <v>4340</v>
          </cell>
          <cell r="J804">
            <v>529</v>
          </cell>
          <cell r="L804">
            <v>529</v>
          </cell>
        </row>
        <row r="805">
          <cell r="A805">
            <v>3728</v>
          </cell>
          <cell r="B805" t="str">
            <v>황동볼밸브(10kg/㎠)</v>
          </cell>
          <cell r="C805" t="str">
            <v>20Ø</v>
          </cell>
          <cell r="D805" t="str">
            <v>개</v>
          </cell>
          <cell r="E805">
            <v>2450</v>
          </cell>
          <cell r="F805">
            <v>0</v>
          </cell>
          <cell r="G805">
            <v>2830</v>
          </cell>
          <cell r="H805">
            <v>597</v>
          </cell>
          <cell r="I805">
            <v>2450</v>
          </cell>
          <cell r="J805">
            <v>529</v>
          </cell>
          <cell r="L805">
            <v>529</v>
          </cell>
        </row>
        <row r="806">
          <cell r="A806">
            <v>3729</v>
          </cell>
          <cell r="B806" t="str">
            <v>황동볼밸브(10kg/㎠)</v>
          </cell>
          <cell r="C806" t="str">
            <v>15Ø</v>
          </cell>
          <cell r="D806" t="str">
            <v>개</v>
          </cell>
          <cell r="E806">
            <v>1890</v>
          </cell>
          <cell r="F806">
            <v>0</v>
          </cell>
          <cell r="G806">
            <v>2180</v>
          </cell>
          <cell r="H806">
            <v>597</v>
          </cell>
          <cell r="I806">
            <v>1890</v>
          </cell>
          <cell r="J806">
            <v>529</v>
          </cell>
          <cell r="L806">
            <v>529</v>
          </cell>
        </row>
        <row r="807">
          <cell r="A807">
            <v>3730</v>
          </cell>
          <cell r="B807" t="str">
            <v>주강첵크밸브(10kg/㎠)</v>
          </cell>
          <cell r="C807" t="str">
            <v>150Ø</v>
          </cell>
          <cell r="D807" t="str">
            <v>개</v>
          </cell>
          <cell r="E807">
            <v>330750</v>
          </cell>
          <cell r="F807">
            <v>0</v>
          </cell>
          <cell r="G807">
            <v>330750</v>
          </cell>
          <cell r="H807">
            <v>596</v>
          </cell>
          <cell r="I807">
            <v>352800</v>
          </cell>
          <cell r="J807">
            <v>670</v>
          </cell>
          <cell r="L807">
            <v>670</v>
          </cell>
        </row>
        <row r="808">
          <cell r="A808">
            <v>3731</v>
          </cell>
          <cell r="B808" t="str">
            <v>주강첵크밸브(10kg/㎠)</v>
          </cell>
          <cell r="C808" t="str">
            <v>125Ø</v>
          </cell>
          <cell r="D808" t="str">
            <v>개</v>
          </cell>
          <cell r="E808">
            <v>266250</v>
          </cell>
          <cell r="F808">
            <v>0</v>
          </cell>
          <cell r="G808">
            <v>266250</v>
          </cell>
          <cell r="H808">
            <v>596</v>
          </cell>
          <cell r="I808">
            <v>284000</v>
          </cell>
          <cell r="J808">
            <v>670</v>
          </cell>
          <cell r="L808">
            <v>670</v>
          </cell>
        </row>
        <row r="809">
          <cell r="A809">
            <v>3732</v>
          </cell>
          <cell r="B809" t="str">
            <v>주강첵크밸브(10kg/㎠)</v>
          </cell>
          <cell r="C809" t="str">
            <v>100Ø</v>
          </cell>
          <cell r="D809" t="str">
            <v>개</v>
          </cell>
          <cell r="E809">
            <v>189750</v>
          </cell>
          <cell r="F809">
            <v>0</v>
          </cell>
          <cell r="G809">
            <v>189750</v>
          </cell>
          <cell r="H809">
            <v>596</v>
          </cell>
          <cell r="I809">
            <v>202400</v>
          </cell>
          <cell r="J809">
            <v>670</v>
          </cell>
          <cell r="L809">
            <v>670</v>
          </cell>
        </row>
        <row r="810">
          <cell r="A810">
            <v>3733</v>
          </cell>
          <cell r="B810" t="str">
            <v>주강첵크밸브(10kg/㎠)</v>
          </cell>
          <cell r="C810" t="str">
            <v>80Ø</v>
          </cell>
          <cell r="D810" t="str">
            <v>개</v>
          </cell>
          <cell r="E810">
            <v>132600</v>
          </cell>
          <cell r="F810">
            <v>0</v>
          </cell>
          <cell r="G810">
            <v>132600</v>
          </cell>
          <cell r="H810">
            <v>596</v>
          </cell>
          <cell r="I810">
            <v>141400</v>
          </cell>
          <cell r="J810">
            <v>670</v>
          </cell>
          <cell r="L810">
            <v>670</v>
          </cell>
        </row>
        <row r="811">
          <cell r="A811">
            <v>3734</v>
          </cell>
          <cell r="B811" t="str">
            <v>주강첵크밸브(10kg/㎠)</v>
          </cell>
          <cell r="C811" t="str">
            <v>65Ø</v>
          </cell>
          <cell r="D811" t="str">
            <v>개</v>
          </cell>
          <cell r="E811">
            <v>115650</v>
          </cell>
          <cell r="F811">
            <v>0</v>
          </cell>
          <cell r="G811">
            <v>115650</v>
          </cell>
          <cell r="H811">
            <v>596</v>
          </cell>
          <cell r="I811">
            <v>123300</v>
          </cell>
          <cell r="J811">
            <v>670</v>
          </cell>
          <cell r="L811">
            <v>670</v>
          </cell>
        </row>
        <row r="812">
          <cell r="A812">
            <v>3735</v>
          </cell>
          <cell r="B812" t="str">
            <v>청동첵크밸브(10kg/㎠)</v>
          </cell>
          <cell r="C812" t="str">
            <v>50Ø</v>
          </cell>
          <cell r="D812" t="str">
            <v>개</v>
          </cell>
          <cell r="E812">
            <v>19440</v>
          </cell>
          <cell r="F812">
            <v>0</v>
          </cell>
          <cell r="G812">
            <v>19440</v>
          </cell>
          <cell r="H812">
            <v>596</v>
          </cell>
          <cell r="I812">
            <v>19450</v>
          </cell>
          <cell r="J812">
            <v>513</v>
          </cell>
          <cell r="L812">
            <v>416</v>
          </cell>
        </row>
        <row r="813">
          <cell r="A813">
            <v>3736</v>
          </cell>
          <cell r="B813" t="str">
            <v>청동첵크밸브(10kg/㎠)</v>
          </cell>
          <cell r="C813" t="str">
            <v>40Ø</v>
          </cell>
          <cell r="D813" t="str">
            <v>개</v>
          </cell>
          <cell r="E813">
            <v>12850</v>
          </cell>
          <cell r="F813">
            <v>0</v>
          </cell>
          <cell r="G813">
            <v>12850</v>
          </cell>
          <cell r="H813">
            <v>596</v>
          </cell>
          <cell r="I813">
            <v>12850</v>
          </cell>
          <cell r="J813">
            <v>670</v>
          </cell>
          <cell r="L813">
            <v>670</v>
          </cell>
        </row>
        <row r="814">
          <cell r="A814">
            <v>3737</v>
          </cell>
          <cell r="B814" t="str">
            <v>청동첵크밸브(10kg/㎠)</v>
          </cell>
          <cell r="C814" t="str">
            <v>32Ø</v>
          </cell>
          <cell r="D814" t="str">
            <v>개</v>
          </cell>
          <cell r="E814">
            <v>10330</v>
          </cell>
          <cell r="F814">
            <v>0</v>
          </cell>
          <cell r="G814">
            <v>10330</v>
          </cell>
          <cell r="H814">
            <v>596</v>
          </cell>
          <cell r="I814">
            <v>10340</v>
          </cell>
          <cell r="J814">
            <v>531</v>
          </cell>
          <cell r="L814">
            <v>531</v>
          </cell>
        </row>
        <row r="815">
          <cell r="A815">
            <v>3738</v>
          </cell>
          <cell r="B815" t="str">
            <v>청동첵크밸브(10kg/㎠)</v>
          </cell>
          <cell r="C815" t="str">
            <v>25Ø</v>
          </cell>
          <cell r="D815" t="str">
            <v>개</v>
          </cell>
          <cell r="E815">
            <v>6920</v>
          </cell>
          <cell r="F815">
            <v>0</v>
          </cell>
          <cell r="G815">
            <v>6920</v>
          </cell>
          <cell r="H815">
            <v>596</v>
          </cell>
          <cell r="I815">
            <v>6930</v>
          </cell>
          <cell r="J815">
            <v>531</v>
          </cell>
          <cell r="L815">
            <v>531</v>
          </cell>
        </row>
        <row r="816">
          <cell r="A816">
            <v>3739</v>
          </cell>
          <cell r="B816" t="str">
            <v>청동첵크밸브(10kg/㎠)</v>
          </cell>
          <cell r="C816" t="str">
            <v>20Ø</v>
          </cell>
          <cell r="D816" t="str">
            <v>개</v>
          </cell>
          <cell r="E816">
            <v>4600</v>
          </cell>
          <cell r="F816">
            <v>0</v>
          </cell>
          <cell r="G816">
            <v>4600</v>
          </cell>
          <cell r="H816">
            <v>596</v>
          </cell>
          <cell r="I816">
            <v>4600</v>
          </cell>
          <cell r="J816">
            <v>531</v>
          </cell>
          <cell r="L816">
            <v>531</v>
          </cell>
        </row>
        <row r="817">
          <cell r="A817">
            <v>3740</v>
          </cell>
          <cell r="B817" t="str">
            <v>청동앵글밸브(10kg/㎠)</v>
          </cell>
          <cell r="C817" t="str">
            <v>25Ø</v>
          </cell>
          <cell r="D817" t="str">
            <v>개</v>
          </cell>
          <cell r="E817">
            <v>8120</v>
          </cell>
          <cell r="F817">
            <v>0</v>
          </cell>
          <cell r="G817">
            <v>8810</v>
          </cell>
          <cell r="H817">
            <v>600</v>
          </cell>
          <cell r="I817">
            <v>8120</v>
          </cell>
          <cell r="J817">
            <v>532</v>
          </cell>
          <cell r="L817">
            <v>532</v>
          </cell>
        </row>
        <row r="818">
          <cell r="A818">
            <v>3741</v>
          </cell>
          <cell r="B818" t="str">
            <v>청동앵글밸브(10kg/㎠)</v>
          </cell>
          <cell r="C818" t="str">
            <v>20Ø</v>
          </cell>
          <cell r="D818" t="str">
            <v>개</v>
          </cell>
          <cell r="E818">
            <v>5390</v>
          </cell>
          <cell r="F818">
            <v>0</v>
          </cell>
          <cell r="G818">
            <v>5850</v>
          </cell>
          <cell r="H818">
            <v>600</v>
          </cell>
          <cell r="I818">
            <v>5390</v>
          </cell>
          <cell r="J818">
            <v>532</v>
          </cell>
          <cell r="L818">
            <v>532</v>
          </cell>
        </row>
        <row r="819">
          <cell r="A819">
            <v>3742</v>
          </cell>
          <cell r="B819" t="str">
            <v>청동앵글밸브(10kg/㎠)</v>
          </cell>
          <cell r="C819" t="str">
            <v>15Ø</v>
          </cell>
          <cell r="D819" t="str">
            <v>개</v>
          </cell>
          <cell r="E819">
            <v>3590</v>
          </cell>
          <cell r="F819">
            <v>0</v>
          </cell>
          <cell r="G819">
            <v>3900</v>
          </cell>
          <cell r="H819">
            <v>600</v>
          </cell>
          <cell r="I819">
            <v>3590</v>
          </cell>
          <cell r="J819">
            <v>532</v>
          </cell>
          <cell r="L819">
            <v>532</v>
          </cell>
        </row>
        <row r="820">
          <cell r="A820">
            <v>3743</v>
          </cell>
          <cell r="B820" t="str">
            <v>안전밸브</v>
          </cell>
          <cell r="C820" t="str">
            <v>80Ø</v>
          </cell>
          <cell r="D820" t="str">
            <v>개</v>
          </cell>
          <cell r="E820">
            <v>712000</v>
          </cell>
          <cell r="F820">
            <v>0</v>
          </cell>
          <cell r="H820">
            <v>537</v>
          </cell>
          <cell r="I820">
            <v>712000</v>
          </cell>
          <cell r="J820">
            <v>537</v>
          </cell>
          <cell r="L820">
            <v>537</v>
          </cell>
        </row>
        <row r="821">
          <cell r="A821">
            <v>3744</v>
          </cell>
          <cell r="B821" t="str">
            <v>안전밸브</v>
          </cell>
          <cell r="C821" t="str">
            <v>65Ø</v>
          </cell>
          <cell r="D821" t="str">
            <v>개</v>
          </cell>
          <cell r="E821">
            <v>540000</v>
          </cell>
          <cell r="F821">
            <v>0</v>
          </cell>
          <cell r="H821">
            <v>537</v>
          </cell>
          <cell r="I821">
            <v>540000</v>
          </cell>
          <cell r="J821">
            <v>537</v>
          </cell>
          <cell r="L821">
            <v>537</v>
          </cell>
        </row>
        <row r="822">
          <cell r="A822">
            <v>3745</v>
          </cell>
          <cell r="B822" t="str">
            <v>안전밸브</v>
          </cell>
          <cell r="C822" t="str">
            <v>40Ø</v>
          </cell>
          <cell r="D822" t="str">
            <v>개</v>
          </cell>
          <cell r="E822">
            <v>398000</v>
          </cell>
          <cell r="F822">
            <v>0</v>
          </cell>
          <cell r="H822">
            <v>537</v>
          </cell>
          <cell r="I822">
            <v>398000</v>
          </cell>
          <cell r="J822">
            <v>537</v>
          </cell>
          <cell r="L822">
            <v>537</v>
          </cell>
        </row>
        <row r="823">
          <cell r="A823">
            <v>3746</v>
          </cell>
          <cell r="B823" t="str">
            <v>안전밸브</v>
          </cell>
          <cell r="C823" t="str">
            <v>32Ø</v>
          </cell>
          <cell r="D823" t="str">
            <v>개</v>
          </cell>
          <cell r="E823">
            <v>0</v>
          </cell>
          <cell r="F823">
            <v>0</v>
          </cell>
          <cell r="H823">
            <v>537</v>
          </cell>
          <cell r="J823">
            <v>537</v>
          </cell>
          <cell r="L823">
            <v>537</v>
          </cell>
        </row>
        <row r="824">
          <cell r="A824">
            <v>3747</v>
          </cell>
          <cell r="B824" t="str">
            <v>안전밸브(저양정)</v>
          </cell>
          <cell r="C824" t="str">
            <v>25Ø</v>
          </cell>
          <cell r="D824" t="str">
            <v>개</v>
          </cell>
          <cell r="E824">
            <v>44100</v>
          </cell>
          <cell r="F824">
            <v>0</v>
          </cell>
          <cell r="H824">
            <v>537</v>
          </cell>
          <cell r="I824">
            <v>44100</v>
          </cell>
          <cell r="J824">
            <v>537</v>
          </cell>
          <cell r="L824">
            <v>537</v>
          </cell>
        </row>
        <row r="825">
          <cell r="A825">
            <v>3748</v>
          </cell>
          <cell r="B825" t="str">
            <v>안전밸브(저양정)</v>
          </cell>
          <cell r="C825" t="str">
            <v>20Ø</v>
          </cell>
          <cell r="D825" t="str">
            <v>개</v>
          </cell>
          <cell r="E825">
            <v>39600</v>
          </cell>
          <cell r="F825">
            <v>0</v>
          </cell>
          <cell r="H825">
            <v>537</v>
          </cell>
          <cell r="I825">
            <v>39600</v>
          </cell>
          <cell r="J825">
            <v>537</v>
          </cell>
          <cell r="L825">
            <v>537</v>
          </cell>
        </row>
        <row r="826">
          <cell r="A826">
            <v>3749</v>
          </cell>
          <cell r="B826" t="str">
            <v>릴리프밸브</v>
          </cell>
          <cell r="C826" t="str">
            <v>25Ø</v>
          </cell>
          <cell r="D826" t="str">
            <v>개</v>
          </cell>
          <cell r="E826">
            <v>216000</v>
          </cell>
          <cell r="F826">
            <v>0</v>
          </cell>
          <cell r="H826">
            <v>670</v>
          </cell>
          <cell r="I826">
            <v>216000</v>
          </cell>
          <cell r="J826">
            <v>670</v>
          </cell>
          <cell r="L826">
            <v>670</v>
          </cell>
        </row>
        <row r="827">
          <cell r="A827">
            <v>3750</v>
          </cell>
          <cell r="B827" t="str">
            <v>판넬밸브</v>
          </cell>
          <cell r="C827" t="str">
            <v>15Ø</v>
          </cell>
          <cell r="D827" t="str">
            <v>개</v>
          </cell>
          <cell r="E827">
            <v>6800</v>
          </cell>
          <cell r="F827">
            <v>0</v>
          </cell>
          <cell r="H827">
            <v>531</v>
          </cell>
          <cell r="I827">
            <v>6800</v>
          </cell>
          <cell r="J827">
            <v>531</v>
          </cell>
          <cell r="L827">
            <v>531</v>
          </cell>
        </row>
        <row r="828">
          <cell r="A828">
            <v>3751</v>
          </cell>
          <cell r="B828" t="str">
            <v>부력식 정수위밸브</v>
          </cell>
          <cell r="C828" t="str">
            <v>80Ø</v>
          </cell>
          <cell r="D828" t="str">
            <v>개</v>
          </cell>
          <cell r="E828">
            <v>317500</v>
          </cell>
          <cell r="F828">
            <v>0</v>
          </cell>
          <cell r="H828">
            <v>551</v>
          </cell>
          <cell r="I828">
            <v>317500</v>
          </cell>
          <cell r="J828">
            <v>551</v>
          </cell>
          <cell r="L828">
            <v>551</v>
          </cell>
        </row>
        <row r="829">
          <cell r="A829">
            <v>3752</v>
          </cell>
          <cell r="B829" t="str">
            <v>부력식 정수위밸브</v>
          </cell>
          <cell r="C829" t="str">
            <v>65Ø</v>
          </cell>
          <cell r="D829" t="str">
            <v>개</v>
          </cell>
          <cell r="E829">
            <v>325000</v>
          </cell>
          <cell r="F829">
            <v>0</v>
          </cell>
          <cell r="G829">
            <v>325000</v>
          </cell>
          <cell r="H829">
            <v>618</v>
          </cell>
          <cell r="J829">
            <v>551</v>
          </cell>
          <cell r="L829">
            <v>551</v>
          </cell>
        </row>
        <row r="830">
          <cell r="A830">
            <v>3753</v>
          </cell>
          <cell r="B830" t="str">
            <v>부력식 정수위밸브</v>
          </cell>
          <cell r="C830" t="str">
            <v>50Ø</v>
          </cell>
          <cell r="D830" t="str">
            <v>개</v>
          </cell>
          <cell r="E830">
            <v>253000</v>
          </cell>
          <cell r="F830">
            <v>0</v>
          </cell>
          <cell r="G830">
            <v>253000</v>
          </cell>
          <cell r="H830">
            <v>618</v>
          </cell>
          <cell r="J830">
            <v>551</v>
          </cell>
          <cell r="L830">
            <v>551</v>
          </cell>
        </row>
        <row r="831">
          <cell r="A831">
            <v>3754</v>
          </cell>
          <cell r="B831" t="str">
            <v>부력식 정수위밸브</v>
          </cell>
          <cell r="C831" t="str">
            <v>40Ø</v>
          </cell>
          <cell r="D831" t="str">
            <v>개</v>
          </cell>
          <cell r="E831">
            <v>168700</v>
          </cell>
          <cell r="F831">
            <v>0</v>
          </cell>
          <cell r="G831">
            <v>168700</v>
          </cell>
          <cell r="H831">
            <v>618</v>
          </cell>
          <cell r="J831">
            <v>551</v>
          </cell>
          <cell r="L831">
            <v>551</v>
          </cell>
        </row>
        <row r="832">
          <cell r="A832">
            <v>3755</v>
          </cell>
          <cell r="B832" t="str">
            <v>부력식 정수위밸브</v>
          </cell>
          <cell r="C832" t="str">
            <v>32Ø</v>
          </cell>
          <cell r="D832" t="str">
            <v>개</v>
          </cell>
          <cell r="E832">
            <v>139000</v>
          </cell>
          <cell r="F832">
            <v>0</v>
          </cell>
          <cell r="G832">
            <v>139000</v>
          </cell>
          <cell r="H832">
            <v>618</v>
          </cell>
          <cell r="J832">
            <v>551</v>
          </cell>
          <cell r="L832">
            <v>551</v>
          </cell>
        </row>
        <row r="833">
          <cell r="A833">
            <v>3756</v>
          </cell>
          <cell r="B833" t="str">
            <v>부력식 정수위밸브</v>
          </cell>
          <cell r="C833" t="str">
            <v>25Ø</v>
          </cell>
          <cell r="D833" t="str">
            <v>개</v>
          </cell>
          <cell r="E833">
            <v>114500</v>
          </cell>
          <cell r="F833">
            <v>0</v>
          </cell>
          <cell r="G833">
            <v>114500</v>
          </cell>
          <cell r="H833">
            <v>618</v>
          </cell>
          <cell r="J833">
            <v>551</v>
          </cell>
          <cell r="L833">
            <v>551</v>
          </cell>
        </row>
        <row r="834">
          <cell r="A834">
            <v>3757</v>
          </cell>
          <cell r="B834" t="str">
            <v>부력식 정수위밸브</v>
          </cell>
          <cell r="C834" t="str">
            <v>20Ø</v>
          </cell>
          <cell r="D834" t="str">
            <v>개</v>
          </cell>
          <cell r="E834">
            <v>81500</v>
          </cell>
          <cell r="F834">
            <v>0</v>
          </cell>
          <cell r="G834">
            <v>81500</v>
          </cell>
          <cell r="H834">
            <v>618</v>
          </cell>
          <cell r="J834">
            <v>551</v>
          </cell>
          <cell r="L834">
            <v>551</v>
          </cell>
        </row>
        <row r="835">
          <cell r="A835">
            <v>3758</v>
          </cell>
          <cell r="B835" t="str">
            <v>부력식 정수위밸브</v>
          </cell>
          <cell r="C835" t="str">
            <v>15Ø</v>
          </cell>
          <cell r="D835" t="str">
            <v>개</v>
          </cell>
          <cell r="E835">
            <v>63200</v>
          </cell>
          <cell r="F835">
            <v>0</v>
          </cell>
          <cell r="G835">
            <v>63200</v>
          </cell>
          <cell r="H835">
            <v>618</v>
          </cell>
          <cell r="J835">
            <v>551</v>
          </cell>
          <cell r="L835">
            <v>551</v>
          </cell>
        </row>
        <row r="836">
          <cell r="A836">
            <v>3759</v>
          </cell>
          <cell r="B836" t="str">
            <v>공기빼기밸브</v>
          </cell>
          <cell r="C836" t="str">
            <v>20Ø</v>
          </cell>
          <cell r="D836" t="str">
            <v>개</v>
          </cell>
          <cell r="E836">
            <v>22000</v>
          </cell>
          <cell r="F836">
            <v>0</v>
          </cell>
          <cell r="H836">
            <v>541</v>
          </cell>
          <cell r="I836">
            <v>22000</v>
          </cell>
          <cell r="J836">
            <v>541</v>
          </cell>
          <cell r="L836">
            <v>541</v>
          </cell>
        </row>
        <row r="837">
          <cell r="A837">
            <v>3761</v>
          </cell>
          <cell r="B837" t="str">
            <v>알람밸브</v>
          </cell>
          <cell r="C837" t="str">
            <v>150Ø</v>
          </cell>
          <cell r="D837" t="str">
            <v>개</v>
          </cell>
          <cell r="E837">
            <v>450000</v>
          </cell>
          <cell r="F837">
            <v>0</v>
          </cell>
          <cell r="H837">
            <v>670</v>
          </cell>
          <cell r="I837">
            <v>450000</v>
          </cell>
          <cell r="J837">
            <v>670</v>
          </cell>
          <cell r="L837">
            <v>670</v>
          </cell>
        </row>
        <row r="838">
          <cell r="A838">
            <v>3762</v>
          </cell>
          <cell r="B838" t="str">
            <v>알람밸브</v>
          </cell>
          <cell r="C838" t="str">
            <v>125Ø</v>
          </cell>
          <cell r="D838" t="str">
            <v>개</v>
          </cell>
          <cell r="E838">
            <v>400000</v>
          </cell>
          <cell r="F838">
            <v>0</v>
          </cell>
          <cell r="H838">
            <v>670</v>
          </cell>
          <cell r="I838">
            <v>400000</v>
          </cell>
          <cell r="J838">
            <v>670</v>
          </cell>
          <cell r="L838">
            <v>670</v>
          </cell>
        </row>
        <row r="839">
          <cell r="A839">
            <v>3763</v>
          </cell>
          <cell r="B839" t="str">
            <v>알람밸브</v>
          </cell>
          <cell r="C839" t="str">
            <v>100Ø</v>
          </cell>
          <cell r="D839" t="str">
            <v>개</v>
          </cell>
          <cell r="E839">
            <v>350000</v>
          </cell>
          <cell r="F839">
            <v>0</v>
          </cell>
          <cell r="H839">
            <v>670</v>
          </cell>
          <cell r="I839">
            <v>350000</v>
          </cell>
          <cell r="J839">
            <v>670</v>
          </cell>
          <cell r="L839">
            <v>670</v>
          </cell>
        </row>
        <row r="840">
          <cell r="A840">
            <v>3764</v>
          </cell>
          <cell r="B840" t="str">
            <v>프리엑션밸브</v>
          </cell>
          <cell r="C840" t="str">
            <v>150Ø</v>
          </cell>
          <cell r="D840" t="str">
            <v>개</v>
          </cell>
          <cell r="E840">
            <v>1188000</v>
          </cell>
          <cell r="F840">
            <v>0</v>
          </cell>
          <cell r="H840">
            <v>670</v>
          </cell>
          <cell r="I840">
            <v>1188000</v>
          </cell>
          <cell r="J840">
            <v>670</v>
          </cell>
          <cell r="L840">
            <v>670</v>
          </cell>
        </row>
        <row r="841">
          <cell r="A841">
            <v>3765</v>
          </cell>
          <cell r="B841" t="str">
            <v>프리엑션밸브</v>
          </cell>
          <cell r="C841" t="str">
            <v>125Ø</v>
          </cell>
          <cell r="D841" t="str">
            <v>개</v>
          </cell>
          <cell r="E841">
            <v>1028000</v>
          </cell>
          <cell r="F841">
            <v>0</v>
          </cell>
          <cell r="H841">
            <v>670</v>
          </cell>
          <cell r="I841">
            <v>1028000</v>
          </cell>
          <cell r="J841">
            <v>670</v>
          </cell>
          <cell r="L841">
            <v>670</v>
          </cell>
        </row>
        <row r="842">
          <cell r="A842">
            <v>3766</v>
          </cell>
          <cell r="B842" t="str">
            <v>프리엑션밸브</v>
          </cell>
          <cell r="C842" t="str">
            <v>100Ø</v>
          </cell>
          <cell r="D842" t="str">
            <v>개</v>
          </cell>
          <cell r="E842">
            <v>869000</v>
          </cell>
          <cell r="F842">
            <v>0</v>
          </cell>
          <cell r="H842">
            <v>670</v>
          </cell>
          <cell r="I842">
            <v>869000</v>
          </cell>
          <cell r="J842">
            <v>670</v>
          </cell>
          <cell r="L842">
            <v>670</v>
          </cell>
        </row>
        <row r="843">
          <cell r="A843">
            <v>3767</v>
          </cell>
          <cell r="B843" t="str">
            <v>자동배수밸브장치</v>
          </cell>
          <cell r="C843" t="str">
            <v>20Ø</v>
          </cell>
          <cell r="D843" t="str">
            <v>개</v>
          </cell>
          <cell r="E843">
            <v>13000</v>
          </cell>
          <cell r="F843">
            <v>0</v>
          </cell>
          <cell r="H843">
            <v>668</v>
          </cell>
          <cell r="I843">
            <v>13000</v>
          </cell>
          <cell r="J843">
            <v>668</v>
          </cell>
          <cell r="L843">
            <v>668</v>
          </cell>
        </row>
        <row r="844">
          <cell r="A844">
            <v>3768</v>
          </cell>
          <cell r="B844" t="str">
            <v>자동제한밸브장치</v>
          </cell>
          <cell r="C844" t="str">
            <v>40Ø</v>
          </cell>
          <cell r="D844" t="str">
            <v>개</v>
          </cell>
          <cell r="E844">
            <v>15000</v>
          </cell>
          <cell r="F844">
            <v>0</v>
          </cell>
          <cell r="H844">
            <v>668</v>
          </cell>
          <cell r="I844">
            <v>15000</v>
          </cell>
          <cell r="J844">
            <v>668</v>
          </cell>
          <cell r="L844">
            <v>668</v>
          </cell>
        </row>
        <row r="845">
          <cell r="A845">
            <v>3771</v>
          </cell>
          <cell r="B845" t="str">
            <v>수격방지기(10kg/㎠)</v>
          </cell>
          <cell r="C845" t="str">
            <v>150Ø</v>
          </cell>
          <cell r="D845" t="str">
            <v>개</v>
          </cell>
          <cell r="E845">
            <v>60000</v>
          </cell>
          <cell r="F845">
            <v>0</v>
          </cell>
          <cell r="H845">
            <v>670</v>
          </cell>
          <cell r="I845">
            <v>60000</v>
          </cell>
          <cell r="J845">
            <v>670</v>
          </cell>
          <cell r="L845">
            <v>670</v>
          </cell>
        </row>
        <row r="846">
          <cell r="A846">
            <v>3772</v>
          </cell>
          <cell r="B846" t="str">
            <v>수격방지기(10kg/㎠)</v>
          </cell>
          <cell r="C846" t="str">
            <v>125Ø</v>
          </cell>
          <cell r="D846" t="str">
            <v>개</v>
          </cell>
          <cell r="E846">
            <v>56000</v>
          </cell>
          <cell r="F846">
            <v>0</v>
          </cell>
          <cell r="H846">
            <v>670</v>
          </cell>
          <cell r="I846">
            <v>56000</v>
          </cell>
          <cell r="J846">
            <v>670</v>
          </cell>
          <cell r="L846">
            <v>670</v>
          </cell>
        </row>
        <row r="847">
          <cell r="A847">
            <v>3773</v>
          </cell>
          <cell r="B847" t="str">
            <v>수격방지기(10kg/㎠)</v>
          </cell>
          <cell r="C847" t="str">
            <v>100Ø</v>
          </cell>
          <cell r="D847" t="str">
            <v>개</v>
          </cell>
          <cell r="E847">
            <v>52000</v>
          </cell>
          <cell r="F847">
            <v>0</v>
          </cell>
          <cell r="H847">
            <v>670</v>
          </cell>
          <cell r="I847">
            <v>52000</v>
          </cell>
          <cell r="J847">
            <v>670</v>
          </cell>
          <cell r="L847">
            <v>670</v>
          </cell>
        </row>
        <row r="848">
          <cell r="A848">
            <v>3774</v>
          </cell>
          <cell r="B848" t="str">
            <v>수격방지기(10kg/㎠)</v>
          </cell>
          <cell r="C848" t="str">
            <v>80Ø</v>
          </cell>
          <cell r="D848" t="str">
            <v>개</v>
          </cell>
          <cell r="E848">
            <v>44000</v>
          </cell>
          <cell r="F848">
            <v>0</v>
          </cell>
          <cell r="H848">
            <v>670</v>
          </cell>
          <cell r="I848">
            <v>44000</v>
          </cell>
          <cell r="J848">
            <v>670</v>
          </cell>
          <cell r="L848">
            <v>670</v>
          </cell>
        </row>
        <row r="849">
          <cell r="A849">
            <v>3775</v>
          </cell>
          <cell r="B849" t="str">
            <v>수격방지기(10kg/㎠)</v>
          </cell>
          <cell r="C849" t="str">
            <v>65Ø</v>
          </cell>
          <cell r="D849" t="str">
            <v>개</v>
          </cell>
          <cell r="E849">
            <v>40000</v>
          </cell>
          <cell r="F849">
            <v>0</v>
          </cell>
          <cell r="H849">
            <v>670</v>
          </cell>
          <cell r="I849">
            <v>40000</v>
          </cell>
          <cell r="J849">
            <v>670</v>
          </cell>
          <cell r="L849">
            <v>670</v>
          </cell>
        </row>
        <row r="850">
          <cell r="A850">
            <v>3776</v>
          </cell>
          <cell r="B850" t="str">
            <v>수격방지기(10kg/㎠)</v>
          </cell>
          <cell r="C850" t="str">
            <v>50Ø</v>
          </cell>
          <cell r="D850" t="str">
            <v>개</v>
          </cell>
          <cell r="E850">
            <v>36000</v>
          </cell>
          <cell r="F850">
            <v>0</v>
          </cell>
          <cell r="H850">
            <v>670</v>
          </cell>
          <cell r="I850">
            <v>36000</v>
          </cell>
          <cell r="J850">
            <v>670</v>
          </cell>
          <cell r="L850">
            <v>670</v>
          </cell>
        </row>
        <row r="851">
          <cell r="A851">
            <v>3777</v>
          </cell>
          <cell r="B851" t="str">
            <v>수격방지기(10kg/㎠)</v>
          </cell>
          <cell r="C851" t="str">
            <v>40Ø</v>
          </cell>
          <cell r="D851" t="str">
            <v>개</v>
          </cell>
          <cell r="E851">
            <v>32000</v>
          </cell>
          <cell r="F851">
            <v>0</v>
          </cell>
          <cell r="H851">
            <v>670</v>
          </cell>
          <cell r="I851">
            <v>32000</v>
          </cell>
          <cell r="J851">
            <v>670</v>
          </cell>
          <cell r="L851">
            <v>670</v>
          </cell>
        </row>
        <row r="852">
          <cell r="A852">
            <v>3780</v>
          </cell>
          <cell r="B852" t="str">
            <v>스트레이너(후렌지)</v>
          </cell>
          <cell r="C852" t="str">
            <v>150Ø</v>
          </cell>
          <cell r="D852" t="str">
            <v>개</v>
          </cell>
          <cell r="E852">
            <v>180000</v>
          </cell>
          <cell r="F852">
            <v>0</v>
          </cell>
          <cell r="G852">
            <v>180000</v>
          </cell>
          <cell r="H852">
            <v>598</v>
          </cell>
          <cell r="J852">
            <v>533</v>
          </cell>
          <cell r="L852">
            <v>533</v>
          </cell>
        </row>
        <row r="853">
          <cell r="A853">
            <v>3781</v>
          </cell>
          <cell r="B853" t="str">
            <v>스트레이너(후렌지)</v>
          </cell>
          <cell r="C853" t="str">
            <v>100Ø</v>
          </cell>
          <cell r="D853" t="str">
            <v>개</v>
          </cell>
          <cell r="E853">
            <v>85000</v>
          </cell>
          <cell r="F853">
            <v>0</v>
          </cell>
          <cell r="G853">
            <v>85000</v>
          </cell>
          <cell r="H853">
            <v>598</v>
          </cell>
          <cell r="J853">
            <v>533</v>
          </cell>
          <cell r="L853">
            <v>533</v>
          </cell>
        </row>
        <row r="854">
          <cell r="A854">
            <v>3782</v>
          </cell>
          <cell r="B854" t="str">
            <v>스트레이너(후렌지)</v>
          </cell>
          <cell r="C854" t="str">
            <v>80Ø</v>
          </cell>
          <cell r="D854" t="str">
            <v>개</v>
          </cell>
          <cell r="E854">
            <v>56000</v>
          </cell>
          <cell r="F854">
            <v>0</v>
          </cell>
          <cell r="G854">
            <v>56000</v>
          </cell>
          <cell r="H854">
            <v>598</v>
          </cell>
          <cell r="J854">
            <v>533</v>
          </cell>
          <cell r="L854">
            <v>533</v>
          </cell>
        </row>
        <row r="855">
          <cell r="A855">
            <v>3783</v>
          </cell>
          <cell r="B855" t="str">
            <v>스트레이너(후렌지)</v>
          </cell>
          <cell r="C855" t="str">
            <v>65Ø</v>
          </cell>
          <cell r="D855" t="str">
            <v>개</v>
          </cell>
          <cell r="E855">
            <v>41000</v>
          </cell>
          <cell r="F855">
            <v>0</v>
          </cell>
          <cell r="G855">
            <v>41000</v>
          </cell>
          <cell r="H855">
            <v>598</v>
          </cell>
          <cell r="J855">
            <v>533</v>
          </cell>
          <cell r="L855">
            <v>533</v>
          </cell>
        </row>
        <row r="856">
          <cell r="A856">
            <v>3784</v>
          </cell>
          <cell r="B856" t="str">
            <v>스트레이너(나사식)</v>
          </cell>
          <cell r="C856" t="str">
            <v>50Ø</v>
          </cell>
          <cell r="D856" t="str">
            <v>개</v>
          </cell>
          <cell r="E856">
            <v>25000</v>
          </cell>
          <cell r="F856">
            <v>0</v>
          </cell>
          <cell r="G856">
            <v>25000</v>
          </cell>
          <cell r="H856">
            <v>598</v>
          </cell>
          <cell r="J856">
            <v>533</v>
          </cell>
          <cell r="L856">
            <v>533</v>
          </cell>
        </row>
        <row r="857">
          <cell r="A857">
            <v>3785</v>
          </cell>
          <cell r="B857" t="str">
            <v>스트레이너(나사식)</v>
          </cell>
          <cell r="C857" t="str">
            <v>40Ø</v>
          </cell>
          <cell r="D857" t="str">
            <v>개</v>
          </cell>
          <cell r="E857">
            <v>17000</v>
          </cell>
          <cell r="F857">
            <v>0</v>
          </cell>
          <cell r="G857">
            <v>17000</v>
          </cell>
          <cell r="H857">
            <v>598</v>
          </cell>
          <cell r="J857">
            <v>533</v>
          </cell>
          <cell r="L857">
            <v>533</v>
          </cell>
        </row>
        <row r="858">
          <cell r="A858">
            <v>3786</v>
          </cell>
          <cell r="B858" t="str">
            <v>스트레이너(나사식)</v>
          </cell>
          <cell r="C858" t="str">
            <v>32Ø</v>
          </cell>
          <cell r="D858" t="str">
            <v>개</v>
          </cell>
          <cell r="E858">
            <v>13000</v>
          </cell>
          <cell r="F858">
            <v>0</v>
          </cell>
          <cell r="G858">
            <v>13000</v>
          </cell>
          <cell r="H858">
            <v>598</v>
          </cell>
          <cell r="J858">
            <v>533</v>
          </cell>
          <cell r="L858">
            <v>533</v>
          </cell>
        </row>
        <row r="859">
          <cell r="A859">
            <v>3787</v>
          </cell>
          <cell r="B859" t="str">
            <v>스트레이너(나사식)</v>
          </cell>
          <cell r="C859" t="str">
            <v>25Ø</v>
          </cell>
          <cell r="D859" t="str">
            <v>개</v>
          </cell>
          <cell r="E859">
            <v>7900</v>
          </cell>
          <cell r="F859">
            <v>0</v>
          </cell>
          <cell r="G859">
            <v>7900</v>
          </cell>
          <cell r="H859">
            <v>598</v>
          </cell>
          <cell r="J859">
            <v>533</v>
          </cell>
          <cell r="L859">
            <v>533</v>
          </cell>
        </row>
        <row r="860">
          <cell r="A860">
            <v>3788</v>
          </cell>
          <cell r="B860" t="str">
            <v>스트레이너(나사식)</v>
          </cell>
          <cell r="C860" t="str">
            <v>20Ø</v>
          </cell>
          <cell r="D860" t="str">
            <v>개</v>
          </cell>
          <cell r="E860">
            <v>5600</v>
          </cell>
          <cell r="F860">
            <v>0</v>
          </cell>
          <cell r="G860">
            <v>5600</v>
          </cell>
          <cell r="H860">
            <v>598</v>
          </cell>
          <cell r="J860">
            <v>533</v>
          </cell>
          <cell r="L860">
            <v>533</v>
          </cell>
        </row>
        <row r="861">
          <cell r="A861">
            <v>3789</v>
          </cell>
          <cell r="B861" t="str">
            <v>스트레이너(나사식)</v>
          </cell>
          <cell r="C861" t="str">
            <v>15Ø</v>
          </cell>
          <cell r="D861" t="str">
            <v>개</v>
          </cell>
          <cell r="E861">
            <v>4800</v>
          </cell>
          <cell r="F861">
            <v>0</v>
          </cell>
          <cell r="G861">
            <v>4800</v>
          </cell>
          <cell r="H861">
            <v>598</v>
          </cell>
          <cell r="J861">
            <v>533</v>
          </cell>
          <cell r="L861">
            <v>533</v>
          </cell>
        </row>
        <row r="862">
          <cell r="A862">
            <v>3791</v>
          </cell>
          <cell r="B862" t="str">
            <v>옥외수도메타기</v>
          </cell>
          <cell r="C862" t="str">
            <v>40Øx1,100</v>
          </cell>
          <cell r="D862" t="str">
            <v>개</v>
          </cell>
          <cell r="E862">
            <v>231840</v>
          </cell>
          <cell r="F862">
            <v>0</v>
          </cell>
          <cell r="H862">
            <v>552</v>
          </cell>
          <cell r="I862">
            <v>231840</v>
          </cell>
          <cell r="J862">
            <v>552</v>
          </cell>
          <cell r="L862">
            <v>552</v>
          </cell>
        </row>
        <row r="863">
          <cell r="A863">
            <v>3792</v>
          </cell>
          <cell r="B863" t="str">
            <v>옥외수도메타기</v>
          </cell>
          <cell r="C863" t="str">
            <v>32Øx1,100</v>
          </cell>
          <cell r="D863" t="str">
            <v>개</v>
          </cell>
          <cell r="E863">
            <v>126800</v>
          </cell>
          <cell r="F863">
            <v>0</v>
          </cell>
          <cell r="H863">
            <v>552</v>
          </cell>
          <cell r="I863">
            <v>126800</v>
          </cell>
          <cell r="J863">
            <v>552</v>
          </cell>
          <cell r="L863">
            <v>552</v>
          </cell>
        </row>
        <row r="864">
          <cell r="A864">
            <v>3793</v>
          </cell>
          <cell r="B864" t="str">
            <v>옥외수도메타기</v>
          </cell>
          <cell r="C864" t="str">
            <v>25Øx1,100</v>
          </cell>
          <cell r="D864" t="str">
            <v>개</v>
          </cell>
          <cell r="E864">
            <v>97450</v>
          </cell>
          <cell r="F864">
            <v>0</v>
          </cell>
          <cell r="H864">
            <v>552</v>
          </cell>
          <cell r="I864">
            <v>97450</v>
          </cell>
          <cell r="J864">
            <v>552</v>
          </cell>
          <cell r="L864">
            <v>552</v>
          </cell>
        </row>
        <row r="865">
          <cell r="A865">
            <v>3794</v>
          </cell>
          <cell r="B865" t="str">
            <v>옥외수도메타기</v>
          </cell>
          <cell r="C865" t="str">
            <v>20Øx1,100</v>
          </cell>
          <cell r="D865" t="str">
            <v>개</v>
          </cell>
          <cell r="E865">
            <v>89760</v>
          </cell>
          <cell r="F865">
            <v>0</v>
          </cell>
          <cell r="H865">
            <v>552</v>
          </cell>
          <cell r="I865">
            <v>89760</v>
          </cell>
          <cell r="J865">
            <v>552</v>
          </cell>
          <cell r="L865">
            <v>552</v>
          </cell>
        </row>
        <row r="866">
          <cell r="A866">
            <v>3795</v>
          </cell>
          <cell r="B866" t="str">
            <v>옥외수도메타기</v>
          </cell>
          <cell r="C866" t="str">
            <v>13Øx1,100</v>
          </cell>
          <cell r="D866" t="str">
            <v>개</v>
          </cell>
          <cell r="E866">
            <v>61730</v>
          </cell>
          <cell r="F866">
            <v>0</v>
          </cell>
          <cell r="H866">
            <v>552</v>
          </cell>
          <cell r="I866">
            <v>61730</v>
          </cell>
          <cell r="J866">
            <v>552</v>
          </cell>
          <cell r="L866">
            <v>552</v>
          </cell>
        </row>
        <row r="867">
          <cell r="A867">
            <v>3796</v>
          </cell>
          <cell r="B867" t="str">
            <v>퇴수밸브맨홀</v>
          </cell>
          <cell r="C867" t="str">
            <v>900Øx1,500L</v>
          </cell>
          <cell r="D867" t="str">
            <v>개</v>
          </cell>
          <cell r="E867">
            <v>149500</v>
          </cell>
          <cell r="F867">
            <v>0</v>
          </cell>
          <cell r="H867">
            <v>170</v>
          </cell>
          <cell r="I867">
            <v>149500</v>
          </cell>
          <cell r="J867">
            <v>170</v>
          </cell>
          <cell r="L867">
            <v>170</v>
          </cell>
        </row>
        <row r="868">
          <cell r="A868">
            <v>3797</v>
          </cell>
          <cell r="B868" t="str">
            <v>주철맨홀덮개</v>
          </cell>
          <cell r="C868" t="str">
            <v>648Ø</v>
          </cell>
          <cell r="D868" t="str">
            <v>개</v>
          </cell>
          <cell r="E868">
            <v>95000</v>
          </cell>
          <cell r="F868">
            <v>0</v>
          </cell>
          <cell r="H868">
            <v>171</v>
          </cell>
          <cell r="I868">
            <v>95000</v>
          </cell>
          <cell r="J868">
            <v>171</v>
          </cell>
          <cell r="L868">
            <v>171</v>
          </cell>
        </row>
        <row r="869">
          <cell r="A869">
            <v>3798</v>
          </cell>
          <cell r="B869" t="str">
            <v>강판맨홀덮개</v>
          </cell>
          <cell r="C869" t="str">
            <v>1.0t</v>
          </cell>
          <cell r="D869" t="str">
            <v>개</v>
          </cell>
          <cell r="E869">
            <v>95000</v>
          </cell>
          <cell r="F869">
            <v>0</v>
          </cell>
          <cell r="H869">
            <v>0</v>
          </cell>
          <cell r="I869">
            <v>95000</v>
          </cell>
          <cell r="J869">
            <v>0</v>
          </cell>
          <cell r="L869">
            <v>0</v>
          </cell>
        </row>
        <row r="870">
          <cell r="A870">
            <v>3799</v>
          </cell>
          <cell r="B870" t="str">
            <v>퇴수맨홀설치(THP)</v>
          </cell>
          <cell r="C870" t="str">
            <v>400Ø</v>
          </cell>
          <cell r="D870" t="str">
            <v>조</v>
          </cell>
          <cell r="E870">
            <v>17011</v>
          </cell>
          <cell r="F870">
            <v>72355</v>
          </cell>
          <cell r="H870">
            <v>0</v>
          </cell>
          <cell r="I870">
            <v>17011</v>
          </cell>
          <cell r="J870">
            <v>0</v>
          </cell>
          <cell r="L870">
            <v>0</v>
          </cell>
        </row>
        <row r="871">
          <cell r="A871">
            <v>3810</v>
          </cell>
          <cell r="B871" t="str">
            <v>후렉시블죠인트</v>
          </cell>
          <cell r="C871" t="str">
            <v>150Ø</v>
          </cell>
          <cell r="D871" t="str">
            <v>개</v>
          </cell>
          <cell r="E871">
            <v>144000</v>
          </cell>
          <cell r="F871">
            <v>0</v>
          </cell>
          <cell r="H871">
            <v>525</v>
          </cell>
          <cell r="I871">
            <v>144000</v>
          </cell>
          <cell r="J871">
            <v>525</v>
          </cell>
          <cell r="L871">
            <v>525</v>
          </cell>
        </row>
        <row r="872">
          <cell r="A872">
            <v>3811</v>
          </cell>
          <cell r="B872" t="str">
            <v>후렉시블죠인트</v>
          </cell>
          <cell r="C872" t="str">
            <v>125Ø</v>
          </cell>
          <cell r="D872" t="str">
            <v>개</v>
          </cell>
          <cell r="E872">
            <v>116400</v>
          </cell>
          <cell r="F872">
            <v>0</v>
          </cell>
          <cell r="H872">
            <v>525</v>
          </cell>
          <cell r="I872">
            <v>116400</v>
          </cell>
          <cell r="J872">
            <v>525</v>
          </cell>
          <cell r="L872">
            <v>525</v>
          </cell>
        </row>
        <row r="873">
          <cell r="A873">
            <v>3812</v>
          </cell>
          <cell r="B873" t="str">
            <v>후렉시블죠인트</v>
          </cell>
          <cell r="C873" t="str">
            <v>100Ø</v>
          </cell>
          <cell r="D873" t="str">
            <v>개</v>
          </cell>
          <cell r="E873">
            <v>70800</v>
          </cell>
          <cell r="F873">
            <v>0</v>
          </cell>
          <cell r="H873">
            <v>525</v>
          </cell>
          <cell r="I873">
            <v>70800</v>
          </cell>
          <cell r="J873">
            <v>525</v>
          </cell>
          <cell r="L873">
            <v>525</v>
          </cell>
        </row>
        <row r="874">
          <cell r="A874">
            <v>3813</v>
          </cell>
          <cell r="B874" t="str">
            <v>후렉시블죠인트</v>
          </cell>
          <cell r="C874" t="str">
            <v>80Ø</v>
          </cell>
          <cell r="D874" t="str">
            <v>개</v>
          </cell>
          <cell r="E874">
            <v>52800</v>
          </cell>
          <cell r="F874">
            <v>0</v>
          </cell>
          <cell r="H874">
            <v>525</v>
          </cell>
          <cell r="I874">
            <v>52800</v>
          </cell>
          <cell r="J874">
            <v>525</v>
          </cell>
          <cell r="L874">
            <v>525</v>
          </cell>
        </row>
        <row r="875">
          <cell r="A875">
            <v>3814</v>
          </cell>
          <cell r="B875" t="str">
            <v>후렉시블죠인트</v>
          </cell>
          <cell r="C875" t="str">
            <v>65Ø</v>
          </cell>
          <cell r="D875" t="str">
            <v>개</v>
          </cell>
          <cell r="E875">
            <v>42000</v>
          </cell>
          <cell r="F875">
            <v>0</v>
          </cell>
          <cell r="H875">
            <v>525</v>
          </cell>
          <cell r="I875">
            <v>42000</v>
          </cell>
          <cell r="J875">
            <v>525</v>
          </cell>
          <cell r="L875">
            <v>525</v>
          </cell>
        </row>
        <row r="876">
          <cell r="A876">
            <v>3815</v>
          </cell>
          <cell r="B876" t="str">
            <v>후렉시블죠인트</v>
          </cell>
          <cell r="C876" t="str">
            <v>50Ø</v>
          </cell>
          <cell r="D876" t="str">
            <v>개</v>
          </cell>
          <cell r="E876">
            <v>33600</v>
          </cell>
          <cell r="F876">
            <v>0</v>
          </cell>
          <cell r="H876">
            <v>525</v>
          </cell>
          <cell r="I876">
            <v>33600</v>
          </cell>
          <cell r="J876">
            <v>525</v>
          </cell>
          <cell r="L876">
            <v>525</v>
          </cell>
        </row>
        <row r="877">
          <cell r="A877">
            <v>3816</v>
          </cell>
          <cell r="B877" t="str">
            <v>후렉시블죠인트</v>
          </cell>
          <cell r="C877" t="str">
            <v>40Ø</v>
          </cell>
          <cell r="D877" t="str">
            <v>개</v>
          </cell>
          <cell r="E877">
            <v>28200</v>
          </cell>
          <cell r="F877">
            <v>0</v>
          </cell>
          <cell r="H877">
            <v>525</v>
          </cell>
          <cell r="I877">
            <v>28200</v>
          </cell>
          <cell r="J877">
            <v>525</v>
          </cell>
          <cell r="L877">
            <v>525</v>
          </cell>
        </row>
        <row r="878">
          <cell r="A878">
            <v>3817</v>
          </cell>
          <cell r="B878" t="str">
            <v>후렉시블죠인트</v>
          </cell>
          <cell r="C878" t="str">
            <v>32Ø</v>
          </cell>
          <cell r="D878" t="str">
            <v>개</v>
          </cell>
          <cell r="E878">
            <v>24600</v>
          </cell>
          <cell r="F878">
            <v>0</v>
          </cell>
          <cell r="H878">
            <v>525</v>
          </cell>
          <cell r="I878">
            <v>24600</v>
          </cell>
          <cell r="J878">
            <v>525</v>
          </cell>
          <cell r="L878">
            <v>525</v>
          </cell>
        </row>
        <row r="879">
          <cell r="A879">
            <v>3818</v>
          </cell>
          <cell r="B879" t="str">
            <v>후렉시블죠인트</v>
          </cell>
          <cell r="C879" t="str">
            <v>25Ø</v>
          </cell>
          <cell r="D879" t="str">
            <v>개</v>
          </cell>
          <cell r="E879">
            <v>22200</v>
          </cell>
          <cell r="F879">
            <v>0</v>
          </cell>
          <cell r="H879">
            <v>525</v>
          </cell>
          <cell r="I879">
            <v>22200</v>
          </cell>
          <cell r="J879">
            <v>525</v>
          </cell>
          <cell r="L879">
            <v>525</v>
          </cell>
        </row>
        <row r="880">
          <cell r="A880">
            <v>3820</v>
          </cell>
          <cell r="B880" t="str">
            <v>신축접수(단식)</v>
          </cell>
          <cell r="C880" t="str">
            <v>150Ø</v>
          </cell>
          <cell r="D880" t="str">
            <v>개</v>
          </cell>
          <cell r="E880">
            <v>157500</v>
          </cell>
          <cell r="F880">
            <v>0</v>
          </cell>
          <cell r="H880">
            <v>525</v>
          </cell>
          <cell r="I880">
            <v>157500</v>
          </cell>
          <cell r="J880">
            <v>525</v>
          </cell>
          <cell r="L880">
            <v>525</v>
          </cell>
        </row>
        <row r="881">
          <cell r="A881">
            <v>3821</v>
          </cell>
          <cell r="B881" t="str">
            <v>신축접수(단식)</v>
          </cell>
          <cell r="C881" t="str">
            <v>125Ø</v>
          </cell>
          <cell r="D881" t="str">
            <v>개</v>
          </cell>
          <cell r="E881">
            <v>126900</v>
          </cell>
          <cell r="F881">
            <v>0</v>
          </cell>
          <cell r="H881">
            <v>525</v>
          </cell>
          <cell r="I881">
            <v>126900</v>
          </cell>
          <cell r="J881">
            <v>525</v>
          </cell>
          <cell r="L881">
            <v>525</v>
          </cell>
        </row>
        <row r="882">
          <cell r="A882">
            <v>3822</v>
          </cell>
          <cell r="B882" t="str">
            <v>신축접수(단식)</v>
          </cell>
          <cell r="C882" t="str">
            <v>100Ø</v>
          </cell>
          <cell r="D882" t="str">
            <v>개</v>
          </cell>
          <cell r="E882">
            <v>152634</v>
          </cell>
          <cell r="F882">
            <v>163547</v>
          </cell>
          <cell r="H882">
            <v>0</v>
          </cell>
          <cell r="I882">
            <v>152634</v>
          </cell>
          <cell r="J882">
            <v>0</v>
          </cell>
          <cell r="L882">
            <v>0</v>
          </cell>
        </row>
        <row r="883">
          <cell r="A883">
            <v>3823</v>
          </cell>
          <cell r="B883" t="str">
            <v>신축접수(단식)</v>
          </cell>
          <cell r="C883" t="str">
            <v>80Ø</v>
          </cell>
          <cell r="D883" t="str">
            <v>개</v>
          </cell>
          <cell r="E883">
            <v>116192</v>
          </cell>
          <cell r="F883">
            <v>111716</v>
          </cell>
          <cell r="H883">
            <v>0</v>
          </cell>
          <cell r="I883">
            <v>116192</v>
          </cell>
          <cell r="J883">
            <v>0</v>
          </cell>
          <cell r="L883">
            <v>0</v>
          </cell>
        </row>
        <row r="884">
          <cell r="A884">
            <v>3824</v>
          </cell>
          <cell r="B884" t="str">
            <v>신축접수(단식)</v>
          </cell>
          <cell r="C884" t="str">
            <v>65Ø</v>
          </cell>
          <cell r="D884" t="str">
            <v>개</v>
          </cell>
          <cell r="E884">
            <v>85384</v>
          </cell>
          <cell r="F884">
            <v>87027</v>
          </cell>
          <cell r="H884">
            <v>0</v>
          </cell>
          <cell r="I884">
            <v>85384</v>
          </cell>
          <cell r="J884">
            <v>0</v>
          </cell>
          <cell r="L884">
            <v>0</v>
          </cell>
        </row>
        <row r="885">
          <cell r="A885">
            <v>3825</v>
          </cell>
          <cell r="B885" t="str">
            <v>신축접수(단식)</v>
          </cell>
          <cell r="C885" t="str">
            <v>50Ø</v>
          </cell>
          <cell r="D885" t="str">
            <v>개</v>
          </cell>
          <cell r="E885">
            <v>45808</v>
          </cell>
          <cell r="F885">
            <v>56952</v>
          </cell>
          <cell r="H885">
            <v>0</v>
          </cell>
          <cell r="I885">
            <v>45808</v>
          </cell>
          <cell r="J885">
            <v>0</v>
          </cell>
          <cell r="L885">
            <v>0</v>
          </cell>
        </row>
        <row r="886">
          <cell r="A886">
            <v>3826</v>
          </cell>
          <cell r="B886" t="str">
            <v>신축접수(단식)</v>
          </cell>
          <cell r="C886" t="str">
            <v>40Ø</v>
          </cell>
          <cell r="D886" t="str">
            <v>개</v>
          </cell>
          <cell r="E886">
            <v>41948</v>
          </cell>
          <cell r="F886">
            <v>48293</v>
          </cell>
          <cell r="H886">
            <v>0</v>
          </cell>
          <cell r="I886">
            <v>41948</v>
          </cell>
          <cell r="J886">
            <v>0</v>
          </cell>
          <cell r="L886">
            <v>0</v>
          </cell>
        </row>
        <row r="887">
          <cell r="A887">
            <v>3827</v>
          </cell>
          <cell r="B887" t="str">
            <v>신축접수(단식)</v>
          </cell>
          <cell r="C887" t="str">
            <v>32Ø</v>
          </cell>
          <cell r="D887" t="str">
            <v>개</v>
          </cell>
          <cell r="E887">
            <v>41948</v>
          </cell>
          <cell r="F887">
            <v>48293</v>
          </cell>
          <cell r="H887">
            <v>0</v>
          </cell>
          <cell r="I887">
            <v>41948</v>
          </cell>
          <cell r="J887">
            <v>0</v>
          </cell>
          <cell r="L887">
            <v>0</v>
          </cell>
        </row>
        <row r="888">
          <cell r="A888">
            <v>3828</v>
          </cell>
          <cell r="B888" t="str">
            <v>신축접수(단식)</v>
          </cell>
          <cell r="C888" t="str">
            <v>25Ø</v>
          </cell>
          <cell r="D888" t="str">
            <v>개</v>
          </cell>
          <cell r="E888">
            <v>32048</v>
          </cell>
          <cell r="F888">
            <v>48293</v>
          </cell>
          <cell r="H888">
            <v>0</v>
          </cell>
          <cell r="I888">
            <v>32048</v>
          </cell>
          <cell r="J888">
            <v>0</v>
          </cell>
          <cell r="L888">
            <v>0</v>
          </cell>
        </row>
        <row r="889">
          <cell r="A889">
            <v>3829</v>
          </cell>
          <cell r="B889" t="str">
            <v>신축접수(단식)</v>
          </cell>
          <cell r="C889" t="str">
            <v>20Ø</v>
          </cell>
          <cell r="D889" t="str">
            <v>개</v>
          </cell>
          <cell r="E889">
            <v>31751</v>
          </cell>
          <cell r="F889">
            <v>38384</v>
          </cell>
          <cell r="H889">
            <v>0</v>
          </cell>
          <cell r="I889">
            <v>31751</v>
          </cell>
          <cell r="J889">
            <v>0</v>
          </cell>
          <cell r="L889">
            <v>0</v>
          </cell>
        </row>
        <row r="890">
          <cell r="A890">
            <v>3830</v>
          </cell>
          <cell r="B890" t="str">
            <v>신축접수(복식)</v>
          </cell>
          <cell r="C890" t="str">
            <v>150Ø</v>
          </cell>
          <cell r="D890" t="str">
            <v>개</v>
          </cell>
          <cell r="E890">
            <v>324000</v>
          </cell>
          <cell r="F890">
            <v>0</v>
          </cell>
          <cell r="H890">
            <v>525</v>
          </cell>
          <cell r="I890">
            <v>324000</v>
          </cell>
          <cell r="J890">
            <v>525</v>
          </cell>
          <cell r="L890">
            <v>525</v>
          </cell>
        </row>
        <row r="891">
          <cell r="A891">
            <v>3831</v>
          </cell>
          <cell r="B891" t="str">
            <v>신축접수(복식)</v>
          </cell>
          <cell r="C891" t="str">
            <v>125Ø</v>
          </cell>
          <cell r="D891" t="str">
            <v>개</v>
          </cell>
          <cell r="E891">
            <v>255600</v>
          </cell>
          <cell r="F891">
            <v>0</v>
          </cell>
          <cell r="H891">
            <v>525</v>
          </cell>
          <cell r="I891">
            <v>255600</v>
          </cell>
          <cell r="J891">
            <v>525</v>
          </cell>
          <cell r="L891">
            <v>525</v>
          </cell>
        </row>
        <row r="892">
          <cell r="A892">
            <v>3832</v>
          </cell>
          <cell r="B892" t="str">
            <v>신축접수(복식)</v>
          </cell>
          <cell r="C892" t="str">
            <v>100Ø</v>
          </cell>
          <cell r="D892" t="str">
            <v>개</v>
          </cell>
          <cell r="E892">
            <v>270534</v>
          </cell>
          <cell r="F892">
            <v>163547</v>
          </cell>
          <cell r="H892">
            <v>0</v>
          </cell>
          <cell r="I892">
            <v>270534</v>
          </cell>
          <cell r="J892">
            <v>0</v>
          </cell>
          <cell r="L892">
            <v>0</v>
          </cell>
        </row>
        <row r="893">
          <cell r="A893">
            <v>3833</v>
          </cell>
          <cell r="B893" t="str">
            <v>신축접수(복식)</v>
          </cell>
          <cell r="C893" t="str">
            <v>80Ø</v>
          </cell>
          <cell r="D893" t="str">
            <v>개</v>
          </cell>
          <cell r="E893">
            <v>116192</v>
          </cell>
          <cell r="F893">
            <v>111716</v>
          </cell>
          <cell r="H893">
            <v>0</v>
          </cell>
          <cell r="I893">
            <v>116192</v>
          </cell>
          <cell r="J893">
            <v>0</v>
          </cell>
          <cell r="L893">
            <v>0</v>
          </cell>
        </row>
        <row r="894">
          <cell r="A894">
            <v>3834</v>
          </cell>
          <cell r="B894" t="str">
            <v>신축접수(복식)</v>
          </cell>
          <cell r="C894" t="str">
            <v>65Ø</v>
          </cell>
          <cell r="D894" t="str">
            <v>개</v>
          </cell>
          <cell r="E894">
            <v>146584</v>
          </cell>
          <cell r="F894">
            <v>87027</v>
          </cell>
          <cell r="H894">
            <v>0</v>
          </cell>
          <cell r="I894">
            <v>146584</v>
          </cell>
          <cell r="J894">
            <v>0</v>
          </cell>
          <cell r="L894">
            <v>0</v>
          </cell>
        </row>
        <row r="895">
          <cell r="A895">
            <v>3835</v>
          </cell>
          <cell r="B895" t="str">
            <v>신축접수(복식)</v>
          </cell>
          <cell r="C895" t="str">
            <v>50Ø</v>
          </cell>
          <cell r="D895" t="str">
            <v>개</v>
          </cell>
          <cell r="E895">
            <v>94408</v>
          </cell>
          <cell r="F895">
            <v>56952</v>
          </cell>
          <cell r="H895">
            <v>0</v>
          </cell>
          <cell r="I895">
            <v>94408</v>
          </cell>
          <cell r="J895">
            <v>0</v>
          </cell>
          <cell r="L895">
            <v>0</v>
          </cell>
        </row>
        <row r="896">
          <cell r="A896">
            <v>3836</v>
          </cell>
          <cell r="B896" t="str">
            <v>신축접수(복식)</v>
          </cell>
          <cell r="C896" t="str">
            <v>40Ø</v>
          </cell>
          <cell r="D896" t="str">
            <v>개</v>
          </cell>
          <cell r="E896">
            <v>41948</v>
          </cell>
          <cell r="F896">
            <v>48293</v>
          </cell>
          <cell r="H896">
            <v>0</v>
          </cell>
          <cell r="I896">
            <v>41948</v>
          </cell>
          <cell r="J896">
            <v>0</v>
          </cell>
          <cell r="L896">
            <v>0</v>
          </cell>
        </row>
        <row r="897">
          <cell r="A897">
            <v>3837</v>
          </cell>
          <cell r="B897" t="str">
            <v>신축접수(복식)</v>
          </cell>
          <cell r="C897" t="str">
            <v>32Ø</v>
          </cell>
          <cell r="D897" t="str">
            <v>개</v>
          </cell>
          <cell r="E897">
            <v>41948</v>
          </cell>
          <cell r="F897">
            <v>48293</v>
          </cell>
          <cell r="H897">
            <v>0</v>
          </cell>
          <cell r="I897">
            <v>41948</v>
          </cell>
          <cell r="J897">
            <v>0</v>
          </cell>
          <cell r="L897">
            <v>0</v>
          </cell>
        </row>
        <row r="898">
          <cell r="A898">
            <v>3838</v>
          </cell>
          <cell r="B898" t="str">
            <v>신축접수(복식)</v>
          </cell>
          <cell r="C898" t="str">
            <v>25Ø</v>
          </cell>
          <cell r="D898" t="str">
            <v>개</v>
          </cell>
          <cell r="E898">
            <v>32048</v>
          </cell>
          <cell r="F898">
            <v>48293</v>
          </cell>
          <cell r="H898">
            <v>0</v>
          </cell>
          <cell r="I898">
            <v>32048</v>
          </cell>
          <cell r="J898">
            <v>0</v>
          </cell>
          <cell r="L898">
            <v>0</v>
          </cell>
        </row>
        <row r="899">
          <cell r="A899">
            <v>3839</v>
          </cell>
          <cell r="B899" t="str">
            <v>신축접수(복식)</v>
          </cell>
          <cell r="C899" t="str">
            <v>20Ø</v>
          </cell>
          <cell r="D899" t="str">
            <v>개</v>
          </cell>
          <cell r="E899">
            <v>66851</v>
          </cell>
          <cell r="F899">
            <v>38384</v>
          </cell>
          <cell r="H899">
            <v>0</v>
          </cell>
          <cell r="I899">
            <v>66851</v>
          </cell>
          <cell r="J899">
            <v>0</v>
          </cell>
          <cell r="L899">
            <v>0</v>
          </cell>
        </row>
        <row r="900">
          <cell r="A900">
            <v>3841</v>
          </cell>
          <cell r="B900" t="str">
            <v>유량계</v>
          </cell>
          <cell r="C900" t="str">
            <v>50Ø</v>
          </cell>
          <cell r="D900" t="str">
            <v>대</v>
          </cell>
          <cell r="E900">
            <v>510000</v>
          </cell>
          <cell r="F900">
            <v>0</v>
          </cell>
          <cell r="H900">
            <v>556</v>
          </cell>
          <cell r="I900">
            <v>510000</v>
          </cell>
          <cell r="J900">
            <v>556</v>
          </cell>
          <cell r="L900">
            <v>556</v>
          </cell>
        </row>
        <row r="901">
          <cell r="A901">
            <v>3842</v>
          </cell>
          <cell r="B901" t="str">
            <v>유량계</v>
          </cell>
          <cell r="C901" t="str">
            <v>40Ø</v>
          </cell>
          <cell r="D901" t="str">
            <v>대</v>
          </cell>
          <cell r="E901">
            <v>310000</v>
          </cell>
          <cell r="F901">
            <v>0</v>
          </cell>
          <cell r="H901">
            <v>556</v>
          </cell>
          <cell r="I901">
            <v>310000</v>
          </cell>
          <cell r="J901">
            <v>556</v>
          </cell>
          <cell r="L901">
            <v>556</v>
          </cell>
        </row>
        <row r="902">
          <cell r="A902">
            <v>3843</v>
          </cell>
          <cell r="B902" t="str">
            <v>유량계</v>
          </cell>
          <cell r="C902" t="str">
            <v>25Ø</v>
          </cell>
          <cell r="D902" t="str">
            <v>대</v>
          </cell>
          <cell r="E902">
            <v>190000</v>
          </cell>
          <cell r="F902">
            <v>0</v>
          </cell>
          <cell r="H902">
            <v>556</v>
          </cell>
          <cell r="I902">
            <v>190000</v>
          </cell>
          <cell r="J902">
            <v>556</v>
          </cell>
          <cell r="L902">
            <v>556</v>
          </cell>
        </row>
        <row r="903">
          <cell r="A903">
            <v>3844</v>
          </cell>
          <cell r="B903" t="str">
            <v>유량계</v>
          </cell>
          <cell r="C903" t="str">
            <v>20Ø</v>
          </cell>
          <cell r="D903" t="str">
            <v>대</v>
          </cell>
          <cell r="E903">
            <v>180000</v>
          </cell>
          <cell r="F903">
            <v>0</v>
          </cell>
          <cell r="H903">
            <v>556</v>
          </cell>
          <cell r="I903">
            <v>180000</v>
          </cell>
          <cell r="J903">
            <v>556</v>
          </cell>
          <cell r="L903">
            <v>556</v>
          </cell>
        </row>
        <row r="904">
          <cell r="A904">
            <v>3845</v>
          </cell>
          <cell r="B904" t="str">
            <v>유량계</v>
          </cell>
          <cell r="C904" t="str">
            <v>15Ø</v>
          </cell>
          <cell r="D904" t="str">
            <v>대</v>
          </cell>
          <cell r="E904">
            <v>100000</v>
          </cell>
          <cell r="F904">
            <v>0</v>
          </cell>
          <cell r="H904">
            <v>556</v>
          </cell>
          <cell r="I904">
            <v>100000</v>
          </cell>
          <cell r="J904">
            <v>556</v>
          </cell>
          <cell r="L904">
            <v>556</v>
          </cell>
        </row>
        <row r="905">
          <cell r="A905">
            <v>3850</v>
          </cell>
          <cell r="B905" t="str">
            <v>주철글로우브밸브</v>
          </cell>
          <cell r="C905" t="str">
            <v>150Ø</v>
          </cell>
          <cell r="D905" t="str">
            <v>개</v>
          </cell>
          <cell r="E905">
            <v>264000</v>
          </cell>
          <cell r="F905">
            <v>0</v>
          </cell>
          <cell r="H905">
            <v>529</v>
          </cell>
          <cell r="I905">
            <v>264000</v>
          </cell>
          <cell r="J905">
            <v>529</v>
          </cell>
          <cell r="L905">
            <v>529</v>
          </cell>
        </row>
        <row r="906">
          <cell r="A906">
            <v>3851</v>
          </cell>
          <cell r="B906" t="str">
            <v>주철글로우브밸브</v>
          </cell>
          <cell r="C906" t="str">
            <v>100Ø</v>
          </cell>
          <cell r="D906" t="str">
            <v>개</v>
          </cell>
          <cell r="E906">
            <v>128000</v>
          </cell>
          <cell r="F906">
            <v>0</v>
          </cell>
          <cell r="H906">
            <v>529</v>
          </cell>
          <cell r="I906">
            <v>128000</v>
          </cell>
          <cell r="J906">
            <v>529</v>
          </cell>
          <cell r="L906">
            <v>529</v>
          </cell>
        </row>
        <row r="907">
          <cell r="A907">
            <v>3852</v>
          </cell>
          <cell r="B907" t="str">
            <v>주철글로우브밸브</v>
          </cell>
          <cell r="C907" t="str">
            <v>80Ø</v>
          </cell>
          <cell r="D907" t="str">
            <v>개</v>
          </cell>
          <cell r="E907">
            <v>96000</v>
          </cell>
          <cell r="F907">
            <v>0</v>
          </cell>
          <cell r="H907">
            <v>529</v>
          </cell>
          <cell r="I907">
            <v>96000</v>
          </cell>
          <cell r="J907">
            <v>529</v>
          </cell>
          <cell r="L907">
            <v>529</v>
          </cell>
        </row>
        <row r="908">
          <cell r="A908">
            <v>3853</v>
          </cell>
          <cell r="B908" t="str">
            <v>주철글로우브밸브</v>
          </cell>
          <cell r="C908" t="str">
            <v>65Ø</v>
          </cell>
          <cell r="D908" t="str">
            <v>개</v>
          </cell>
          <cell r="E908">
            <v>77600</v>
          </cell>
          <cell r="F908">
            <v>0</v>
          </cell>
          <cell r="H908">
            <v>529</v>
          </cell>
          <cell r="I908">
            <v>77600</v>
          </cell>
          <cell r="J908">
            <v>529</v>
          </cell>
          <cell r="L908">
            <v>529</v>
          </cell>
        </row>
        <row r="909">
          <cell r="A909">
            <v>3854</v>
          </cell>
          <cell r="B909" t="str">
            <v>청동글로우브밸브</v>
          </cell>
          <cell r="C909" t="str">
            <v>50Ø</v>
          </cell>
          <cell r="D909" t="str">
            <v>개</v>
          </cell>
          <cell r="E909">
            <v>26650</v>
          </cell>
          <cell r="F909">
            <v>0</v>
          </cell>
          <cell r="H909">
            <v>528</v>
          </cell>
          <cell r="I909">
            <v>26650</v>
          </cell>
          <cell r="J909">
            <v>528</v>
          </cell>
          <cell r="L909">
            <v>528</v>
          </cell>
        </row>
        <row r="910">
          <cell r="A910">
            <v>3855</v>
          </cell>
          <cell r="B910" t="str">
            <v>청동글로우브밸브</v>
          </cell>
          <cell r="C910" t="str">
            <v>40Ø</v>
          </cell>
          <cell r="D910" t="str">
            <v>개</v>
          </cell>
          <cell r="E910">
            <v>17600</v>
          </cell>
          <cell r="F910">
            <v>0</v>
          </cell>
          <cell r="H910">
            <v>528</v>
          </cell>
          <cell r="I910">
            <v>17600</v>
          </cell>
          <cell r="J910">
            <v>528</v>
          </cell>
          <cell r="L910">
            <v>528</v>
          </cell>
        </row>
        <row r="911">
          <cell r="A911">
            <v>3856</v>
          </cell>
          <cell r="B911" t="str">
            <v>청동글로우브밸브</v>
          </cell>
          <cell r="C911" t="str">
            <v>32Ø</v>
          </cell>
          <cell r="D911" t="str">
            <v>개</v>
          </cell>
          <cell r="E911">
            <v>14230</v>
          </cell>
          <cell r="F911">
            <v>0</v>
          </cell>
          <cell r="H911">
            <v>528</v>
          </cell>
          <cell r="I911">
            <v>14230</v>
          </cell>
          <cell r="J911">
            <v>528</v>
          </cell>
          <cell r="L911">
            <v>528</v>
          </cell>
        </row>
        <row r="912">
          <cell r="A912">
            <v>3857</v>
          </cell>
          <cell r="B912" t="str">
            <v>청동글로우브밸브</v>
          </cell>
          <cell r="C912" t="str">
            <v>25Ø</v>
          </cell>
          <cell r="D912" t="str">
            <v>개</v>
          </cell>
          <cell r="E912">
            <v>9570</v>
          </cell>
          <cell r="F912">
            <v>0</v>
          </cell>
          <cell r="H912">
            <v>528</v>
          </cell>
          <cell r="I912">
            <v>9570</v>
          </cell>
          <cell r="J912">
            <v>528</v>
          </cell>
          <cell r="L912">
            <v>528</v>
          </cell>
        </row>
        <row r="913">
          <cell r="A913">
            <v>3858</v>
          </cell>
          <cell r="B913" t="str">
            <v>청동글로우브밸브</v>
          </cell>
          <cell r="C913" t="str">
            <v>20Ø</v>
          </cell>
          <cell r="D913" t="str">
            <v>개</v>
          </cell>
          <cell r="E913">
            <v>6590</v>
          </cell>
          <cell r="F913">
            <v>0</v>
          </cell>
          <cell r="H913">
            <v>528</v>
          </cell>
          <cell r="I913">
            <v>6590</v>
          </cell>
          <cell r="J913">
            <v>528</v>
          </cell>
          <cell r="L913">
            <v>528</v>
          </cell>
        </row>
        <row r="914">
          <cell r="A914">
            <v>3859</v>
          </cell>
          <cell r="B914" t="str">
            <v>청동글로우브밸브</v>
          </cell>
          <cell r="C914" t="str">
            <v>15Ø</v>
          </cell>
          <cell r="D914" t="str">
            <v>개</v>
          </cell>
          <cell r="E914">
            <v>4170</v>
          </cell>
          <cell r="F914">
            <v>0</v>
          </cell>
          <cell r="H914">
            <v>528</v>
          </cell>
          <cell r="I914">
            <v>4170</v>
          </cell>
          <cell r="J914">
            <v>528</v>
          </cell>
          <cell r="L914">
            <v>528</v>
          </cell>
        </row>
        <row r="915">
          <cell r="E915">
            <v>0</v>
          </cell>
        </row>
        <row r="916">
          <cell r="E916">
            <v>0</v>
          </cell>
        </row>
        <row r="917">
          <cell r="E917">
            <v>0</v>
          </cell>
        </row>
        <row r="918">
          <cell r="E918">
            <v>0</v>
          </cell>
        </row>
        <row r="919">
          <cell r="E919">
            <v>0</v>
          </cell>
        </row>
        <row r="920">
          <cell r="E920">
            <v>0</v>
          </cell>
        </row>
        <row r="921">
          <cell r="E921">
            <v>0</v>
          </cell>
        </row>
        <row r="922">
          <cell r="E922">
            <v>0</v>
          </cell>
        </row>
        <row r="923">
          <cell r="E923">
            <v>0</v>
          </cell>
        </row>
        <row r="924">
          <cell r="E924">
            <v>0</v>
          </cell>
        </row>
        <row r="934">
          <cell r="A934">
            <v>4101</v>
          </cell>
          <cell r="B934" t="str">
            <v>소방호스(단일피)</v>
          </cell>
          <cell r="C934" t="str">
            <v>40Ø x 15m</v>
          </cell>
          <cell r="D934" t="str">
            <v>개</v>
          </cell>
          <cell r="E934">
            <v>33000</v>
          </cell>
          <cell r="F934">
            <v>0</v>
          </cell>
          <cell r="H934">
            <v>665</v>
          </cell>
          <cell r="I934">
            <v>33000</v>
          </cell>
          <cell r="J934">
            <v>665</v>
          </cell>
          <cell r="L934">
            <v>665</v>
          </cell>
        </row>
        <row r="935">
          <cell r="A935">
            <v>4102</v>
          </cell>
          <cell r="B935" t="str">
            <v>앵글밸브</v>
          </cell>
          <cell r="C935" t="str">
            <v>65Ø</v>
          </cell>
          <cell r="D935" t="str">
            <v>개</v>
          </cell>
          <cell r="E935">
            <v>24000</v>
          </cell>
          <cell r="F935">
            <v>0</v>
          </cell>
          <cell r="H935">
            <v>665</v>
          </cell>
          <cell r="I935">
            <v>24000</v>
          </cell>
          <cell r="J935">
            <v>665</v>
          </cell>
          <cell r="L935">
            <v>665</v>
          </cell>
        </row>
        <row r="936">
          <cell r="A936">
            <v>4103</v>
          </cell>
          <cell r="B936" t="str">
            <v>앵글밸브</v>
          </cell>
          <cell r="C936" t="str">
            <v>40Ø</v>
          </cell>
          <cell r="D936" t="str">
            <v>개</v>
          </cell>
          <cell r="E936">
            <v>14000</v>
          </cell>
          <cell r="F936">
            <v>0</v>
          </cell>
          <cell r="H936">
            <v>665</v>
          </cell>
          <cell r="I936">
            <v>14000</v>
          </cell>
          <cell r="J936">
            <v>665</v>
          </cell>
          <cell r="L936">
            <v>665</v>
          </cell>
        </row>
        <row r="937">
          <cell r="A937">
            <v>4104</v>
          </cell>
          <cell r="B937" t="str">
            <v>노즐(직,분사형)</v>
          </cell>
          <cell r="C937" t="str">
            <v>65Ø</v>
          </cell>
          <cell r="D937" t="str">
            <v>개</v>
          </cell>
          <cell r="E937">
            <v>34000</v>
          </cell>
          <cell r="F937">
            <v>0</v>
          </cell>
          <cell r="H937">
            <v>665</v>
          </cell>
          <cell r="I937">
            <v>34000</v>
          </cell>
          <cell r="J937">
            <v>665</v>
          </cell>
          <cell r="L937">
            <v>665</v>
          </cell>
        </row>
        <row r="938">
          <cell r="A938">
            <v>4105</v>
          </cell>
          <cell r="B938" t="str">
            <v>노즐(직,분사형)</v>
          </cell>
          <cell r="C938" t="str">
            <v>40Ø</v>
          </cell>
          <cell r="D938" t="str">
            <v>개</v>
          </cell>
          <cell r="E938">
            <v>25000</v>
          </cell>
          <cell r="F938">
            <v>0</v>
          </cell>
          <cell r="H938">
            <v>665</v>
          </cell>
          <cell r="I938">
            <v>25000</v>
          </cell>
          <cell r="J938">
            <v>665</v>
          </cell>
          <cell r="L938">
            <v>665</v>
          </cell>
        </row>
        <row r="939">
          <cell r="A939">
            <v>4106</v>
          </cell>
          <cell r="B939" t="str">
            <v>ABC분말소화기</v>
          </cell>
          <cell r="C939" t="str">
            <v>3.3kg</v>
          </cell>
          <cell r="D939" t="str">
            <v>개</v>
          </cell>
          <cell r="E939">
            <v>20000</v>
          </cell>
          <cell r="F939">
            <v>0</v>
          </cell>
          <cell r="H939">
            <v>665</v>
          </cell>
          <cell r="I939">
            <v>20000</v>
          </cell>
          <cell r="J939">
            <v>665</v>
          </cell>
          <cell r="L939">
            <v>665</v>
          </cell>
        </row>
        <row r="940">
          <cell r="A940">
            <v>4107</v>
          </cell>
          <cell r="B940" t="str">
            <v>자동확산소화기</v>
          </cell>
          <cell r="C940" t="str">
            <v>3kg</v>
          </cell>
          <cell r="D940" t="str">
            <v>개</v>
          </cell>
          <cell r="E940">
            <v>24000</v>
          </cell>
          <cell r="F940">
            <v>0</v>
          </cell>
          <cell r="H940">
            <v>665</v>
          </cell>
          <cell r="I940">
            <v>24000</v>
          </cell>
          <cell r="J940">
            <v>665</v>
          </cell>
          <cell r="L940">
            <v>665</v>
          </cell>
        </row>
        <row r="941">
          <cell r="A941">
            <v>4108</v>
          </cell>
          <cell r="B941" t="str">
            <v>하론가스소화기</v>
          </cell>
          <cell r="C941" t="str">
            <v>3kg</v>
          </cell>
          <cell r="D941" t="str">
            <v>개</v>
          </cell>
          <cell r="E941">
            <v>140000</v>
          </cell>
          <cell r="F941">
            <v>0</v>
          </cell>
          <cell r="H941">
            <v>665</v>
          </cell>
          <cell r="I941">
            <v>140000</v>
          </cell>
          <cell r="J941">
            <v>665</v>
          </cell>
          <cell r="L941">
            <v>665</v>
          </cell>
        </row>
        <row r="942">
          <cell r="A942">
            <v>4109</v>
          </cell>
          <cell r="B942" t="str">
            <v>ABC중형소화기</v>
          </cell>
          <cell r="C942" t="str">
            <v>20kg</v>
          </cell>
          <cell r="D942" t="str">
            <v>개</v>
          </cell>
          <cell r="E942">
            <v>160000</v>
          </cell>
          <cell r="F942">
            <v>0</v>
          </cell>
          <cell r="H942">
            <v>665</v>
          </cell>
          <cell r="I942">
            <v>160000</v>
          </cell>
          <cell r="J942">
            <v>665</v>
          </cell>
          <cell r="L942">
            <v>665</v>
          </cell>
        </row>
        <row r="943">
          <cell r="A943">
            <v>4110</v>
          </cell>
          <cell r="B943" t="str">
            <v>옥내소화전</v>
          </cell>
          <cell r="C943" t="str">
            <v>내:STE,외:SUS</v>
          </cell>
          <cell r="D943" t="str">
            <v>조</v>
          </cell>
          <cell r="E943">
            <v>292307</v>
          </cell>
          <cell r="F943">
            <v>76908</v>
          </cell>
          <cell r="H943">
            <v>0</v>
          </cell>
          <cell r="I943">
            <v>292307</v>
          </cell>
          <cell r="J943">
            <v>0</v>
          </cell>
          <cell r="L943">
            <v>0</v>
          </cell>
        </row>
        <row r="944">
          <cell r="A944">
            <v>4111</v>
          </cell>
          <cell r="B944" t="str">
            <v>옥내소화전함</v>
          </cell>
          <cell r="C944" t="str">
            <v>내:STE,외:SUS</v>
          </cell>
          <cell r="D944" t="str">
            <v>개</v>
          </cell>
          <cell r="E944">
            <v>120000</v>
          </cell>
          <cell r="F944">
            <v>0</v>
          </cell>
          <cell r="H944">
            <v>0</v>
          </cell>
          <cell r="I944">
            <v>120000</v>
          </cell>
          <cell r="J944">
            <v>0</v>
          </cell>
          <cell r="L944">
            <v>0</v>
          </cell>
        </row>
        <row r="945">
          <cell r="A945">
            <v>4110</v>
          </cell>
          <cell r="B945" t="str">
            <v>옥내소화전</v>
          </cell>
          <cell r="C945" t="str">
            <v>내,외:SUS</v>
          </cell>
          <cell r="D945" t="str">
            <v>조</v>
          </cell>
          <cell r="E945">
            <v>482307</v>
          </cell>
          <cell r="F945">
            <v>76908</v>
          </cell>
          <cell r="H945">
            <v>0</v>
          </cell>
          <cell r="I945">
            <v>482307</v>
          </cell>
          <cell r="J945">
            <v>0</v>
          </cell>
          <cell r="L945">
            <v>0</v>
          </cell>
        </row>
        <row r="946">
          <cell r="A946">
            <v>4113</v>
          </cell>
          <cell r="B946" t="str">
            <v>옥외지상식소화전</v>
          </cell>
          <cell r="C946" t="str">
            <v>100x65x65</v>
          </cell>
          <cell r="D946" t="str">
            <v>개</v>
          </cell>
          <cell r="E946">
            <v>260000</v>
          </cell>
          <cell r="F946">
            <v>0</v>
          </cell>
          <cell r="H946">
            <v>665</v>
          </cell>
          <cell r="I946">
            <v>260000</v>
          </cell>
          <cell r="J946">
            <v>665</v>
          </cell>
          <cell r="L946">
            <v>665</v>
          </cell>
        </row>
        <row r="947">
          <cell r="A947">
            <v>4114</v>
          </cell>
          <cell r="B947" t="str">
            <v>옥외지하식소화전</v>
          </cell>
          <cell r="C947" t="str">
            <v>100x65x65</v>
          </cell>
          <cell r="D947" t="str">
            <v>개</v>
          </cell>
          <cell r="E947">
            <v>0</v>
          </cell>
          <cell r="F947">
            <v>0</v>
          </cell>
          <cell r="H947">
            <v>665</v>
          </cell>
          <cell r="I947">
            <v>0</v>
          </cell>
          <cell r="J947">
            <v>665</v>
          </cell>
          <cell r="L947">
            <v>665</v>
          </cell>
        </row>
        <row r="948">
          <cell r="A948">
            <v>4115</v>
          </cell>
          <cell r="B948" t="str">
            <v>방수구함</v>
          </cell>
          <cell r="C948" t="str">
            <v>400x500x200</v>
          </cell>
          <cell r="D948" t="str">
            <v>개</v>
          </cell>
          <cell r="E948">
            <v>90000</v>
          </cell>
          <cell r="F948">
            <v>0</v>
          </cell>
          <cell r="H948">
            <v>665</v>
          </cell>
          <cell r="I948">
            <v>90000</v>
          </cell>
          <cell r="J948">
            <v>665</v>
          </cell>
          <cell r="L948">
            <v>665</v>
          </cell>
        </row>
        <row r="949">
          <cell r="A949">
            <v>4116</v>
          </cell>
          <cell r="B949" t="str">
            <v>시험밸브함</v>
          </cell>
          <cell r="C949" t="str">
            <v>300x500x180</v>
          </cell>
          <cell r="D949" t="str">
            <v>개</v>
          </cell>
          <cell r="E949">
            <v>80000</v>
          </cell>
          <cell r="F949">
            <v>0</v>
          </cell>
          <cell r="H949">
            <v>665</v>
          </cell>
          <cell r="I949">
            <v>80000</v>
          </cell>
          <cell r="J949">
            <v>665</v>
          </cell>
          <cell r="L949">
            <v>665</v>
          </cell>
        </row>
        <row r="950">
          <cell r="A950">
            <v>4117</v>
          </cell>
          <cell r="B950" t="str">
            <v>쌍구형송수구(매립형)</v>
          </cell>
          <cell r="C950" t="str">
            <v>100x65x65</v>
          </cell>
          <cell r="D950" t="str">
            <v>개</v>
          </cell>
          <cell r="E950">
            <v>170000</v>
          </cell>
          <cell r="F950">
            <v>0</v>
          </cell>
          <cell r="H950">
            <v>665</v>
          </cell>
          <cell r="I950">
            <v>170000</v>
          </cell>
          <cell r="J950">
            <v>665</v>
          </cell>
          <cell r="L950">
            <v>665</v>
          </cell>
        </row>
        <row r="951">
          <cell r="A951">
            <v>4118</v>
          </cell>
          <cell r="B951" t="str">
            <v>쌍구형송수구(노출형)</v>
          </cell>
          <cell r="C951" t="str">
            <v>100x65x65</v>
          </cell>
          <cell r="D951" t="str">
            <v>개</v>
          </cell>
          <cell r="E951">
            <v>130000</v>
          </cell>
          <cell r="F951">
            <v>0</v>
          </cell>
          <cell r="H951">
            <v>665</v>
          </cell>
          <cell r="I951">
            <v>130000</v>
          </cell>
          <cell r="J951">
            <v>665</v>
          </cell>
          <cell r="L951">
            <v>665</v>
          </cell>
        </row>
        <row r="952">
          <cell r="A952">
            <v>4121</v>
          </cell>
          <cell r="B952" t="str">
            <v>순간소방유량계</v>
          </cell>
          <cell r="C952" t="str">
            <v>3,900 LPM</v>
          </cell>
          <cell r="D952" t="str">
            <v>개</v>
          </cell>
          <cell r="E952">
            <v>80000</v>
          </cell>
          <cell r="F952">
            <v>0</v>
          </cell>
          <cell r="H952">
            <v>668</v>
          </cell>
          <cell r="I952">
            <v>80000</v>
          </cell>
          <cell r="J952">
            <v>668</v>
          </cell>
          <cell r="L952">
            <v>668</v>
          </cell>
        </row>
        <row r="953">
          <cell r="A953">
            <v>4122</v>
          </cell>
          <cell r="B953" t="str">
            <v>순간소방유량계</v>
          </cell>
          <cell r="C953" t="str">
            <v>2,800 LPM</v>
          </cell>
          <cell r="D953" t="str">
            <v>개</v>
          </cell>
          <cell r="E953">
            <v>70000</v>
          </cell>
          <cell r="F953">
            <v>0</v>
          </cell>
          <cell r="H953">
            <v>668</v>
          </cell>
          <cell r="I953">
            <v>70000</v>
          </cell>
          <cell r="J953">
            <v>668</v>
          </cell>
          <cell r="L953">
            <v>668</v>
          </cell>
        </row>
        <row r="954">
          <cell r="A954">
            <v>4123</v>
          </cell>
          <cell r="B954" t="str">
            <v>순간소방유량계</v>
          </cell>
          <cell r="C954" t="str">
            <v>2,000 LPM</v>
          </cell>
          <cell r="D954" t="str">
            <v>개</v>
          </cell>
          <cell r="E954">
            <v>60000</v>
          </cell>
          <cell r="F954">
            <v>0</v>
          </cell>
          <cell r="H954">
            <v>668</v>
          </cell>
          <cell r="I954">
            <v>60000</v>
          </cell>
          <cell r="J954">
            <v>668</v>
          </cell>
          <cell r="L954">
            <v>668</v>
          </cell>
        </row>
        <row r="955">
          <cell r="A955">
            <v>4124</v>
          </cell>
          <cell r="B955" t="str">
            <v>순간소방유량계</v>
          </cell>
          <cell r="C955" t="str">
            <v>1,125 LPM</v>
          </cell>
          <cell r="D955" t="str">
            <v>개</v>
          </cell>
          <cell r="E955">
            <v>55000</v>
          </cell>
          <cell r="F955">
            <v>0</v>
          </cell>
          <cell r="H955">
            <v>668</v>
          </cell>
          <cell r="I955">
            <v>55000</v>
          </cell>
          <cell r="J955">
            <v>668</v>
          </cell>
          <cell r="L955">
            <v>668</v>
          </cell>
        </row>
        <row r="956">
          <cell r="A956">
            <v>4125</v>
          </cell>
          <cell r="B956" t="str">
            <v>순간소방유량계</v>
          </cell>
          <cell r="C956" t="str">
            <v>900 LPM</v>
          </cell>
          <cell r="D956" t="str">
            <v>개</v>
          </cell>
          <cell r="E956">
            <v>50000</v>
          </cell>
          <cell r="F956">
            <v>0</v>
          </cell>
          <cell r="H956">
            <v>668</v>
          </cell>
          <cell r="I956">
            <v>50000</v>
          </cell>
          <cell r="J956">
            <v>668</v>
          </cell>
          <cell r="L956">
            <v>668</v>
          </cell>
        </row>
        <row r="957">
          <cell r="A957">
            <v>4126</v>
          </cell>
          <cell r="B957" t="str">
            <v>순간소방유량계</v>
          </cell>
          <cell r="C957" t="str">
            <v>550 LPM</v>
          </cell>
          <cell r="D957" t="str">
            <v>개</v>
          </cell>
          <cell r="E957">
            <v>45000</v>
          </cell>
          <cell r="F957">
            <v>0</v>
          </cell>
          <cell r="H957">
            <v>668</v>
          </cell>
          <cell r="I957">
            <v>45000</v>
          </cell>
          <cell r="J957">
            <v>668</v>
          </cell>
          <cell r="L957">
            <v>668</v>
          </cell>
        </row>
        <row r="958">
          <cell r="A958">
            <v>4127</v>
          </cell>
          <cell r="B958" t="str">
            <v>순간소방유량계</v>
          </cell>
          <cell r="C958" t="str">
            <v>375 LPM</v>
          </cell>
          <cell r="D958" t="str">
            <v>개</v>
          </cell>
          <cell r="E958">
            <v>40000</v>
          </cell>
          <cell r="F958">
            <v>0</v>
          </cell>
          <cell r="H958">
            <v>668</v>
          </cell>
          <cell r="I958">
            <v>40000</v>
          </cell>
          <cell r="J958">
            <v>668</v>
          </cell>
          <cell r="L958">
            <v>668</v>
          </cell>
        </row>
        <row r="959">
          <cell r="A959">
            <v>4131</v>
          </cell>
          <cell r="B959" t="str">
            <v>압력탱크</v>
          </cell>
          <cell r="C959" t="str">
            <v>200 Lit</v>
          </cell>
          <cell r="D959" t="str">
            <v>개</v>
          </cell>
          <cell r="E959">
            <v>600000</v>
          </cell>
          <cell r="F959">
            <v>0</v>
          </cell>
          <cell r="H959">
            <v>668</v>
          </cell>
          <cell r="I959">
            <v>600000</v>
          </cell>
          <cell r="J959">
            <v>668</v>
          </cell>
          <cell r="L959">
            <v>668</v>
          </cell>
        </row>
        <row r="960">
          <cell r="A960">
            <v>4132</v>
          </cell>
          <cell r="B960" t="str">
            <v>압력탱크</v>
          </cell>
          <cell r="C960" t="str">
            <v>100 Lit</v>
          </cell>
          <cell r="D960" t="str">
            <v>개</v>
          </cell>
          <cell r="E960">
            <v>400000</v>
          </cell>
          <cell r="F960">
            <v>0</v>
          </cell>
          <cell r="H960">
            <v>668</v>
          </cell>
          <cell r="I960">
            <v>400000</v>
          </cell>
          <cell r="J960">
            <v>668</v>
          </cell>
          <cell r="L960">
            <v>668</v>
          </cell>
        </row>
        <row r="961">
          <cell r="A961">
            <v>4133</v>
          </cell>
          <cell r="B961" t="str">
            <v>호수조(벽부형)</v>
          </cell>
          <cell r="C961" t="str">
            <v>100 Lit</v>
          </cell>
          <cell r="D961" t="str">
            <v>개</v>
          </cell>
          <cell r="E961">
            <v>200000</v>
          </cell>
          <cell r="F961">
            <v>0</v>
          </cell>
          <cell r="H961">
            <v>668</v>
          </cell>
          <cell r="I961">
            <v>200000</v>
          </cell>
          <cell r="J961">
            <v>668</v>
          </cell>
          <cell r="L961">
            <v>668</v>
          </cell>
        </row>
        <row r="962">
          <cell r="A962">
            <v>4140</v>
          </cell>
          <cell r="B962" t="str">
            <v>연결살수헤드</v>
          </cell>
          <cell r="C962" t="str">
            <v>20Ø</v>
          </cell>
          <cell r="D962" t="str">
            <v>개</v>
          </cell>
          <cell r="E962">
            <v>9000</v>
          </cell>
          <cell r="F962">
            <v>0</v>
          </cell>
          <cell r="H962">
            <v>670</v>
          </cell>
          <cell r="I962">
            <v>9000</v>
          </cell>
          <cell r="J962">
            <v>670</v>
          </cell>
          <cell r="L962">
            <v>670</v>
          </cell>
        </row>
        <row r="963">
          <cell r="A963">
            <v>4141</v>
          </cell>
          <cell r="B963" t="str">
            <v>개방형스프링클러헤드</v>
          </cell>
          <cell r="C963" t="str">
            <v>20Ø</v>
          </cell>
          <cell r="D963" t="str">
            <v>개</v>
          </cell>
          <cell r="E963">
            <v>4100</v>
          </cell>
          <cell r="F963">
            <v>0</v>
          </cell>
          <cell r="H963">
            <v>670</v>
          </cell>
          <cell r="I963">
            <v>4100</v>
          </cell>
          <cell r="J963">
            <v>670</v>
          </cell>
          <cell r="L963">
            <v>670</v>
          </cell>
        </row>
        <row r="964">
          <cell r="A964">
            <v>4142</v>
          </cell>
          <cell r="B964" t="str">
            <v>개방형스프링클러헤드</v>
          </cell>
          <cell r="C964" t="str">
            <v>15Ø</v>
          </cell>
          <cell r="D964" t="str">
            <v>개</v>
          </cell>
          <cell r="E964">
            <v>3000</v>
          </cell>
          <cell r="F964">
            <v>0</v>
          </cell>
          <cell r="H964">
            <v>670</v>
          </cell>
          <cell r="I964">
            <v>3000</v>
          </cell>
          <cell r="J964">
            <v>670</v>
          </cell>
          <cell r="L964">
            <v>670</v>
          </cell>
        </row>
        <row r="965">
          <cell r="A965">
            <v>4143</v>
          </cell>
          <cell r="B965" t="str">
            <v>폐쇄형스프링클러헤드</v>
          </cell>
          <cell r="C965" t="str">
            <v>15Øx143℃</v>
          </cell>
          <cell r="D965" t="str">
            <v>개</v>
          </cell>
          <cell r="E965">
            <v>8800</v>
          </cell>
          <cell r="F965">
            <v>0</v>
          </cell>
          <cell r="H965">
            <v>670</v>
          </cell>
          <cell r="I965">
            <v>8800</v>
          </cell>
          <cell r="J965">
            <v>670</v>
          </cell>
          <cell r="L965">
            <v>670</v>
          </cell>
        </row>
        <row r="966">
          <cell r="A966">
            <v>4144</v>
          </cell>
          <cell r="B966" t="str">
            <v>폐쇄형스프링클러헤드</v>
          </cell>
          <cell r="C966" t="str">
            <v>15Øx105℃</v>
          </cell>
          <cell r="D966" t="str">
            <v>개</v>
          </cell>
          <cell r="E966">
            <v>4500</v>
          </cell>
          <cell r="F966">
            <v>0</v>
          </cell>
          <cell r="H966">
            <v>670</v>
          </cell>
          <cell r="I966">
            <v>4500</v>
          </cell>
          <cell r="J966">
            <v>670</v>
          </cell>
          <cell r="L966">
            <v>670</v>
          </cell>
        </row>
        <row r="967">
          <cell r="A967">
            <v>4145</v>
          </cell>
          <cell r="B967" t="str">
            <v>폐쇄형스프링클러헤드</v>
          </cell>
          <cell r="C967" t="str">
            <v>15Øx 72℃</v>
          </cell>
          <cell r="D967" t="str">
            <v>개</v>
          </cell>
          <cell r="E967">
            <v>3700</v>
          </cell>
          <cell r="F967">
            <v>0</v>
          </cell>
          <cell r="H967">
            <v>670</v>
          </cell>
          <cell r="I967">
            <v>3700</v>
          </cell>
          <cell r="J967">
            <v>670</v>
          </cell>
          <cell r="L967">
            <v>670</v>
          </cell>
        </row>
        <row r="968">
          <cell r="A968">
            <v>4146</v>
          </cell>
          <cell r="B968" t="str">
            <v>측벽형스프링클러헤드</v>
          </cell>
          <cell r="C968" t="str">
            <v>15Øx105℃</v>
          </cell>
          <cell r="D968" t="str">
            <v>개</v>
          </cell>
          <cell r="E968">
            <v>6900</v>
          </cell>
          <cell r="F968">
            <v>0</v>
          </cell>
          <cell r="H968">
            <v>670</v>
          </cell>
          <cell r="I968">
            <v>6900</v>
          </cell>
          <cell r="J968">
            <v>670</v>
          </cell>
          <cell r="L968">
            <v>670</v>
          </cell>
        </row>
        <row r="969">
          <cell r="A969">
            <v>4147</v>
          </cell>
          <cell r="B969" t="str">
            <v>측벽형스프링클러헤드</v>
          </cell>
          <cell r="C969" t="str">
            <v>15Øx 72℃</v>
          </cell>
          <cell r="D969" t="str">
            <v>개</v>
          </cell>
          <cell r="E969">
            <v>6000</v>
          </cell>
          <cell r="F969">
            <v>0</v>
          </cell>
          <cell r="H969">
            <v>670</v>
          </cell>
          <cell r="I969">
            <v>6000</v>
          </cell>
          <cell r="J969">
            <v>670</v>
          </cell>
          <cell r="L969">
            <v>670</v>
          </cell>
        </row>
        <row r="970">
          <cell r="A970">
            <v>4148</v>
          </cell>
          <cell r="B970" t="str">
            <v>원형스프링클러헤드</v>
          </cell>
          <cell r="C970" t="str">
            <v>15Øx105℃</v>
          </cell>
          <cell r="D970" t="str">
            <v>개</v>
          </cell>
          <cell r="E970">
            <v>6500</v>
          </cell>
          <cell r="F970">
            <v>0</v>
          </cell>
          <cell r="H970">
            <v>670</v>
          </cell>
          <cell r="I970">
            <v>6500</v>
          </cell>
          <cell r="J970">
            <v>670</v>
          </cell>
          <cell r="L970">
            <v>670</v>
          </cell>
        </row>
        <row r="971">
          <cell r="A971">
            <v>4149</v>
          </cell>
          <cell r="B971" t="str">
            <v>원형스프링클러헤드</v>
          </cell>
          <cell r="C971" t="str">
            <v>15Øx 72℃</v>
          </cell>
          <cell r="D971" t="str">
            <v>개</v>
          </cell>
          <cell r="E971">
            <v>5500</v>
          </cell>
          <cell r="F971">
            <v>0</v>
          </cell>
          <cell r="H971">
            <v>670</v>
          </cell>
          <cell r="I971">
            <v>5500</v>
          </cell>
          <cell r="J971">
            <v>670</v>
          </cell>
          <cell r="L971">
            <v>670</v>
          </cell>
        </row>
        <row r="972">
          <cell r="A972">
            <v>5001</v>
          </cell>
          <cell r="B972" t="str">
            <v>가교폴리에틸렌관(XL)</v>
          </cell>
          <cell r="C972" t="str">
            <v>15Ø</v>
          </cell>
          <cell r="D972" t="str">
            <v>M</v>
          </cell>
          <cell r="E972">
            <v>270</v>
          </cell>
          <cell r="F972">
            <v>0</v>
          </cell>
          <cell r="H972" t="str">
            <v>-</v>
          </cell>
          <cell r="I972">
            <v>270</v>
          </cell>
          <cell r="J972" t="str">
            <v>-</v>
          </cell>
          <cell r="L972" t="str">
            <v>-</v>
          </cell>
        </row>
        <row r="973">
          <cell r="A973">
            <v>5002</v>
          </cell>
          <cell r="B973" t="str">
            <v>가교폴리에틸렌관(XL)</v>
          </cell>
          <cell r="C973" t="str">
            <v>20Ø</v>
          </cell>
          <cell r="D973" t="str">
            <v>M</v>
          </cell>
          <cell r="E973">
            <v>450</v>
          </cell>
          <cell r="F973">
            <v>0</v>
          </cell>
          <cell r="H973" t="str">
            <v>-</v>
          </cell>
          <cell r="I973">
            <v>450</v>
          </cell>
          <cell r="J973" t="str">
            <v>-</v>
          </cell>
          <cell r="L973" t="str">
            <v>-</v>
          </cell>
        </row>
        <row r="974">
          <cell r="A974">
            <v>5111</v>
          </cell>
          <cell r="B974" t="str">
            <v>전기온돌판넬</v>
          </cell>
          <cell r="C974" t="str">
            <v>850x1,700</v>
          </cell>
          <cell r="D974" t="str">
            <v>조</v>
          </cell>
          <cell r="E974">
            <v>60000</v>
          </cell>
          <cell r="F974">
            <v>0</v>
          </cell>
          <cell r="H974">
            <v>611</v>
          </cell>
          <cell r="I974">
            <v>60000</v>
          </cell>
          <cell r="J974">
            <v>611</v>
          </cell>
          <cell r="L974">
            <v>611</v>
          </cell>
        </row>
        <row r="975">
          <cell r="A975">
            <v>5112</v>
          </cell>
          <cell r="B975" t="str">
            <v>전기온돌판넬</v>
          </cell>
          <cell r="C975" t="str">
            <v>400x1,700</v>
          </cell>
          <cell r="D975" t="str">
            <v>조</v>
          </cell>
          <cell r="E975">
            <v>40000</v>
          </cell>
          <cell r="F975">
            <v>0</v>
          </cell>
          <cell r="H975">
            <v>611</v>
          </cell>
          <cell r="I975">
            <v>40000</v>
          </cell>
          <cell r="J975">
            <v>611</v>
          </cell>
          <cell r="L975">
            <v>611</v>
          </cell>
        </row>
        <row r="976">
          <cell r="A976">
            <v>5113</v>
          </cell>
          <cell r="B976" t="str">
            <v>전기온돌판넬</v>
          </cell>
          <cell r="C976" t="str">
            <v>850 x 850</v>
          </cell>
          <cell r="D976" t="str">
            <v>조</v>
          </cell>
          <cell r="E976">
            <v>40000</v>
          </cell>
          <cell r="F976">
            <v>0</v>
          </cell>
          <cell r="H976">
            <v>611</v>
          </cell>
          <cell r="I976">
            <v>40000</v>
          </cell>
          <cell r="J976">
            <v>611</v>
          </cell>
          <cell r="L976">
            <v>611</v>
          </cell>
        </row>
        <row r="977">
          <cell r="A977">
            <v>5114</v>
          </cell>
          <cell r="B977" t="str">
            <v>자동온도조절기</v>
          </cell>
          <cell r="C977" t="str">
            <v>전자식(대형)</v>
          </cell>
          <cell r="D977" t="str">
            <v>개</v>
          </cell>
          <cell r="E977">
            <v>55000</v>
          </cell>
          <cell r="F977">
            <v>0</v>
          </cell>
          <cell r="H977">
            <v>611</v>
          </cell>
          <cell r="I977">
            <v>55000</v>
          </cell>
          <cell r="J977">
            <v>611</v>
          </cell>
          <cell r="L977">
            <v>611</v>
          </cell>
        </row>
        <row r="978">
          <cell r="A978">
            <v>5115</v>
          </cell>
          <cell r="B978" t="str">
            <v>자동온도조절기</v>
          </cell>
          <cell r="C978" t="str">
            <v>전자식(중형)</v>
          </cell>
          <cell r="D978" t="str">
            <v>개</v>
          </cell>
          <cell r="E978">
            <v>40000</v>
          </cell>
          <cell r="F978">
            <v>0</v>
          </cell>
          <cell r="H978">
            <v>611</v>
          </cell>
          <cell r="I978">
            <v>40000</v>
          </cell>
          <cell r="J978">
            <v>611</v>
          </cell>
          <cell r="L978">
            <v>611</v>
          </cell>
        </row>
        <row r="979">
          <cell r="A979">
            <v>5121</v>
          </cell>
          <cell r="B979" t="str">
            <v>분배기(청동밸브포함)</v>
          </cell>
          <cell r="C979" t="str">
            <v>15Øx2구</v>
          </cell>
          <cell r="D979" t="str">
            <v>조</v>
          </cell>
          <cell r="E979">
            <v>11000</v>
          </cell>
          <cell r="F979">
            <v>0</v>
          </cell>
          <cell r="H979">
            <v>613</v>
          </cell>
          <cell r="I979">
            <v>11000</v>
          </cell>
          <cell r="J979">
            <v>613</v>
          </cell>
          <cell r="L979">
            <v>613</v>
          </cell>
        </row>
        <row r="980">
          <cell r="A980">
            <v>5122</v>
          </cell>
          <cell r="B980" t="str">
            <v>분배기(청동밸브포함)</v>
          </cell>
          <cell r="C980" t="str">
            <v>15Øx3구</v>
          </cell>
          <cell r="D980" t="str">
            <v>조</v>
          </cell>
          <cell r="E980">
            <v>20800</v>
          </cell>
          <cell r="F980">
            <v>0</v>
          </cell>
          <cell r="H980">
            <v>613</v>
          </cell>
          <cell r="I980">
            <v>20800</v>
          </cell>
          <cell r="J980">
            <v>613</v>
          </cell>
          <cell r="L980">
            <v>613</v>
          </cell>
        </row>
        <row r="981">
          <cell r="A981">
            <v>5123</v>
          </cell>
          <cell r="B981" t="str">
            <v>분배기(청동밸브포함)</v>
          </cell>
          <cell r="C981" t="str">
            <v>15Øx4구</v>
          </cell>
          <cell r="D981" t="str">
            <v>조</v>
          </cell>
          <cell r="E981">
            <v>30600</v>
          </cell>
          <cell r="F981">
            <v>0</v>
          </cell>
          <cell r="H981">
            <v>613</v>
          </cell>
          <cell r="I981">
            <v>30600</v>
          </cell>
          <cell r="J981">
            <v>613</v>
          </cell>
          <cell r="L981">
            <v>613</v>
          </cell>
        </row>
        <row r="982">
          <cell r="A982">
            <v>5124</v>
          </cell>
          <cell r="B982" t="str">
            <v>분배기(청동밸브포함)</v>
          </cell>
          <cell r="C982" t="str">
            <v>15Øx5구</v>
          </cell>
          <cell r="D982" t="str">
            <v>조</v>
          </cell>
          <cell r="E982">
            <v>40400</v>
          </cell>
          <cell r="F982">
            <v>0</v>
          </cell>
          <cell r="H982">
            <v>613</v>
          </cell>
          <cell r="I982">
            <v>40400</v>
          </cell>
          <cell r="J982">
            <v>613</v>
          </cell>
          <cell r="L982">
            <v>613</v>
          </cell>
        </row>
        <row r="983">
          <cell r="A983">
            <v>5125</v>
          </cell>
          <cell r="B983" t="str">
            <v>분배기(청동밸브포함)</v>
          </cell>
          <cell r="C983" t="str">
            <v>15Øx6구</v>
          </cell>
          <cell r="D983" t="str">
            <v>조</v>
          </cell>
          <cell r="E983">
            <v>50200</v>
          </cell>
          <cell r="F983">
            <v>0</v>
          </cell>
          <cell r="H983">
            <v>613</v>
          </cell>
          <cell r="I983">
            <v>50200</v>
          </cell>
          <cell r="J983">
            <v>613</v>
          </cell>
          <cell r="L983">
            <v>613</v>
          </cell>
        </row>
        <row r="984">
          <cell r="A984">
            <v>5126</v>
          </cell>
          <cell r="B984" t="str">
            <v>분배기(청동밸브포함)</v>
          </cell>
          <cell r="C984" t="str">
            <v>15Øx7구</v>
          </cell>
          <cell r="D984" t="str">
            <v>조</v>
          </cell>
          <cell r="E984">
            <v>60000</v>
          </cell>
          <cell r="F984">
            <v>0</v>
          </cell>
          <cell r="H984">
            <v>613</v>
          </cell>
          <cell r="I984">
            <v>60000</v>
          </cell>
          <cell r="J984">
            <v>613</v>
          </cell>
          <cell r="L984">
            <v>613</v>
          </cell>
        </row>
        <row r="985">
          <cell r="A985">
            <v>5130</v>
          </cell>
          <cell r="B985" t="str">
            <v>강판제방열기</v>
          </cell>
          <cell r="C985" t="str">
            <v>CR-600</v>
          </cell>
          <cell r="D985" t="str">
            <v>쪽</v>
          </cell>
          <cell r="E985">
            <v>9600</v>
          </cell>
          <cell r="F985">
            <v>0</v>
          </cell>
          <cell r="I985">
            <v>9600</v>
          </cell>
        </row>
        <row r="986">
          <cell r="A986">
            <v>5131</v>
          </cell>
          <cell r="B986" t="str">
            <v>주철제방열기</v>
          </cell>
          <cell r="C986" t="str">
            <v>5C-650</v>
          </cell>
          <cell r="D986" t="str">
            <v>쪽</v>
          </cell>
          <cell r="E986">
            <v>10000</v>
          </cell>
          <cell r="F986">
            <v>0</v>
          </cell>
          <cell r="I986">
            <v>10000</v>
          </cell>
        </row>
        <row r="987">
          <cell r="A987">
            <v>5132</v>
          </cell>
          <cell r="B987" t="str">
            <v>알루미늄방열기</v>
          </cell>
          <cell r="C987" t="str">
            <v>AR-600</v>
          </cell>
          <cell r="D987" t="str">
            <v>쪽</v>
          </cell>
          <cell r="E987">
            <v>3500</v>
          </cell>
          <cell r="F987">
            <v>0</v>
          </cell>
          <cell r="H987">
            <v>614</v>
          </cell>
          <cell r="I987">
            <v>3500</v>
          </cell>
          <cell r="J987">
            <v>614</v>
          </cell>
          <cell r="L987">
            <v>614</v>
          </cell>
        </row>
        <row r="988">
          <cell r="A988">
            <v>5133</v>
          </cell>
          <cell r="B988" t="str">
            <v>전기온풍기(심야전력)</v>
          </cell>
          <cell r="C988" t="str">
            <v>6.0kW</v>
          </cell>
          <cell r="D988" t="str">
            <v>대</v>
          </cell>
          <cell r="E988">
            <v>1130000</v>
          </cell>
          <cell r="F988">
            <v>0</v>
          </cell>
          <cell r="G988">
            <v>1130000</v>
          </cell>
          <cell r="H988">
            <v>619</v>
          </cell>
          <cell r="I988">
            <v>1199000</v>
          </cell>
          <cell r="J988">
            <v>619</v>
          </cell>
          <cell r="L988">
            <v>619</v>
          </cell>
        </row>
        <row r="989">
          <cell r="A989">
            <v>5134</v>
          </cell>
          <cell r="B989" t="str">
            <v>전기온풍기(심야전력)</v>
          </cell>
          <cell r="C989" t="str">
            <v>4.8kW</v>
          </cell>
          <cell r="D989" t="str">
            <v>대</v>
          </cell>
          <cell r="E989">
            <v>800000</v>
          </cell>
          <cell r="F989">
            <v>0</v>
          </cell>
          <cell r="G989">
            <v>800000</v>
          </cell>
          <cell r="H989">
            <v>619</v>
          </cell>
          <cell r="I989">
            <v>880000</v>
          </cell>
          <cell r="J989">
            <v>619</v>
          </cell>
          <cell r="L989">
            <v>619</v>
          </cell>
        </row>
        <row r="990">
          <cell r="A990">
            <v>5135</v>
          </cell>
          <cell r="B990" t="str">
            <v>전기온풍기(심야전력)</v>
          </cell>
          <cell r="C990" t="str">
            <v>3.2kW</v>
          </cell>
          <cell r="D990" t="str">
            <v>대</v>
          </cell>
          <cell r="E990">
            <v>610000</v>
          </cell>
          <cell r="F990">
            <v>0</v>
          </cell>
          <cell r="G990">
            <v>610000</v>
          </cell>
          <cell r="H990">
            <v>619</v>
          </cell>
          <cell r="I990">
            <v>699600</v>
          </cell>
          <cell r="J990">
            <v>619</v>
          </cell>
          <cell r="L990">
            <v>619</v>
          </cell>
        </row>
        <row r="991">
          <cell r="A991">
            <v>5136</v>
          </cell>
          <cell r="B991" t="str">
            <v>전기온풍기(심야전력)</v>
          </cell>
          <cell r="C991" t="str">
            <v>2.4kW</v>
          </cell>
          <cell r="D991" t="str">
            <v>대</v>
          </cell>
          <cell r="E991">
            <v>540000</v>
          </cell>
          <cell r="F991">
            <v>0</v>
          </cell>
          <cell r="G991">
            <v>540000</v>
          </cell>
          <cell r="H991">
            <v>619</v>
          </cell>
          <cell r="I991">
            <v>610000</v>
          </cell>
          <cell r="J991">
            <v>619</v>
          </cell>
          <cell r="L991">
            <v>619</v>
          </cell>
        </row>
        <row r="992">
          <cell r="A992">
            <v>5137</v>
          </cell>
          <cell r="B992" t="str">
            <v>전기방열기</v>
          </cell>
          <cell r="C992" t="str">
            <v>2.5kW</v>
          </cell>
          <cell r="D992" t="str">
            <v>대</v>
          </cell>
          <cell r="E992">
            <v>260000</v>
          </cell>
          <cell r="F992">
            <v>0</v>
          </cell>
          <cell r="H992">
            <v>614</v>
          </cell>
          <cell r="I992">
            <v>260000</v>
          </cell>
          <cell r="J992">
            <v>614</v>
          </cell>
          <cell r="L992">
            <v>614</v>
          </cell>
        </row>
        <row r="993">
          <cell r="A993">
            <v>5138</v>
          </cell>
          <cell r="B993" t="str">
            <v>전기방열기</v>
          </cell>
          <cell r="C993" t="str">
            <v>2.0kW</v>
          </cell>
          <cell r="D993" t="str">
            <v>대</v>
          </cell>
          <cell r="E993">
            <v>240000</v>
          </cell>
          <cell r="F993">
            <v>0</v>
          </cell>
          <cell r="H993">
            <v>614</v>
          </cell>
          <cell r="I993">
            <v>240000</v>
          </cell>
          <cell r="J993">
            <v>614</v>
          </cell>
          <cell r="L993">
            <v>614</v>
          </cell>
        </row>
        <row r="994">
          <cell r="A994">
            <v>5141</v>
          </cell>
          <cell r="B994" t="str">
            <v>가스순간온수기</v>
          </cell>
          <cell r="C994" t="str">
            <v>13 Lit/min</v>
          </cell>
          <cell r="D994" t="str">
            <v>대</v>
          </cell>
          <cell r="E994">
            <v>470000</v>
          </cell>
          <cell r="F994">
            <v>0</v>
          </cell>
          <cell r="H994">
            <v>587</v>
          </cell>
          <cell r="I994">
            <v>470000</v>
          </cell>
          <cell r="J994">
            <v>587</v>
          </cell>
          <cell r="L994">
            <v>587</v>
          </cell>
        </row>
        <row r="995">
          <cell r="A995">
            <v>5142</v>
          </cell>
          <cell r="B995" t="str">
            <v>가스순간온수기</v>
          </cell>
          <cell r="C995" t="str">
            <v>16 Lit/min</v>
          </cell>
          <cell r="D995" t="str">
            <v>대</v>
          </cell>
          <cell r="E995">
            <v>546000</v>
          </cell>
          <cell r="F995">
            <v>0</v>
          </cell>
          <cell r="H995">
            <v>587</v>
          </cell>
          <cell r="I995">
            <v>546000</v>
          </cell>
          <cell r="J995">
            <v>587</v>
          </cell>
          <cell r="L995">
            <v>587</v>
          </cell>
        </row>
        <row r="996">
          <cell r="A996">
            <v>5143</v>
          </cell>
          <cell r="B996" t="str">
            <v>전기순간온수기</v>
          </cell>
          <cell r="C996" t="str">
            <v>60 Lit/hr</v>
          </cell>
          <cell r="D996" t="str">
            <v>대</v>
          </cell>
          <cell r="E996">
            <v>310000</v>
          </cell>
          <cell r="F996">
            <v>0</v>
          </cell>
          <cell r="H996">
            <v>591</v>
          </cell>
          <cell r="I996">
            <v>310000</v>
          </cell>
          <cell r="J996">
            <v>591</v>
          </cell>
          <cell r="L996">
            <v>591</v>
          </cell>
        </row>
        <row r="997">
          <cell r="A997">
            <v>5144</v>
          </cell>
          <cell r="B997" t="str">
            <v>전기순간온수기</v>
          </cell>
          <cell r="C997" t="str">
            <v>80 Lit/hr</v>
          </cell>
          <cell r="D997" t="str">
            <v>대</v>
          </cell>
          <cell r="E997">
            <v>350000</v>
          </cell>
          <cell r="F997">
            <v>0</v>
          </cell>
          <cell r="H997">
            <v>591</v>
          </cell>
          <cell r="I997">
            <v>350000</v>
          </cell>
          <cell r="J997">
            <v>591</v>
          </cell>
          <cell r="L997">
            <v>591</v>
          </cell>
        </row>
        <row r="998">
          <cell r="A998">
            <v>5145</v>
          </cell>
          <cell r="B998" t="str">
            <v>전기순간온수기</v>
          </cell>
          <cell r="C998" t="str">
            <v>120 Lit/hr</v>
          </cell>
          <cell r="D998" t="str">
            <v>대</v>
          </cell>
          <cell r="E998">
            <v>420000</v>
          </cell>
          <cell r="F998">
            <v>0</v>
          </cell>
          <cell r="H998">
            <v>591</v>
          </cell>
          <cell r="I998">
            <v>420000</v>
          </cell>
          <cell r="J998">
            <v>591</v>
          </cell>
          <cell r="L998">
            <v>591</v>
          </cell>
        </row>
        <row r="999">
          <cell r="A999">
            <v>5146</v>
          </cell>
          <cell r="B999" t="str">
            <v>전기순간온수기</v>
          </cell>
          <cell r="C999" t="str">
            <v>180 Lit/hr</v>
          </cell>
          <cell r="D999" t="str">
            <v>대</v>
          </cell>
          <cell r="E999">
            <v>468000</v>
          </cell>
          <cell r="F999">
            <v>0</v>
          </cell>
          <cell r="H999">
            <v>591</v>
          </cell>
          <cell r="I999">
            <v>468000</v>
          </cell>
          <cell r="J999">
            <v>591</v>
          </cell>
          <cell r="L999">
            <v>591</v>
          </cell>
        </row>
        <row r="1000">
          <cell r="A1000">
            <v>5147</v>
          </cell>
          <cell r="B1000" t="str">
            <v>전기순간온수기</v>
          </cell>
          <cell r="C1000" t="str">
            <v>260 Lit/hr</v>
          </cell>
          <cell r="D1000" t="str">
            <v>대</v>
          </cell>
          <cell r="E1000">
            <v>559000</v>
          </cell>
          <cell r="F1000">
            <v>0</v>
          </cell>
          <cell r="H1000">
            <v>591</v>
          </cell>
          <cell r="I1000">
            <v>559000</v>
          </cell>
          <cell r="J1000">
            <v>591</v>
          </cell>
          <cell r="L1000">
            <v>591</v>
          </cell>
        </row>
        <row r="1001">
          <cell r="A1001">
            <v>5148</v>
          </cell>
          <cell r="B1001" t="str">
            <v>전기순간온수기</v>
          </cell>
          <cell r="C1001" t="str">
            <v>340 Lit/hr</v>
          </cell>
          <cell r="D1001" t="str">
            <v>대</v>
          </cell>
          <cell r="E1001">
            <v>715000</v>
          </cell>
          <cell r="F1001">
            <v>0</v>
          </cell>
          <cell r="H1001">
            <v>591</v>
          </cell>
          <cell r="I1001">
            <v>715000</v>
          </cell>
          <cell r="J1001">
            <v>591</v>
          </cell>
          <cell r="L1001">
            <v>591</v>
          </cell>
        </row>
        <row r="1002">
          <cell r="A1002">
            <v>5149</v>
          </cell>
          <cell r="B1002" t="str">
            <v>전기순간온수기</v>
          </cell>
          <cell r="C1002" t="str">
            <v>450 Lit/hr</v>
          </cell>
          <cell r="D1002" t="str">
            <v>대</v>
          </cell>
          <cell r="E1002">
            <v>910000</v>
          </cell>
          <cell r="F1002">
            <v>0</v>
          </cell>
          <cell r="H1002">
            <v>591</v>
          </cell>
          <cell r="I1002">
            <v>910000</v>
          </cell>
          <cell r="J1002">
            <v>591</v>
          </cell>
          <cell r="L1002">
            <v>591</v>
          </cell>
        </row>
        <row r="1003">
          <cell r="A1003">
            <v>5151</v>
          </cell>
          <cell r="B1003" t="str">
            <v>전기순간온수기</v>
          </cell>
          <cell r="C1003" t="str">
            <v>5.5 kW</v>
          </cell>
          <cell r="D1003" t="str">
            <v>대</v>
          </cell>
          <cell r="E1003">
            <v>275000</v>
          </cell>
          <cell r="F1003">
            <v>0</v>
          </cell>
          <cell r="H1003">
            <v>587</v>
          </cell>
          <cell r="I1003">
            <v>275000</v>
          </cell>
          <cell r="J1003">
            <v>587</v>
          </cell>
          <cell r="L1003">
            <v>587</v>
          </cell>
        </row>
        <row r="1004">
          <cell r="A1004">
            <v>5152</v>
          </cell>
          <cell r="B1004" t="str">
            <v>전기순간온수기</v>
          </cell>
          <cell r="C1004" t="str">
            <v>5.5 kW</v>
          </cell>
          <cell r="D1004" t="str">
            <v>대</v>
          </cell>
          <cell r="E1004">
            <v>310000</v>
          </cell>
          <cell r="F1004">
            <v>0</v>
          </cell>
          <cell r="H1004">
            <v>587</v>
          </cell>
          <cell r="I1004">
            <v>310000</v>
          </cell>
          <cell r="J1004">
            <v>587</v>
          </cell>
          <cell r="L1004">
            <v>587</v>
          </cell>
        </row>
        <row r="1005">
          <cell r="E1005">
            <v>0</v>
          </cell>
        </row>
        <row r="1006">
          <cell r="E1006">
            <v>0</v>
          </cell>
        </row>
        <row r="1007">
          <cell r="E1007">
            <v>0</v>
          </cell>
        </row>
        <row r="1008">
          <cell r="E1008">
            <v>0</v>
          </cell>
        </row>
        <row r="1009">
          <cell r="E1009">
            <v>0</v>
          </cell>
        </row>
        <row r="1032">
          <cell r="A1032">
            <v>7101</v>
          </cell>
          <cell r="B1032" t="str">
            <v>황색페인트</v>
          </cell>
          <cell r="C1032" t="str">
            <v>2회</v>
          </cell>
          <cell r="D1032" t="str">
            <v>M²</v>
          </cell>
          <cell r="E1032">
            <v>1133</v>
          </cell>
          <cell r="F1032">
            <v>2592</v>
          </cell>
          <cell r="H1032">
            <v>0</v>
          </cell>
          <cell r="I1032">
            <v>1133</v>
          </cell>
          <cell r="J1032">
            <v>0</v>
          </cell>
          <cell r="L1032">
            <v>0</v>
          </cell>
        </row>
        <row r="1033">
          <cell r="A1033">
            <v>7102</v>
          </cell>
          <cell r="B1033" t="str">
            <v>LP 가스용기</v>
          </cell>
          <cell r="C1033" t="str">
            <v>20 kg</v>
          </cell>
          <cell r="D1033" t="str">
            <v>병</v>
          </cell>
          <cell r="E1033">
            <v>75000</v>
          </cell>
          <cell r="F1033">
            <v>0</v>
          </cell>
          <cell r="H1033">
            <v>0</v>
          </cell>
          <cell r="I1033">
            <v>75000</v>
          </cell>
          <cell r="J1033">
            <v>0</v>
          </cell>
          <cell r="L1033">
            <v>0</v>
          </cell>
        </row>
        <row r="1034">
          <cell r="A1034">
            <v>7103</v>
          </cell>
          <cell r="B1034" t="str">
            <v>LP 가스용기</v>
          </cell>
          <cell r="C1034" t="str">
            <v>50 kg</v>
          </cell>
          <cell r="D1034" t="str">
            <v>병</v>
          </cell>
          <cell r="E1034">
            <v>100000</v>
          </cell>
          <cell r="F1034">
            <v>0</v>
          </cell>
          <cell r="H1034">
            <v>0</v>
          </cell>
          <cell r="I1034">
            <v>100000</v>
          </cell>
          <cell r="J1034">
            <v>0</v>
          </cell>
          <cell r="L1034">
            <v>0</v>
          </cell>
        </row>
        <row r="1035">
          <cell r="A1035">
            <v>7111</v>
          </cell>
          <cell r="B1035" t="str">
            <v>가스누설 차단기</v>
          </cell>
          <cell r="C1035" t="str">
            <v>15A 1회로</v>
          </cell>
          <cell r="D1035" t="str">
            <v>개</v>
          </cell>
          <cell r="E1035">
            <v>48200</v>
          </cell>
          <cell r="F1035">
            <v>0</v>
          </cell>
          <cell r="H1035">
            <v>1059</v>
          </cell>
          <cell r="I1035">
            <v>48200</v>
          </cell>
          <cell r="J1035">
            <v>1059</v>
          </cell>
          <cell r="L1035">
            <v>1059</v>
          </cell>
        </row>
        <row r="1036">
          <cell r="A1036">
            <v>7112</v>
          </cell>
          <cell r="B1036" t="str">
            <v>가스누설 차단기</v>
          </cell>
          <cell r="C1036" t="str">
            <v>20A 3회로</v>
          </cell>
          <cell r="D1036" t="str">
            <v>개</v>
          </cell>
          <cell r="E1036">
            <v>75500</v>
          </cell>
          <cell r="F1036">
            <v>0</v>
          </cell>
          <cell r="H1036">
            <v>1059</v>
          </cell>
          <cell r="I1036">
            <v>75500</v>
          </cell>
          <cell r="J1036">
            <v>1059</v>
          </cell>
          <cell r="L1036">
            <v>1059</v>
          </cell>
        </row>
        <row r="1037">
          <cell r="A1037">
            <v>7113</v>
          </cell>
          <cell r="B1037" t="str">
            <v>가스누설 차단기</v>
          </cell>
          <cell r="C1037" t="str">
            <v>25A 6회로</v>
          </cell>
          <cell r="D1037" t="str">
            <v>개</v>
          </cell>
          <cell r="E1037">
            <v>100700</v>
          </cell>
          <cell r="F1037">
            <v>0</v>
          </cell>
          <cell r="H1037">
            <v>1059</v>
          </cell>
          <cell r="I1037">
            <v>100700</v>
          </cell>
          <cell r="J1037">
            <v>1059</v>
          </cell>
          <cell r="L1037">
            <v>1059</v>
          </cell>
        </row>
        <row r="1038">
          <cell r="A1038">
            <v>7114</v>
          </cell>
          <cell r="B1038" t="str">
            <v>가스누설 차단기</v>
          </cell>
          <cell r="C1038" t="str">
            <v>32A 3회로</v>
          </cell>
          <cell r="D1038" t="str">
            <v>개</v>
          </cell>
          <cell r="E1038">
            <v>287500</v>
          </cell>
          <cell r="F1038">
            <v>0</v>
          </cell>
          <cell r="H1038">
            <v>1059</v>
          </cell>
          <cell r="I1038">
            <v>287500</v>
          </cell>
          <cell r="J1038">
            <v>1059</v>
          </cell>
          <cell r="L1038">
            <v>1059</v>
          </cell>
        </row>
        <row r="1039">
          <cell r="A1039">
            <v>7115</v>
          </cell>
          <cell r="B1039" t="str">
            <v>가스누설 차단기</v>
          </cell>
          <cell r="C1039" t="str">
            <v>50A 6회로</v>
          </cell>
          <cell r="D1039" t="str">
            <v>개</v>
          </cell>
          <cell r="E1039">
            <v>468100</v>
          </cell>
          <cell r="F1039">
            <v>0</v>
          </cell>
          <cell r="H1039">
            <v>1059</v>
          </cell>
          <cell r="I1039">
            <v>468100</v>
          </cell>
          <cell r="J1039">
            <v>1059</v>
          </cell>
          <cell r="L1039">
            <v>1059</v>
          </cell>
        </row>
        <row r="1040">
          <cell r="A1040">
            <v>7121</v>
          </cell>
          <cell r="B1040" t="str">
            <v>가스누설 감지기</v>
          </cell>
          <cell r="C1040" t="str">
            <v>#800</v>
          </cell>
          <cell r="D1040" t="str">
            <v>조</v>
          </cell>
          <cell r="E1040">
            <v>270000</v>
          </cell>
          <cell r="F1040">
            <v>0</v>
          </cell>
          <cell r="H1040">
            <v>1059</v>
          </cell>
          <cell r="I1040">
            <v>270000</v>
          </cell>
          <cell r="J1040">
            <v>1059</v>
          </cell>
          <cell r="L1040">
            <v>1059</v>
          </cell>
        </row>
        <row r="1041">
          <cell r="A1041">
            <v>7122</v>
          </cell>
          <cell r="B1041" t="str">
            <v>가스누설 경보기</v>
          </cell>
          <cell r="C1041" t="str">
            <v>일체형</v>
          </cell>
          <cell r="D1041" t="str">
            <v>개</v>
          </cell>
          <cell r="E1041">
            <v>23900</v>
          </cell>
          <cell r="F1041">
            <v>0</v>
          </cell>
          <cell r="H1041">
            <v>0</v>
          </cell>
          <cell r="I1041">
            <v>23900</v>
          </cell>
          <cell r="J1041">
            <v>0</v>
          </cell>
          <cell r="L1041">
            <v>0</v>
          </cell>
        </row>
        <row r="1042">
          <cell r="A1042">
            <v>7131</v>
          </cell>
          <cell r="B1042" t="str">
            <v>압력계</v>
          </cell>
          <cell r="D1042" t="str">
            <v>개</v>
          </cell>
          <cell r="E1042">
            <v>4400</v>
          </cell>
          <cell r="F1042">
            <v>0</v>
          </cell>
          <cell r="H1042">
            <v>552</v>
          </cell>
          <cell r="I1042">
            <v>4400</v>
          </cell>
          <cell r="J1042">
            <v>552</v>
          </cell>
          <cell r="L1042">
            <v>552</v>
          </cell>
        </row>
        <row r="1043">
          <cell r="A1043">
            <v>7141</v>
          </cell>
          <cell r="B1043" t="str">
            <v>압력조정기</v>
          </cell>
          <cell r="C1043" t="str">
            <v>저압용</v>
          </cell>
          <cell r="D1043" t="str">
            <v>개</v>
          </cell>
          <cell r="E1043">
            <v>95000</v>
          </cell>
          <cell r="F1043">
            <v>0</v>
          </cell>
          <cell r="H1043">
            <v>0</v>
          </cell>
          <cell r="I1043">
            <v>95000</v>
          </cell>
          <cell r="J1043">
            <v>0</v>
          </cell>
          <cell r="L1043">
            <v>0</v>
          </cell>
        </row>
        <row r="1044">
          <cell r="A1044">
            <v>7142</v>
          </cell>
          <cell r="B1044" t="str">
            <v>연결가스관</v>
          </cell>
          <cell r="C1044" t="str">
            <v>15Ø</v>
          </cell>
          <cell r="D1044" t="str">
            <v>M</v>
          </cell>
          <cell r="E1044">
            <v>3959</v>
          </cell>
          <cell r="F1044">
            <v>0</v>
          </cell>
          <cell r="H1044">
            <v>0</v>
          </cell>
          <cell r="I1044">
            <v>3959</v>
          </cell>
          <cell r="J1044">
            <v>0</v>
          </cell>
          <cell r="L1044">
            <v>0</v>
          </cell>
        </row>
        <row r="1045">
          <cell r="A1045">
            <v>7151</v>
          </cell>
          <cell r="B1045" t="str">
            <v>가스용볼밸브(나사식)</v>
          </cell>
          <cell r="C1045" t="str">
            <v>15Ø</v>
          </cell>
          <cell r="D1045" t="str">
            <v>개</v>
          </cell>
          <cell r="E1045">
            <v>30900</v>
          </cell>
          <cell r="F1045">
            <v>0</v>
          </cell>
          <cell r="H1045">
            <v>543</v>
          </cell>
          <cell r="I1045">
            <v>30900</v>
          </cell>
          <cell r="J1045">
            <v>543</v>
          </cell>
          <cell r="L1045">
            <v>543</v>
          </cell>
        </row>
        <row r="1046">
          <cell r="A1046">
            <v>7152</v>
          </cell>
          <cell r="B1046" t="str">
            <v>가스용볼밸브(나사식)</v>
          </cell>
          <cell r="C1046" t="str">
            <v>20Ø</v>
          </cell>
          <cell r="D1046" t="str">
            <v>개</v>
          </cell>
          <cell r="E1046">
            <v>33900</v>
          </cell>
          <cell r="F1046">
            <v>0</v>
          </cell>
          <cell r="H1046">
            <v>543</v>
          </cell>
          <cell r="I1046">
            <v>33900</v>
          </cell>
          <cell r="J1046">
            <v>543</v>
          </cell>
          <cell r="L1046">
            <v>543</v>
          </cell>
        </row>
        <row r="1047">
          <cell r="A1047">
            <v>7153</v>
          </cell>
          <cell r="B1047" t="str">
            <v>글로우브밸브(10kg)</v>
          </cell>
          <cell r="C1047" t="str">
            <v>25Ø</v>
          </cell>
          <cell r="D1047" t="str">
            <v>개</v>
          </cell>
          <cell r="E1047">
            <v>47800</v>
          </cell>
          <cell r="F1047">
            <v>0</v>
          </cell>
          <cell r="H1047">
            <v>543</v>
          </cell>
          <cell r="I1047">
            <v>47800</v>
          </cell>
          <cell r="J1047">
            <v>543</v>
          </cell>
          <cell r="L1047">
            <v>543</v>
          </cell>
        </row>
        <row r="1048">
          <cell r="A1048">
            <v>7154</v>
          </cell>
          <cell r="B1048" t="str">
            <v>글로우브밸브(10kg)</v>
          </cell>
          <cell r="C1048" t="str">
            <v>15Ø</v>
          </cell>
          <cell r="D1048" t="str">
            <v>개</v>
          </cell>
          <cell r="E1048">
            <v>33400</v>
          </cell>
          <cell r="F1048">
            <v>0</v>
          </cell>
          <cell r="H1048">
            <v>543</v>
          </cell>
          <cell r="I1048">
            <v>33400</v>
          </cell>
          <cell r="J1048">
            <v>543</v>
          </cell>
          <cell r="L1048">
            <v>543</v>
          </cell>
        </row>
        <row r="1049">
          <cell r="A1049">
            <v>7161</v>
          </cell>
          <cell r="B1049" t="str">
            <v>가스메타기</v>
          </cell>
          <cell r="C1049" t="str">
            <v>2등</v>
          </cell>
          <cell r="D1049" t="str">
            <v>대</v>
          </cell>
          <cell r="E1049">
            <v>25000</v>
          </cell>
          <cell r="F1049">
            <v>0</v>
          </cell>
          <cell r="H1049">
            <v>557</v>
          </cell>
          <cell r="I1049">
            <v>25000</v>
          </cell>
          <cell r="J1049">
            <v>557</v>
          </cell>
          <cell r="L1049">
            <v>557</v>
          </cell>
        </row>
        <row r="1050">
          <cell r="A1050">
            <v>7162</v>
          </cell>
          <cell r="B1050" t="str">
            <v>가스메타기</v>
          </cell>
          <cell r="C1050" t="str">
            <v>3등</v>
          </cell>
          <cell r="D1050" t="str">
            <v>대</v>
          </cell>
          <cell r="E1050">
            <v>26000</v>
          </cell>
          <cell r="F1050">
            <v>0</v>
          </cell>
          <cell r="H1050">
            <v>557</v>
          </cell>
          <cell r="I1050">
            <v>26000</v>
          </cell>
          <cell r="J1050">
            <v>557</v>
          </cell>
          <cell r="L1050">
            <v>557</v>
          </cell>
        </row>
        <row r="1051">
          <cell r="A1051">
            <v>7163</v>
          </cell>
          <cell r="B1051" t="str">
            <v>가스메타기</v>
          </cell>
          <cell r="C1051" t="str">
            <v>5등</v>
          </cell>
          <cell r="D1051" t="str">
            <v>대</v>
          </cell>
          <cell r="E1051">
            <v>60000</v>
          </cell>
          <cell r="F1051">
            <v>0</v>
          </cell>
          <cell r="H1051">
            <v>557</v>
          </cell>
          <cell r="I1051">
            <v>60000</v>
          </cell>
          <cell r="J1051">
            <v>557</v>
          </cell>
          <cell r="L1051">
            <v>557</v>
          </cell>
        </row>
        <row r="1052">
          <cell r="A1052">
            <v>7164</v>
          </cell>
          <cell r="B1052" t="str">
            <v>가스메타기</v>
          </cell>
          <cell r="C1052" t="str">
            <v>6등</v>
          </cell>
          <cell r="D1052" t="str">
            <v>대</v>
          </cell>
          <cell r="E1052">
            <v>70000</v>
          </cell>
          <cell r="F1052">
            <v>0</v>
          </cell>
          <cell r="H1052">
            <v>557</v>
          </cell>
          <cell r="I1052">
            <v>70000</v>
          </cell>
          <cell r="J1052">
            <v>557</v>
          </cell>
          <cell r="L1052">
            <v>557</v>
          </cell>
        </row>
        <row r="1053">
          <cell r="A1053">
            <v>7165</v>
          </cell>
          <cell r="B1053" t="str">
            <v>가스메타기</v>
          </cell>
          <cell r="C1053" t="str">
            <v>7등</v>
          </cell>
          <cell r="D1053" t="str">
            <v>대</v>
          </cell>
          <cell r="E1053">
            <v>70000</v>
          </cell>
          <cell r="F1053">
            <v>0</v>
          </cell>
          <cell r="H1053">
            <v>557</v>
          </cell>
          <cell r="I1053">
            <v>70000</v>
          </cell>
          <cell r="J1053">
            <v>557</v>
          </cell>
          <cell r="L1053">
            <v>557</v>
          </cell>
        </row>
        <row r="1054">
          <cell r="A1054">
            <v>7171</v>
          </cell>
          <cell r="B1054" t="str">
            <v>후렉시블덕트(난연용)</v>
          </cell>
          <cell r="C1054" t="str">
            <v>100Ø</v>
          </cell>
          <cell r="D1054" t="str">
            <v>M</v>
          </cell>
          <cell r="E1054">
            <v>7400</v>
          </cell>
          <cell r="F1054">
            <v>0</v>
          </cell>
          <cell r="H1054">
            <v>557</v>
          </cell>
          <cell r="I1054">
            <v>7400</v>
          </cell>
          <cell r="J1054">
            <v>557</v>
          </cell>
          <cell r="L1054">
            <v>557</v>
          </cell>
        </row>
        <row r="1055">
          <cell r="E1055">
            <v>0</v>
          </cell>
        </row>
        <row r="1056">
          <cell r="A1056">
            <v>7181</v>
          </cell>
          <cell r="B1056" t="str">
            <v>구형 후드캡</v>
          </cell>
          <cell r="C1056" t="str">
            <v>100Ø</v>
          </cell>
          <cell r="D1056" t="str">
            <v>M</v>
          </cell>
          <cell r="E1056">
            <v>10000</v>
          </cell>
          <cell r="F1056">
            <v>0</v>
          </cell>
          <cell r="H1056">
            <v>0</v>
          </cell>
          <cell r="I1056">
            <v>10000</v>
          </cell>
          <cell r="J1056">
            <v>0</v>
          </cell>
          <cell r="L1056">
            <v>0</v>
          </cell>
        </row>
        <row r="1057">
          <cell r="E1057">
            <v>0</v>
          </cell>
        </row>
        <row r="1058">
          <cell r="E1058">
            <v>0</v>
          </cell>
        </row>
        <row r="1059">
          <cell r="E1059">
            <v>0</v>
          </cell>
        </row>
        <row r="1060">
          <cell r="E1060">
            <v>0</v>
          </cell>
        </row>
        <row r="1061">
          <cell r="E1061">
            <v>0</v>
          </cell>
        </row>
        <row r="1062">
          <cell r="E1062">
            <v>0</v>
          </cell>
        </row>
        <row r="1063">
          <cell r="E1063">
            <v>0</v>
          </cell>
        </row>
        <row r="1064">
          <cell r="E1064">
            <v>0</v>
          </cell>
        </row>
        <row r="1065">
          <cell r="E1065">
            <v>0</v>
          </cell>
        </row>
        <row r="1066">
          <cell r="E1066">
            <v>0</v>
          </cell>
        </row>
        <row r="1067">
          <cell r="E1067">
            <v>0</v>
          </cell>
        </row>
        <row r="1068">
          <cell r="E1068">
            <v>0</v>
          </cell>
        </row>
        <row r="1069">
          <cell r="E1069">
            <v>0</v>
          </cell>
        </row>
        <row r="1081">
          <cell r="A1081">
            <v>8101</v>
          </cell>
          <cell r="B1081" t="str">
            <v>스파이럴연도(SUS)</v>
          </cell>
          <cell r="C1081" t="str">
            <v>300Ø</v>
          </cell>
          <cell r="D1081" t="str">
            <v>M</v>
          </cell>
          <cell r="E1081">
            <v>66000</v>
          </cell>
          <cell r="F1081">
            <v>0</v>
          </cell>
          <cell r="H1081">
            <v>658</v>
          </cell>
          <cell r="I1081">
            <v>66000</v>
          </cell>
          <cell r="J1081">
            <v>658</v>
          </cell>
          <cell r="L1081">
            <v>658</v>
          </cell>
        </row>
        <row r="1082">
          <cell r="A1082">
            <v>8102</v>
          </cell>
          <cell r="B1082" t="str">
            <v>스파이럴연도(SUS)</v>
          </cell>
          <cell r="C1082" t="str">
            <v>250Ø</v>
          </cell>
          <cell r="D1082" t="str">
            <v>M</v>
          </cell>
          <cell r="E1082">
            <v>50000</v>
          </cell>
          <cell r="F1082">
            <v>0</v>
          </cell>
          <cell r="H1082">
            <v>658</v>
          </cell>
          <cell r="I1082">
            <v>50000</v>
          </cell>
          <cell r="J1082">
            <v>658</v>
          </cell>
          <cell r="L1082">
            <v>658</v>
          </cell>
        </row>
        <row r="1083">
          <cell r="A1083">
            <v>8103</v>
          </cell>
          <cell r="B1083" t="str">
            <v>스파이럴연도(SUS)</v>
          </cell>
          <cell r="C1083" t="str">
            <v>225Ø</v>
          </cell>
          <cell r="D1083" t="str">
            <v>M</v>
          </cell>
          <cell r="E1083">
            <v>45000</v>
          </cell>
          <cell r="F1083">
            <v>0</v>
          </cell>
          <cell r="H1083">
            <v>658</v>
          </cell>
          <cell r="I1083">
            <v>45000</v>
          </cell>
          <cell r="J1083">
            <v>658</v>
          </cell>
          <cell r="L1083">
            <v>658</v>
          </cell>
        </row>
        <row r="1084">
          <cell r="A1084">
            <v>8104</v>
          </cell>
          <cell r="B1084" t="str">
            <v>스파이럴연도(SUS)</v>
          </cell>
          <cell r="C1084" t="str">
            <v>200Ø</v>
          </cell>
          <cell r="D1084" t="str">
            <v>M</v>
          </cell>
          <cell r="E1084">
            <v>40000</v>
          </cell>
          <cell r="F1084">
            <v>0</v>
          </cell>
          <cell r="H1084">
            <v>658</v>
          </cell>
          <cell r="I1084">
            <v>40000</v>
          </cell>
          <cell r="J1084">
            <v>658</v>
          </cell>
          <cell r="L1084">
            <v>658</v>
          </cell>
        </row>
        <row r="1085">
          <cell r="A1085">
            <v>8105</v>
          </cell>
          <cell r="B1085" t="str">
            <v>스파이럴연도(SUS)</v>
          </cell>
          <cell r="C1085" t="str">
            <v>175Ø</v>
          </cell>
          <cell r="D1085" t="str">
            <v>M</v>
          </cell>
          <cell r="E1085">
            <v>35000</v>
          </cell>
          <cell r="F1085">
            <v>0</v>
          </cell>
          <cell r="H1085">
            <v>658</v>
          </cell>
          <cell r="I1085">
            <v>35000</v>
          </cell>
          <cell r="J1085">
            <v>658</v>
          </cell>
          <cell r="L1085">
            <v>658</v>
          </cell>
        </row>
        <row r="1086">
          <cell r="A1086">
            <v>8106</v>
          </cell>
          <cell r="B1086" t="str">
            <v>스파이럴연도(SUS)</v>
          </cell>
          <cell r="C1086" t="str">
            <v>150Ø</v>
          </cell>
          <cell r="D1086" t="str">
            <v>M</v>
          </cell>
          <cell r="E1086">
            <v>30000</v>
          </cell>
          <cell r="F1086">
            <v>0</v>
          </cell>
          <cell r="H1086">
            <v>658</v>
          </cell>
          <cell r="I1086">
            <v>30000</v>
          </cell>
          <cell r="J1086">
            <v>658</v>
          </cell>
          <cell r="L1086">
            <v>658</v>
          </cell>
        </row>
        <row r="1087">
          <cell r="A1087">
            <v>8107</v>
          </cell>
          <cell r="B1087" t="str">
            <v>스파이럴연도(SUS)</v>
          </cell>
          <cell r="C1087" t="str">
            <v>125Ø</v>
          </cell>
          <cell r="D1087" t="str">
            <v>M</v>
          </cell>
          <cell r="E1087">
            <v>25000</v>
          </cell>
          <cell r="F1087">
            <v>0</v>
          </cell>
          <cell r="H1087">
            <v>658</v>
          </cell>
          <cell r="I1087">
            <v>25000</v>
          </cell>
          <cell r="J1087">
            <v>658</v>
          </cell>
          <cell r="L1087">
            <v>658</v>
          </cell>
        </row>
        <row r="1088">
          <cell r="A1088">
            <v>8108</v>
          </cell>
          <cell r="B1088" t="str">
            <v>스파이럴연도(SUS)</v>
          </cell>
          <cell r="C1088" t="str">
            <v>100Ø</v>
          </cell>
          <cell r="D1088" t="str">
            <v>M</v>
          </cell>
          <cell r="E1088">
            <v>20000</v>
          </cell>
          <cell r="F1088">
            <v>0</v>
          </cell>
          <cell r="H1088">
            <v>658</v>
          </cell>
          <cell r="I1088">
            <v>20000</v>
          </cell>
          <cell r="J1088">
            <v>658</v>
          </cell>
          <cell r="L1088">
            <v>658</v>
          </cell>
        </row>
        <row r="1089">
          <cell r="A1089">
            <v>8109</v>
          </cell>
          <cell r="B1089" t="str">
            <v>스파이럴연도(SUS)</v>
          </cell>
          <cell r="C1089" t="str">
            <v>75Ø</v>
          </cell>
          <cell r="D1089" t="str">
            <v>M</v>
          </cell>
          <cell r="E1089">
            <v>15000</v>
          </cell>
          <cell r="F1089">
            <v>0</v>
          </cell>
          <cell r="H1089">
            <v>658</v>
          </cell>
          <cell r="I1089">
            <v>15000</v>
          </cell>
          <cell r="J1089">
            <v>658</v>
          </cell>
          <cell r="L1089">
            <v>658</v>
          </cell>
        </row>
        <row r="1090">
          <cell r="A1090">
            <v>8111</v>
          </cell>
          <cell r="B1090" t="str">
            <v>977mm 직관(SUS/AL)</v>
          </cell>
          <cell r="C1090" t="str">
            <v>1,000Ø</v>
          </cell>
          <cell r="D1090" t="str">
            <v>개</v>
          </cell>
          <cell r="E1090">
            <v>420000</v>
          </cell>
          <cell r="F1090">
            <v>0</v>
          </cell>
          <cell r="H1090">
            <v>657</v>
          </cell>
          <cell r="I1090">
            <v>420000</v>
          </cell>
          <cell r="J1090">
            <v>657</v>
          </cell>
          <cell r="L1090">
            <v>657</v>
          </cell>
        </row>
        <row r="1091">
          <cell r="A1091">
            <v>8112</v>
          </cell>
          <cell r="B1091" t="str">
            <v>977mm 직관(SUS/AL)</v>
          </cell>
          <cell r="C1091" t="str">
            <v>900Ø</v>
          </cell>
          <cell r="D1091" t="str">
            <v>개</v>
          </cell>
          <cell r="E1091">
            <v>337000</v>
          </cell>
          <cell r="F1091">
            <v>0</v>
          </cell>
          <cell r="H1091">
            <v>657</v>
          </cell>
          <cell r="I1091">
            <v>337000</v>
          </cell>
          <cell r="J1091">
            <v>657</v>
          </cell>
          <cell r="L1091">
            <v>657</v>
          </cell>
        </row>
        <row r="1092">
          <cell r="A1092">
            <v>8113</v>
          </cell>
          <cell r="B1092" t="str">
            <v>977mm 직관(SUS/AL)</v>
          </cell>
          <cell r="C1092" t="str">
            <v>800Ø</v>
          </cell>
          <cell r="D1092" t="str">
            <v>개</v>
          </cell>
          <cell r="E1092">
            <v>296000</v>
          </cell>
          <cell r="F1092">
            <v>0</v>
          </cell>
          <cell r="H1092">
            <v>657</v>
          </cell>
          <cell r="I1092">
            <v>296000</v>
          </cell>
          <cell r="J1092">
            <v>657</v>
          </cell>
          <cell r="L1092">
            <v>657</v>
          </cell>
        </row>
        <row r="1093">
          <cell r="A1093">
            <v>8114</v>
          </cell>
          <cell r="B1093" t="str">
            <v>977mm 직관(SUS/AL)</v>
          </cell>
          <cell r="C1093" t="str">
            <v>700Ø</v>
          </cell>
          <cell r="D1093" t="str">
            <v>개</v>
          </cell>
          <cell r="E1093">
            <v>263000</v>
          </cell>
          <cell r="F1093">
            <v>0</v>
          </cell>
          <cell r="H1093">
            <v>657</v>
          </cell>
          <cell r="I1093">
            <v>263000</v>
          </cell>
          <cell r="J1093">
            <v>657</v>
          </cell>
          <cell r="L1093">
            <v>657</v>
          </cell>
        </row>
        <row r="1094">
          <cell r="A1094">
            <v>8115</v>
          </cell>
          <cell r="B1094" t="str">
            <v>977mm 직관(SUS/AL)</v>
          </cell>
          <cell r="C1094" t="str">
            <v>600Ø</v>
          </cell>
          <cell r="D1094" t="str">
            <v>개</v>
          </cell>
          <cell r="E1094">
            <v>229000</v>
          </cell>
          <cell r="F1094">
            <v>0</v>
          </cell>
          <cell r="H1094">
            <v>657</v>
          </cell>
          <cell r="I1094">
            <v>229000</v>
          </cell>
          <cell r="J1094">
            <v>657</v>
          </cell>
          <cell r="L1094">
            <v>657</v>
          </cell>
        </row>
        <row r="1095">
          <cell r="A1095">
            <v>8116</v>
          </cell>
          <cell r="B1095" t="str">
            <v>977mm 직관(SUS/AL)</v>
          </cell>
          <cell r="C1095" t="str">
            <v>500Ø</v>
          </cell>
          <cell r="D1095" t="str">
            <v>개</v>
          </cell>
          <cell r="E1095">
            <v>191000</v>
          </cell>
          <cell r="F1095">
            <v>0</v>
          </cell>
          <cell r="H1095">
            <v>657</v>
          </cell>
          <cell r="I1095">
            <v>191000</v>
          </cell>
          <cell r="J1095">
            <v>657</v>
          </cell>
          <cell r="L1095">
            <v>657</v>
          </cell>
        </row>
        <row r="1096">
          <cell r="A1096">
            <v>8117</v>
          </cell>
          <cell r="B1096" t="str">
            <v>977mm 직관(SUS/AL)</v>
          </cell>
          <cell r="C1096" t="str">
            <v>400Ø</v>
          </cell>
          <cell r="D1096" t="str">
            <v>개</v>
          </cell>
          <cell r="E1096">
            <v>148000</v>
          </cell>
          <cell r="F1096">
            <v>0</v>
          </cell>
          <cell r="H1096">
            <v>657</v>
          </cell>
          <cell r="I1096">
            <v>148000</v>
          </cell>
          <cell r="J1096">
            <v>657</v>
          </cell>
          <cell r="L1096">
            <v>657</v>
          </cell>
        </row>
        <row r="1097">
          <cell r="A1097">
            <v>8118</v>
          </cell>
          <cell r="B1097" t="str">
            <v>977mm 직관(SUS/AL)</v>
          </cell>
          <cell r="C1097" t="str">
            <v>300Ø</v>
          </cell>
          <cell r="D1097" t="str">
            <v>개</v>
          </cell>
          <cell r="E1097">
            <v>110000</v>
          </cell>
          <cell r="F1097">
            <v>0</v>
          </cell>
          <cell r="H1097">
            <v>657</v>
          </cell>
          <cell r="I1097">
            <v>110000</v>
          </cell>
          <cell r="J1097">
            <v>657</v>
          </cell>
          <cell r="L1097">
            <v>657</v>
          </cell>
        </row>
        <row r="1098">
          <cell r="A1098">
            <v>8119</v>
          </cell>
          <cell r="B1098" t="str">
            <v>977mm 직관(SUS/AL)</v>
          </cell>
          <cell r="C1098" t="str">
            <v>200Ø</v>
          </cell>
          <cell r="D1098" t="str">
            <v>개</v>
          </cell>
          <cell r="E1098">
            <v>71800</v>
          </cell>
          <cell r="F1098">
            <v>0</v>
          </cell>
          <cell r="H1098">
            <v>657</v>
          </cell>
          <cell r="I1098">
            <v>71800</v>
          </cell>
          <cell r="J1098">
            <v>657</v>
          </cell>
          <cell r="L1098">
            <v>657</v>
          </cell>
        </row>
        <row r="1099">
          <cell r="A1099">
            <v>8121</v>
          </cell>
          <cell r="B1099" t="str">
            <v>477mm 직관(SUS/AL)</v>
          </cell>
          <cell r="C1099" t="str">
            <v>1,000Ø</v>
          </cell>
          <cell r="D1099" t="str">
            <v>개</v>
          </cell>
          <cell r="E1099">
            <v>322000</v>
          </cell>
          <cell r="F1099">
            <v>0</v>
          </cell>
          <cell r="H1099">
            <v>657</v>
          </cell>
          <cell r="I1099">
            <v>322000</v>
          </cell>
          <cell r="J1099">
            <v>657</v>
          </cell>
          <cell r="L1099">
            <v>657</v>
          </cell>
        </row>
        <row r="1100">
          <cell r="A1100">
            <v>8122</v>
          </cell>
          <cell r="B1100" t="str">
            <v>477mm 직관(SUS/AL)</v>
          </cell>
          <cell r="C1100" t="str">
            <v>900Ø</v>
          </cell>
          <cell r="D1100" t="str">
            <v>개</v>
          </cell>
          <cell r="E1100">
            <v>256000</v>
          </cell>
          <cell r="F1100">
            <v>0</v>
          </cell>
          <cell r="H1100">
            <v>657</v>
          </cell>
          <cell r="I1100">
            <v>256000</v>
          </cell>
          <cell r="J1100">
            <v>657</v>
          </cell>
          <cell r="L1100">
            <v>657</v>
          </cell>
        </row>
        <row r="1101">
          <cell r="A1101">
            <v>8123</v>
          </cell>
          <cell r="B1101" t="str">
            <v>477mm 직관(SUS/AL)</v>
          </cell>
          <cell r="C1101" t="str">
            <v>800Ø</v>
          </cell>
          <cell r="D1101" t="str">
            <v>개</v>
          </cell>
          <cell r="E1101">
            <v>229000</v>
          </cell>
          <cell r="F1101">
            <v>0</v>
          </cell>
          <cell r="H1101">
            <v>657</v>
          </cell>
          <cell r="I1101">
            <v>229000</v>
          </cell>
          <cell r="J1101">
            <v>657</v>
          </cell>
          <cell r="L1101">
            <v>657</v>
          </cell>
        </row>
        <row r="1102">
          <cell r="A1102">
            <v>8124</v>
          </cell>
          <cell r="B1102" t="str">
            <v>477mm 직관(SUS/AL)</v>
          </cell>
          <cell r="C1102" t="str">
            <v>700Ø</v>
          </cell>
          <cell r="D1102" t="str">
            <v>개</v>
          </cell>
          <cell r="E1102">
            <v>199000</v>
          </cell>
          <cell r="F1102">
            <v>0</v>
          </cell>
          <cell r="H1102">
            <v>657</v>
          </cell>
          <cell r="I1102">
            <v>199000</v>
          </cell>
          <cell r="J1102">
            <v>657</v>
          </cell>
          <cell r="L1102">
            <v>657</v>
          </cell>
        </row>
        <row r="1103">
          <cell r="A1103">
            <v>8125</v>
          </cell>
          <cell r="B1103" t="str">
            <v>477mm 직관(SUS/AL)</v>
          </cell>
          <cell r="C1103" t="str">
            <v>600Ø</v>
          </cell>
          <cell r="D1103" t="str">
            <v>개</v>
          </cell>
          <cell r="E1103">
            <v>171000</v>
          </cell>
          <cell r="F1103">
            <v>0</v>
          </cell>
          <cell r="H1103">
            <v>657</v>
          </cell>
          <cell r="I1103">
            <v>171000</v>
          </cell>
          <cell r="J1103">
            <v>657</v>
          </cell>
          <cell r="L1103">
            <v>657</v>
          </cell>
        </row>
        <row r="1104">
          <cell r="A1104">
            <v>8126</v>
          </cell>
          <cell r="B1104" t="str">
            <v>477mm 직관(SUS/AL)</v>
          </cell>
          <cell r="C1104" t="str">
            <v>500Ø</v>
          </cell>
          <cell r="D1104" t="str">
            <v>개</v>
          </cell>
          <cell r="E1104">
            <v>143000</v>
          </cell>
          <cell r="F1104">
            <v>0</v>
          </cell>
          <cell r="H1104">
            <v>657</v>
          </cell>
          <cell r="I1104">
            <v>143000</v>
          </cell>
          <cell r="J1104">
            <v>657</v>
          </cell>
          <cell r="L1104">
            <v>657</v>
          </cell>
        </row>
        <row r="1105">
          <cell r="A1105">
            <v>8127</v>
          </cell>
          <cell r="B1105" t="str">
            <v>477mm 직관(SUS/AL)</v>
          </cell>
          <cell r="C1105" t="str">
            <v>400Ø</v>
          </cell>
          <cell r="D1105" t="str">
            <v>개</v>
          </cell>
          <cell r="E1105">
            <v>114000</v>
          </cell>
          <cell r="F1105">
            <v>0</v>
          </cell>
          <cell r="H1105">
            <v>657</v>
          </cell>
          <cell r="I1105">
            <v>114000</v>
          </cell>
          <cell r="J1105">
            <v>657</v>
          </cell>
          <cell r="L1105">
            <v>657</v>
          </cell>
        </row>
        <row r="1106">
          <cell r="A1106">
            <v>8128</v>
          </cell>
          <cell r="B1106" t="str">
            <v>477mm 직관(SUS/AL)</v>
          </cell>
          <cell r="C1106" t="str">
            <v>300Ø</v>
          </cell>
          <cell r="D1106" t="str">
            <v>개</v>
          </cell>
          <cell r="E1106">
            <v>85300</v>
          </cell>
          <cell r="F1106">
            <v>0</v>
          </cell>
          <cell r="H1106">
            <v>657</v>
          </cell>
          <cell r="I1106">
            <v>85300</v>
          </cell>
          <cell r="J1106">
            <v>657</v>
          </cell>
          <cell r="L1106">
            <v>657</v>
          </cell>
        </row>
        <row r="1107">
          <cell r="A1107">
            <v>8129</v>
          </cell>
          <cell r="B1107" t="str">
            <v>477mm 직관(SUS/AL)</v>
          </cell>
          <cell r="C1107" t="str">
            <v>200Ø</v>
          </cell>
          <cell r="D1107" t="str">
            <v>개</v>
          </cell>
          <cell r="E1107">
            <v>57400</v>
          </cell>
          <cell r="F1107">
            <v>0</v>
          </cell>
          <cell r="H1107">
            <v>657</v>
          </cell>
          <cell r="I1107">
            <v>57400</v>
          </cell>
          <cell r="J1107">
            <v>657</v>
          </cell>
          <cell r="L1107">
            <v>657</v>
          </cell>
        </row>
        <row r="1108">
          <cell r="A1108">
            <v>8131</v>
          </cell>
          <cell r="B1108" t="str">
            <v>Damper Valve</v>
          </cell>
          <cell r="C1108" t="str">
            <v>1,000Ø</v>
          </cell>
          <cell r="D1108" t="str">
            <v>개</v>
          </cell>
          <cell r="E1108">
            <v>525000</v>
          </cell>
          <cell r="F1108">
            <v>0</v>
          </cell>
          <cell r="H1108">
            <v>657</v>
          </cell>
          <cell r="I1108">
            <v>525000</v>
          </cell>
          <cell r="J1108">
            <v>657</v>
          </cell>
          <cell r="L1108">
            <v>657</v>
          </cell>
        </row>
        <row r="1109">
          <cell r="A1109">
            <v>8132</v>
          </cell>
          <cell r="B1109" t="str">
            <v>Damper Valve</v>
          </cell>
          <cell r="C1109" t="str">
            <v>900Ø</v>
          </cell>
          <cell r="D1109" t="str">
            <v>개</v>
          </cell>
          <cell r="E1109">
            <v>421000</v>
          </cell>
          <cell r="F1109">
            <v>0</v>
          </cell>
          <cell r="H1109">
            <v>657</v>
          </cell>
          <cell r="I1109">
            <v>421000</v>
          </cell>
          <cell r="J1109">
            <v>657</v>
          </cell>
          <cell r="L1109">
            <v>657</v>
          </cell>
        </row>
        <row r="1110">
          <cell r="A1110">
            <v>8133</v>
          </cell>
          <cell r="B1110" t="str">
            <v>Damper Valve</v>
          </cell>
          <cell r="C1110" t="str">
            <v>800Ø</v>
          </cell>
          <cell r="D1110" t="str">
            <v>개</v>
          </cell>
          <cell r="E1110">
            <v>370000</v>
          </cell>
          <cell r="F1110">
            <v>0</v>
          </cell>
          <cell r="H1110">
            <v>657</v>
          </cell>
          <cell r="I1110">
            <v>370000</v>
          </cell>
          <cell r="J1110">
            <v>657</v>
          </cell>
          <cell r="L1110">
            <v>657</v>
          </cell>
        </row>
        <row r="1111">
          <cell r="A1111">
            <v>8134</v>
          </cell>
          <cell r="B1111" t="str">
            <v>Damper Valve</v>
          </cell>
          <cell r="C1111" t="str">
            <v>700Ø</v>
          </cell>
          <cell r="D1111" t="str">
            <v>개</v>
          </cell>
          <cell r="E1111">
            <v>328000</v>
          </cell>
          <cell r="F1111">
            <v>0</v>
          </cell>
          <cell r="H1111">
            <v>657</v>
          </cell>
          <cell r="I1111">
            <v>328000</v>
          </cell>
          <cell r="J1111">
            <v>657</v>
          </cell>
          <cell r="L1111">
            <v>657</v>
          </cell>
        </row>
        <row r="1112">
          <cell r="A1112">
            <v>8135</v>
          </cell>
          <cell r="B1112" t="str">
            <v>Damper Valve</v>
          </cell>
          <cell r="C1112" t="str">
            <v>600Ø</v>
          </cell>
          <cell r="D1112" t="str">
            <v>개</v>
          </cell>
          <cell r="E1112">
            <v>285000</v>
          </cell>
          <cell r="F1112">
            <v>0</v>
          </cell>
          <cell r="H1112">
            <v>657</v>
          </cell>
          <cell r="I1112">
            <v>285000</v>
          </cell>
          <cell r="J1112">
            <v>657</v>
          </cell>
          <cell r="L1112">
            <v>657</v>
          </cell>
        </row>
        <row r="1113">
          <cell r="A1113">
            <v>8136</v>
          </cell>
          <cell r="B1113" t="str">
            <v>Damper Valve</v>
          </cell>
          <cell r="C1113" t="str">
            <v>500Ø</v>
          </cell>
          <cell r="D1113" t="str">
            <v>개</v>
          </cell>
          <cell r="E1113">
            <v>244000</v>
          </cell>
          <cell r="F1113">
            <v>0</v>
          </cell>
          <cell r="H1113">
            <v>657</v>
          </cell>
          <cell r="I1113">
            <v>244000</v>
          </cell>
          <cell r="J1113">
            <v>657</v>
          </cell>
          <cell r="L1113">
            <v>657</v>
          </cell>
        </row>
        <row r="1114">
          <cell r="A1114">
            <v>8137</v>
          </cell>
          <cell r="B1114" t="str">
            <v>Damper Valve</v>
          </cell>
          <cell r="C1114" t="str">
            <v>400Ø</v>
          </cell>
          <cell r="D1114" t="str">
            <v>개</v>
          </cell>
          <cell r="E1114">
            <v>194000</v>
          </cell>
          <cell r="F1114">
            <v>0</v>
          </cell>
          <cell r="H1114">
            <v>657</v>
          </cell>
          <cell r="I1114">
            <v>194000</v>
          </cell>
          <cell r="J1114">
            <v>657</v>
          </cell>
          <cell r="L1114">
            <v>657</v>
          </cell>
        </row>
        <row r="1115">
          <cell r="A1115">
            <v>8138</v>
          </cell>
          <cell r="B1115" t="str">
            <v>Damper Valve</v>
          </cell>
          <cell r="C1115" t="str">
            <v>300Ø</v>
          </cell>
          <cell r="D1115" t="str">
            <v>개</v>
          </cell>
          <cell r="E1115">
            <v>178000</v>
          </cell>
          <cell r="F1115">
            <v>0</v>
          </cell>
          <cell r="H1115">
            <v>657</v>
          </cell>
          <cell r="I1115">
            <v>178000</v>
          </cell>
          <cell r="J1115">
            <v>657</v>
          </cell>
          <cell r="L1115">
            <v>657</v>
          </cell>
        </row>
        <row r="1116">
          <cell r="A1116">
            <v>8139</v>
          </cell>
          <cell r="B1116" t="str">
            <v>Damper Valve</v>
          </cell>
          <cell r="C1116" t="str">
            <v>200Ø</v>
          </cell>
          <cell r="D1116" t="str">
            <v>개</v>
          </cell>
          <cell r="E1116">
            <v>130000</v>
          </cell>
          <cell r="F1116">
            <v>0</v>
          </cell>
          <cell r="H1116">
            <v>657</v>
          </cell>
          <cell r="I1116">
            <v>130000</v>
          </cell>
          <cell r="J1116">
            <v>657</v>
          </cell>
          <cell r="L1116">
            <v>657</v>
          </cell>
        </row>
        <row r="1117">
          <cell r="A1117">
            <v>8141</v>
          </cell>
          <cell r="B1117" t="str">
            <v>Wall Support</v>
          </cell>
          <cell r="C1117" t="str">
            <v>1,000Ø</v>
          </cell>
          <cell r="D1117" t="str">
            <v>개</v>
          </cell>
          <cell r="E1117">
            <v>331000</v>
          </cell>
          <cell r="F1117">
            <v>0</v>
          </cell>
          <cell r="H1117">
            <v>657</v>
          </cell>
          <cell r="I1117">
            <v>331000</v>
          </cell>
          <cell r="J1117">
            <v>657</v>
          </cell>
          <cell r="L1117">
            <v>657</v>
          </cell>
        </row>
        <row r="1118">
          <cell r="A1118">
            <v>8142</v>
          </cell>
          <cell r="B1118" t="str">
            <v>Wall Support</v>
          </cell>
          <cell r="C1118" t="str">
            <v>900Ø</v>
          </cell>
          <cell r="D1118" t="str">
            <v>개</v>
          </cell>
          <cell r="E1118">
            <v>247000</v>
          </cell>
          <cell r="F1118">
            <v>0</v>
          </cell>
          <cell r="H1118">
            <v>657</v>
          </cell>
          <cell r="I1118">
            <v>247000</v>
          </cell>
          <cell r="J1118">
            <v>657</v>
          </cell>
          <cell r="L1118">
            <v>657</v>
          </cell>
        </row>
        <row r="1119">
          <cell r="A1119">
            <v>8143</v>
          </cell>
          <cell r="B1119" t="str">
            <v>Wall Support</v>
          </cell>
          <cell r="C1119" t="str">
            <v>800Ø</v>
          </cell>
          <cell r="D1119" t="str">
            <v>개</v>
          </cell>
          <cell r="E1119">
            <v>213000</v>
          </cell>
          <cell r="F1119">
            <v>0</v>
          </cell>
          <cell r="H1119">
            <v>657</v>
          </cell>
          <cell r="I1119">
            <v>213000</v>
          </cell>
          <cell r="J1119">
            <v>657</v>
          </cell>
          <cell r="L1119">
            <v>657</v>
          </cell>
        </row>
        <row r="1120">
          <cell r="A1120">
            <v>8144</v>
          </cell>
          <cell r="B1120" t="str">
            <v>Wall Support</v>
          </cell>
          <cell r="C1120" t="str">
            <v>700Ø</v>
          </cell>
          <cell r="D1120" t="str">
            <v>개</v>
          </cell>
          <cell r="E1120">
            <v>182000</v>
          </cell>
          <cell r="F1120">
            <v>0</v>
          </cell>
          <cell r="H1120">
            <v>657</v>
          </cell>
          <cell r="I1120">
            <v>182000</v>
          </cell>
          <cell r="J1120">
            <v>657</v>
          </cell>
          <cell r="L1120">
            <v>657</v>
          </cell>
        </row>
        <row r="1121">
          <cell r="A1121">
            <v>8145</v>
          </cell>
          <cell r="B1121" t="str">
            <v>Wall Support</v>
          </cell>
          <cell r="C1121" t="str">
            <v>600Ø</v>
          </cell>
          <cell r="D1121" t="str">
            <v>개</v>
          </cell>
          <cell r="E1121">
            <v>166000</v>
          </cell>
          <cell r="F1121">
            <v>0</v>
          </cell>
          <cell r="H1121">
            <v>657</v>
          </cell>
          <cell r="I1121">
            <v>166000</v>
          </cell>
          <cell r="J1121">
            <v>657</v>
          </cell>
          <cell r="L1121">
            <v>657</v>
          </cell>
        </row>
        <row r="1122">
          <cell r="A1122">
            <v>8146</v>
          </cell>
          <cell r="B1122" t="str">
            <v>Wall Support</v>
          </cell>
          <cell r="C1122" t="str">
            <v>500Ø</v>
          </cell>
          <cell r="D1122" t="str">
            <v>개</v>
          </cell>
          <cell r="E1122">
            <v>143000</v>
          </cell>
          <cell r="F1122">
            <v>0</v>
          </cell>
          <cell r="H1122">
            <v>657</v>
          </cell>
          <cell r="I1122">
            <v>143000</v>
          </cell>
          <cell r="J1122">
            <v>657</v>
          </cell>
          <cell r="L1122">
            <v>657</v>
          </cell>
        </row>
        <row r="1123">
          <cell r="A1123">
            <v>8147</v>
          </cell>
          <cell r="B1123" t="str">
            <v>Wall Support</v>
          </cell>
          <cell r="C1123" t="str">
            <v>400Ø</v>
          </cell>
          <cell r="D1123" t="str">
            <v>개</v>
          </cell>
          <cell r="E1123">
            <v>133000</v>
          </cell>
          <cell r="F1123">
            <v>0</v>
          </cell>
          <cell r="H1123">
            <v>657</v>
          </cell>
          <cell r="I1123">
            <v>133000</v>
          </cell>
          <cell r="J1123">
            <v>657</v>
          </cell>
          <cell r="L1123">
            <v>657</v>
          </cell>
        </row>
        <row r="1124">
          <cell r="A1124">
            <v>8148</v>
          </cell>
          <cell r="B1124" t="str">
            <v>Wall Support</v>
          </cell>
          <cell r="C1124" t="str">
            <v>300Ø</v>
          </cell>
          <cell r="D1124" t="str">
            <v>개</v>
          </cell>
          <cell r="E1124">
            <v>123000</v>
          </cell>
          <cell r="F1124">
            <v>0</v>
          </cell>
          <cell r="H1124">
            <v>657</v>
          </cell>
          <cell r="I1124">
            <v>123000</v>
          </cell>
          <cell r="J1124">
            <v>657</v>
          </cell>
          <cell r="L1124">
            <v>657</v>
          </cell>
        </row>
        <row r="1125">
          <cell r="A1125">
            <v>8149</v>
          </cell>
          <cell r="B1125" t="str">
            <v>Wall Support</v>
          </cell>
          <cell r="C1125" t="str">
            <v>200Ø</v>
          </cell>
          <cell r="D1125" t="str">
            <v>개</v>
          </cell>
          <cell r="E1125">
            <v>98000</v>
          </cell>
          <cell r="F1125">
            <v>0</v>
          </cell>
          <cell r="H1125">
            <v>657</v>
          </cell>
          <cell r="I1125">
            <v>98000</v>
          </cell>
          <cell r="J1125">
            <v>657</v>
          </cell>
          <cell r="L1125">
            <v>657</v>
          </cell>
        </row>
        <row r="1126">
          <cell r="A1126">
            <v>8151</v>
          </cell>
          <cell r="B1126" t="str">
            <v>Wall Guide Assembly</v>
          </cell>
          <cell r="C1126" t="str">
            <v>1,000Ø</v>
          </cell>
          <cell r="D1126" t="str">
            <v>개</v>
          </cell>
          <cell r="E1126">
            <v>167000</v>
          </cell>
          <cell r="F1126">
            <v>0</v>
          </cell>
          <cell r="H1126">
            <v>657</v>
          </cell>
          <cell r="I1126">
            <v>167000</v>
          </cell>
          <cell r="J1126">
            <v>657</v>
          </cell>
          <cell r="L1126">
            <v>657</v>
          </cell>
        </row>
        <row r="1127">
          <cell r="A1127">
            <v>8152</v>
          </cell>
          <cell r="B1127" t="str">
            <v>Wall Guide Assembly</v>
          </cell>
          <cell r="C1127" t="str">
            <v>900Ø</v>
          </cell>
          <cell r="D1127" t="str">
            <v>개</v>
          </cell>
          <cell r="E1127">
            <v>128000</v>
          </cell>
          <cell r="F1127">
            <v>0</v>
          </cell>
          <cell r="H1127">
            <v>657</v>
          </cell>
          <cell r="I1127">
            <v>128000</v>
          </cell>
          <cell r="J1127">
            <v>657</v>
          </cell>
          <cell r="L1127">
            <v>657</v>
          </cell>
        </row>
        <row r="1128">
          <cell r="A1128">
            <v>8153</v>
          </cell>
          <cell r="B1128" t="str">
            <v>Wall Guide Assembly</v>
          </cell>
          <cell r="C1128" t="str">
            <v>800Ø</v>
          </cell>
          <cell r="D1128" t="str">
            <v>개</v>
          </cell>
          <cell r="E1128">
            <v>114000</v>
          </cell>
          <cell r="F1128">
            <v>0</v>
          </cell>
          <cell r="H1128">
            <v>657</v>
          </cell>
          <cell r="I1128">
            <v>114000</v>
          </cell>
          <cell r="J1128">
            <v>657</v>
          </cell>
          <cell r="L1128">
            <v>657</v>
          </cell>
        </row>
        <row r="1129">
          <cell r="A1129">
            <v>8154</v>
          </cell>
          <cell r="B1129" t="str">
            <v>Wall Guide Assembly</v>
          </cell>
          <cell r="C1129" t="str">
            <v>700Ø</v>
          </cell>
          <cell r="D1129" t="str">
            <v>개</v>
          </cell>
          <cell r="E1129">
            <v>103000</v>
          </cell>
          <cell r="F1129">
            <v>0</v>
          </cell>
          <cell r="H1129">
            <v>657</v>
          </cell>
          <cell r="I1129">
            <v>103000</v>
          </cell>
          <cell r="J1129">
            <v>657</v>
          </cell>
          <cell r="L1129">
            <v>657</v>
          </cell>
        </row>
        <row r="1130">
          <cell r="A1130">
            <v>8155</v>
          </cell>
          <cell r="B1130" t="str">
            <v>Wall Guide Assembly</v>
          </cell>
          <cell r="C1130" t="str">
            <v>600Ø</v>
          </cell>
          <cell r="D1130" t="str">
            <v>개</v>
          </cell>
          <cell r="E1130">
            <v>89000</v>
          </cell>
          <cell r="F1130">
            <v>0</v>
          </cell>
          <cell r="H1130">
            <v>657</v>
          </cell>
          <cell r="I1130">
            <v>89000</v>
          </cell>
          <cell r="J1130">
            <v>657</v>
          </cell>
          <cell r="L1130">
            <v>657</v>
          </cell>
        </row>
        <row r="1131">
          <cell r="A1131">
            <v>8156</v>
          </cell>
          <cell r="B1131" t="str">
            <v>Wall Guide Assembly</v>
          </cell>
          <cell r="C1131" t="str">
            <v>500Ø</v>
          </cell>
          <cell r="D1131" t="str">
            <v>개</v>
          </cell>
          <cell r="E1131">
            <v>77800</v>
          </cell>
          <cell r="F1131">
            <v>0</v>
          </cell>
          <cell r="H1131">
            <v>657</v>
          </cell>
          <cell r="I1131">
            <v>77800</v>
          </cell>
          <cell r="J1131">
            <v>657</v>
          </cell>
          <cell r="L1131">
            <v>657</v>
          </cell>
        </row>
        <row r="1132">
          <cell r="A1132">
            <v>8157</v>
          </cell>
          <cell r="B1132" t="str">
            <v>Wall Guide Assembly</v>
          </cell>
          <cell r="C1132" t="str">
            <v>400Ø</v>
          </cell>
          <cell r="D1132" t="str">
            <v>개</v>
          </cell>
          <cell r="E1132">
            <v>69000</v>
          </cell>
          <cell r="F1132">
            <v>0</v>
          </cell>
          <cell r="H1132">
            <v>657</v>
          </cell>
          <cell r="I1132">
            <v>69000</v>
          </cell>
          <cell r="J1132">
            <v>657</v>
          </cell>
          <cell r="L1132">
            <v>657</v>
          </cell>
        </row>
        <row r="1133">
          <cell r="A1133">
            <v>8158</v>
          </cell>
          <cell r="B1133" t="str">
            <v>Wall Guide Assembly</v>
          </cell>
          <cell r="C1133" t="str">
            <v>300Ø</v>
          </cell>
          <cell r="D1133" t="str">
            <v>개</v>
          </cell>
          <cell r="E1133">
            <v>63000</v>
          </cell>
          <cell r="F1133">
            <v>0</v>
          </cell>
          <cell r="H1133">
            <v>657</v>
          </cell>
          <cell r="I1133">
            <v>63000</v>
          </cell>
          <cell r="J1133">
            <v>657</v>
          </cell>
          <cell r="L1133">
            <v>657</v>
          </cell>
        </row>
        <row r="1134">
          <cell r="A1134">
            <v>8159</v>
          </cell>
          <cell r="B1134" t="str">
            <v>Wall Guide Assembly</v>
          </cell>
          <cell r="C1134" t="str">
            <v>200Ø</v>
          </cell>
          <cell r="D1134" t="str">
            <v>개</v>
          </cell>
          <cell r="E1134">
            <v>49800</v>
          </cell>
          <cell r="F1134">
            <v>0</v>
          </cell>
          <cell r="H1134">
            <v>657</v>
          </cell>
          <cell r="I1134">
            <v>49800</v>
          </cell>
          <cell r="J1134">
            <v>657</v>
          </cell>
          <cell r="L1134">
            <v>657</v>
          </cell>
        </row>
        <row r="1135">
          <cell r="A1135">
            <v>8161</v>
          </cell>
          <cell r="B1135" t="str">
            <v>Bellows Joint</v>
          </cell>
          <cell r="C1135" t="str">
            <v>1,000Ø</v>
          </cell>
          <cell r="D1135" t="str">
            <v>개</v>
          </cell>
          <cell r="E1135">
            <v>1605000</v>
          </cell>
          <cell r="F1135">
            <v>0</v>
          </cell>
          <cell r="H1135">
            <v>657</v>
          </cell>
          <cell r="I1135">
            <v>1605000</v>
          </cell>
          <cell r="J1135">
            <v>657</v>
          </cell>
          <cell r="L1135">
            <v>657</v>
          </cell>
        </row>
        <row r="1136">
          <cell r="A1136">
            <v>8162</v>
          </cell>
          <cell r="B1136" t="str">
            <v>Bellows Joint</v>
          </cell>
          <cell r="C1136" t="str">
            <v>900Ø</v>
          </cell>
          <cell r="D1136" t="str">
            <v>개</v>
          </cell>
          <cell r="E1136">
            <v>1498000</v>
          </cell>
          <cell r="F1136">
            <v>0</v>
          </cell>
          <cell r="H1136">
            <v>657</v>
          </cell>
          <cell r="I1136">
            <v>1498000</v>
          </cell>
          <cell r="J1136">
            <v>657</v>
          </cell>
          <cell r="L1136">
            <v>657</v>
          </cell>
        </row>
        <row r="1137">
          <cell r="A1137">
            <v>8163</v>
          </cell>
          <cell r="B1137" t="str">
            <v>Bellows Joint</v>
          </cell>
          <cell r="C1137" t="str">
            <v>800Ø</v>
          </cell>
          <cell r="D1137" t="str">
            <v>개</v>
          </cell>
          <cell r="E1137">
            <v>1428000</v>
          </cell>
          <cell r="F1137">
            <v>0</v>
          </cell>
          <cell r="H1137">
            <v>657</v>
          </cell>
          <cell r="I1137">
            <v>1428000</v>
          </cell>
          <cell r="J1137">
            <v>657</v>
          </cell>
          <cell r="L1137">
            <v>657</v>
          </cell>
        </row>
        <row r="1138">
          <cell r="A1138">
            <v>8164</v>
          </cell>
          <cell r="B1138" t="str">
            <v>Bellows Joint</v>
          </cell>
          <cell r="C1138" t="str">
            <v>700Ø</v>
          </cell>
          <cell r="D1138" t="str">
            <v>개</v>
          </cell>
          <cell r="E1138">
            <v>1275000</v>
          </cell>
          <cell r="F1138">
            <v>0</v>
          </cell>
          <cell r="H1138">
            <v>657</v>
          </cell>
          <cell r="I1138">
            <v>1275000</v>
          </cell>
          <cell r="J1138">
            <v>657</v>
          </cell>
          <cell r="L1138">
            <v>657</v>
          </cell>
        </row>
        <row r="1139">
          <cell r="A1139">
            <v>8165</v>
          </cell>
          <cell r="B1139" t="str">
            <v>Bellows Joint</v>
          </cell>
          <cell r="C1139" t="str">
            <v>600Ø</v>
          </cell>
          <cell r="D1139" t="str">
            <v>개</v>
          </cell>
          <cell r="E1139">
            <v>1072000</v>
          </cell>
          <cell r="F1139">
            <v>0</v>
          </cell>
          <cell r="H1139">
            <v>657</v>
          </cell>
          <cell r="I1139">
            <v>1072000</v>
          </cell>
          <cell r="J1139">
            <v>657</v>
          </cell>
          <cell r="L1139">
            <v>657</v>
          </cell>
        </row>
        <row r="1140">
          <cell r="A1140">
            <v>8166</v>
          </cell>
          <cell r="B1140" t="str">
            <v>Bellows Joint</v>
          </cell>
          <cell r="C1140" t="str">
            <v>500Ø</v>
          </cell>
          <cell r="D1140" t="str">
            <v>개</v>
          </cell>
          <cell r="E1140">
            <v>658000</v>
          </cell>
          <cell r="F1140">
            <v>0</v>
          </cell>
          <cell r="H1140">
            <v>657</v>
          </cell>
          <cell r="I1140">
            <v>658000</v>
          </cell>
          <cell r="J1140">
            <v>657</v>
          </cell>
          <cell r="L1140">
            <v>657</v>
          </cell>
        </row>
        <row r="1141">
          <cell r="A1141">
            <v>8167</v>
          </cell>
          <cell r="B1141" t="str">
            <v>Bellows Joint</v>
          </cell>
          <cell r="C1141" t="str">
            <v>400Ø</v>
          </cell>
          <cell r="D1141" t="str">
            <v>개</v>
          </cell>
          <cell r="E1141">
            <v>576000</v>
          </cell>
          <cell r="F1141">
            <v>0</v>
          </cell>
          <cell r="H1141">
            <v>657</v>
          </cell>
          <cell r="I1141">
            <v>576000</v>
          </cell>
          <cell r="J1141">
            <v>657</v>
          </cell>
          <cell r="L1141">
            <v>657</v>
          </cell>
        </row>
        <row r="1142">
          <cell r="A1142">
            <v>8168</v>
          </cell>
          <cell r="B1142" t="str">
            <v>Bellows Joint</v>
          </cell>
          <cell r="C1142" t="str">
            <v>300Ø</v>
          </cell>
          <cell r="D1142" t="str">
            <v>개</v>
          </cell>
          <cell r="E1142">
            <v>513000</v>
          </cell>
          <cell r="F1142">
            <v>0</v>
          </cell>
          <cell r="H1142">
            <v>657</v>
          </cell>
          <cell r="I1142">
            <v>513000</v>
          </cell>
          <cell r="J1142">
            <v>657</v>
          </cell>
          <cell r="L1142">
            <v>657</v>
          </cell>
        </row>
        <row r="1143">
          <cell r="A1143">
            <v>8169</v>
          </cell>
          <cell r="B1143" t="str">
            <v>Bellows Joint</v>
          </cell>
          <cell r="C1143" t="str">
            <v>200Ø</v>
          </cell>
          <cell r="D1143" t="str">
            <v>개</v>
          </cell>
          <cell r="E1143">
            <v>400000</v>
          </cell>
          <cell r="F1143">
            <v>0</v>
          </cell>
          <cell r="H1143">
            <v>657</v>
          </cell>
          <cell r="I1143">
            <v>400000</v>
          </cell>
          <cell r="J1143">
            <v>657</v>
          </cell>
          <cell r="L1143">
            <v>657</v>
          </cell>
        </row>
        <row r="1144">
          <cell r="A1144">
            <v>8171</v>
          </cell>
          <cell r="B1144" t="str">
            <v>Ventilated Trimble</v>
          </cell>
          <cell r="C1144" t="str">
            <v>1,000Ø</v>
          </cell>
          <cell r="D1144" t="str">
            <v>개</v>
          </cell>
          <cell r="E1144">
            <v>314000</v>
          </cell>
          <cell r="F1144">
            <v>0</v>
          </cell>
          <cell r="H1144">
            <v>657</v>
          </cell>
          <cell r="I1144">
            <v>314000</v>
          </cell>
          <cell r="J1144">
            <v>657</v>
          </cell>
          <cell r="L1144">
            <v>657</v>
          </cell>
        </row>
        <row r="1145">
          <cell r="A1145">
            <v>8172</v>
          </cell>
          <cell r="B1145" t="str">
            <v>Ventilated Trimble</v>
          </cell>
          <cell r="C1145" t="str">
            <v>900Ø</v>
          </cell>
          <cell r="D1145" t="str">
            <v>개</v>
          </cell>
          <cell r="E1145">
            <v>247000</v>
          </cell>
          <cell r="F1145">
            <v>0</v>
          </cell>
          <cell r="H1145">
            <v>657</v>
          </cell>
          <cell r="I1145">
            <v>247000</v>
          </cell>
          <cell r="J1145">
            <v>657</v>
          </cell>
          <cell r="L1145">
            <v>657</v>
          </cell>
        </row>
        <row r="1146">
          <cell r="A1146">
            <v>8173</v>
          </cell>
          <cell r="B1146" t="str">
            <v>Ventilated Trimble</v>
          </cell>
          <cell r="C1146" t="str">
            <v>800Ø</v>
          </cell>
          <cell r="D1146" t="str">
            <v>개</v>
          </cell>
          <cell r="E1146">
            <v>227000</v>
          </cell>
          <cell r="F1146">
            <v>0</v>
          </cell>
          <cell r="H1146">
            <v>657</v>
          </cell>
          <cell r="I1146">
            <v>227000</v>
          </cell>
          <cell r="J1146">
            <v>657</v>
          </cell>
          <cell r="L1146">
            <v>657</v>
          </cell>
        </row>
        <row r="1147">
          <cell r="A1147">
            <v>8174</v>
          </cell>
          <cell r="B1147" t="str">
            <v>Ventilated Trimble</v>
          </cell>
          <cell r="C1147" t="str">
            <v>700Ø</v>
          </cell>
          <cell r="D1147" t="str">
            <v>개</v>
          </cell>
          <cell r="E1147">
            <v>205000</v>
          </cell>
          <cell r="F1147">
            <v>0</v>
          </cell>
          <cell r="H1147">
            <v>657</v>
          </cell>
          <cell r="I1147">
            <v>205000</v>
          </cell>
          <cell r="J1147">
            <v>657</v>
          </cell>
          <cell r="L1147">
            <v>657</v>
          </cell>
        </row>
        <row r="1148">
          <cell r="A1148">
            <v>8175</v>
          </cell>
          <cell r="B1148" t="str">
            <v>Ventilated Trimble</v>
          </cell>
          <cell r="C1148" t="str">
            <v>600Ø</v>
          </cell>
          <cell r="D1148" t="str">
            <v>개</v>
          </cell>
          <cell r="E1148">
            <v>183000</v>
          </cell>
          <cell r="F1148">
            <v>0</v>
          </cell>
          <cell r="H1148">
            <v>657</v>
          </cell>
          <cell r="I1148">
            <v>183000</v>
          </cell>
          <cell r="J1148">
            <v>657</v>
          </cell>
          <cell r="L1148">
            <v>657</v>
          </cell>
        </row>
        <row r="1149">
          <cell r="A1149">
            <v>8176</v>
          </cell>
          <cell r="B1149" t="str">
            <v>Ventilated Trimble</v>
          </cell>
          <cell r="C1149" t="str">
            <v>500Ø</v>
          </cell>
          <cell r="D1149" t="str">
            <v>개</v>
          </cell>
          <cell r="E1149">
            <v>164000</v>
          </cell>
          <cell r="F1149">
            <v>0</v>
          </cell>
          <cell r="H1149">
            <v>657</v>
          </cell>
          <cell r="I1149">
            <v>164000</v>
          </cell>
          <cell r="J1149">
            <v>657</v>
          </cell>
          <cell r="L1149">
            <v>657</v>
          </cell>
        </row>
        <row r="1150">
          <cell r="A1150">
            <v>8177</v>
          </cell>
          <cell r="B1150" t="str">
            <v>Ventilated Trimble</v>
          </cell>
          <cell r="C1150" t="str">
            <v>400Ø</v>
          </cell>
          <cell r="D1150" t="str">
            <v>개</v>
          </cell>
          <cell r="E1150">
            <v>148000</v>
          </cell>
          <cell r="F1150">
            <v>0</v>
          </cell>
          <cell r="H1150">
            <v>657</v>
          </cell>
          <cell r="I1150">
            <v>148000</v>
          </cell>
          <cell r="J1150">
            <v>657</v>
          </cell>
          <cell r="L1150">
            <v>657</v>
          </cell>
        </row>
        <row r="1151">
          <cell r="A1151">
            <v>8178</v>
          </cell>
          <cell r="B1151" t="str">
            <v>Ventilated Trimble</v>
          </cell>
          <cell r="C1151" t="str">
            <v>300Ø</v>
          </cell>
          <cell r="D1151" t="str">
            <v>개</v>
          </cell>
          <cell r="E1151">
            <v>133000</v>
          </cell>
          <cell r="F1151">
            <v>0</v>
          </cell>
          <cell r="H1151">
            <v>657</v>
          </cell>
          <cell r="I1151">
            <v>133000</v>
          </cell>
          <cell r="J1151">
            <v>657</v>
          </cell>
          <cell r="L1151">
            <v>657</v>
          </cell>
        </row>
        <row r="1152">
          <cell r="A1152">
            <v>8179</v>
          </cell>
          <cell r="B1152" t="str">
            <v>Ventilated Trimble</v>
          </cell>
          <cell r="C1152" t="str">
            <v>200Ø</v>
          </cell>
          <cell r="D1152" t="str">
            <v>개</v>
          </cell>
          <cell r="E1152">
            <v>118000</v>
          </cell>
          <cell r="F1152">
            <v>0</v>
          </cell>
          <cell r="H1152">
            <v>657</v>
          </cell>
          <cell r="I1152">
            <v>118000</v>
          </cell>
          <cell r="J1152">
            <v>657</v>
          </cell>
          <cell r="L1152">
            <v>657</v>
          </cell>
        </row>
        <row r="1153">
          <cell r="A1153">
            <v>8181</v>
          </cell>
          <cell r="B1153" t="str">
            <v>Drain Tee Cap</v>
          </cell>
          <cell r="C1153" t="str">
            <v>1,000Ø</v>
          </cell>
          <cell r="D1153" t="str">
            <v>개</v>
          </cell>
          <cell r="E1153">
            <v>125000</v>
          </cell>
          <cell r="F1153">
            <v>0</v>
          </cell>
          <cell r="H1153">
            <v>657</v>
          </cell>
          <cell r="I1153">
            <v>125000</v>
          </cell>
          <cell r="J1153">
            <v>657</v>
          </cell>
          <cell r="L1153">
            <v>657</v>
          </cell>
        </row>
        <row r="1154">
          <cell r="A1154">
            <v>8182</v>
          </cell>
          <cell r="B1154" t="str">
            <v>Drain Tee Cap</v>
          </cell>
          <cell r="C1154" t="str">
            <v>900Ø</v>
          </cell>
          <cell r="D1154" t="str">
            <v>개</v>
          </cell>
          <cell r="E1154">
            <v>90000</v>
          </cell>
          <cell r="F1154">
            <v>0</v>
          </cell>
          <cell r="H1154">
            <v>657</v>
          </cell>
          <cell r="I1154">
            <v>90000</v>
          </cell>
          <cell r="J1154">
            <v>657</v>
          </cell>
          <cell r="L1154">
            <v>657</v>
          </cell>
        </row>
        <row r="1155">
          <cell r="A1155">
            <v>8183</v>
          </cell>
          <cell r="B1155" t="str">
            <v>Drain Tee Cap</v>
          </cell>
          <cell r="C1155" t="str">
            <v>800Ø</v>
          </cell>
          <cell r="D1155" t="str">
            <v>개</v>
          </cell>
          <cell r="E1155">
            <v>63800</v>
          </cell>
          <cell r="F1155">
            <v>0</v>
          </cell>
          <cell r="H1155">
            <v>657</v>
          </cell>
          <cell r="I1155">
            <v>63800</v>
          </cell>
          <cell r="J1155">
            <v>657</v>
          </cell>
          <cell r="L1155">
            <v>657</v>
          </cell>
        </row>
        <row r="1156">
          <cell r="A1156">
            <v>8184</v>
          </cell>
          <cell r="B1156" t="str">
            <v>Drain Tee Cap</v>
          </cell>
          <cell r="C1156" t="str">
            <v>700Ø</v>
          </cell>
          <cell r="D1156" t="str">
            <v>개</v>
          </cell>
          <cell r="E1156">
            <v>51200</v>
          </cell>
          <cell r="F1156">
            <v>0</v>
          </cell>
          <cell r="H1156">
            <v>657</v>
          </cell>
          <cell r="I1156">
            <v>51200</v>
          </cell>
          <cell r="J1156">
            <v>657</v>
          </cell>
          <cell r="L1156">
            <v>657</v>
          </cell>
        </row>
        <row r="1157">
          <cell r="A1157">
            <v>8185</v>
          </cell>
          <cell r="B1157" t="str">
            <v>Drain Tee Cap</v>
          </cell>
          <cell r="C1157" t="str">
            <v>600Ø</v>
          </cell>
          <cell r="D1157" t="str">
            <v>개</v>
          </cell>
          <cell r="E1157">
            <v>44500</v>
          </cell>
          <cell r="F1157">
            <v>0</v>
          </cell>
          <cell r="H1157">
            <v>657</v>
          </cell>
          <cell r="I1157">
            <v>44500</v>
          </cell>
          <cell r="J1157">
            <v>657</v>
          </cell>
          <cell r="L1157">
            <v>657</v>
          </cell>
        </row>
        <row r="1158">
          <cell r="A1158">
            <v>8186</v>
          </cell>
          <cell r="B1158" t="str">
            <v>Drain Tee Cap</v>
          </cell>
          <cell r="C1158" t="str">
            <v>500Ø</v>
          </cell>
          <cell r="D1158" t="str">
            <v>개</v>
          </cell>
          <cell r="E1158">
            <v>39200</v>
          </cell>
          <cell r="F1158">
            <v>0</v>
          </cell>
          <cell r="H1158">
            <v>657</v>
          </cell>
          <cell r="I1158">
            <v>39200</v>
          </cell>
          <cell r="J1158">
            <v>657</v>
          </cell>
          <cell r="L1158">
            <v>657</v>
          </cell>
        </row>
        <row r="1159">
          <cell r="A1159">
            <v>8187</v>
          </cell>
          <cell r="B1159" t="str">
            <v>Drain Tee Cap</v>
          </cell>
          <cell r="C1159" t="str">
            <v>400Ø</v>
          </cell>
          <cell r="D1159" t="str">
            <v>개</v>
          </cell>
          <cell r="E1159">
            <v>29900</v>
          </cell>
          <cell r="F1159">
            <v>0</v>
          </cell>
          <cell r="H1159">
            <v>657</v>
          </cell>
          <cell r="I1159">
            <v>29900</v>
          </cell>
          <cell r="J1159">
            <v>657</v>
          </cell>
          <cell r="L1159">
            <v>657</v>
          </cell>
        </row>
        <row r="1160">
          <cell r="A1160">
            <v>8188</v>
          </cell>
          <cell r="B1160" t="str">
            <v>Drain Tee Cap</v>
          </cell>
          <cell r="C1160" t="str">
            <v>300Ø</v>
          </cell>
          <cell r="D1160" t="str">
            <v>개</v>
          </cell>
          <cell r="E1160">
            <v>24600</v>
          </cell>
          <cell r="F1160">
            <v>0</v>
          </cell>
          <cell r="H1160">
            <v>657</v>
          </cell>
          <cell r="I1160">
            <v>24600</v>
          </cell>
          <cell r="J1160">
            <v>657</v>
          </cell>
          <cell r="L1160">
            <v>657</v>
          </cell>
        </row>
        <row r="1161">
          <cell r="A1161">
            <v>8189</v>
          </cell>
          <cell r="B1161" t="str">
            <v>Drain Tee Cap</v>
          </cell>
          <cell r="C1161" t="str">
            <v>200Ø</v>
          </cell>
          <cell r="D1161" t="str">
            <v>개</v>
          </cell>
          <cell r="E1161">
            <v>17900</v>
          </cell>
          <cell r="F1161">
            <v>0</v>
          </cell>
          <cell r="H1161">
            <v>657</v>
          </cell>
          <cell r="I1161">
            <v>17900</v>
          </cell>
          <cell r="J1161">
            <v>657</v>
          </cell>
          <cell r="L1161">
            <v>657</v>
          </cell>
        </row>
        <row r="1162">
          <cell r="A1162">
            <v>8191</v>
          </cell>
          <cell r="B1162" t="str">
            <v>Manifold Tee</v>
          </cell>
          <cell r="C1162" t="str">
            <v>1,000Ø</v>
          </cell>
          <cell r="D1162" t="str">
            <v>개</v>
          </cell>
          <cell r="E1162">
            <v>665000</v>
          </cell>
          <cell r="F1162">
            <v>0</v>
          </cell>
          <cell r="H1162">
            <v>657</v>
          </cell>
          <cell r="I1162">
            <v>665000</v>
          </cell>
          <cell r="J1162">
            <v>657</v>
          </cell>
          <cell r="L1162">
            <v>657</v>
          </cell>
        </row>
        <row r="1163">
          <cell r="A1163">
            <v>8192</v>
          </cell>
          <cell r="B1163" t="str">
            <v>Manifold Tee</v>
          </cell>
          <cell r="C1163" t="str">
            <v>900Ø</v>
          </cell>
          <cell r="D1163" t="str">
            <v>개</v>
          </cell>
          <cell r="E1163">
            <v>450000</v>
          </cell>
          <cell r="F1163">
            <v>0</v>
          </cell>
          <cell r="H1163">
            <v>657</v>
          </cell>
          <cell r="I1163">
            <v>450000</v>
          </cell>
          <cell r="J1163">
            <v>657</v>
          </cell>
          <cell r="L1163">
            <v>657</v>
          </cell>
        </row>
        <row r="1164">
          <cell r="A1164">
            <v>8193</v>
          </cell>
          <cell r="B1164" t="str">
            <v>Manifold Tee</v>
          </cell>
          <cell r="C1164" t="str">
            <v>800Ø</v>
          </cell>
          <cell r="D1164" t="str">
            <v>개</v>
          </cell>
          <cell r="E1164">
            <v>409000</v>
          </cell>
          <cell r="F1164">
            <v>0</v>
          </cell>
          <cell r="H1164">
            <v>657</v>
          </cell>
          <cell r="I1164">
            <v>409000</v>
          </cell>
          <cell r="J1164">
            <v>657</v>
          </cell>
          <cell r="L1164">
            <v>657</v>
          </cell>
        </row>
        <row r="1165">
          <cell r="A1165">
            <v>8194</v>
          </cell>
          <cell r="B1165" t="str">
            <v>Manifold Tee</v>
          </cell>
          <cell r="C1165" t="str">
            <v>700Ø</v>
          </cell>
          <cell r="D1165" t="str">
            <v>개</v>
          </cell>
          <cell r="E1165">
            <v>287000</v>
          </cell>
          <cell r="F1165">
            <v>0</v>
          </cell>
          <cell r="H1165">
            <v>657</v>
          </cell>
          <cell r="I1165">
            <v>287000</v>
          </cell>
          <cell r="J1165">
            <v>657</v>
          </cell>
          <cell r="L1165">
            <v>657</v>
          </cell>
        </row>
        <row r="1166">
          <cell r="A1166">
            <v>8195</v>
          </cell>
          <cell r="B1166" t="str">
            <v>Manifold Tee</v>
          </cell>
          <cell r="C1166" t="str">
            <v>600Ø</v>
          </cell>
          <cell r="D1166" t="str">
            <v>개</v>
          </cell>
          <cell r="E1166">
            <v>252000</v>
          </cell>
          <cell r="F1166">
            <v>0</v>
          </cell>
          <cell r="H1166">
            <v>657</v>
          </cell>
          <cell r="I1166">
            <v>252000</v>
          </cell>
          <cell r="J1166">
            <v>657</v>
          </cell>
          <cell r="L1166">
            <v>657</v>
          </cell>
        </row>
        <row r="1167">
          <cell r="A1167">
            <v>8196</v>
          </cell>
          <cell r="B1167" t="str">
            <v>Manifold Tee</v>
          </cell>
          <cell r="C1167" t="str">
            <v>500Ø</v>
          </cell>
          <cell r="D1167" t="str">
            <v>개</v>
          </cell>
          <cell r="E1167">
            <v>194000</v>
          </cell>
          <cell r="F1167">
            <v>0</v>
          </cell>
          <cell r="H1167">
            <v>657</v>
          </cell>
          <cell r="I1167">
            <v>194000</v>
          </cell>
          <cell r="J1167">
            <v>657</v>
          </cell>
          <cell r="L1167">
            <v>657</v>
          </cell>
        </row>
        <row r="1168">
          <cell r="A1168">
            <v>8197</v>
          </cell>
          <cell r="B1168" t="str">
            <v>Manifold Tee</v>
          </cell>
          <cell r="C1168" t="str">
            <v>400Ø</v>
          </cell>
          <cell r="D1168" t="str">
            <v>개</v>
          </cell>
          <cell r="E1168">
            <v>154000</v>
          </cell>
          <cell r="F1168">
            <v>0</v>
          </cell>
          <cell r="H1168">
            <v>657</v>
          </cell>
          <cell r="I1168">
            <v>154000</v>
          </cell>
          <cell r="J1168">
            <v>657</v>
          </cell>
          <cell r="L1168">
            <v>657</v>
          </cell>
        </row>
        <row r="1169">
          <cell r="A1169">
            <v>8198</v>
          </cell>
          <cell r="B1169" t="str">
            <v>Manifold Tee</v>
          </cell>
          <cell r="C1169" t="str">
            <v>300Ø</v>
          </cell>
          <cell r="D1169" t="str">
            <v>개</v>
          </cell>
          <cell r="E1169">
            <v>124000</v>
          </cell>
          <cell r="F1169">
            <v>0</v>
          </cell>
          <cell r="H1169">
            <v>657</v>
          </cell>
          <cell r="I1169">
            <v>124000</v>
          </cell>
          <cell r="J1169">
            <v>657</v>
          </cell>
          <cell r="L1169">
            <v>657</v>
          </cell>
        </row>
        <row r="1170">
          <cell r="A1170">
            <v>8199</v>
          </cell>
          <cell r="B1170" t="str">
            <v>Manifold Tee</v>
          </cell>
          <cell r="C1170" t="str">
            <v>200Ø</v>
          </cell>
          <cell r="D1170" t="str">
            <v>개</v>
          </cell>
          <cell r="E1170">
            <v>81000</v>
          </cell>
          <cell r="F1170">
            <v>0</v>
          </cell>
          <cell r="H1170">
            <v>657</v>
          </cell>
          <cell r="I1170">
            <v>81000</v>
          </cell>
          <cell r="J1170">
            <v>657</v>
          </cell>
          <cell r="L1170">
            <v>657</v>
          </cell>
        </row>
        <row r="1171">
          <cell r="A1171">
            <v>8201</v>
          </cell>
          <cell r="B1171" t="str">
            <v>Insulated Flange</v>
          </cell>
          <cell r="C1171" t="str">
            <v>1,000Ø</v>
          </cell>
          <cell r="D1171" t="str">
            <v>개</v>
          </cell>
          <cell r="E1171">
            <v>571000</v>
          </cell>
          <cell r="F1171">
            <v>0</v>
          </cell>
          <cell r="H1171">
            <v>657</v>
          </cell>
          <cell r="I1171">
            <v>571000</v>
          </cell>
          <cell r="J1171">
            <v>657</v>
          </cell>
          <cell r="L1171">
            <v>657</v>
          </cell>
        </row>
        <row r="1172">
          <cell r="A1172">
            <v>8202</v>
          </cell>
          <cell r="B1172" t="str">
            <v>Insulated Flange</v>
          </cell>
          <cell r="C1172" t="str">
            <v>900Ø</v>
          </cell>
          <cell r="D1172" t="str">
            <v>개</v>
          </cell>
          <cell r="E1172">
            <v>348000</v>
          </cell>
          <cell r="F1172">
            <v>0</v>
          </cell>
          <cell r="H1172">
            <v>657</v>
          </cell>
          <cell r="I1172">
            <v>348000</v>
          </cell>
          <cell r="J1172">
            <v>657</v>
          </cell>
          <cell r="L1172">
            <v>657</v>
          </cell>
        </row>
        <row r="1173">
          <cell r="A1173">
            <v>8203</v>
          </cell>
          <cell r="B1173" t="str">
            <v>Insulated Flange</v>
          </cell>
          <cell r="C1173" t="str">
            <v>800Ø</v>
          </cell>
          <cell r="D1173" t="str">
            <v>개</v>
          </cell>
          <cell r="E1173">
            <v>294000</v>
          </cell>
          <cell r="F1173">
            <v>0</v>
          </cell>
          <cell r="H1173">
            <v>657</v>
          </cell>
          <cell r="I1173">
            <v>294000</v>
          </cell>
          <cell r="J1173">
            <v>657</v>
          </cell>
          <cell r="L1173">
            <v>657</v>
          </cell>
        </row>
        <row r="1174">
          <cell r="A1174">
            <v>8204</v>
          </cell>
          <cell r="B1174" t="str">
            <v>Insulated Flange</v>
          </cell>
          <cell r="C1174" t="str">
            <v>700Ø</v>
          </cell>
          <cell r="D1174" t="str">
            <v>개</v>
          </cell>
          <cell r="E1174">
            <v>209000</v>
          </cell>
          <cell r="F1174">
            <v>0</v>
          </cell>
          <cell r="H1174">
            <v>657</v>
          </cell>
          <cell r="I1174">
            <v>209000</v>
          </cell>
          <cell r="J1174">
            <v>657</v>
          </cell>
          <cell r="L1174">
            <v>657</v>
          </cell>
        </row>
        <row r="1175">
          <cell r="A1175">
            <v>8205</v>
          </cell>
          <cell r="B1175" t="str">
            <v>Insulated Flange</v>
          </cell>
          <cell r="C1175" t="str">
            <v>600Ø</v>
          </cell>
          <cell r="D1175" t="str">
            <v>개</v>
          </cell>
          <cell r="E1175">
            <v>182000</v>
          </cell>
          <cell r="F1175">
            <v>0</v>
          </cell>
          <cell r="H1175">
            <v>657</v>
          </cell>
          <cell r="I1175">
            <v>182000</v>
          </cell>
          <cell r="J1175">
            <v>657</v>
          </cell>
          <cell r="L1175">
            <v>657</v>
          </cell>
        </row>
        <row r="1176">
          <cell r="A1176">
            <v>8206</v>
          </cell>
          <cell r="B1176" t="str">
            <v>Insulated Flange</v>
          </cell>
          <cell r="C1176" t="str">
            <v>500Ø</v>
          </cell>
          <cell r="D1176" t="str">
            <v>개</v>
          </cell>
          <cell r="E1176">
            <v>174000</v>
          </cell>
          <cell r="F1176">
            <v>0</v>
          </cell>
          <cell r="H1176">
            <v>657</v>
          </cell>
          <cell r="I1176">
            <v>174000</v>
          </cell>
          <cell r="J1176">
            <v>657</v>
          </cell>
          <cell r="L1176">
            <v>657</v>
          </cell>
        </row>
        <row r="1177">
          <cell r="A1177">
            <v>8207</v>
          </cell>
          <cell r="B1177" t="str">
            <v>Insulated Flange</v>
          </cell>
          <cell r="C1177" t="str">
            <v>400Ø</v>
          </cell>
          <cell r="D1177" t="str">
            <v>개</v>
          </cell>
          <cell r="E1177">
            <v>138000</v>
          </cell>
          <cell r="F1177">
            <v>0</v>
          </cell>
          <cell r="H1177">
            <v>657</v>
          </cell>
          <cell r="I1177">
            <v>138000</v>
          </cell>
          <cell r="J1177">
            <v>657</v>
          </cell>
          <cell r="L1177">
            <v>657</v>
          </cell>
        </row>
        <row r="1178">
          <cell r="A1178">
            <v>8208</v>
          </cell>
          <cell r="B1178" t="str">
            <v>Insulated Flange</v>
          </cell>
          <cell r="C1178" t="str">
            <v>300Ø</v>
          </cell>
          <cell r="D1178" t="str">
            <v>개</v>
          </cell>
          <cell r="E1178">
            <v>91000</v>
          </cell>
          <cell r="F1178">
            <v>0</v>
          </cell>
          <cell r="H1178">
            <v>657</v>
          </cell>
          <cell r="I1178">
            <v>91000</v>
          </cell>
          <cell r="J1178">
            <v>657</v>
          </cell>
          <cell r="L1178">
            <v>657</v>
          </cell>
        </row>
        <row r="1179">
          <cell r="A1179">
            <v>8209</v>
          </cell>
          <cell r="B1179" t="str">
            <v>Insulated Flange</v>
          </cell>
          <cell r="C1179" t="str">
            <v>200Ø</v>
          </cell>
          <cell r="D1179" t="str">
            <v>개</v>
          </cell>
          <cell r="E1179">
            <v>68000</v>
          </cell>
          <cell r="F1179">
            <v>0</v>
          </cell>
          <cell r="H1179">
            <v>657</v>
          </cell>
          <cell r="I1179">
            <v>68000</v>
          </cell>
          <cell r="J1179">
            <v>657</v>
          </cell>
          <cell r="L1179">
            <v>657</v>
          </cell>
        </row>
        <row r="1180">
          <cell r="A1180">
            <v>8211</v>
          </cell>
          <cell r="B1180" t="str">
            <v>Pt Support Assembly</v>
          </cell>
          <cell r="C1180" t="str">
            <v>1,000Ø</v>
          </cell>
          <cell r="D1180" t="str">
            <v>개</v>
          </cell>
          <cell r="E1180">
            <v>254000</v>
          </cell>
          <cell r="F1180">
            <v>0</v>
          </cell>
          <cell r="H1180">
            <v>657</v>
          </cell>
          <cell r="I1180">
            <v>254000</v>
          </cell>
          <cell r="J1180">
            <v>657</v>
          </cell>
          <cell r="L1180">
            <v>657</v>
          </cell>
        </row>
        <row r="1181">
          <cell r="A1181">
            <v>8212</v>
          </cell>
          <cell r="B1181" t="str">
            <v>Pt Support Assembly</v>
          </cell>
          <cell r="C1181" t="str">
            <v>900Ø</v>
          </cell>
          <cell r="D1181" t="str">
            <v>개</v>
          </cell>
          <cell r="E1181">
            <v>171000</v>
          </cell>
          <cell r="F1181">
            <v>0</v>
          </cell>
          <cell r="H1181">
            <v>657</v>
          </cell>
          <cell r="I1181">
            <v>171000</v>
          </cell>
          <cell r="J1181">
            <v>657</v>
          </cell>
          <cell r="L1181">
            <v>657</v>
          </cell>
        </row>
        <row r="1182">
          <cell r="A1182">
            <v>8213</v>
          </cell>
          <cell r="B1182" t="str">
            <v>Pt Support Assembly</v>
          </cell>
          <cell r="C1182" t="str">
            <v>800Ø</v>
          </cell>
          <cell r="D1182" t="str">
            <v>개</v>
          </cell>
          <cell r="E1182">
            <v>142000</v>
          </cell>
          <cell r="F1182">
            <v>0</v>
          </cell>
          <cell r="H1182">
            <v>657</v>
          </cell>
          <cell r="I1182">
            <v>142000</v>
          </cell>
          <cell r="J1182">
            <v>657</v>
          </cell>
          <cell r="L1182">
            <v>657</v>
          </cell>
        </row>
        <row r="1183">
          <cell r="A1183">
            <v>8214</v>
          </cell>
          <cell r="B1183" t="str">
            <v>Pt Support Assembly</v>
          </cell>
          <cell r="C1183" t="str">
            <v>700Ø</v>
          </cell>
          <cell r="D1183" t="str">
            <v>개</v>
          </cell>
          <cell r="E1183">
            <v>115000</v>
          </cell>
          <cell r="F1183">
            <v>0</v>
          </cell>
          <cell r="H1183">
            <v>657</v>
          </cell>
          <cell r="I1183">
            <v>115000</v>
          </cell>
          <cell r="J1183">
            <v>657</v>
          </cell>
          <cell r="L1183">
            <v>657</v>
          </cell>
        </row>
        <row r="1184">
          <cell r="A1184">
            <v>8215</v>
          </cell>
          <cell r="B1184" t="str">
            <v>Pt Support Assembly</v>
          </cell>
          <cell r="C1184" t="str">
            <v>600Ø</v>
          </cell>
          <cell r="D1184" t="str">
            <v>개</v>
          </cell>
          <cell r="E1184">
            <v>95000</v>
          </cell>
          <cell r="F1184">
            <v>0</v>
          </cell>
          <cell r="H1184">
            <v>657</v>
          </cell>
          <cell r="I1184">
            <v>95000</v>
          </cell>
          <cell r="J1184">
            <v>657</v>
          </cell>
          <cell r="L1184">
            <v>657</v>
          </cell>
        </row>
        <row r="1185">
          <cell r="A1185">
            <v>8216</v>
          </cell>
          <cell r="B1185" t="str">
            <v>Pt Support Assembly</v>
          </cell>
          <cell r="C1185" t="str">
            <v>500Ø</v>
          </cell>
          <cell r="D1185" t="str">
            <v>개</v>
          </cell>
          <cell r="E1185">
            <v>75000</v>
          </cell>
          <cell r="F1185">
            <v>0</v>
          </cell>
          <cell r="H1185">
            <v>657</v>
          </cell>
          <cell r="I1185">
            <v>75000</v>
          </cell>
          <cell r="J1185">
            <v>657</v>
          </cell>
          <cell r="L1185">
            <v>657</v>
          </cell>
        </row>
        <row r="1186">
          <cell r="A1186">
            <v>8217</v>
          </cell>
          <cell r="B1186" t="str">
            <v>Pt Support Assembly</v>
          </cell>
          <cell r="C1186" t="str">
            <v>400Ø</v>
          </cell>
          <cell r="D1186" t="str">
            <v>개</v>
          </cell>
          <cell r="E1186">
            <v>63100</v>
          </cell>
          <cell r="F1186">
            <v>0</v>
          </cell>
          <cell r="H1186">
            <v>657</v>
          </cell>
          <cell r="I1186">
            <v>63100</v>
          </cell>
          <cell r="J1186">
            <v>657</v>
          </cell>
          <cell r="L1186">
            <v>657</v>
          </cell>
        </row>
        <row r="1187">
          <cell r="A1187">
            <v>8218</v>
          </cell>
          <cell r="B1187" t="str">
            <v>Pt Support Assembly</v>
          </cell>
          <cell r="C1187" t="str">
            <v>300Ø</v>
          </cell>
          <cell r="D1187" t="str">
            <v>개</v>
          </cell>
          <cell r="E1187">
            <v>56500</v>
          </cell>
          <cell r="F1187">
            <v>0</v>
          </cell>
          <cell r="H1187">
            <v>657</v>
          </cell>
          <cell r="I1187">
            <v>56500</v>
          </cell>
          <cell r="J1187">
            <v>657</v>
          </cell>
          <cell r="L1187">
            <v>657</v>
          </cell>
        </row>
        <row r="1188">
          <cell r="A1188">
            <v>8219</v>
          </cell>
          <cell r="B1188" t="str">
            <v>Pt Support Assembly</v>
          </cell>
          <cell r="C1188" t="str">
            <v>200Ø</v>
          </cell>
          <cell r="D1188" t="str">
            <v>개</v>
          </cell>
          <cell r="E1188">
            <v>49800</v>
          </cell>
          <cell r="F1188">
            <v>0</v>
          </cell>
          <cell r="H1188">
            <v>657</v>
          </cell>
          <cell r="I1188">
            <v>49800</v>
          </cell>
          <cell r="J1188">
            <v>657</v>
          </cell>
          <cell r="L1188">
            <v>657</v>
          </cell>
        </row>
        <row r="1189">
          <cell r="A1189">
            <v>8221</v>
          </cell>
          <cell r="B1189" t="str">
            <v>Check Hole</v>
          </cell>
          <cell r="C1189" t="str">
            <v>1,000Ø</v>
          </cell>
          <cell r="D1189" t="str">
            <v>개</v>
          </cell>
          <cell r="E1189">
            <v>354000</v>
          </cell>
          <cell r="F1189">
            <v>0</v>
          </cell>
          <cell r="H1189">
            <v>657</v>
          </cell>
          <cell r="I1189">
            <v>354000</v>
          </cell>
          <cell r="J1189">
            <v>657</v>
          </cell>
          <cell r="L1189">
            <v>657</v>
          </cell>
        </row>
        <row r="1190">
          <cell r="A1190">
            <v>8222</v>
          </cell>
          <cell r="B1190" t="str">
            <v>Check Hole</v>
          </cell>
          <cell r="C1190" t="str">
            <v>900Ø</v>
          </cell>
          <cell r="D1190" t="str">
            <v>개</v>
          </cell>
          <cell r="E1190">
            <v>282000</v>
          </cell>
          <cell r="F1190">
            <v>0</v>
          </cell>
          <cell r="H1190">
            <v>657</v>
          </cell>
          <cell r="I1190">
            <v>282000</v>
          </cell>
          <cell r="J1190">
            <v>657</v>
          </cell>
          <cell r="L1190">
            <v>657</v>
          </cell>
        </row>
        <row r="1191">
          <cell r="A1191">
            <v>8223</v>
          </cell>
          <cell r="B1191" t="str">
            <v>Check Hole</v>
          </cell>
          <cell r="C1191" t="str">
            <v>800Ø</v>
          </cell>
          <cell r="D1191" t="str">
            <v>개</v>
          </cell>
          <cell r="E1191">
            <v>252000</v>
          </cell>
          <cell r="F1191">
            <v>0</v>
          </cell>
          <cell r="H1191">
            <v>657</v>
          </cell>
          <cell r="I1191">
            <v>252000</v>
          </cell>
          <cell r="J1191">
            <v>657</v>
          </cell>
          <cell r="L1191">
            <v>657</v>
          </cell>
        </row>
        <row r="1192">
          <cell r="A1192">
            <v>8224</v>
          </cell>
          <cell r="B1192" t="str">
            <v>Check Hole</v>
          </cell>
          <cell r="C1192" t="str">
            <v>700Ø</v>
          </cell>
          <cell r="D1192" t="str">
            <v>개</v>
          </cell>
          <cell r="E1192">
            <v>219000</v>
          </cell>
          <cell r="F1192">
            <v>0</v>
          </cell>
          <cell r="H1192">
            <v>657</v>
          </cell>
          <cell r="I1192">
            <v>219000</v>
          </cell>
          <cell r="J1192">
            <v>657</v>
          </cell>
          <cell r="L1192">
            <v>657</v>
          </cell>
        </row>
        <row r="1193">
          <cell r="A1193">
            <v>8225</v>
          </cell>
          <cell r="B1193" t="str">
            <v>Check Hole</v>
          </cell>
          <cell r="C1193" t="str">
            <v>600Ø</v>
          </cell>
          <cell r="D1193" t="str">
            <v>개</v>
          </cell>
          <cell r="E1193">
            <v>188000</v>
          </cell>
          <cell r="F1193">
            <v>0</v>
          </cell>
          <cell r="H1193">
            <v>657</v>
          </cell>
          <cell r="I1193">
            <v>188000</v>
          </cell>
          <cell r="J1193">
            <v>657</v>
          </cell>
          <cell r="L1193">
            <v>657</v>
          </cell>
        </row>
        <row r="1194">
          <cell r="A1194">
            <v>8226</v>
          </cell>
          <cell r="B1194" t="str">
            <v>Check Hole</v>
          </cell>
          <cell r="C1194" t="str">
            <v>500Ø</v>
          </cell>
          <cell r="D1194" t="str">
            <v>개</v>
          </cell>
          <cell r="E1194">
            <v>157000</v>
          </cell>
          <cell r="F1194">
            <v>0</v>
          </cell>
          <cell r="H1194">
            <v>657</v>
          </cell>
          <cell r="I1194">
            <v>157000</v>
          </cell>
          <cell r="J1194">
            <v>657</v>
          </cell>
          <cell r="L1194">
            <v>657</v>
          </cell>
        </row>
        <row r="1195">
          <cell r="A1195">
            <v>8227</v>
          </cell>
          <cell r="B1195" t="str">
            <v>Check Hole</v>
          </cell>
          <cell r="C1195" t="str">
            <v>400Ø</v>
          </cell>
          <cell r="D1195" t="str">
            <v>개</v>
          </cell>
          <cell r="E1195">
            <v>125000</v>
          </cell>
          <cell r="F1195">
            <v>0</v>
          </cell>
          <cell r="H1195">
            <v>657</v>
          </cell>
          <cell r="I1195">
            <v>125000</v>
          </cell>
          <cell r="J1195">
            <v>657</v>
          </cell>
          <cell r="L1195">
            <v>657</v>
          </cell>
        </row>
        <row r="1196">
          <cell r="A1196">
            <v>8228</v>
          </cell>
          <cell r="B1196" t="str">
            <v>Check Hole</v>
          </cell>
          <cell r="C1196" t="str">
            <v>300Ø</v>
          </cell>
          <cell r="D1196" t="str">
            <v>개</v>
          </cell>
          <cell r="E1196">
            <v>93800</v>
          </cell>
          <cell r="F1196">
            <v>0</v>
          </cell>
          <cell r="H1196">
            <v>657</v>
          </cell>
          <cell r="I1196">
            <v>93800</v>
          </cell>
          <cell r="J1196">
            <v>657</v>
          </cell>
          <cell r="L1196">
            <v>657</v>
          </cell>
        </row>
        <row r="1197">
          <cell r="A1197">
            <v>8229</v>
          </cell>
          <cell r="B1197" t="str">
            <v>Check Hole</v>
          </cell>
          <cell r="C1197" t="str">
            <v>200Ø</v>
          </cell>
          <cell r="D1197" t="str">
            <v>개</v>
          </cell>
          <cell r="E1197">
            <v>63100</v>
          </cell>
          <cell r="F1197">
            <v>0</v>
          </cell>
          <cell r="H1197">
            <v>657</v>
          </cell>
          <cell r="I1197">
            <v>63100</v>
          </cell>
          <cell r="J1197">
            <v>657</v>
          </cell>
          <cell r="L1197">
            <v>657</v>
          </cell>
        </row>
        <row r="1198">
          <cell r="A1198">
            <v>8231</v>
          </cell>
          <cell r="B1198" t="str">
            <v>Full Angle Ring</v>
          </cell>
          <cell r="C1198" t="str">
            <v>1,000Ø</v>
          </cell>
          <cell r="D1198" t="str">
            <v>개</v>
          </cell>
          <cell r="E1198">
            <v>88000</v>
          </cell>
          <cell r="F1198">
            <v>0</v>
          </cell>
          <cell r="H1198">
            <v>657</v>
          </cell>
          <cell r="I1198">
            <v>88000</v>
          </cell>
          <cell r="J1198">
            <v>657</v>
          </cell>
          <cell r="L1198">
            <v>657</v>
          </cell>
        </row>
        <row r="1199">
          <cell r="A1199">
            <v>8232</v>
          </cell>
          <cell r="B1199" t="str">
            <v>Full Angle Ring</v>
          </cell>
          <cell r="C1199" t="str">
            <v>900Ø</v>
          </cell>
          <cell r="D1199" t="str">
            <v>개</v>
          </cell>
          <cell r="E1199">
            <v>69100</v>
          </cell>
          <cell r="F1199">
            <v>0</v>
          </cell>
          <cell r="H1199">
            <v>657</v>
          </cell>
          <cell r="I1199">
            <v>69100</v>
          </cell>
          <cell r="J1199">
            <v>657</v>
          </cell>
          <cell r="L1199">
            <v>657</v>
          </cell>
        </row>
        <row r="1200">
          <cell r="A1200">
            <v>8233</v>
          </cell>
          <cell r="B1200" t="str">
            <v>Full Angle Ring</v>
          </cell>
          <cell r="C1200" t="str">
            <v>800Ø</v>
          </cell>
          <cell r="D1200" t="str">
            <v>개</v>
          </cell>
          <cell r="E1200">
            <v>59800</v>
          </cell>
          <cell r="F1200">
            <v>0</v>
          </cell>
          <cell r="H1200">
            <v>657</v>
          </cell>
          <cell r="I1200">
            <v>59800</v>
          </cell>
          <cell r="J1200">
            <v>657</v>
          </cell>
          <cell r="L1200">
            <v>657</v>
          </cell>
        </row>
        <row r="1201">
          <cell r="A1201">
            <v>8234</v>
          </cell>
          <cell r="B1201" t="str">
            <v>Full Angle Ring</v>
          </cell>
          <cell r="C1201" t="str">
            <v>700Ø</v>
          </cell>
          <cell r="D1201" t="str">
            <v>개</v>
          </cell>
          <cell r="E1201">
            <v>53800</v>
          </cell>
          <cell r="F1201">
            <v>0</v>
          </cell>
          <cell r="H1201">
            <v>657</v>
          </cell>
          <cell r="I1201">
            <v>53800</v>
          </cell>
          <cell r="J1201">
            <v>657</v>
          </cell>
          <cell r="L1201">
            <v>657</v>
          </cell>
        </row>
        <row r="1202">
          <cell r="A1202">
            <v>8235</v>
          </cell>
          <cell r="B1202" t="str">
            <v>Full Angle Ring</v>
          </cell>
          <cell r="C1202" t="str">
            <v>600Ø</v>
          </cell>
          <cell r="D1202" t="str">
            <v>개</v>
          </cell>
          <cell r="E1202">
            <v>47200</v>
          </cell>
          <cell r="F1202">
            <v>0</v>
          </cell>
          <cell r="H1202">
            <v>657</v>
          </cell>
          <cell r="I1202">
            <v>47200</v>
          </cell>
          <cell r="J1202">
            <v>657</v>
          </cell>
          <cell r="L1202">
            <v>657</v>
          </cell>
        </row>
        <row r="1203">
          <cell r="A1203">
            <v>8236</v>
          </cell>
          <cell r="B1203" t="str">
            <v>Full Angle Ring</v>
          </cell>
          <cell r="C1203" t="str">
            <v>500Ø</v>
          </cell>
          <cell r="D1203" t="str">
            <v>개</v>
          </cell>
          <cell r="E1203">
            <v>41200</v>
          </cell>
          <cell r="F1203">
            <v>0</v>
          </cell>
          <cell r="H1203">
            <v>657</v>
          </cell>
          <cell r="I1203">
            <v>41200</v>
          </cell>
          <cell r="J1203">
            <v>657</v>
          </cell>
          <cell r="L1203">
            <v>657</v>
          </cell>
        </row>
        <row r="1204">
          <cell r="A1204">
            <v>8237</v>
          </cell>
          <cell r="B1204" t="str">
            <v>Full Angle Ring</v>
          </cell>
          <cell r="C1204" t="str">
            <v>400Ø</v>
          </cell>
          <cell r="D1204" t="str">
            <v>개</v>
          </cell>
          <cell r="E1204">
            <v>35900</v>
          </cell>
          <cell r="F1204">
            <v>0</v>
          </cell>
          <cell r="H1204">
            <v>657</v>
          </cell>
          <cell r="I1204">
            <v>35900</v>
          </cell>
          <cell r="J1204">
            <v>657</v>
          </cell>
          <cell r="L1204">
            <v>657</v>
          </cell>
        </row>
        <row r="1205">
          <cell r="A1205">
            <v>8238</v>
          </cell>
          <cell r="B1205" t="str">
            <v>Full Angle Ring</v>
          </cell>
          <cell r="C1205" t="str">
            <v>300Ø</v>
          </cell>
          <cell r="D1205" t="str">
            <v>개</v>
          </cell>
          <cell r="E1205">
            <v>29900</v>
          </cell>
          <cell r="F1205">
            <v>0</v>
          </cell>
          <cell r="H1205">
            <v>657</v>
          </cell>
          <cell r="I1205">
            <v>29900</v>
          </cell>
          <cell r="J1205">
            <v>657</v>
          </cell>
          <cell r="L1205">
            <v>657</v>
          </cell>
        </row>
        <row r="1206">
          <cell r="A1206">
            <v>8239</v>
          </cell>
          <cell r="B1206" t="str">
            <v>Full Angle Ring</v>
          </cell>
          <cell r="C1206" t="str">
            <v>200Ø</v>
          </cell>
          <cell r="D1206" t="str">
            <v>개</v>
          </cell>
          <cell r="E1206">
            <v>23200</v>
          </cell>
          <cell r="F1206">
            <v>0</v>
          </cell>
          <cell r="H1206">
            <v>657</v>
          </cell>
          <cell r="I1206">
            <v>23200</v>
          </cell>
          <cell r="J1206">
            <v>657</v>
          </cell>
          <cell r="L1206">
            <v>657</v>
          </cell>
        </row>
        <row r="1207">
          <cell r="A1207">
            <v>8241</v>
          </cell>
          <cell r="B1207" t="str">
            <v>Flange Adapter</v>
          </cell>
          <cell r="C1207" t="str">
            <v>1,000Ø</v>
          </cell>
          <cell r="D1207" t="str">
            <v>개</v>
          </cell>
          <cell r="E1207">
            <v>394000</v>
          </cell>
          <cell r="F1207">
            <v>0</v>
          </cell>
          <cell r="H1207">
            <v>657</v>
          </cell>
          <cell r="I1207">
            <v>394000</v>
          </cell>
          <cell r="J1207">
            <v>657</v>
          </cell>
          <cell r="L1207">
            <v>657</v>
          </cell>
        </row>
        <row r="1208">
          <cell r="A1208">
            <v>8242</v>
          </cell>
          <cell r="B1208" t="str">
            <v>Flange Adapter</v>
          </cell>
          <cell r="C1208" t="str">
            <v>900Ø</v>
          </cell>
          <cell r="D1208" t="str">
            <v>개</v>
          </cell>
          <cell r="E1208">
            <v>272000</v>
          </cell>
          <cell r="F1208">
            <v>0</v>
          </cell>
          <cell r="H1208">
            <v>657</v>
          </cell>
          <cell r="I1208">
            <v>272000</v>
          </cell>
          <cell r="J1208">
            <v>657</v>
          </cell>
          <cell r="L1208">
            <v>657</v>
          </cell>
        </row>
        <row r="1209">
          <cell r="A1209">
            <v>8243</v>
          </cell>
          <cell r="B1209" t="str">
            <v>Flange Adapter</v>
          </cell>
          <cell r="C1209" t="str">
            <v>800Ø</v>
          </cell>
          <cell r="D1209" t="str">
            <v>개</v>
          </cell>
          <cell r="E1209">
            <v>228000</v>
          </cell>
          <cell r="F1209">
            <v>0</v>
          </cell>
          <cell r="H1209">
            <v>657</v>
          </cell>
          <cell r="I1209">
            <v>228000</v>
          </cell>
          <cell r="J1209">
            <v>657</v>
          </cell>
          <cell r="L1209">
            <v>657</v>
          </cell>
        </row>
        <row r="1210">
          <cell r="A1210">
            <v>8244</v>
          </cell>
          <cell r="B1210" t="str">
            <v>Flange Adapter</v>
          </cell>
          <cell r="C1210" t="str">
            <v>700Ø</v>
          </cell>
          <cell r="D1210" t="str">
            <v>개</v>
          </cell>
          <cell r="E1210">
            <v>189000</v>
          </cell>
          <cell r="F1210">
            <v>0</v>
          </cell>
          <cell r="H1210">
            <v>657</v>
          </cell>
          <cell r="I1210">
            <v>189000</v>
          </cell>
          <cell r="J1210">
            <v>657</v>
          </cell>
          <cell r="L1210">
            <v>657</v>
          </cell>
        </row>
        <row r="1211">
          <cell r="A1211">
            <v>8245</v>
          </cell>
          <cell r="B1211" t="str">
            <v>Flange Adapter</v>
          </cell>
          <cell r="C1211" t="str">
            <v>600Ø</v>
          </cell>
          <cell r="D1211" t="str">
            <v>개</v>
          </cell>
          <cell r="E1211">
            <v>150000</v>
          </cell>
          <cell r="F1211">
            <v>0</v>
          </cell>
          <cell r="H1211">
            <v>657</v>
          </cell>
          <cell r="I1211">
            <v>150000</v>
          </cell>
          <cell r="J1211">
            <v>657</v>
          </cell>
          <cell r="L1211">
            <v>657</v>
          </cell>
        </row>
        <row r="1212">
          <cell r="A1212">
            <v>8246</v>
          </cell>
          <cell r="B1212" t="str">
            <v>Flange Adapter</v>
          </cell>
          <cell r="C1212" t="str">
            <v>500Ø</v>
          </cell>
          <cell r="D1212" t="str">
            <v>개</v>
          </cell>
          <cell r="E1212">
            <v>136000</v>
          </cell>
          <cell r="F1212">
            <v>0</v>
          </cell>
          <cell r="H1212">
            <v>657</v>
          </cell>
          <cell r="I1212">
            <v>136000</v>
          </cell>
          <cell r="J1212">
            <v>657</v>
          </cell>
          <cell r="L1212">
            <v>657</v>
          </cell>
        </row>
        <row r="1213">
          <cell r="A1213">
            <v>8247</v>
          </cell>
          <cell r="B1213" t="str">
            <v>Flange Adapter</v>
          </cell>
          <cell r="C1213" t="str">
            <v>400Ø</v>
          </cell>
          <cell r="D1213" t="str">
            <v>개</v>
          </cell>
          <cell r="E1213">
            <v>99000</v>
          </cell>
          <cell r="F1213">
            <v>0</v>
          </cell>
          <cell r="H1213">
            <v>657</v>
          </cell>
          <cell r="I1213">
            <v>99000</v>
          </cell>
          <cell r="J1213">
            <v>657</v>
          </cell>
          <cell r="L1213">
            <v>657</v>
          </cell>
        </row>
        <row r="1214">
          <cell r="A1214">
            <v>8248</v>
          </cell>
          <cell r="B1214" t="str">
            <v>Flange Adapter</v>
          </cell>
          <cell r="C1214" t="str">
            <v>300Ø</v>
          </cell>
          <cell r="D1214" t="str">
            <v>개</v>
          </cell>
          <cell r="E1214">
            <v>72400</v>
          </cell>
          <cell r="F1214">
            <v>0</v>
          </cell>
          <cell r="H1214">
            <v>657</v>
          </cell>
          <cell r="I1214">
            <v>72400</v>
          </cell>
          <cell r="J1214">
            <v>657</v>
          </cell>
          <cell r="L1214">
            <v>657</v>
          </cell>
        </row>
        <row r="1215">
          <cell r="A1215">
            <v>8249</v>
          </cell>
          <cell r="B1215" t="str">
            <v>Flange Adapter</v>
          </cell>
          <cell r="C1215" t="str">
            <v>200Ø</v>
          </cell>
          <cell r="D1215" t="str">
            <v>개</v>
          </cell>
          <cell r="E1215">
            <v>49800</v>
          </cell>
          <cell r="F1215">
            <v>0</v>
          </cell>
          <cell r="H1215">
            <v>657</v>
          </cell>
          <cell r="I1215">
            <v>49800</v>
          </cell>
          <cell r="J1215">
            <v>657</v>
          </cell>
          <cell r="L1215">
            <v>657</v>
          </cell>
        </row>
        <row r="1216">
          <cell r="A1216">
            <v>8251</v>
          </cell>
          <cell r="B1216" t="str">
            <v>Clamp Flange</v>
          </cell>
          <cell r="C1216" t="str">
            <v>1,000Ø</v>
          </cell>
          <cell r="D1216" t="str">
            <v>개</v>
          </cell>
          <cell r="E1216">
            <v>109000</v>
          </cell>
          <cell r="F1216">
            <v>0</v>
          </cell>
          <cell r="H1216">
            <v>657</v>
          </cell>
          <cell r="I1216">
            <v>109000</v>
          </cell>
          <cell r="J1216">
            <v>657</v>
          </cell>
          <cell r="L1216">
            <v>657</v>
          </cell>
        </row>
        <row r="1217">
          <cell r="A1217">
            <v>8252</v>
          </cell>
          <cell r="B1217" t="str">
            <v>Clamp Flange</v>
          </cell>
          <cell r="C1217" t="str">
            <v>900Ø</v>
          </cell>
          <cell r="D1217" t="str">
            <v>개</v>
          </cell>
          <cell r="E1217">
            <v>89000</v>
          </cell>
          <cell r="F1217">
            <v>0</v>
          </cell>
          <cell r="H1217">
            <v>657</v>
          </cell>
          <cell r="I1217">
            <v>89000</v>
          </cell>
          <cell r="J1217">
            <v>657</v>
          </cell>
          <cell r="L1217">
            <v>657</v>
          </cell>
        </row>
        <row r="1218">
          <cell r="A1218">
            <v>8253</v>
          </cell>
          <cell r="B1218" t="str">
            <v>Clamp Flange</v>
          </cell>
          <cell r="C1218" t="str">
            <v>800Ø</v>
          </cell>
          <cell r="D1218" t="str">
            <v>개</v>
          </cell>
          <cell r="E1218">
            <v>81000</v>
          </cell>
          <cell r="F1218">
            <v>0</v>
          </cell>
          <cell r="H1218">
            <v>657</v>
          </cell>
          <cell r="I1218">
            <v>81000</v>
          </cell>
          <cell r="J1218">
            <v>657</v>
          </cell>
          <cell r="L1218">
            <v>657</v>
          </cell>
        </row>
        <row r="1219">
          <cell r="A1219">
            <v>8254</v>
          </cell>
          <cell r="B1219" t="str">
            <v>Clamp Flange</v>
          </cell>
          <cell r="C1219" t="str">
            <v>700Ø</v>
          </cell>
          <cell r="D1219" t="str">
            <v>개</v>
          </cell>
          <cell r="E1219">
            <v>73000</v>
          </cell>
          <cell r="F1219">
            <v>0</v>
          </cell>
          <cell r="H1219">
            <v>657</v>
          </cell>
          <cell r="I1219">
            <v>73000</v>
          </cell>
          <cell r="J1219">
            <v>657</v>
          </cell>
          <cell r="L1219">
            <v>657</v>
          </cell>
        </row>
        <row r="1220">
          <cell r="A1220">
            <v>8255</v>
          </cell>
          <cell r="B1220" t="str">
            <v>Clamp Flange</v>
          </cell>
          <cell r="C1220" t="str">
            <v>600Ø</v>
          </cell>
          <cell r="D1220" t="str">
            <v>개</v>
          </cell>
          <cell r="E1220">
            <v>64500</v>
          </cell>
          <cell r="F1220">
            <v>0</v>
          </cell>
          <cell r="H1220">
            <v>657</v>
          </cell>
          <cell r="I1220">
            <v>64500</v>
          </cell>
          <cell r="J1220">
            <v>657</v>
          </cell>
          <cell r="L1220">
            <v>657</v>
          </cell>
        </row>
        <row r="1221">
          <cell r="A1221">
            <v>8256</v>
          </cell>
          <cell r="B1221" t="str">
            <v>Clamp Flange</v>
          </cell>
          <cell r="C1221" t="str">
            <v>500Ø</v>
          </cell>
          <cell r="D1221" t="str">
            <v>개</v>
          </cell>
          <cell r="E1221">
            <v>56500</v>
          </cell>
          <cell r="F1221">
            <v>0</v>
          </cell>
          <cell r="H1221">
            <v>657</v>
          </cell>
          <cell r="I1221">
            <v>56500</v>
          </cell>
          <cell r="J1221">
            <v>657</v>
          </cell>
          <cell r="L1221">
            <v>657</v>
          </cell>
        </row>
        <row r="1222">
          <cell r="A1222">
            <v>8257</v>
          </cell>
          <cell r="B1222" t="str">
            <v>Clamp Flange</v>
          </cell>
          <cell r="C1222" t="str">
            <v>400Ø</v>
          </cell>
          <cell r="D1222" t="str">
            <v>개</v>
          </cell>
          <cell r="E1222">
            <v>47200</v>
          </cell>
          <cell r="F1222">
            <v>0</v>
          </cell>
          <cell r="H1222">
            <v>657</v>
          </cell>
          <cell r="I1222">
            <v>47200</v>
          </cell>
          <cell r="J1222">
            <v>657</v>
          </cell>
          <cell r="L1222">
            <v>657</v>
          </cell>
        </row>
        <row r="1223">
          <cell r="A1223">
            <v>8258</v>
          </cell>
          <cell r="B1223" t="str">
            <v>Clamp Flange</v>
          </cell>
          <cell r="C1223" t="str">
            <v>300Ø</v>
          </cell>
          <cell r="D1223" t="str">
            <v>개</v>
          </cell>
          <cell r="E1223">
            <v>38500</v>
          </cell>
          <cell r="F1223">
            <v>0</v>
          </cell>
          <cell r="H1223">
            <v>657</v>
          </cell>
          <cell r="I1223">
            <v>38500</v>
          </cell>
          <cell r="J1223">
            <v>657</v>
          </cell>
          <cell r="L1223">
            <v>657</v>
          </cell>
        </row>
        <row r="1224">
          <cell r="A1224">
            <v>8259</v>
          </cell>
          <cell r="B1224" t="str">
            <v>Clamp Flange</v>
          </cell>
          <cell r="C1224" t="str">
            <v>200Ø</v>
          </cell>
          <cell r="D1224" t="str">
            <v>개</v>
          </cell>
          <cell r="E1224">
            <v>27900</v>
          </cell>
          <cell r="F1224">
            <v>0</v>
          </cell>
          <cell r="H1224">
            <v>657</v>
          </cell>
          <cell r="I1224">
            <v>27900</v>
          </cell>
          <cell r="J1224">
            <v>657</v>
          </cell>
          <cell r="L1224">
            <v>657</v>
          </cell>
        </row>
        <row r="1225">
          <cell r="A1225">
            <v>8261</v>
          </cell>
          <cell r="B1225" t="str">
            <v>45˚Fixed Elbow</v>
          </cell>
          <cell r="C1225" t="str">
            <v>1,000Ø</v>
          </cell>
          <cell r="D1225" t="str">
            <v>개</v>
          </cell>
          <cell r="E1225">
            <v>571000</v>
          </cell>
          <cell r="F1225">
            <v>0</v>
          </cell>
          <cell r="H1225">
            <v>657</v>
          </cell>
          <cell r="I1225">
            <v>571000</v>
          </cell>
          <cell r="J1225">
            <v>657</v>
          </cell>
          <cell r="L1225">
            <v>657</v>
          </cell>
        </row>
        <row r="1226">
          <cell r="A1226">
            <v>8262</v>
          </cell>
          <cell r="B1226" t="str">
            <v>45˚Fixed Elbow</v>
          </cell>
          <cell r="C1226" t="str">
            <v>900Ø</v>
          </cell>
          <cell r="D1226" t="str">
            <v>개</v>
          </cell>
          <cell r="E1226">
            <v>348000</v>
          </cell>
          <cell r="F1226">
            <v>0</v>
          </cell>
          <cell r="H1226">
            <v>657</v>
          </cell>
          <cell r="I1226">
            <v>348000</v>
          </cell>
          <cell r="J1226">
            <v>657</v>
          </cell>
          <cell r="L1226">
            <v>657</v>
          </cell>
        </row>
        <row r="1227">
          <cell r="A1227">
            <v>8263</v>
          </cell>
          <cell r="B1227" t="str">
            <v>45˚Fixed Elbow</v>
          </cell>
          <cell r="C1227" t="str">
            <v>800Ø</v>
          </cell>
          <cell r="D1227" t="str">
            <v>개</v>
          </cell>
          <cell r="E1227">
            <v>294000</v>
          </cell>
          <cell r="F1227">
            <v>0</v>
          </cell>
          <cell r="H1227">
            <v>657</v>
          </cell>
          <cell r="I1227">
            <v>294000</v>
          </cell>
          <cell r="J1227">
            <v>657</v>
          </cell>
          <cell r="L1227">
            <v>657</v>
          </cell>
        </row>
        <row r="1228">
          <cell r="A1228">
            <v>8264</v>
          </cell>
          <cell r="B1228" t="str">
            <v>45˚Fixed Elbow</v>
          </cell>
          <cell r="C1228" t="str">
            <v>700Ø</v>
          </cell>
          <cell r="D1228" t="str">
            <v>개</v>
          </cell>
          <cell r="E1228">
            <v>246000</v>
          </cell>
          <cell r="F1228">
            <v>0</v>
          </cell>
          <cell r="H1228">
            <v>657</v>
          </cell>
          <cell r="I1228">
            <v>246000</v>
          </cell>
          <cell r="J1228">
            <v>657</v>
          </cell>
          <cell r="L1228">
            <v>657</v>
          </cell>
        </row>
        <row r="1229">
          <cell r="A1229">
            <v>8265</v>
          </cell>
          <cell r="B1229" t="str">
            <v>45˚Fixed Elbow</v>
          </cell>
          <cell r="C1229" t="str">
            <v>600Ø</v>
          </cell>
          <cell r="D1229" t="str">
            <v>개</v>
          </cell>
          <cell r="E1229">
            <v>209000</v>
          </cell>
          <cell r="F1229">
            <v>0</v>
          </cell>
          <cell r="H1229">
            <v>657</v>
          </cell>
          <cell r="I1229">
            <v>209000</v>
          </cell>
          <cell r="J1229">
            <v>657</v>
          </cell>
          <cell r="L1229">
            <v>657</v>
          </cell>
        </row>
        <row r="1230">
          <cell r="A1230">
            <v>8266</v>
          </cell>
          <cell r="B1230" t="str">
            <v>45˚Fixed Elbow</v>
          </cell>
          <cell r="C1230" t="str">
            <v>500Ø</v>
          </cell>
          <cell r="D1230" t="str">
            <v>개</v>
          </cell>
          <cell r="E1230">
            <v>174000</v>
          </cell>
          <cell r="F1230">
            <v>0</v>
          </cell>
          <cell r="H1230">
            <v>657</v>
          </cell>
          <cell r="I1230">
            <v>174000</v>
          </cell>
          <cell r="J1230">
            <v>657</v>
          </cell>
          <cell r="L1230">
            <v>657</v>
          </cell>
        </row>
        <row r="1231">
          <cell r="A1231">
            <v>8267</v>
          </cell>
          <cell r="B1231" t="str">
            <v>45˚Fixed Elbow</v>
          </cell>
          <cell r="C1231" t="str">
            <v>400Ø</v>
          </cell>
          <cell r="D1231" t="str">
            <v>개</v>
          </cell>
          <cell r="E1231">
            <v>138000</v>
          </cell>
          <cell r="F1231">
            <v>0</v>
          </cell>
          <cell r="H1231">
            <v>657</v>
          </cell>
          <cell r="I1231">
            <v>138000</v>
          </cell>
          <cell r="J1231">
            <v>657</v>
          </cell>
          <cell r="L1231">
            <v>657</v>
          </cell>
        </row>
        <row r="1232">
          <cell r="A1232">
            <v>8268</v>
          </cell>
          <cell r="B1232" t="str">
            <v>45˚Fixed Elbow</v>
          </cell>
          <cell r="C1232" t="str">
            <v>300Ø</v>
          </cell>
          <cell r="D1232" t="str">
            <v>개</v>
          </cell>
          <cell r="E1232">
            <v>99000</v>
          </cell>
          <cell r="F1232">
            <v>0</v>
          </cell>
          <cell r="H1232">
            <v>657</v>
          </cell>
          <cell r="I1232">
            <v>99000</v>
          </cell>
          <cell r="J1232">
            <v>657</v>
          </cell>
          <cell r="L1232">
            <v>657</v>
          </cell>
        </row>
        <row r="1233">
          <cell r="A1233">
            <v>8269</v>
          </cell>
          <cell r="B1233" t="str">
            <v>45˚Fixed Elbow</v>
          </cell>
          <cell r="C1233" t="str">
            <v>200Ø</v>
          </cell>
          <cell r="D1233" t="str">
            <v>개</v>
          </cell>
          <cell r="E1233">
            <v>68000</v>
          </cell>
          <cell r="F1233">
            <v>0</v>
          </cell>
          <cell r="H1233">
            <v>657</v>
          </cell>
          <cell r="I1233">
            <v>68000</v>
          </cell>
          <cell r="J1233">
            <v>657</v>
          </cell>
          <cell r="L1233">
            <v>657</v>
          </cell>
        </row>
        <row r="1234">
          <cell r="A1234">
            <v>8271</v>
          </cell>
          <cell r="B1234" t="str">
            <v>45˚Lateral Tee</v>
          </cell>
          <cell r="C1234" t="str">
            <v>1,000Ø</v>
          </cell>
          <cell r="D1234" t="str">
            <v>개</v>
          </cell>
          <cell r="E1234">
            <v>1577000</v>
          </cell>
          <cell r="F1234">
            <v>0</v>
          </cell>
          <cell r="H1234">
            <v>657</v>
          </cell>
          <cell r="I1234">
            <v>1577000</v>
          </cell>
          <cell r="J1234">
            <v>657</v>
          </cell>
          <cell r="L1234">
            <v>657</v>
          </cell>
        </row>
        <row r="1235">
          <cell r="A1235">
            <v>8272</v>
          </cell>
          <cell r="B1235" t="str">
            <v>45˚Lateral Tee</v>
          </cell>
          <cell r="C1235" t="str">
            <v>900Ø</v>
          </cell>
          <cell r="D1235" t="str">
            <v>개</v>
          </cell>
          <cell r="E1235">
            <v>865000</v>
          </cell>
          <cell r="F1235">
            <v>0</v>
          </cell>
          <cell r="H1235">
            <v>657</v>
          </cell>
          <cell r="I1235">
            <v>865000</v>
          </cell>
          <cell r="J1235">
            <v>657</v>
          </cell>
          <cell r="L1235">
            <v>657</v>
          </cell>
        </row>
        <row r="1236">
          <cell r="A1236">
            <v>8273</v>
          </cell>
          <cell r="B1236" t="str">
            <v>45˚Lateral Tee</v>
          </cell>
          <cell r="C1236" t="str">
            <v>800Ø</v>
          </cell>
          <cell r="D1236" t="str">
            <v>개</v>
          </cell>
          <cell r="E1236">
            <v>736000</v>
          </cell>
          <cell r="F1236">
            <v>0</v>
          </cell>
          <cell r="H1236">
            <v>657</v>
          </cell>
          <cell r="I1236">
            <v>736000</v>
          </cell>
          <cell r="J1236">
            <v>657</v>
          </cell>
          <cell r="L1236">
            <v>657</v>
          </cell>
        </row>
        <row r="1237">
          <cell r="A1237">
            <v>8274</v>
          </cell>
          <cell r="B1237" t="str">
            <v>45˚Lateral Tee</v>
          </cell>
          <cell r="C1237" t="str">
            <v>700Ø</v>
          </cell>
          <cell r="D1237" t="str">
            <v>개</v>
          </cell>
          <cell r="E1237">
            <v>638000</v>
          </cell>
          <cell r="F1237">
            <v>0</v>
          </cell>
          <cell r="H1237">
            <v>657</v>
          </cell>
          <cell r="I1237">
            <v>638000</v>
          </cell>
          <cell r="J1237">
            <v>657</v>
          </cell>
          <cell r="L1237">
            <v>657</v>
          </cell>
        </row>
        <row r="1238">
          <cell r="A1238">
            <v>8275</v>
          </cell>
          <cell r="B1238" t="str">
            <v>45˚Lateral Tee</v>
          </cell>
          <cell r="C1238" t="str">
            <v>600Ø</v>
          </cell>
          <cell r="D1238" t="str">
            <v>개</v>
          </cell>
          <cell r="E1238">
            <v>523000</v>
          </cell>
          <cell r="F1238">
            <v>0</v>
          </cell>
          <cell r="H1238">
            <v>657</v>
          </cell>
          <cell r="I1238">
            <v>523000</v>
          </cell>
          <cell r="J1238">
            <v>657</v>
          </cell>
          <cell r="L1238">
            <v>657</v>
          </cell>
        </row>
        <row r="1239">
          <cell r="A1239">
            <v>8276</v>
          </cell>
          <cell r="B1239" t="str">
            <v>45˚Lateral Tee</v>
          </cell>
          <cell r="C1239" t="str">
            <v>500Ø</v>
          </cell>
          <cell r="D1239" t="str">
            <v>개</v>
          </cell>
          <cell r="E1239">
            <v>399000</v>
          </cell>
          <cell r="F1239">
            <v>0</v>
          </cell>
          <cell r="H1239">
            <v>657</v>
          </cell>
          <cell r="I1239">
            <v>399000</v>
          </cell>
          <cell r="J1239">
            <v>657</v>
          </cell>
          <cell r="L1239">
            <v>657</v>
          </cell>
        </row>
        <row r="1240">
          <cell r="A1240">
            <v>8277</v>
          </cell>
          <cell r="B1240" t="str">
            <v>45˚Lateral Tee</v>
          </cell>
          <cell r="C1240" t="str">
            <v>400Ø</v>
          </cell>
          <cell r="D1240" t="str">
            <v>개</v>
          </cell>
          <cell r="E1240">
            <v>301000</v>
          </cell>
          <cell r="F1240">
            <v>0</v>
          </cell>
          <cell r="H1240">
            <v>657</v>
          </cell>
          <cell r="I1240">
            <v>301000</v>
          </cell>
          <cell r="J1240">
            <v>657</v>
          </cell>
          <cell r="L1240">
            <v>657</v>
          </cell>
        </row>
        <row r="1241">
          <cell r="A1241">
            <v>8278</v>
          </cell>
          <cell r="B1241" t="str">
            <v>45˚Lateral Tee</v>
          </cell>
          <cell r="C1241" t="str">
            <v>300Ø</v>
          </cell>
          <cell r="D1241" t="str">
            <v>개</v>
          </cell>
          <cell r="E1241">
            <v>223000</v>
          </cell>
          <cell r="F1241">
            <v>0</v>
          </cell>
          <cell r="H1241">
            <v>657</v>
          </cell>
          <cell r="I1241">
            <v>223000</v>
          </cell>
          <cell r="J1241">
            <v>657</v>
          </cell>
          <cell r="L1241">
            <v>657</v>
          </cell>
        </row>
        <row r="1242">
          <cell r="A1242">
            <v>8279</v>
          </cell>
          <cell r="B1242" t="str">
            <v>45˚Lateral Tee</v>
          </cell>
          <cell r="C1242" t="str">
            <v>200Ø</v>
          </cell>
          <cell r="D1242" t="str">
            <v>개</v>
          </cell>
          <cell r="E1242">
            <v>144000</v>
          </cell>
          <cell r="F1242">
            <v>0</v>
          </cell>
          <cell r="H1242">
            <v>657</v>
          </cell>
          <cell r="I1242">
            <v>144000</v>
          </cell>
          <cell r="J1242">
            <v>657</v>
          </cell>
          <cell r="L1242">
            <v>657</v>
          </cell>
        </row>
        <row r="1243">
          <cell r="A1243">
            <v>8281</v>
          </cell>
          <cell r="B1243" t="str">
            <v>Storm Collar</v>
          </cell>
          <cell r="C1243" t="str">
            <v>1,000Ø</v>
          </cell>
          <cell r="D1243" t="str">
            <v>개</v>
          </cell>
          <cell r="E1243">
            <v>77000</v>
          </cell>
          <cell r="F1243">
            <v>0</v>
          </cell>
          <cell r="H1243">
            <v>657</v>
          </cell>
          <cell r="I1243">
            <v>77000</v>
          </cell>
          <cell r="J1243">
            <v>657</v>
          </cell>
          <cell r="L1243">
            <v>657</v>
          </cell>
        </row>
        <row r="1244">
          <cell r="A1244">
            <v>8282</v>
          </cell>
          <cell r="B1244" t="str">
            <v>Storm Collar</v>
          </cell>
          <cell r="C1244" t="str">
            <v>900Ø</v>
          </cell>
          <cell r="D1244" t="str">
            <v>개</v>
          </cell>
          <cell r="E1244">
            <v>40500</v>
          </cell>
          <cell r="F1244">
            <v>0</v>
          </cell>
          <cell r="H1244">
            <v>657</v>
          </cell>
          <cell r="I1244">
            <v>40500</v>
          </cell>
          <cell r="J1244">
            <v>657</v>
          </cell>
          <cell r="L1244">
            <v>657</v>
          </cell>
        </row>
        <row r="1245">
          <cell r="A1245">
            <v>8283</v>
          </cell>
          <cell r="B1245" t="str">
            <v>Storm Collar</v>
          </cell>
          <cell r="C1245" t="str">
            <v>800Ø</v>
          </cell>
          <cell r="D1245" t="str">
            <v>개</v>
          </cell>
          <cell r="E1245">
            <v>37200</v>
          </cell>
          <cell r="F1245">
            <v>0</v>
          </cell>
          <cell r="H1245">
            <v>657</v>
          </cell>
          <cell r="I1245">
            <v>37200</v>
          </cell>
          <cell r="J1245">
            <v>657</v>
          </cell>
          <cell r="L1245">
            <v>657</v>
          </cell>
        </row>
        <row r="1246">
          <cell r="A1246">
            <v>8284</v>
          </cell>
          <cell r="B1246" t="str">
            <v>Storm Collar</v>
          </cell>
          <cell r="C1246" t="str">
            <v>700Ø</v>
          </cell>
          <cell r="D1246" t="str">
            <v>개</v>
          </cell>
          <cell r="E1246">
            <v>31900</v>
          </cell>
          <cell r="F1246">
            <v>0</v>
          </cell>
          <cell r="H1246">
            <v>657</v>
          </cell>
          <cell r="I1246">
            <v>31900</v>
          </cell>
          <cell r="J1246">
            <v>657</v>
          </cell>
          <cell r="L1246">
            <v>657</v>
          </cell>
        </row>
        <row r="1247">
          <cell r="A1247">
            <v>8285</v>
          </cell>
          <cell r="B1247" t="str">
            <v>Storm Collar</v>
          </cell>
          <cell r="C1247" t="str">
            <v>600Ø</v>
          </cell>
          <cell r="D1247" t="str">
            <v>개</v>
          </cell>
          <cell r="E1247">
            <v>27900</v>
          </cell>
          <cell r="F1247">
            <v>0</v>
          </cell>
          <cell r="H1247">
            <v>657</v>
          </cell>
          <cell r="I1247">
            <v>27900</v>
          </cell>
          <cell r="J1247">
            <v>657</v>
          </cell>
          <cell r="L1247">
            <v>657</v>
          </cell>
        </row>
        <row r="1248">
          <cell r="A1248">
            <v>8286</v>
          </cell>
          <cell r="B1248" t="str">
            <v>Storm Collar</v>
          </cell>
          <cell r="C1248" t="str">
            <v>500Ø</v>
          </cell>
          <cell r="D1248" t="str">
            <v>개</v>
          </cell>
          <cell r="E1248">
            <v>23200</v>
          </cell>
          <cell r="F1248">
            <v>0</v>
          </cell>
          <cell r="H1248">
            <v>657</v>
          </cell>
          <cell r="I1248">
            <v>23200</v>
          </cell>
          <cell r="J1248">
            <v>657</v>
          </cell>
          <cell r="L1248">
            <v>657</v>
          </cell>
        </row>
        <row r="1249">
          <cell r="A1249">
            <v>8287</v>
          </cell>
          <cell r="B1249" t="str">
            <v>Storm Collar</v>
          </cell>
          <cell r="C1249" t="str">
            <v>400Ø</v>
          </cell>
          <cell r="D1249" t="str">
            <v>개</v>
          </cell>
          <cell r="E1249">
            <v>19200</v>
          </cell>
          <cell r="F1249">
            <v>0</v>
          </cell>
          <cell r="H1249">
            <v>657</v>
          </cell>
          <cell r="I1249">
            <v>19200</v>
          </cell>
          <cell r="J1249">
            <v>657</v>
          </cell>
          <cell r="L1249">
            <v>657</v>
          </cell>
        </row>
        <row r="1250">
          <cell r="A1250">
            <v>8288</v>
          </cell>
          <cell r="B1250" t="str">
            <v>Storm Collar</v>
          </cell>
          <cell r="C1250" t="str">
            <v>300Ø</v>
          </cell>
          <cell r="D1250" t="str">
            <v>개</v>
          </cell>
          <cell r="E1250">
            <v>15900</v>
          </cell>
          <cell r="F1250">
            <v>0</v>
          </cell>
          <cell r="H1250">
            <v>657</v>
          </cell>
          <cell r="I1250">
            <v>15900</v>
          </cell>
          <cell r="J1250">
            <v>657</v>
          </cell>
          <cell r="L1250">
            <v>657</v>
          </cell>
        </row>
        <row r="1251">
          <cell r="A1251">
            <v>8289</v>
          </cell>
          <cell r="B1251" t="str">
            <v>Storm Collar</v>
          </cell>
          <cell r="C1251" t="str">
            <v>200Ø</v>
          </cell>
          <cell r="D1251" t="str">
            <v>개</v>
          </cell>
          <cell r="E1251">
            <v>10600</v>
          </cell>
          <cell r="F1251">
            <v>0</v>
          </cell>
          <cell r="H1251">
            <v>657</v>
          </cell>
          <cell r="I1251">
            <v>10600</v>
          </cell>
          <cell r="J1251">
            <v>657</v>
          </cell>
          <cell r="L1251">
            <v>657</v>
          </cell>
        </row>
        <row r="1252">
          <cell r="A1252">
            <v>8291</v>
          </cell>
          <cell r="B1252" t="str">
            <v>Stack Cap</v>
          </cell>
          <cell r="C1252" t="str">
            <v>1,000Ø</v>
          </cell>
          <cell r="D1252" t="str">
            <v>개</v>
          </cell>
          <cell r="E1252">
            <v>571000</v>
          </cell>
          <cell r="F1252">
            <v>0</v>
          </cell>
          <cell r="H1252">
            <v>657</v>
          </cell>
          <cell r="I1252">
            <v>571000</v>
          </cell>
          <cell r="J1252">
            <v>657</v>
          </cell>
          <cell r="L1252">
            <v>657</v>
          </cell>
        </row>
        <row r="1253">
          <cell r="A1253">
            <v>8292</v>
          </cell>
          <cell r="B1253" t="str">
            <v>Stack Cap</v>
          </cell>
          <cell r="C1253" t="str">
            <v>900Ø</v>
          </cell>
          <cell r="D1253" t="str">
            <v>개</v>
          </cell>
          <cell r="E1253">
            <v>491000</v>
          </cell>
          <cell r="F1253">
            <v>0</v>
          </cell>
          <cell r="H1253">
            <v>657</v>
          </cell>
          <cell r="I1253">
            <v>491000</v>
          </cell>
          <cell r="J1253">
            <v>657</v>
          </cell>
          <cell r="L1253">
            <v>657</v>
          </cell>
        </row>
        <row r="1254">
          <cell r="A1254">
            <v>8293</v>
          </cell>
          <cell r="B1254" t="str">
            <v>Stack Cap</v>
          </cell>
          <cell r="C1254" t="str">
            <v>800Ø</v>
          </cell>
          <cell r="D1254" t="str">
            <v>개</v>
          </cell>
          <cell r="E1254">
            <v>414000</v>
          </cell>
          <cell r="F1254">
            <v>0</v>
          </cell>
          <cell r="H1254">
            <v>657</v>
          </cell>
          <cell r="I1254">
            <v>414000</v>
          </cell>
          <cell r="J1254">
            <v>657</v>
          </cell>
          <cell r="L1254">
            <v>657</v>
          </cell>
        </row>
        <row r="1255">
          <cell r="A1255">
            <v>8294</v>
          </cell>
          <cell r="B1255" t="str">
            <v>Stack Cap</v>
          </cell>
          <cell r="C1255" t="str">
            <v>700Ø</v>
          </cell>
          <cell r="D1255" t="str">
            <v>개</v>
          </cell>
          <cell r="E1255">
            <v>365000</v>
          </cell>
          <cell r="F1255">
            <v>0</v>
          </cell>
          <cell r="H1255">
            <v>657</v>
          </cell>
          <cell r="I1255">
            <v>365000</v>
          </cell>
          <cell r="J1255">
            <v>657</v>
          </cell>
          <cell r="L1255">
            <v>657</v>
          </cell>
        </row>
        <row r="1256">
          <cell r="A1256">
            <v>8295</v>
          </cell>
          <cell r="B1256" t="str">
            <v>Stack Cap</v>
          </cell>
          <cell r="C1256" t="str">
            <v>600Ø</v>
          </cell>
          <cell r="D1256" t="str">
            <v>개</v>
          </cell>
          <cell r="E1256">
            <v>307000</v>
          </cell>
          <cell r="F1256">
            <v>0</v>
          </cell>
          <cell r="H1256">
            <v>657</v>
          </cell>
          <cell r="I1256">
            <v>307000</v>
          </cell>
          <cell r="J1256">
            <v>657</v>
          </cell>
          <cell r="L1256">
            <v>657</v>
          </cell>
        </row>
        <row r="1257">
          <cell r="A1257">
            <v>8296</v>
          </cell>
          <cell r="B1257" t="str">
            <v>Stack Cap</v>
          </cell>
          <cell r="C1257" t="str">
            <v>500Ø</v>
          </cell>
          <cell r="D1257" t="str">
            <v>개</v>
          </cell>
          <cell r="E1257">
            <v>256000</v>
          </cell>
          <cell r="F1257">
            <v>0</v>
          </cell>
          <cell r="H1257">
            <v>657</v>
          </cell>
          <cell r="I1257">
            <v>256000</v>
          </cell>
          <cell r="J1257">
            <v>657</v>
          </cell>
          <cell r="L1257">
            <v>657</v>
          </cell>
        </row>
        <row r="1258">
          <cell r="A1258">
            <v>8297</v>
          </cell>
          <cell r="B1258" t="str">
            <v>Stack Cap</v>
          </cell>
          <cell r="C1258" t="str">
            <v>400Ø</v>
          </cell>
          <cell r="D1258" t="str">
            <v>개</v>
          </cell>
          <cell r="E1258">
            <v>193000</v>
          </cell>
          <cell r="F1258">
            <v>0</v>
          </cell>
          <cell r="H1258">
            <v>657</v>
          </cell>
          <cell r="I1258">
            <v>193000</v>
          </cell>
          <cell r="J1258">
            <v>657</v>
          </cell>
          <cell r="L1258">
            <v>657</v>
          </cell>
        </row>
        <row r="1259">
          <cell r="A1259">
            <v>8298</v>
          </cell>
          <cell r="B1259" t="str">
            <v>Stack Cap</v>
          </cell>
          <cell r="C1259" t="str">
            <v>300Ø</v>
          </cell>
          <cell r="D1259" t="str">
            <v>개</v>
          </cell>
          <cell r="E1259">
            <v>150000</v>
          </cell>
          <cell r="F1259">
            <v>0</v>
          </cell>
          <cell r="H1259">
            <v>657</v>
          </cell>
          <cell r="I1259">
            <v>150000</v>
          </cell>
          <cell r="J1259">
            <v>657</v>
          </cell>
          <cell r="L1259">
            <v>657</v>
          </cell>
        </row>
        <row r="1260">
          <cell r="A1260">
            <v>8299</v>
          </cell>
          <cell r="B1260" t="str">
            <v>Stack Cap</v>
          </cell>
          <cell r="C1260" t="str">
            <v>200Ø</v>
          </cell>
          <cell r="D1260" t="str">
            <v>개</v>
          </cell>
          <cell r="E1260">
            <v>111000</v>
          </cell>
          <cell r="F1260">
            <v>0</v>
          </cell>
          <cell r="H1260">
            <v>657</v>
          </cell>
          <cell r="I1260">
            <v>111000</v>
          </cell>
          <cell r="J1260">
            <v>657</v>
          </cell>
          <cell r="L1260">
            <v>657</v>
          </cell>
        </row>
        <row r="1261">
          <cell r="A1261">
            <v>8301</v>
          </cell>
          <cell r="B1261" t="str">
            <v>Step Increaser</v>
          </cell>
          <cell r="C1261" t="str">
            <v>1,000Ø</v>
          </cell>
          <cell r="D1261" t="str">
            <v>개</v>
          </cell>
          <cell r="E1261">
            <v>339000</v>
          </cell>
          <cell r="F1261">
            <v>0</v>
          </cell>
          <cell r="H1261">
            <v>657</v>
          </cell>
          <cell r="I1261">
            <v>339000</v>
          </cell>
          <cell r="J1261">
            <v>657</v>
          </cell>
          <cell r="L1261">
            <v>657</v>
          </cell>
        </row>
        <row r="1262">
          <cell r="A1262">
            <v>8302</v>
          </cell>
          <cell r="B1262" t="str">
            <v>Step Increaser</v>
          </cell>
          <cell r="C1262" t="str">
            <v>900Ø</v>
          </cell>
          <cell r="D1262" t="str">
            <v>개</v>
          </cell>
          <cell r="E1262">
            <v>199000</v>
          </cell>
          <cell r="F1262">
            <v>0</v>
          </cell>
          <cell r="H1262">
            <v>657</v>
          </cell>
          <cell r="I1262">
            <v>199000</v>
          </cell>
          <cell r="J1262">
            <v>657</v>
          </cell>
          <cell r="L1262">
            <v>657</v>
          </cell>
        </row>
        <row r="1263">
          <cell r="A1263">
            <v>8303</v>
          </cell>
          <cell r="B1263" t="str">
            <v>Step Increaser</v>
          </cell>
          <cell r="C1263" t="str">
            <v>800Ø</v>
          </cell>
          <cell r="D1263" t="str">
            <v>개</v>
          </cell>
          <cell r="E1263">
            <v>176000</v>
          </cell>
          <cell r="F1263">
            <v>0</v>
          </cell>
          <cell r="H1263">
            <v>657</v>
          </cell>
          <cell r="I1263">
            <v>176000</v>
          </cell>
          <cell r="J1263">
            <v>657</v>
          </cell>
          <cell r="L1263">
            <v>657</v>
          </cell>
        </row>
        <row r="1264">
          <cell r="A1264">
            <v>8304</v>
          </cell>
          <cell r="B1264" t="str">
            <v>Step Increaser</v>
          </cell>
          <cell r="C1264" t="str">
            <v>700Ø</v>
          </cell>
          <cell r="D1264" t="str">
            <v>개</v>
          </cell>
          <cell r="E1264">
            <v>153000</v>
          </cell>
          <cell r="F1264">
            <v>0</v>
          </cell>
          <cell r="H1264">
            <v>657</v>
          </cell>
          <cell r="I1264">
            <v>153000</v>
          </cell>
          <cell r="J1264">
            <v>657</v>
          </cell>
          <cell r="L1264">
            <v>657</v>
          </cell>
        </row>
        <row r="1265">
          <cell r="A1265">
            <v>8305</v>
          </cell>
          <cell r="B1265" t="str">
            <v>Step Increaser</v>
          </cell>
          <cell r="C1265" t="str">
            <v>600Ø</v>
          </cell>
          <cell r="D1265" t="str">
            <v>개</v>
          </cell>
          <cell r="E1265">
            <v>133000</v>
          </cell>
          <cell r="F1265">
            <v>0</v>
          </cell>
          <cell r="H1265">
            <v>657</v>
          </cell>
          <cell r="I1265">
            <v>133000</v>
          </cell>
          <cell r="J1265">
            <v>657</v>
          </cell>
          <cell r="L1265">
            <v>657</v>
          </cell>
        </row>
        <row r="1266">
          <cell r="A1266">
            <v>8306</v>
          </cell>
          <cell r="B1266" t="str">
            <v>Step Increaser</v>
          </cell>
          <cell r="C1266" t="str">
            <v>500Ø</v>
          </cell>
          <cell r="D1266" t="str">
            <v>개</v>
          </cell>
          <cell r="E1266">
            <v>121000</v>
          </cell>
          <cell r="F1266">
            <v>0</v>
          </cell>
          <cell r="H1266">
            <v>657</v>
          </cell>
          <cell r="I1266">
            <v>121000</v>
          </cell>
          <cell r="J1266">
            <v>657</v>
          </cell>
          <cell r="L1266">
            <v>657</v>
          </cell>
        </row>
        <row r="1267">
          <cell r="A1267">
            <v>8307</v>
          </cell>
          <cell r="B1267" t="str">
            <v>Step Increaser</v>
          </cell>
          <cell r="C1267" t="str">
            <v>400Ø</v>
          </cell>
          <cell r="D1267" t="str">
            <v>개</v>
          </cell>
          <cell r="E1267">
            <v>89000</v>
          </cell>
          <cell r="F1267">
            <v>0</v>
          </cell>
          <cell r="H1267">
            <v>657</v>
          </cell>
          <cell r="I1267">
            <v>89000</v>
          </cell>
          <cell r="J1267">
            <v>657</v>
          </cell>
          <cell r="L1267">
            <v>657</v>
          </cell>
        </row>
        <row r="1268">
          <cell r="A1268">
            <v>8308</v>
          </cell>
          <cell r="B1268" t="str">
            <v>Step Increaser</v>
          </cell>
          <cell r="C1268" t="str">
            <v>300Ø</v>
          </cell>
          <cell r="D1268" t="str">
            <v>개</v>
          </cell>
          <cell r="E1268">
            <v>60700</v>
          </cell>
          <cell r="F1268">
            <v>0</v>
          </cell>
          <cell r="H1268">
            <v>657</v>
          </cell>
          <cell r="I1268">
            <v>60700</v>
          </cell>
          <cell r="J1268">
            <v>657</v>
          </cell>
          <cell r="L1268">
            <v>657</v>
          </cell>
        </row>
        <row r="1269">
          <cell r="A1269">
            <v>8309</v>
          </cell>
          <cell r="B1269" t="str">
            <v>Step Increaser</v>
          </cell>
          <cell r="C1269" t="str">
            <v>200Ø</v>
          </cell>
          <cell r="D1269" t="str">
            <v>개</v>
          </cell>
          <cell r="E1269">
            <v>52500</v>
          </cell>
          <cell r="F1269">
            <v>0</v>
          </cell>
          <cell r="H1269">
            <v>657</v>
          </cell>
          <cell r="I1269">
            <v>52500</v>
          </cell>
          <cell r="J1269">
            <v>657</v>
          </cell>
          <cell r="L1269">
            <v>657</v>
          </cell>
        </row>
        <row r="1270">
          <cell r="E1270">
            <v>0</v>
          </cell>
        </row>
        <row r="1277">
          <cell r="A1277">
            <v>9001</v>
          </cell>
          <cell r="B1277" t="str">
            <v>인건비</v>
          </cell>
          <cell r="C1277" t="str">
            <v>배관공</v>
          </cell>
          <cell r="D1277" t="str">
            <v>인</v>
          </cell>
          <cell r="E1277">
            <v>0</v>
          </cell>
          <cell r="F1277">
            <v>76823</v>
          </cell>
          <cell r="H1277">
            <v>25</v>
          </cell>
          <cell r="I1277">
            <v>0</v>
          </cell>
          <cell r="J1277">
            <v>25</v>
          </cell>
          <cell r="L1277">
            <v>25</v>
          </cell>
        </row>
        <row r="1278">
          <cell r="A1278">
            <v>9002</v>
          </cell>
          <cell r="B1278" t="str">
            <v>인건비</v>
          </cell>
          <cell r="C1278" t="str">
            <v>위생공</v>
          </cell>
          <cell r="D1278" t="str">
            <v>인</v>
          </cell>
          <cell r="E1278">
            <v>0</v>
          </cell>
          <cell r="F1278">
            <v>67979</v>
          </cell>
          <cell r="H1278">
            <v>26</v>
          </cell>
          <cell r="I1278">
            <v>0</v>
          </cell>
          <cell r="J1278">
            <v>26</v>
          </cell>
          <cell r="L1278">
            <v>26</v>
          </cell>
        </row>
        <row r="1279">
          <cell r="A1279">
            <v>9003</v>
          </cell>
          <cell r="B1279" t="str">
            <v>인건비</v>
          </cell>
          <cell r="C1279" t="str">
            <v>기계설치공</v>
          </cell>
          <cell r="D1279" t="str">
            <v>인</v>
          </cell>
          <cell r="E1279">
            <v>0</v>
          </cell>
          <cell r="F1279">
            <v>67007</v>
          </cell>
          <cell r="H1279">
            <v>88</v>
          </cell>
          <cell r="I1279">
            <v>0</v>
          </cell>
          <cell r="J1279">
            <v>88</v>
          </cell>
          <cell r="L1279">
            <v>88</v>
          </cell>
        </row>
        <row r="1280">
          <cell r="A1280">
            <v>9004</v>
          </cell>
          <cell r="B1280" t="str">
            <v>인건비</v>
          </cell>
          <cell r="C1280" t="str">
            <v>용접공</v>
          </cell>
          <cell r="D1280" t="str">
            <v>인</v>
          </cell>
          <cell r="E1280">
            <v>0</v>
          </cell>
          <cell r="F1280">
            <v>79947</v>
          </cell>
          <cell r="H1280">
            <v>97</v>
          </cell>
          <cell r="I1280">
            <v>0</v>
          </cell>
          <cell r="J1280">
            <v>97</v>
          </cell>
          <cell r="L1280">
            <v>97</v>
          </cell>
        </row>
        <row r="1281">
          <cell r="A1281">
            <v>9005</v>
          </cell>
          <cell r="B1281" t="str">
            <v>인건비</v>
          </cell>
          <cell r="C1281" t="str">
            <v>보온공</v>
          </cell>
          <cell r="D1281" t="str">
            <v>인</v>
          </cell>
          <cell r="E1281">
            <v>0</v>
          </cell>
          <cell r="F1281">
            <v>71545</v>
          </cell>
          <cell r="H1281">
            <v>27</v>
          </cell>
          <cell r="I1281">
            <v>0</v>
          </cell>
          <cell r="J1281">
            <v>27</v>
          </cell>
          <cell r="L1281">
            <v>27</v>
          </cell>
        </row>
        <row r="1282">
          <cell r="A1282">
            <v>9006</v>
          </cell>
          <cell r="B1282" t="str">
            <v>인건비</v>
          </cell>
          <cell r="C1282" t="str">
            <v>특별인부</v>
          </cell>
          <cell r="D1282" t="str">
            <v>인</v>
          </cell>
          <cell r="E1282">
            <v>0</v>
          </cell>
          <cell r="F1282">
            <v>65734</v>
          </cell>
          <cell r="H1282">
            <v>73</v>
          </cell>
          <cell r="I1282">
            <v>0</v>
          </cell>
          <cell r="J1282">
            <v>73</v>
          </cell>
          <cell r="L1282">
            <v>73</v>
          </cell>
        </row>
        <row r="1283">
          <cell r="A1283">
            <v>9007</v>
          </cell>
          <cell r="B1283" t="str">
            <v>인건비</v>
          </cell>
          <cell r="C1283" t="str">
            <v>보통인부</v>
          </cell>
          <cell r="D1283" t="str">
            <v>인</v>
          </cell>
          <cell r="E1283">
            <v>0</v>
          </cell>
          <cell r="F1283">
            <v>50683</v>
          </cell>
          <cell r="H1283">
            <v>74</v>
          </cell>
          <cell r="I1283">
            <v>0</v>
          </cell>
          <cell r="J1283">
            <v>74</v>
          </cell>
          <cell r="L1283">
            <v>74</v>
          </cell>
        </row>
        <row r="1284">
          <cell r="A1284">
            <v>9008</v>
          </cell>
          <cell r="B1284" t="str">
            <v>인건비</v>
          </cell>
          <cell r="C1284" t="str">
            <v>보일러공</v>
          </cell>
          <cell r="D1284" t="str">
            <v>인</v>
          </cell>
          <cell r="E1284">
            <v>0</v>
          </cell>
          <cell r="F1284">
            <v>62087</v>
          </cell>
          <cell r="H1284">
            <v>24</v>
          </cell>
          <cell r="I1284">
            <v>0</v>
          </cell>
          <cell r="J1284">
            <v>24</v>
          </cell>
          <cell r="L1284">
            <v>24</v>
          </cell>
        </row>
        <row r="1285">
          <cell r="A1285">
            <v>9009</v>
          </cell>
          <cell r="B1285" t="str">
            <v>인건비</v>
          </cell>
          <cell r="C1285" t="str">
            <v>도장공</v>
          </cell>
          <cell r="D1285" t="str">
            <v>인</v>
          </cell>
          <cell r="E1285">
            <v>0</v>
          </cell>
          <cell r="F1285">
            <v>79956</v>
          </cell>
          <cell r="H1285">
            <v>28</v>
          </cell>
          <cell r="I1285">
            <v>0</v>
          </cell>
          <cell r="J1285">
            <v>28</v>
          </cell>
          <cell r="L1285">
            <v>28</v>
          </cell>
        </row>
        <row r="1286">
          <cell r="A1286">
            <v>9010</v>
          </cell>
          <cell r="B1286" t="str">
            <v>인건비</v>
          </cell>
          <cell r="C1286" t="str">
            <v>덕트공</v>
          </cell>
          <cell r="D1286" t="str">
            <v>인</v>
          </cell>
          <cell r="E1286">
            <v>0</v>
          </cell>
          <cell r="F1286">
            <v>70033</v>
          </cell>
          <cell r="H1286">
            <v>98</v>
          </cell>
          <cell r="I1286">
            <v>0</v>
          </cell>
          <cell r="J1286">
            <v>98</v>
          </cell>
          <cell r="L1286">
            <v>98</v>
          </cell>
        </row>
        <row r="1287">
          <cell r="A1287">
            <v>9011</v>
          </cell>
          <cell r="B1287" t="str">
            <v>인건비</v>
          </cell>
          <cell r="C1287" t="str">
            <v>줄눈공</v>
          </cell>
          <cell r="D1287" t="str">
            <v>인</v>
          </cell>
          <cell r="E1287">
            <v>0</v>
          </cell>
          <cell r="H1287">
            <v>21</v>
          </cell>
          <cell r="I1287">
            <v>0</v>
          </cell>
          <cell r="J1287">
            <v>21</v>
          </cell>
          <cell r="L1287">
            <v>21</v>
          </cell>
        </row>
        <row r="1288">
          <cell r="A1288">
            <v>9021</v>
          </cell>
          <cell r="B1288" t="str">
            <v>터파기 및 되메우기</v>
          </cell>
          <cell r="C1288" t="str">
            <v>인력</v>
          </cell>
          <cell r="D1288" t="str">
            <v>M³</v>
          </cell>
          <cell r="E1288">
            <v>0</v>
          </cell>
          <cell r="F1288">
            <v>18752</v>
          </cell>
          <cell r="H1288">
            <v>0</v>
          </cell>
          <cell r="I1288">
            <v>0</v>
          </cell>
          <cell r="J1288">
            <v>0</v>
          </cell>
          <cell r="L1288">
            <v>0</v>
          </cell>
        </row>
        <row r="1289">
          <cell r="A1289">
            <v>9022</v>
          </cell>
          <cell r="B1289" t="str">
            <v>터파기 및 되메우기</v>
          </cell>
          <cell r="C1289" t="str">
            <v>기계</v>
          </cell>
          <cell r="D1289" t="str">
            <v>M³</v>
          </cell>
          <cell r="E1289">
            <v>610</v>
          </cell>
          <cell r="F1289">
            <v>570</v>
          </cell>
          <cell r="H1289">
            <v>0</v>
          </cell>
          <cell r="I1289">
            <v>610</v>
          </cell>
          <cell r="J1289">
            <v>0</v>
          </cell>
          <cell r="L1289">
            <v>0</v>
          </cell>
        </row>
        <row r="1290">
          <cell r="A1290">
            <v>9023</v>
          </cell>
          <cell r="B1290" t="str">
            <v>보도용포장파괴</v>
          </cell>
          <cell r="C1290" t="str">
            <v>콘크리트</v>
          </cell>
          <cell r="D1290" t="str">
            <v>M²</v>
          </cell>
          <cell r="E1290">
            <v>235</v>
          </cell>
          <cell r="F1290">
            <v>4697</v>
          </cell>
          <cell r="H1290">
            <v>0</v>
          </cell>
          <cell r="I1290">
            <v>235</v>
          </cell>
          <cell r="J1290">
            <v>0</v>
          </cell>
          <cell r="L1290">
            <v>0</v>
          </cell>
        </row>
        <row r="1291">
          <cell r="A1291">
            <v>9024</v>
          </cell>
          <cell r="B1291" t="str">
            <v>레미콘구입 및 타설</v>
          </cell>
          <cell r="D1291" t="str">
            <v>M³</v>
          </cell>
          <cell r="E1291">
            <v>46182</v>
          </cell>
          <cell r="F1291">
            <v>5321</v>
          </cell>
          <cell r="H1291">
            <v>0</v>
          </cell>
          <cell r="I1291">
            <v>46182</v>
          </cell>
          <cell r="J1291">
            <v>0</v>
          </cell>
          <cell r="L1291">
            <v>0</v>
          </cell>
        </row>
        <row r="1292">
          <cell r="A1292">
            <v>9025</v>
          </cell>
          <cell r="B1292" t="str">
            <v>보도용블럭포장</v>
          </cell>
          <cell r="C1292" t="str">
            <v>30x30x6</v>
          </cell>
          <cell r="D1292" t="str">
            <v>M²</v>
          </cell>
          <cell r="E1292">
            <v>6768</v>
          </cell>
          <cell r="F1292">
            <v>2972</v>
          </cell>
          <cell r="H1292">
            <v>0</v>
          </cell>
          <cell r="I1292">
            <v>6768</v>
          </cell>
          <cell r="J1292">
            <v>0</v>
          </cell>
          <cell r="L1292">
            <v>0</v>
          </cell>
        </row>
        <row r="1293">
          <cell r="A1293">
            <v>9026</v>
          </cell>
          <cell r="B1293" t="str">
            <v>보도블럭파손 및 복구</v>
          </cell>
          <cell r="C1293" t="str">
            <v>인력</v>
          </cell>
          <cell r="D1293" t="str">
            <v>M²</v>
          </cell>
          <cell r="E1293">
            <v>18</v>
          </cell>
          <cell r="F1293">
            <v>6081</v>
          </cell>
          <cell r="H1293">
            <v>0</v>
          </cell>
          <cell r="I1293">
            <v>18</v>
          </cell>
          <cell r="J1293">
            <v>0</v>
          </cell>
          <cell r="L1293">
            <v>0</v>
          </cell>
        </row>
        <row r="1294">
          <cell r="A1294">
            <v>9110</v>
          </cell>
          <cell r="B1294" t="str">
            <v>난연폴리에틸렌보온</v>
          </cell>
          <cell r="C1294" t="str">
            <v>150Øx 40t</v>
          </cell>
          <cell r="D1294" t="str">
            <v>M</v>
          </cell>
          <cell r="H1294">
            <v>0</v>
          </cell>
          <cell r="I1294">
            <v>21818</v>
          </cell>
          <cell r="J1294">
            <v>0</v>
          </cell>
          <cell r="L1294">
            <v>0</v>
          </cell>
        </row>
        <row r="1295">
          <cell r="A1295">
            <v>9111</v>
          </cell>
          <cell r="B1295" t="str">
            <v>난연폴리에틸렌보온</v>
          </cell>
          <cell r="C1295" t="str">
            <v>100Øx 40t</v>
          </cell>
          <cell r="D1295" t="str">
            <v>M</v>
          </cell>
          <cell r="E1295">
            <v>7888</v>
          </cell>
          <cell r="F1295">
            <v>11392</v>
          </cell>
          <cell r="H1295">
            <v>0</v>
          </cell>
          <cell r="I1295">
            <v>8883</v>
          </cell>
          <cell r="J1295">
            <v>0</v>
          </cell>
          <cell r="L1295">
            <v>0</v>
          </cell>
        </row>
        <row r="1296">
          <cell r="A1296">
            <v>9112</v>
          </cell>
          <cell r="B1296" t="str">
            <v>난연폴리에틸렌보온</v>
          </cell>
          <cell r="C1296" t="str">
            <v>80Øx 25t</v>
          </cell>
          <cell r="D1296" t="str">
            <v>M</v>
          </cell>
          <cell r="E1296">
            <v>3568</v>
          </cell>
          <cell r="F1296">
            <v>7371</v>
          </cell>
          <cell r="H1296">
            <v>0</v>
          </cell>
          <cell r="I1296">
            <v>4157</v>
          </cell>
          <cell r="J1296">
            <v>0</v>
          </cell>
          <cell r="L1296">
            <v>0</v>
          </cell>
        </row>
        <row r="1297">
          <cell r="A1297">
            <v>9113</v>
          </cell>
          <cell r="B1297" t="str">
            <v>난연폴리에틸렌보온</v>
          </cell>
          <cell r="C1297" t="str">
            <v>65Øx 25t</v>
          </cell>
          <cell r="D1297" t="str">
            <v>M</v>
          </cell>
          <cell r="E1297">
            <v>3329</v>
          </cell>
          <cell r="F1297">
            <v>6701</v>
          </cell>
          <cell r="H1297">
            <v>0</v>
          </cell>
          <cell r="I1297">
            <v>3605</v>
          </cell>
          <cell r="J1297">
            <v>0</v>
          </cell>
          <cell r="L1297">
            <v>0</v>
          </cell>
        </row>
        <row r="1298">
          <cell r="A1298">
            <v>9114</v>
          </cell>
          <cell r="B1298" t="str">
            <v>난연폴리에틸렌보온</v>
          </cell>
          <cell r="C1298" t="str">
            <v>50Øx 25t</v>
          </cell>
          <cell r="D1298" t="str">
            <v>M</v>
          </cell>
          <cell r="E1298">
            <v>2852</v>
          </cell>
          <cell r="F1298">
            <v>5361</v>
          </cell>
          <cell r="H1298">
            <v>0</v>
          </cell>
          <cell r="I1298">
            <v>3333</v>
          </cell>
          <cell r="J1298">
            <v>0</v>
          </cell>
          <cell r="L1298">
            <v>0</v>
          </cell>
        </row>
        <row r="1299">
          <cell r="A1299">
            <v>9115</v>
          </cell>
          <cell r="B1299" t="str">
            <v>난연폴리에틸렌보온</v>
          </cell>
          <cell r="C1299" t="str">
            <v>40Øx 25t</v>
          </cell>
          <cell r="D1299" t="str">
            <v>M</v>
          </cell>
          <cell r="E1299">
            <v>2562</v>
          </cell>
          <cell r="F1299">
            <v>5361</v>
          </cell>
          <cell r="H1299">
            <v>0</v>
          </cell>
          <cell r="I1299">
            <v>2926</v>
          </cell>
          <cell r="J1299">
            <v>0</v>
          </cell>
          <cell r="L1299">
            <v>0</v>
          </cell>
        </row>
        <row r="1300">
          <cell r="A1300">
            <v>9116</v>
          </cell>
          <cell r="B1300" t="str">
            <v>난연폴리에틸렌보온</v>
          </cell>
          <cell r="C1300" t="str">
            <v>32Øx 25t</v>
          </cell>
          <cell r="D1300" t="str">
            <v>M</v>
          </cell>
          <cell r="E1300">
            <v>2425</v>
          </cell>
          <cell r="F1300">
            <v>5361</v>
          </cell>
          <cell r="H1300">
            <v>0</v>
          </cell>
          <cell r="I1300">
            <v>2750</v>
          </cell>
          <cell r="J1300">
            <v>0</v>
          </cell>
          <cell r="L1300">
            <v>0</v>
          </cell>
        </row>
        <row r="1301">
          <cell r="A1301">
            <v>9117</v>
          </cell>
          <cell r="B1301" t="str">
            <v>난연폴리에틸렌보온</v>
          </cell>
          <cell r="C1301" t="str">
            <v>25Øx 25t</v>
          </cell>
          <cell r="D1301" t="str">
            <v>M</v>
          </cell>
          <cell r="E1301">
            <v>2204</v>
          </cell>
          <cell r="F1301">
            <v>4690</v>
          </cell>
          <cell r="H1301">
            <v>0</v>
          </cell>
          <cell r="I1301">
            <v>2417</v>
          </cell>
          <cell r="J1301">
            <v>0</v>
          </cell>
          <cell r="L1301">
            <v>0</v>
          </cell>
        </row>
        <row r="1302">
          <cell r="A1302">
            <v>9118</v>
          </cell>
          <cell r="B1302" t="str">
            <v>난연폴리에틸렌보온</v>
          </cell>
          <cell r="C1302" t="str">
            <v>20Øx 25t</v>
          </cell>
          <cell r="D1302" t="str">
            <v>M</v>
          </cell>
          <cell r="E1302">
            <v>2035</v>
          </cell>
          <cell r="F1302">
            <v>4020</v>
          </cell>
          <cell r="H1302">
            <v>0</v>
          </cell>
          <cell r="I1302">
            <v>2080</v>
          </cell>
          <cell r="J1302">
            <v>0</v>
          </cell>
          <cell r="L1302">
            <v>0</v>
          </cell>
        </row>
        <row r="1303">
          <cell r="A1303">
            <v>9119</v>
          </cell>
          <cell r="B1303" t="str">
            <v>난연폴리에틸렌보온</v>
          </cell>
          <cell r="C1303" t="str">
            <v>15Øx 25t</v>
          </cell>
          <cell r="D1303" t="str">
            <v>M</v>
          </cell>
          <cell r="E1303">
            <v>1882</v>
          </cell>
          <cell r="F1303">
            <v>3350</v>
          </cell>
          <cell r="H1303">
            <v>0</v>
          </cell>
          <cell r="I1303">
            <v>1928</v>
          </cell>
          <cell r="J1303">
            <v>0</v>
          </cell>
          <cell r="L1303">
            <v>0</v>
          </cell>
        </row>
        <row r="1304">
          <cell r="A1304">
            <v>9120</v>
          </cell>
          <cell r="B1304" t="str">
            <v>유리솜보온</v>
          </cell>
          <cell r="C1304" t="str">
            <v>150Øx 40t</v>
          </cell>
          <cell r="D1304" t="str">
            <v>M</v>
          </cell>
          <cell r="H1304">
            <v>0</v>
          </cell>
          <cell r="I1304">
            <v>7297</v>
          </cell>
          <cell r="J1304">
            <v>0</v>
          </cell>
          <cell r="L1304">
            <v>0</v>
          </cell>
        </row>
        <row r="1305">
          <cell r="A1305">
            <v>9121</v>
          </cell>
          <cell r="B1305" t="str">
            <v>유리솜보온</v>
          </cell>
          <cell r="C1305" t="str">
            <v>100Øx 40t</v>
          </cell>
          <cell r="D1305" t="str">
            <v>M</v>
          </cell>
          <cell r="H1305">
            <v>0</v>
          </cell>
          <cell r="I1305">
            <v>5532</v>
          </cell>
          <cell r="J1305">
            <v>0</v>
          </cell>
          <cell r="L1305">
            <v>0</v>
          </cell>
        </row>
        <row r="1306">
          <cell r="A1306">
            <v>9122</v>
          </cell>
          <cell r="B1306" t="str">
            <v>유리솜보온</v>
          </cell>
          <cell r="C1306" t="str">
            <v>80Øx 25t</v>
          </cell>
          <cell r="D1306" t="str">
            <v>M</v>
          </cell>
          <cell r="H1306">
            <v>0</v>
          </cell>
          <cell r="I1306">
            <v>2993</v>
          </cell>
          <cell r="J1306">
            <v>0</v>
          </cell>
          <cell r="L1306">
            <v>0</v>
          </cell>
        </row>
        <row r="1307">
          <cell r="A1307">
            <v>9123</v>
          </cell>
          <cell r="B1307" t="str">
            <v>유리솜보온</v>
          </cell>
          <cell r="C1307" t="str">
            <v>65Øx 25t</v>
          </cell>
          <cell r="D1307" t="str">
            <v>M</v>
          </cell>
          <cell r="H1307">
            <v>0</v>
          </cell>
          <cell r="I1307">
            <v>2664</v>
          </cell>
          <cell r="J1307">
            <v>0</v>
          </cell>
          <cell r="L1307">
            <v>0</v>
          </cell>
        </row>
        <row r="1308">
          <cell r="A1308">
            <v>9124</v>
          </cell>
          <cell r="B1308" t="str">
            <v>유리솜보온</v>
          </cell>
          <cell r="C1308" t="str">
            <v>50Øx 25t</v>
          </cell>
          <cell r="D1308" t="str">
            <v>M</v>
          </cell>
          <cell r="H1308">
            <v>0</v>
          </cell>
          <cell r="I1308">
            <v>2391</v>
          </cell>
          <cell r="J1308">
            <v>0</v>
          </cell>
          <cell r="L1308">
            <v>0</v>
          </cell>
        </row>
        <row r="1309">
          <cell r="A1309">
            <v>9125</v>
          </cell>
          <cell r="B1309" t="str">
            <v>유리솜보온</v>
          </cell>
          <cell r="C1309" t="str">
            <v>40Øx 25t</v>
          </cell>
          <cell r="D1309" t="str">
            <v>M</v>
          </cell>
          <cell r="H1309">
            <v>0</v>
          </cell>
          <cell r="I1309">
            <v>2062</v>
          </cell>
          <cell r="J1309">
            <v>0</v>
          </cell>
          <cell r="L1309">
            <v>0</v>
          </cell>
        </row>
        <row r="1310">
          <cell r="A1310">
            <v>9126</v>
          </cell>
          <cell r="B1310" t="str">
            <v>유리솜보온</v>
          </cell>
          <cell r="C1310" t="str">
            <v>32Øx 25t</v>
          </cell>
          <cell r="D1310" t="str">
            <v>M</v>
          </cell>
          <cell r="H1310">
            <v>0</v>
          </cell>
          <cell r="I1310">
            <v>1908</v>
          </cell>
          <cell r="J1310">
            <v>0</v>
          </cell>
          <cell r="L1310">
            <v>0</v>
          </cell>
        </row>
        <row r="1311">
          <cell r="A1311">
            <v>9127</v>
          </cell>
          <cell r="B1311" t="str">
            <v>유리솜보온</v>
          </cell>
          <cell r="C1311" t="str">
            <v>25Øx 25t</v>
          </cell>
          <cell r="D1311" t="str">
            <v>M</v>
          </cell>
          <cell r="H1311">
            <v>0</v>
          </cell>
          <cell r="I1311">
            <v>1683</v>
          </cell>
          <cell r="J1311">
            <v>0</v>
          </cell>
          <cell r="L1311">
            <v>0</v>
          </cell>
        </row>
        <row r="1312">
          <cell r="A1312">
            <v>9128</v>
          </cell>
          <cell r="B1312" t="str">
            <v>유리솜보온</v>
          </cell>
          <cell r="C1312" t="str">
            <v>20Øx 25t</v>
          </cell>
          <cell r="D1312" t="str">
            <v>M</v>
          </cell>
          <cell r="H1312">
            <v>0</v>
          </cell>
          <cell r="I1312">
            <v>1516</v>
          </cell>
          <cell r="J1312">
            <v>0</v>
          </cell>
          <cell r="L1312">
            <v>0</v>
          </cell>
        </row>
        <row r="1313">
          <cell r="A1313">
            <v>9129</v>
          </cell>
          <cell r="B1313" t="str">
            <v>유리솜보온</v>
          </cell>
          <cell r="C1313" t="str">
            <v>15Øx 25t</v>
          </cell>
          <cell r="D1313" t="str">
            <v>M</v>
          </cell>
          <cell r="H1313">
            <v>0</v>
          </cell>
          <cell r="I1313">
            <v>1386</v>
          </cell>
          <cell r="J1313">
            <v>0</v>
          </cell>
          <cell r="L1313">
            <v>0</v>
          </cell>
        </row>
        <row r="1314">
          <cell r="A1314">
            <v>9131</v>
          </cell>
          <cell r="B1314" t="str">
            <v>동관용접</v>
          </cell>
          <cell r="C1314" t="str">
            <v>100Ø</v>
          </cell>
          <cell r="D1314" t="str">
            <v>개소</v>
          </cell>
          <cell r="E1314">
            <v>1613</v>
          </cell>
          <cell r="F1314">
            <v>14373</v>
          </cell>
          <cell r="H1314">
            <v>0</v>
          </cell>
          <cell r="I1314">
            <v>2622</v>
          </cell>
          <cell r="J1314">
            <v>0</v>
          </cell>
          <cell r="L1314">
            <v>0</v>
          </cell>
        </row>
        <row r="1315">
          <cell r="A1315">
            <v>9132</v>
          </cell>
          <cell r="B1315" t="str">
            <v>동관용접</v>
          </cell>
          <cell r="C1315" t="str">
            <v>80Ø</v>
          </cell>
          <cell r="D1315" t="str">
            <v>개소</v>
          </cell>
          <cell r="E1315">
            <v>995</v>
          </cell>
          <cell r="F1315">
            <v>10187</v>
          </cell>
          <cell r="H1315">
            <v>0</v>
          </cell>
          <cell r="I1315">
            <v>1583</v>
          </cell>
          <cell r="J1315">
            <v>0</v>
          </cell>
          <cell r="L1315">
            <v>0</v>
          </cell>
        </row>
        <row r="1316">
          <cell r="A1316">
            <v>9133</v>
          </cell>
          <cell r="B1316" t="str">
            <v>동관용접</v>
          </cell>
          <cell r="C1316" t="str">
            <v>65Ø</v>
          </cell>
          <cell r="D1316" t="str">
            <v>개소</v>
          </cell>
          <cell r="E1316">
            <v>718</v>
          </cell>
          <cell r="F1316">
            <v>8791</v>
          </cell>
          <cell r="H1316">
            <v>0</v>
          </cell>
          <cell r="I1316">
            <v>1146</v>
          </cell>
          <cell r="J1316">
            <v>0</v>
          </cell>
          <cell r="L1316">
            <v>0</v>
          </cell>
        </row>
        <row r="1317">
          <cell r="A1317">
            <v>9134</v>
          </cell>
          <cell r="B1317" t="str">
            <v>동관용접</v>
          </cell>
          <cell r="C1317" t="str">
            <v>50Ø</v>
          </cell>
          <cell r="D1317" t="str">
            <v>개소</v>
          </cell>
          <cell r="E1317">
            <v>557</v>
          </cell>
          <cell r="F1317">
            <v>6837</v>
          </cell>
          <cell r="H1317">
            <v>0</v>
          </cell>
          <cell r="I1317">
            <v>874</v>
          </cell>
          <cell r="J1317">
            <v>0</v>
          </cell>
          <cell r="L1317">
            <v>0</v>
          </cell>
        </row>
        <row r="1318">
          <cell r="A1318">
            <v>9135</v>
          </cell>
          <cell r="B1318" t="str">
            <v>동관용접</v>
          </cell>
          <cell r="C1318" t="str">
            <v>40Ø</v>
          </cell>
          <cell r="D1318" t="str">
            <v>개소</v>
          </cell>
          <cell r="E1318">
            <v>404</v>
          </cell>
          <cell r="F1318">
            <v>5442</v>
          </cell>
          <cell r="H1318">
            <v>0</v>
          </cell>
          <cell r="I1318">
            <v>609</v>
          </cell>
          <cell r="J1318">
            <v>0</v>
          </cell>
          <cell r="L1318">
            <v>0</v>
          </cell>
        </row>
        <row r="1319">
          <cell r="A1319">
            <v>9136</v>
          </cell>
          <cell r="B1319" t="str">
            <v>동관용접</v>
          </cell>
          <cell r="C1319" t="str">
            <v>32Ø</v>
          </cell>
          <cell r="D1319" t="str">
            <v>개소</v>
          </cell>
          <cell r="E1319">
            <v>311</v>
          </cell>
          <cell r="F1319">
            <v>4954</v>
          </cell>
          <cell r="H1319">
            <v>0</v>
          </cell>
          <cell r="I1319">
            <v>466</v>
          </cell>
          <cell r="J1319">
            <v>0</v>
          </cell>
          <cell r="L1319">
            <v>0</v>
          </cell>
        </row>
        <row r="1320">
          <cell r="A1320">
            <v>9137</v>
          </cell>
          <cell r="B1320" t="str">
            <v>동관용접</v>
          </cell>
          <cell r="C1320" t="str">
            <v>25Ø</v>
          </cell>
          <cell r="D1320" t="str">
            <v>개소</v>
          </cell>
          <cell r="E1320">
            <v>223</v>
          </cell>
          <cell r="F1320">
            <v>4046</v>
          </cell>
          <cell r="H1320">
            <v>0</v>
          </cell>
          <cell r="I1320">
            <v>339</v>
          </cell>
          <cell r="J1320">
            <v>0</v>
          </cell>
          <cell r="L1320">
            <v>0</v>
          </cell>
        </row>
        <row r="1321">
          <cell r="A1321">
            <v>9138</v>
          </cell>
          <cell r="B1321" t="str">
            <v>동관용접</v>
          </cell>
          <cell r="C1321" t="str">
            <v>20Ø</v>
          </cell>
          <cell r="D1321" t="str">
            <v>개소</v>
          </cell>
          <cell r="E1321">
            <v>174</v>
          </cell>
          <cell r="F1321">
            <v>3279</v>
          </cell>
          <cell r="H1321">
            <v>0</v>
          </cell>
          <cell r="I1321">
            <v>253</v>
          </cell>
          <cell r="J1321">
            <v>0</v>
          </cell>
          <cell r="L1321">
            <v>0</v>
          </cell>
        </row>
        <row r="1322">
          <cell r="A1322">
            <v>9139</v>
          </cell>
          <cell r="B1322" t="str">
            <v>동관용접</v>
          </cell>
          <cell r="C1322" t="str">
            <v>15Ø</v>
          </cell>
          <cell r="D1322" t="str">
            <v>개소</v>
          </cell>
          <cell r="E1322">
            <v>83</v>
          </cell>
          <cell r="F1322">
            <v>2860</v>
          </cell>
          <cell r="H1322">
            <v>0</v>
          </cell>
          <cell r="I1322">
            <v>121</v>
          </cell>
          <cell r="J1322">
            <v>0</v>
          </cell>
          <cell r="L1322">
            <v>0</v>
          </cell>
        </row>
        <row r="1323">
          <cell r="A1323">
            <v>9141</v>
          </cell>
          <cell r="B1323" t="str">
            <v>은분도장</v>
          </cell>
          <cell r="C1323" t="str">
            <v>2회</v>
          </cell>
          <cell r="D1323" t="str">
            <v>M²</v>
          </cell>
          <cell r="E1323">
            <v>654</v>
          </cell>
          <cell r="F1323">
            <v>3043</v>
          </cell>
          <cell r="H1323">
            <v>0</v>
          </cell>
          <cell r="I1323">
            <v>654</v>
          </cell>
          <cell r="J1323">
            <v>0</v>
          </cell>
          <cell r="L1323">
            <v>0</v>
          </cell>
        </row>
        <row r="1324">
          <cell r="A1324">
            <v>9142</v>
          </cell>
          <cell r="B1324" t="str">
            <v>벽체철거 및 복구</v>
          </cell>
          <cell r="D1324" t="str">
            <v>개소</v>
          </cell>
          <cell r="E1324" t="e">
            <v>#REF!</v>
          </cell>
          <cell r="F1324" t="e">
            <v>#REF!</v>
          </cell>
          <cell r="H1324">
            <v>0</v>
          </cell>
          <cell r="I1324" t="e">
            <v>#REF!</v>
          </cell>
          <cell r="J1324">
            <v>0</v>
          </cell>
          <cell r="L1324">
            <v>0</v>
          </cell>
        </row>
        <row r="1325">
          <cell r="A1325">
            <v>9143</v>
          </cell>
          <cell r="B1325" t="str">
            <v>치장벽돌 쌓기</v>
          </cell>
          <cell r="D1325" t="str">
            <v>매</v>
          </cell>
          <cell r="E1325">
            <v>171220</v>
          </cell>
          <cell r="F1325">
            <v>303245</v>
          </cell>
          <cell r="H1325">
            <v>0</v>
          </cell>
          <cell r="I1325">
            <v>171220</v>
          </cell>
          <cell r="J1325">
            <v>0</v>
          </cell>
          <cell r="L1325">
            <v>0</v>
          </cell>
        </row>
        <row r="1326">
          <cell r="A1326">
            <v>9144</v>
          </cell>
          <cell r="B1326" t="str">
            <v>녹막이페인트</v>
          </cell>
          <cell r="C1326" t="str">
            <v>2회</v>
          </cell>
          <cell r="D1326" t="str">
            <v>M²</v>
          </cell>
          <cell r="E1326">
            <v>932</v>
          </cell>
          <cell r="F1326">
            <v>1690</v>
          </cell>
          <cell r="H1326">
            <v>0</v>
          </cell>
          <cell r="I1326">
            <v>932</v>
          </cell>
          <cell r="J1326">
            <v>0</v>
          </cell>
          <cell r="L1326">
            <v>0</v>
          </cell>
        </row>
        <row r="1327">
          <cell r="A1327">
            <v>9145</v>
          </cell>
          <cell r="B1327" t="str">
            <v>배수펌프앵글가대</v>
          </cell>
          <cell r="D1327" t="str">
            <v>개소</v>
          </cell>
          <cell r="E1327">
            <v>13141</v>
          </cell>
          <cell r="F1327">
            <v>56637</v>
          </cell>
          <cell r="H1327">
            <v>0</v>
          </cell>
          <cell r="I1327">
            <v>13141</v>
          </cell>
          <cell r="J1327">
            <v>0</v>
          </cell>
          <cell r="L1327">
            <v>0</v>
          </cell>
        </row>
        <row r="1328">
          <cell r="A1328">
            <v>9146</v>
          </cell>
          <cell r="B1328" t="str">
            <v>정수위밸브장치</v>
          </cell>
          <cell r="C1328" t="str">
            <v>40Ø</v>
          </cell>
          <cell r="D1328" t="str">
            <v>대</v>
          </cell>
          <cell r="E1328">
            <v>533087</v>
          </cell>
          <cell r="F1328">
            <v>271490.40000000002</v>
          </cell>
          <cell r="H1328">
            <v>0</v>
          </cell>
          <cell r="I1328">
            <v>533087</v>
          </cell>
          <cell r="J1328">
            <v>0</v>
          </cell>
          <cell r="L1328">
            <v>0</v>
          </cell>
        </row>
        <row r="1329">
          <cell r="A1329">
            <v>9147</v>
          </cell>
          <cell r="B1329" t="str">
            <v>장비기초(콘크리트)</v>
          </cell>
          <cell r="C1329" t="str">
            <v>1:2:4</v>
          </cell>
          <cell r="D1329" t="str">
            <v>M³</v>
          </cell>
          <cell r="E1329">
            <v>25057</v>
          </cell>
          <cell r="F1329">
            <v>94929</v>
          </cell>
          <cell r="H1329">
            <v>0</v>
          </cell>
          <cell r="I1329">
            <v>25057</v>
          </cell>
          <cell r="J1329">
            <v>0</v>
          </cell>
          <cell r="L1329">
            <v>0</v>
          </cell>
        </row>
        <row r="1330">
          <cell r="A1330">
            <v>9148</v>
          </cell>
          <cell r="B1330" t="str">
            <v>합판거푸집</v>
          </cell>
          <cell r="C1330" t="str">
            <v>3회</v>
          </cell>
          <cell r="D1330" t="str">
            <v>M²</v>
          </cell>
          <cell r="E1330">
            <v>5049</v>
          </cell>
          <cell r="F1330">
            <v>13293</v>
          </cell>
          <cell r="H1330">
            <v>0</v>
          </cell>
          <cell r="I1330">
            <v>5049</v>
          </cell>
          <cell r="J1330">
            <v>0</v>
          </cell>
          <cell r="L1330">
            <v>0</v>
          </cell>
        </row>
        <row r="1331">
          <cell r="A1331">
            <v>9149</v>
          </cell>
          <cell r="B1331" t="str">
            <v>방열기소운반비</v>
          </cell>
          <cell r="C1331" t="str">
            <v>20쪽 이하</v>
          </cell>
          <cell r="D1331" t="str">
            <v>조</v>
          </cell>
          <cell r="E1331">
            <v>0</v>
          </cell>
          <cell r="F1331">
            <v>10136</v>
          </cell>
          <cell r="H1331">
            <v>0</v>
          </cell>
          <cell r="J1331">
            <v>0</v>
          </cell>
          <cell r="L1331">
            <v>0</v>
          </cell>
        </row>
        <row r="1332">
          <cell r="A1332">
            <v>9150</v>
          </cell>
          <cell r="B1332" t="str">
            <v>바닥타일커팅공임</v>
          </cell>
          <cell r="D1332" t="str">
            <v>개소</v>
          </cell>
          <cell r="E1332">
            <v>0</v>
          </cell>
          <cell r="F1332">
            <v>13595</v>
          </cell>
          <cell r="H1332">
            <v>0</v>
          </cell>
          <cell r="J1332">
            <v>0</v>
          </cell>
          <cell r="L1332">
            <v>0</v>
          </cell>
        </row>
        <row r="1333">
          <cell r="A1333">
            <v>9151</v>
          </cell>
          <cell r="B1333" t="str">
            <v>파이프 고정앙카</v>
          </cell>
          <cell r="C1333" t="str">
            <v>15Ø~40Ø</v>
          </cell>
          <cell r="D1333" t="str">
            <v>조</v>
          </cell>
          <cell r="E1333">
            <v>1090</v>
          </cell>
          <cell r="F1333">
            <v>24.055000000000003</v>
          </cell>
          <cell r="H1333">
            <v>0</v>
          </cell>
          <cell r="I1333">
            <v>1090</v>
          </cell>
          <cell r="J1333">
            <v>0</v>
          </cell>
          <cell r="L1333">
            <v>0</v>
          </cell>
        </row>
        <row r="1334">
          <cell r="A1334">
            <v>9152</v>
          </cell>
          <cell r="B1334" t="str">
            <v>파이프 고정앙카</v>
          </cell>
          <cell r="C1334" t="str">
            <v>50Ø~65Ø</v>
          </cell>
          <cell r="D1334" t="str">
            <v>조</v>
          </cell>
          <cell r="E1334">
            <v>1140</v>
          </cell>
          <cell r="F1334">
            <v>36.79</v>
          </cell>
          <cell r="H1334">
            <v>0</v>
          </cell>
          <cell r="I1334">
            <v>1140</v>
          </cell>
          <cell r="J1334">
            <v>0</v>
          </cell>
          <cell r="L1334">
            <v>0</v>
          </cell>
        </row>
        <row r="1335">
          <cell r="A1335">
            <v>9153</v>
          </cell>
          <cell r="B1335" t="str">
            <v>파이프 고정앙카</v>
          </cell>
          <cell r="C1335" t="str">
            <v>80Ø~150Ø</v>
          </cell>
          <cell r="D1335" t="str">
            <v>조</v>
          </cell>
          <cell r="E1335">
            <v>1694</v>
          </cell>
          <cell r="F1335">
            <v>55.185000000000002</v>
          </cell>
          <cell r="H1335">
            <v>0</v>
          </cell>
          <cell r="I1335">
            <v>1694</v>
          </cell>
          <cell r="J1335">
            <v>0</v>
          </cell>
          <cell r="L1335">
            <v>0</v>
          </cell>
        </row>
        <row r="1336">
          <cell r="A1336">
            <v>9161</v>
          </cell>
          <cell r="B1336" t="str">
            <v>정유량 조절밸브장치</v>
          </cell>
          <cell r="C1336" t="str">
            <v>65Ø</v>
          </cell>
          <cell r="D1336" t="str">
            <v>조</v>
          </cell>
          <cell r="E1336">
            <v>0</v>
          </cell>
          <cell r="H1336">
            <v>0</v>
          </cell>
          <cell r="J1336">
            <v>0</v>
          </cell>
          <cell r="L1336">
            <v>0</v>
          </cell>
        </row>
        <row r="1337">
          <cell r="A1337">
            <v>9162</v>
          </cell>
          <cell r="B1337" t="str">
            <v>정유량 조절밸브장치</v>
          </cell>
          <cell r="C1337" t="str">
            <v>50Ø</v>
          </cell>
          <cell r="D1337" t="str">
            <v>조</v>
          </cell>
          <cell r="E1337">
            <v>0</v>
          </cell>
          <cell r="H1337">
            <v>0</v>
          </cell>
          <cell r="J1337">
            <v>0</v>
          </cell>
          <cell r="L1337">
            <v>0</v>
          </cell>
        </row>
        <row r="1338">
          <cell r="A1338">
            <v>9163</v>
          </cell>
          <cell r="B1338" t="str">
            <v>정유량 조절밸브장치</v>
          </cell>
          <cell r="C1338" t="str">
            <v>40Ø</v>
          </cell>
          <cell r="D1338" t="str">
            <v>조</v>
          </cell>
          <cell r="E1338">
            <v>0</v>
          </cell>
          <cell r="H1338">
            <v>0</v>
          </cell>
          <cell r="J1338">
            <v>0</v>
          </cell>
          <cell r="L1338">
            <v>0</v>
          </cell>
        </row>
        <row r="1339">
          <cell r="A1339">
            <v>9164</v>
          </cell>
          <cell r="B1339" t="str">
            <v>정유량 조절밸브장치</v>
          </cell>
          <cell r="C1339" t="str">
            <v>32Ø</v>
          </cell>
          <cell r="D1339" t="str">
            <v>조</v>
          </cell>
          <cell r="E1339">
            <v>0</v>
          </cell>
          <cell r="H1339">
            <v>0</v>
          </cell>
          <cell r="J1339">
            <v>0</v>
          </cell>
          <cell r="L1339">
            <v>0</v>
          </cell>
        </row>
        <row r="1340">
          <cell r="A1340">
            <v>9171</v>
          </cell>
          <cell r="B1340" t="str">
            <v>스테인레스관용접</v>
          </cell>
          <cell r="C1340" t="str">
            <v>80Ø</v>
          </cell>
          <cell r="D1340" t="str">
            <v>개소</v>
          </cell>
          <cell r="E1340">
            <v>3439</v>
          </cell>
          <cell r="F1340">
            <v>0</v>
          </cell>
          <cell r="H1340">
            <v>0</v>
          </cell>
          <cell r="I1340">
            <v>3439</v>
          </cell>
          <cell r="J1340">
            <v>0</v>
          </cell>
          <cell r="L1340">
            <v>0</v>
          </cell>
        </row>
        <row r="1341">
          <cell r="A1341">
            <v>9172</v>
          </cell>
          <cell r="B1341" t="str">
            <v>스테인레스관용접</v>
          </cell>
          <cell r="C1341" t="str">
            <v>100Ø</v>
          </cell>
          <cell r="D1341" t="str">
            <v>개소</v>
          </cell>
          <cell r="E1341">
            <v>5376</v>
          </cell>
          <cell r="F1341">
            <v>0</v>
          </cell>
          <cell r="H1341">
            <v>0</v>
          </cell>
          <cell r="I1341">
            <v>5376</v>
          </cell>
          <cell r="J1341">
            <v>0</v>
          </cell>
          <cell r="L1341">
            <v>0</v>
          </cell>
        </row>
        <row r="1342">
          <cell r="A1342">
            <v>9173</v>
          </cell>
          <cell r="B1342" t="str">
            <v>스테인레스관용접</v>
          </cell>
          <cell r="C1342" t="str">
            <v>125Ø</v>
          </cell>
          <cell r="D1342" t="str">
            <v>개소</v>
          </cell>
          <cell r="E1342">
            <v>8130</v>
          </cell>
          <cell r="F1342">
            <v>0</v>
          </cell>
          <cell r="H1342">
            <v>0</v>
          </cell>
          <cell r="I1342">
            <v>8130</v>
          </cell>
          <cell r="J1342">
            <v>0</v>
          </cell>
          <cell r="L1342">
            <v>0</v>
          </cell>
        </row>
        <row r="1343">
          <cell r="A1343">
            <v>9174</v>
          </cell>
          <cell r="B1343" t="str">
            <v>스테인레스관용접</v>
          </cell>
          <cell r="C1343" t="str">
            <v>150Ø</v>
          </cell>
          <cell r="D1343" t="str">
            <v>개소</v>
          </cell>
          <cell r="E1343">
            <v>10049</v>
          </cell>
          <cell r="F1343">
            <v>0</v>
          </cell>
          <cell r="H1343">
            <v>0</v>
          </cell>
          <cell r="I1343">
            <v>10049</v>
          </cell>
          <cell r="J1343">
            <v>0</v>
          </cell>
          <cell r="L1343">
            <v>0</v>
          </cell>
        </row>
        <row r="1344">
          <cell r="A1344">
            <v>9175</v>
          </cell>
          <cell r="B1344" t="str">
            <v>스테인레스관용접</v>
          </cell>
          <cell r="C1344" t="str">
            <v>200Ø</v>
          </cell>
          <cell r="D1344" t="str">
            <v>개소</v>
          </cell>
          <cell r="E1344">
            <v>16919</v>
          </cell>
          <cell r="F1344">
            <v>0</v>
          </cell>
          <cell r="H1344">
            <v>0</v>
          </cell>
          <cell r="I1344">
            <v>16919</v>
          </cell>
          <cell r="J1344">
            <v>0</v>
          </cell>
          <cell r="L1344">
            <v>0</v>
          </cell>
        </row>
        <row r="1345">
          <cell r="A1345">
            <v>9181</v>
          </cell>
          <cell r="B1345" t="str">
            <v>강관스리브</v>
          </cell>
          <cell r="C1345" t="str">
            <v>100Ø</v>
          </cell>
          <cell r="D1345" t="str">
            <v>개소</v>
          </cell>
          <cell r="E1345">
            <v>5901</v>
          </cell>
          <cell r="F1345">
            <v>0</v>
          </cell>
          <cell r="H1345">
            <v>0</v>
          </cell>
          <cell r="I1345">
            <v>27055</v>
          </cell>
          <cell r="J1345">
            <v>0</v>
          </cell>
          <cell r="L1345">
            <v>0</v>
          </cell>
        </row>
        <row r="1346">
          <cell r="A1346">
            <v>9182</v>
          </cell>
          <cell r="B1346" t="str">
            <v>강관스리브</v>
          </cell>
          <cell r="C1346" t="str">
            <v>80Ø</v>
          </cell>
          <cell r="D1346" t="str">
            <v>개소</v>
          </cell>
          <cell r="E1346">
            <v>4549</v>
          </cell>
          <cell r="F1346">
            <v>0</v>
          </cell>
          <cell r="H1346">
            <v>0</v>
          </cell>
          <cell r="I1346">
            <v>22116</v>
          </cell>
          <cell r="J1346">
            <v>0</v>
          </cell>
          <cell r="L1346">
            <v>0</v>
          </cell>
        </row>
        <row r="1347">
          <cell r="A1347">
            <v>9183</v>
          </cell>
          <cell r="B1347" t="str">
            <v>강관스리브</v>
          </cell>
          <cell r="C1347" t="str">
            <v>65Ø</v>
          </cell>
          <cell r="D1347" t="str">
            <v>개소</v>
          </cell>
          <cell r="E1347">
            <v>2391</v>
          </cell>
          <cell r="F1347">
            <v>0</v>
          </cell>
          <cell r="H1347">
            <v>0</v>
          </cell>
          <cell r="I1347">
            <v>12565</v>
          </cell>
          <cell r="J1347">
            <v>0</v>
          </cell>
          <cell r="L1347">
            <v>0</v>
          </cell>
        </row>
        <row r="1348">
          <cell r="A1348">
            <v>9184</v>
          </cell>
          <cell r="B1348" t="str">
            <v>강관스리브</v>
          </cell>
          <cell r="C1348" t="str">
            <v>50Ø</v>
          </cell>
          <cell r="D1348" t="str">
            <v>개소</v>
          </cell>
          <cell r="E1348">
            <v>1760</v>
          </cell>
          <cell r="F1348">
            <v>0</v>
          </cell>
          <cell r="H1348">
            <v>0</v>
          </cell>
          <cell r="I1348">
            <v>8266</v>
          </cell>
          <cell r="J1348">
            <v>0</v>
          </cell>
          <cell r="L1348">
            <v>0</v>
          </cell>
        </row>
        <row r="1349">
          <cell r="A1349">
            <v>9185</v>
          </cell>
          <cell r="B1349" t="str">
            <v>강관스리브</v>
          </cell>
          <cell r="C1349" t="str">
            <v>40Ø</v>
          </cell>
          <cell r="D1349" t="str">
            <v>개소</v>
          </cell>
          <cell r="E1349">
            <v>1387</v>
          </cell>
          <cell r="F1349">
            <v>0</v>
          </cell>
          <cell r="H1349">
            <v>0</v>
          </cell>
          <cell r="I1349">
            <v>5837</v>
          </cell>
          <cell r="J1349">
            <v>0</v>
          </cell>
          <cell r="L1349">
            <v>0</v>
          </cell>
        </row>
        <row r="1350">
          <cell r="A1350">
            <v>9186</v>
          </cell>
          <cell r="B1350" t="str">
            <v>강관스리브</v>
          </cell>
          <cell r="C1350" t="str">
            <v>32Ø</v>
          </cell>
          <cell r="D1350" t="str">
            <v>개소</v>
          </cell>
          <cell r="E1350">
            <v>1362</v>
          </cell>
          <cell r="F1350">
            <v>0</v>
          </cell>
          <cell r="H1350">
            <v>0</v>
          </cell>
          <cell r="I1350">
            <v>2691</v>
          </cell>
          <cell r="J1350">
            <v>0</v>
          </cell>
          <cell r="L1350">
            <v>0</v>
          </cell>
        </row>
        <row r="1351">
          <cell r="A1351">
            <v>9187</v>
          </cell>
          <cell r="B1351" t="str">
            <v>강관스리브</v>
          </cell>
          <cell r="C1351" t="str">
            <v>25Ø</v>
          </cell>
          <cell r="D1351" t="str">
            <v>개소</v>
          </cell>
          <cell r="E1351">
            <v>896</v>
          </cell>
          <cell r="F1351">
            <v>0</v>
          </cell>
          <cell r="H1351">
            <v>0</v>
          </cell>
          <cell r="I1351">
            <v>1808</v>
          </cell>
          <cell r="J1351">
            <v>0</v>
          </cell>
          <cell r="L1351">
            <v>0</v>
          </cell>
        </row>
        <row r="1352">
          <cell r="A1352">
            <v>9188</v>
          </cell>
          <cell r="B1352" t="str">
            <v>강관스리브</v>
          </cell>
          <cell r="C1352" t="str">
            <v>20Ø</v>
          </cell>
          <cell r="D1352" t="str">
            <v>개소</v>
          </cell>
          <cell r="E1352">
            <v>792</v>
          </cell>
          <cell r="F1352">
            <v>0</v>
          </cell>
          <cell r="H1352">
            <v>0</v>
          </cell>
          <cell r="I1352">
            <v>1395</v>
          </cell>
          <cell r="J1352">
            <v>0</v>
          </cell>
          <cell r="L1352">
            <v>0</v>
          </cell>
        </row>
        <row r="1353">
          <cell r="A1353">
            <v>9189</v>
          </cell>
          <cell r="B1353" t="str">
            <v>강관스리브</v>
          </cell>
          <cell r="C1353" t="str">
            <v>15Ø</v>
          </cell>
          <cell r="D1353" t="str">
            <v>개소</v>
          </cell>
          <cell r="E1353">
            <v>589</v>
          </cell>
          <cell r="F1353">
            <v>0</v>
          </cell>
          <cell r="H1353">
            <v>0</v>
          </cell>
          <cell r="I1353">
            <v>866</v>
          </cell>
          <cell r="J1353">
            <v>0</v>
          </cell>
          <cell r="L1353">
            <v>0</v>
          </cell>
        </row>
        <row r="1354">
          <cell r="A1354">
            <v>9201</v>
          </cell>
          <cell r="B1354" t="str">
            <v>아연철판덕트제작설치</v>
          </cell>
          <cell r="C1354" t="str">
            <v>0.5t</v>
          </cell>
          <cell r="D1354" t="str">
            <v>M²</v>
          </cell>
          <cell r="E1354">
            <v>8532</v>
          </cell>
          <cell r="F1354">
            <v>22097</v>
          </cell>
          <cell r="H1354">
            <v>0</v>
          </cell>
          <cell r="I1354">
            <v>8532</v>
          </cell>
          <cell r="J1354">
            <v>0</v>
          </cell>
          <cell r="L1354">
            <v>0</v>
          </cell>
        </row>
        <row r="1355">
          <cell r="A1355">
            <v>9202</v>
          </cell>
          <cell r="B1355" t="str">
            <v>SUS철판덕트제작설치</v>
          </cell>
          <cell r="C1355" t="str">
            <v>0.5t</v>
          </cell>
          <cell r="D1355" t="str">
            <v>M²</v>
          </cell>
          <cell r="E1355">
            <v>35059</v>
          </cell>
          <cell r="F1355">
            <v>29096</v>
          </cell>
          <cell r="H1355">
            <v>0</v>
          </cell>
          <cell r="I1355">
            <v>35059</v>
          </cell>
          <cell r="J1355">
            <v>0</v>
          </cell>
          <cell r="L1355">
            <v>0</v>
          </cell>
        </row>
        <row r="1356">
          <cell r="A1356">
            <v>9203</v>
          </cell>
          <cell r="B1356" t="str">
            <v>각형덕트보온(은박지)</v>
          </cell>
          <cell r="C1356" t="str">
            <v>30t</v>
          </cell>
          <cell r="D1356" t="str">
            <v>M²</v>
          </cell>
          <cell r="E1356">
            <v>8895</v>
          </cell>
          <cell r="F1356">
            <v>20360</v>
          </cell>
          <cell r="H1356">
            <v>0</v>
          </cell>
          <cell r="I1356">
            <v>8895</v>
          </cell>
          <cell r="J1356">
            <v>0</v>
          </cell>
          <cell r="L1356">
            <v>0</v>
          </cell>
        </row>
        <row r="1357">
          <cell r="A1357">
            <v>9204</v>
          </cell>
          <cell r="B1357" t="str">
            <v>배관커버(갈바륨강판)</v>
          </cell>
          <cell r="C1357" t="str">
            <v>200x400</v>
          </cell>
          <cell r="D1357" t="str">
            <v>M</v>
          </cell>
          <cell r="E1357">
            <v>57944</v>
          </cell>
          <cell r="F1357">
            <v>42464</v>
          </cell>
          <cell r="H1357">
            <v>0</v>
          </cell>
          <cell r="I1357">
            <v>57944</v>
          </cell>
          <cell r="J1357">
            <v>0</v>
          </cell>
          <cell r="L1357">
            <v>0</v>
          </cell>
        </row>
        <row r="1358">
          <cell r="A1358">
            <v>9901</v>
          </cell>
          <cell r="B1358" t="str">
            <v>잡자재비</v>
          </cell>
          <cell r="C1358" t="str">
            <v>주재료의 5%</v>
          </cell>
          <cell r="D1358" t="str">
            <v>식</v>
          </cell>
          <cell r="E1358">
            <v>0</v>
          </cell>
          <cell r="F1358">
            <v>0</v>
          </cell>
          <cell r="H1358">
            <v>0</v>
          </cell>
          <cell r="I1358">
            <v>0</v>
          </cell>
          <cell r="J1358">
            <v>0</v>
          </cell>
          <cell r="L1358">
            <v>0</v>
          </cell>
        </row>
        <row r="1359">
          <cell r="A1359">
            <v>9902</v>
          </cell>
          <cell r="B1359" t="str">
            <v>지지철물</v>
          </cell>
          <cell r="C1359" t="str">
            <v>주재료의 9%</v>
          </cell>
          <cell r="D1359" t="str">
            <v>식</v>
          </cell>
          <cell r="E1359">
            <v>0</v>
          </cell>
          <cell r="F1359">
            <v>0</v>
          </cell>
          <cell r="H1359">
            <v>0</v>
          </cell>
          <cell r="I1359">
            <v>0</v>
          </cell>
          <cell r="J1359">
            <v>0</v>
          </cell>
          <cell r="L1359">
            <v>0</v>
          </cell>
        </row>
        <row r="1360">
          <cell r="A1360">
            <v>9903</v>
          </cell>
          <cell r="B1360" t="str">
            <v>지지철물</v>
          </cell>
          <cell r="C1360" t="str">
            <v>주재료의 10%</v>
          </cell>
          <cell r="D1360" t="str">
            <v>식</v>
          </cell>
          <cell r="E1360">
            <v>0</v>
          </cell>
          <cell r="F1360">
            <v>0</v>
          </cell>
          <cell r="H1360">
            <v>0</v>
          </cell>
          <cell r="I1360">
            <v>0</v>
          </cell>
          <cell r="J1360">
            <v>0</v>
          </cell>
          <cell r="L1360">
            <v>0</v>
          </cell>
        </row>
        <row r="1361">
          <cell r="A1361">
            <v>9904</v>
          </cell>
          <cell r="B1361" t="str">
            <v>지지철물</v>
          </cell>
          <cell r="C1361" t="str">
            <v>주재료의 15%</v>
          </cell>
          <cell r="D1361" t="str">
            <v>식</v>
          </cell>
          <cell r="E1361">
            <v>0</v>
          </cell>
          <cell r="F1361">
            <v>0</v>
          </cell>
          <cell r="H1361">
            <v>0</v>
          </cell>
          <cell r="I1361">
            <v>0</v>
          </cell>
          <cell r="J1361">
            <v>0</v>
          </cell>
          <cell r="L1361">
            <v>0</v>
          </cell>
        </row>
        <row r="1362">
          <cell r="A1362">
            <v>9905</v>
          </cell>
          <cell r="B1362" t="str">
            <v>지지철물</v>
          </cell>
          <cell r="C1362" t="str">
            <v>주재료의 25%</v>
          </cell>
          <cell r="D1362" t="str">
            <v>식</v>
          </cell>
          <cell r="E1362">
            <v>0</v>
          </cell>
          <cell r="F1362">
            <v>0</v>
          </cell>
          <cell r="H1362">
            <v>0</v>
          </cell>
          <cell r="I1362">
            <v>0</v>
          </cell>
          <cell r="J1362">
            <v>0</v>
          </cell>
          <cell r="L1362">
            <v>0</v>
          </cell>
        </row>
        <row r="1363">
          <cell r="A1363">
            <v>9906</v>
          </cell>
          <cell r="B1363" t="str">
            <v>지지철물</v>
          </cell>
          <cell r="C1363" t="str">
            <v>주재료의 30%</v>
          </cell>
          <cell r="D1363" t="str">
            <v>식</v>
          </cell>
          <cell r="E1363">
            <v>0</v>
          </cell>
          <cell r="F1363">
            <v>0</v>
          </cell>
          <cell r="H1363">
            <v>0</v>
          </cell>
          <cell r="I1363">
            <v>0</v>
          </cell>
          <cell r="J1363">
            <v>0</v>
          </cell>
          <cell r="L1363">
            <v>0</v>
          </cell>
        </row>
        <row r="1364">
          <cell r="A1364">
            <v>9907</v>
          </cell>
          <cell r="B1364" t="str">
            <v>지지철물</v>
          </cell>
          <cell r="C1364" t="str">
            <v>주재료의 40%</v>
          </cell>
          <cell r="D1364" t="str">
            <v>식</v>
          </cell>
          <cell r="E1364">
            <v>0</v>
          </cell>
          <cell r="F1364">
            <v>0</v>
          </cell>
          <cell r="H1364">
            <v>0</v>
          </cell>
          <cell r="I1364">
            <v>0</v>
          </cell>
          <cell r="J1364">
            <v>0</v>
          </cell>
          <cell r="L1364">
            <v>0</v>
          </cell>
        </row>
        <row r="1365">
          <cell r="A1365">
            <v>9910</v>
          </cell>
          <cell r="B1365" t="str">
            <v>관부속</v>
          </cell>
          <cell r="C1365" t="str">
            <v>관의 30%</v>
          </cell>
          <cell r="D1365" t="str">
            <v>식</v>
          </cell>
          <cell r="E1365">
            <v>0</v>
          </cell>
          <cell r="F1365">
            <v>0</v>
          </cell>
          <cell r="H1365">
            <v>0</v>
          </cell>
          <cell r="I1365">
            <v>0</v>
          </cell>
          <cell r="J1365">
            <v>0</v>
          </cell>
          <cell r="L1365">
            <v>0</v>
          </cell>
        </row>
        <row r="1366">
          <cell r="A1366">
            <v>9911</v>
          </cell>
          <cell r="B1366" t="str">
            <v>관부속</v>
          </cell>
          <cell r="C1366" t="str">
            <v>관의 40%</v>
          </cell>
          <cell r="D1366" t="str">
            <v>식</v>
          </cell>
          <cell r="E1366">
            <v>0</v>
          </cell>
          <cell r="F1366">
            <v>0</v>
          </cell>
          <cell r="H1366">
            <v>0</v>
          </cell>
          <cell r="I1366">
            <v>0</v>
          </cell>
          <cell r="J1366">
            <v>0</v>
          </cell>
          <cell r="L1366">
            <v>0</v>
          </cell>
        </row>
        <row r="1367">
          <cell r="A1367">
            <v>9912</v>
          </cell>
          <cell r="B1367" t="str">
            <v>관부속</v>
          </cell>
          <cell r="C1367" t="str">
            <v>관의 45%</v>
          </cell>
          <cell r="D1367" t="str">
            <v>식</v>
          </cell>
          <cell r="E1367">
            <v>0</v>
          </cell>
          <cell r="F1367">
            <v>0</v>
          </cell>
          <cell r="H1367">
            <v>0</v>
          </cell>
          <cell r="I1367">
            <v>0</v>
          </cell>
          <cell r="J1367">
            <v>0</v>
          </cell>
          <cell r="L1367">
            <v>0</v>
          </cell>
        </row>
        <row r="1368">
          <cell r="A1368">
            <v>9913</v>
          </cell>
          <cell r="B1368" t="str">
            <v>관부속</v>
          </cell>
          <cell r="C1368" t="str">
            <v>관의 50%</v>
          </cell>
          <cell r="D1368" t="str">
            <v>식</v>
          </cell>
          <cell r="E1368">
            <v>0</v>
          </cell>
          <cell r="F1368">
            <v>0</v>
          </cell>
          <cell r="H1368">
            <v>0</v>
          </cell>
          <cell r="I1368">
            <v>0</v>
          </cell>
          <cell r="J1368">
            <v>0</v>
          </cell>
          <cell r="L1368">
            <v>0</v>
          </cell>
        </row>
        <row r="1369">
          <cell r="A1369">
            <v>9914</v>
          </cell>
          <cell r="B1369" t="str">
            <v>관부속</v>
          </cell>
          <cell r="C1369" t="str">
            <v>관의 55%</v>
          </cell>
          <cell r="D1369" t="str">
            <v>식</v>
          </cell>
          <cell r="E1369">
            <v>0</v>
          </cell>
          <cell r="F1369">
            <v>0</v>
          </cell>
          <cell r="H1369">
            <v>0</v>
          </cell>
          <cell r="I1369">
            <v>0</v>
          </cell>
          <cell r="J1369">
            <v>0</v>
          </cell>
          <cell r="L1369">
            <v>0</v>
          </cell>
        </row>
        <row r="1370">
          <cell r="A1370">
            <v>9915</v>
          </cell>
          <cell r="B1370" t="str">
            <v>관부속</v>
          </cell>
          <cell r="C1370" t="str">
            <v>관의 60%</v>
          </cell>
          <cell r="D1370" t="str">
            <v>식</v>
          </cell>
          <cell r="E1370">
            <v>0</v>
          </cell>
          <cell r="F1370">
            <v>0</v>
          </cell>
          <cell r="H1370">
            <v>0</v>
          </cell>
          <cell r="I1370">
            <v>0</v>
          </cell>
          <cell r="J1370">
            <v>0</v>
          </cell>
          <cell r="L1370">
            <v>0</v>
          </cell>
        </row>
        <row r="1371">
          <cell r="A1371">
            <v>9916</v>
          </cell>
          <cell r="B1371" t="str">
            <v>관부속</v>
          </cell>
          <cell r="C1371" t="str">
            <v>관의 65%</v>
          </cell>
          <cell r="D1371" t="str">
            <v>식</v>
          </cell>
          <cell r="E1371">
            <v>0</v>
          </cell>
          <cell r="F1371">
            <v>0</v>
          </cell>
          <cell r="H1371">
            <v>0</v>
          </cell>
          <cell r="I1371">
            <v>0</v>
          </cell>
          <cell r="J1371">
            <v>0</v>
          </cell>
          <cell r="L1371">
            <v>0</v>
          </cell>
        </row>
        <row r="1372">
          <cell r="A1372">
            <v>9917</v>
          </cell>
          <cell r="B1372" t="str">
            <v>관부속</v>
          </cell>
          <cell r="C1372" t="str">
            <v>관의 70%</v>
          </cell>
          <cell r="D1372" t="str">
            <v>식</v>
          </cell>
          <cell r="E1372">
            <v>0</v>
          </cell>
          <cell r="F1372">
            <v>0</v>
          </cell>
          <cell r="H1372">
            <v>0</v>
          </cell>
          <cell r="I1372">
            <v>0</v>
          </cell>
          <cell r="J1372">
            <v>0</v>
          </cell>
          <cell r="L1372">
            <v>0</v>
          </cell>
        </row>
        <row r="1373">
          <cell r="A1373">
            <v>9918</v>
          </cell>
          <cell r="B1373" t="str">
            <v>관부속</v>
          </cell>
          <cell r="C1373" t="str">
            <v>관의 75%</v>
          </cell>
          <cell r="D1373" t="str">
            <v>식</v>
          </cell>
          <cell r="E1373">
            <v>0</v>
          </cell>
          <cell r="F1373">
            <v>0</v>
          </cell>
          <cell r="H1373">
            <v>0</v>
          </cell>
          <cell r="I1373">
            <v>0</v>
          </cell>
          <cell r="J1373">
            <v>0</v>
          </cell>
          <cell r="L1373">
            <v>0</v>
          </cell>
        </row>
        <row r="1374">
          <cell r="A1374">
            <v>9920</v>
          </cell>
          <cell r="B1374" t="str">
            <v>공구손료</v>
          </cell>
          <cell r="C1374" t="str">
            <v>인건비의 3%</v>
          </cell>
          <cell r="D1374" t="str">
            <v>식</v>
          </cell>
          <cell r="E1374">
            <v>0</v>
          </cell>
          <cell r="F1374">
            <v>0</v>
          </cell>
          <cell r="H1374">
            <v>0</v>
          </cell>
          <cell r="I1374">
            <v>0</v>
          </cell>
          <cell r="J1374">
            <v>0</v>
          </cell>
          <cell r="L137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"/>
      <sheetName val="단가결정"/>
      <sheetName val="단가조사"/>
      <sheetName val="수목일위"/>
      <sheetName val="수목집계"/>
      <sheetName val="내역서토탈"/>
      <sheetName val="내역장군"/>
      <sheetName val="수량장군"/>
      <sheetName val="내역대령"/>
      <sheetName val="수량대령"/>
      <sheetName val="내역공원"/>
      <sheetName val="수량공원"/>
      <sheetName val="내역아"/>
      <sheetName val="수량아"/>
      <sheetName val="울타리"/>
      <sheetName val="시설물일위"/>
      <sheetName val="대가목록"/>
      <sheetName val="노무비"/>
      <sheetName val="단면설계"/>
      <sheetName val="안정검토"/>
      <sheetName val="단가목록"/>
      <sheetName val="계수시트"/>
      <sheetName val="inputdata"/>
      <sheetName val="단위단가"/>
      <sheetName val="원가계산서"/>
      <sheetName val="실행대비"/>
      <sheetName val="굴착현장"/>
      <sheetName val="일위대가목록"/>
      <sheetName val="일위대가"/>
      <sheetName val="(10) 단가산출결과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"/>
      <sheetName val="원가"/>
      <sheetName val="내역"/>
      <sheetName val="수량"/>
      <sheetName val="시설"/>
      <sheetName val="일위목록"/>
      <sheetName val="일위대가"/>
      <sheetName val="단가대비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시설물일위"/>
      <sheetName val="Sheet2"/>
      <sheetName val="1차설계변경내역"/>
      <sheetName val="대구안동"/>
      <sheetName val="새공통"/>
      <sheetName val="unit 4"/>
      <sheetName val="자재단가비교표"/>
      <sheetName val="SP-B1"/>
      <sheetName val="충주"/>
      <sheetName val="데이타"/>
      <sheetName val="식재인부"/>
      <sheetName val="화해(함평)"/>
      <sheetName val="화해(장성)"/>
      <sheetName val="노무비"/>
      <sheetName val="토공"/>
      <sheetName val="I一般比"/>
      <sheetName val="20관리비율"/>
      <sheetName val="노임단가"/>
      <sheetName val="대림경상68억"/>
      <sheetName val="0000000"/>
      <sheetName val="지주목,시비기준"/>
      <sheetName val="버팀목산출"/>
      <sheetName val="기초일위대가"/>
      <sheetName val="식재일위대가"/>
      <sheetName val="단가대비표"/>
      <sheetName val="내역서"/>
      <sheetName val="2공구산출내역"/>
      <sheetName val="공구원가계산"/>
      <sheetName val="골재산출"/>
      <sheetName val="EACT10"/>
      <sheetName val="현금"/>
      <sheetName val="대가목록"/>
      <sheetName val="장비가동"/>
      <sheetName val="골조시행"/>
      <sheetName val="지급자재"/>
      <sheetName val="현장별계약현황('98.10.31)"/>
      <sheetName val="CTEMCOST"/>
      <sheetName val="신천3호용수로"/>
      <sheetName val="부대내역"/>
      <sheetName val="가설건물"/>
      <sheetName val="B1(반포1차)"/>
      <sheetName val="참고"/>
      <sheetName val="이토변실"/>
      <sheetName val="실행대비"/>
      <sheetName val="총괄집계표"/>
      <sheetName val="준검 내역서"/>
      <sheetName val="DATE"/>
      <sheetName val="자재단가"/>
      <sheetName val="계양가시설"/>
      <sheetName val="공통가설"/>
      <sheetName val="b_balju_cho"/>
      <sheetName val="설계총괄표"/>
      <sheetName val="산출근거"/>
      <sheetName val="Baby일위대가"/>
      <sheetName val="단위단가"/>
      <sheetName val="원가계산서"/>
      <sheetName val="5Strand-장기처짐PCI"/>
      <sheetName val="unit_4"/>
      <sheetName val="49단가"/>
      <sheetName val="실행내역"/>
      <sheetName val="재료"/>
      <sheetName val="설치자재"/>
      <sheetName val="삭제금지단가"/>
      <sheetName val="#2_일위대가목록"/>
      <sheetName val="ⴭⴭⴭⴭⴭ"/>
      <sheetName val="철콘"/>
      <sheetName val="터파기및재료"/>
      <sheetName val="운동장 (2)"/>
      <sheetName val="요율"/>
      <sheetName val="경비"/>
      <sheetName val="직노"/>
      <sheetName val="안양동교 1안"/>
      <sheetName val="건축공사"/>
      <sheetName val="투찰가"/>
      <sheetName val="시운전연료비"/>
      <sheetName val="세부내역서"/>
      <sheetName val="Macro(차단기)"/>
      <sheetName val="날개벽(시점좌측)"/>
      <sheetName val="을지"/>
      <sheetName val="철거산출근거"/>
      <sheetName val="97 사업추정(WEKI)"/>
      <sheetName val="#REF"/>
      <sheetName val="BOM"/>
      <sheetName val="LAB"/>
      <sheetName val="목록1"/>
      <sheetName val="목록2"/>
      <sheetName val="2000년1차"/>
      <sheetName val="2000전체분"/>
      <sheetName val="토사(PE)"/>
      <sheetName val="마감LIST-1"/>
      <sheetName val="코드표"/>
      <sheetName val="용산3(영광)"/>
      <sheetName val="하수급견적대비"/>
      <sheetName val="Macro1"/>
      <sheetName val="플랜트 설치"/>
      <sheetName val="을-ATYPE"/>
      <sheetName val="노무비단가"/>
      <sheetName val="계림(함평)"/>
      <sheetName val="계림(장성)"/>
      <sheetName val="SULKEA"/>
      <sheetName val="단면설계"/>
      <sheetName val="안정검토"/>
      <sheetName val="DATA1"/>
      <sheetName val="단가"/>
      <sheetName val="일위대가표"/>
      <sheetName val="토적계산"/>
      <sheetName val="목차"/>
      <sheetName val="MOKDONG(1)"/>
      <sheetName val="담장산출"/>
      <sheetName val="단가(1)"/>
      <sheetName val="건축"/>
      <sheetName val="집계표"/>
      <sheetName val="변수값"/>
      <sheetName val="중기상차"/>
      <sheetName val="AS복구"/>
      <sheetName val="중기터파기"/>
      <sheetName val="관람석제출"/>
      <sheetName val="한강운반비"/>
      <sheetName val="순공사비"/>
      <sheetName val="교대(A1-A2)"/>
      <sheetName val="실행철강하도"/>
      <sheetName val="인건비"/>
      <sheetName val="유림골조"/>
      <sheetName val="공주-교대(A1)"/>
      <sheetName val="아파트_9"/>
      <sheetName val="공사예산하조서(O.K)"/>
      <sheetName val="공사개요"/>
      <sheetName val="정부노임단가"/>
      <sheetName val="단위수량"/>
      <sheetName val="내역(대광)"/>
      <sheetName val="굴착현장"/>
      <sheetName val="1공구산출내역서"/>
      <sheetName val="Sheet1"/>
      <sheetName val="BOQ"/>
      <sheetName val="총공사내역서"/>
      <sheetName val="내역표지"/>
      <sheetName val="토 적 표"/>
      <sheetName val="배수내역"/>
      <sheetName val="물가"/>
      <sheetName val="투찰내역"/>
      <sheetName val="일위대가목록"/>
      <sheetName val="J直材4"/>
      <sheetName val="N賃率-職"/>
      <sheetName val="적현로"/>
      <sheetName val="저"/>
      <sheetName val="차도부연장현황"/>
      <sheetName val="산출중량"/>
      <sheetName val="수목중량"/>
      <sheetName val="시설물중량"/>
      <sheetName val="Sheet3"/>
      <sheetName val="중량산출"/>
      <sheetName val="식재-1"/>
      <sheetName val="식재-2"/>
      <sheetName val="식재-3"/>
      <sheetName val="식재-4"/>
      <sheetName val="수목 "/>
      <sheetName val="시설수량산출"/>
      <sheetName val="포장수량산출"/>
      <sheetName val="시설물포장수량"/>
      <sheetName val="시설물포장집계"/>
      <sheetName val="수목(임시)"/>
      <sheetName val="KCS-CA"/>
      <sheetName val="중기손료"/>
      <sheetName val="DANGA"/>
      <sheetName val="단가산출2"/>
      <sheetName val="중기사용료산출근거"/>
      <sheetName val="기계경비집계"/>
      <sheetName val="기본단가표"/>
      <sheetName val="8.PILE  (돌출)"/>
      <sheetName val="수량집계"/>
      <sheetName val="단가조사"/>
      <sheetName val="선행호기실적(건축분)"/>
      <sheetName val="견적"/>
      <sheetName val="위치조서"/>
      <sheetName val="흥양2교토공집계표"/>
      <sheetName val="금액"/>
      <sheetName val="말뚝지지력산정"/>
      <sheetName val="1.설계조건"/>
      <sheetName val="Y-WORK"/>
      <sheetName val="본체"/>
      <sheetName val="명단"/>
      <sheetName val="날개벽수량표"/>
      <sheetName val="asd"/>
      <sheetName val="기초단가"/>
      <sheetName val="환경기계공정표 (3)"/>
      <sheetName val="요약&amp;결과"/>
      <sheetName val="민감도"/>
      <sheetName val="계수시트"/>
      <sheetName val="토량산출서"/>
      <sheetName val="청주-교대(A1)"/>
      <sheetName val="총괄내역서"/>
      <sheetName val="변경내역서"/>
      <sheetName val="Sheet5"/>
      <sheetName val="갑지"/>
      <sheetName val="간접"/>
      <sheetName val="인건-측정"/>
      <sheetName val="HRSG SMALL07220"/>
      <sheetName val="기계설비"/>
      <sheetName val="1차 내역서"/>
      <sheetName val="남양시작동자105노65기1.3화1.2"/>
      <sheetName val="Option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Sheet1 (2)"/>
      <sheetName val="목록"/>
      <sheetName val="무전표"/>
      <sheetName val="내역을"/>
      <sheetName val="수입"/>
      <sheetName val="도급내역서"/>
      <sheetName val="산출-설비"/>
      <sheetName val="______"/>
      <sheetName val="인사자료총집계"/>
      <sheetName val="일위대가(1)"/>
      <sheetName val="6호기"/>
      <sheetName val="BID"/>
      <sheetName val="Proposal"/>
      <sheetName val="수량산출"/>
      <sheetName val="Galaxy 소비자가격표"/>
      <sheetName val="대구은행"/>
      <sheetName val="기기리스트"/>
      <sheetName val="공내역"/>
      <sheetName val="증감대비"/>
      <sheetName val="EJ"/>
      <sheetName val="산근"/>
      <sheetName val="seting MP"/>
      <sheetName val="CAL."/>
      <sheetName val="일일"/>
      <sheetName val="목포방향"/>
      <sheetName val="단가조사서"/>
      <sheetName val="전차선로 물량표"/>
      <sheetName val="일위대가 "/>
      <sheetName val="물가대비표"/>
      <sheetName val="내역서적용수량"/>
      <sheetName val="건축내역"/>
      <sheetName val="적용기준"/>
      <sheetName val="Sheet4"/>
      <sheetName val="원가 (2)"/>
      <sheetName val="인테리어내역"/>
      <sheetName val="H-PILE수량집계"/>
      <sheetName val="관경별내역서"/>
      <sheetName val="도급내역"/>
      <sheetName val="중기사용료"/>
      <sheetName val="ilch"/>
      <sheetName val="품셈TABLE"/>
      <sheetName val="제출문"/>
      <sheetName val="일위대가(가설)"/>
      <sheetName val="2003상반기노임기준"/>
      <sheetName val="경영계획1월"/>
      <sheetName val="인부노임"/>
      <sheetName val="공정표(굴착연장조정)"/>
      <sheetName val="건축토목내역"/>
      <sheetName val="단가 및 재료비"/>
      <sheetName val="단가(자재)"/>
      <sheetName val="단가(노임)"/>
      <sheetName val="기초목록"/>
      <sheetName val="예산M6-B"/>
      <sheetName val="VENDOR LIST"/>
      <sheetName val="도기류"/>
      <sheetName val="총괄갑 "/>
      <sheetName val="Macro3"/>
      <sheetName val="DATA2000"/>
      <sheetName val="갑지(추정)"/>
      <sheetName val="도급FORM"/>
      <sheetName val="세부"/>
      <sheetName val="전체분"/>
      <sheetName val="패널"/>
      <sheetName val="1-1"/>
      <sheetName val="경로당내역건축"/>
      <sheetName val="총괄"/>
      <sheetName val="C1"/>
      <sheetName val="모래기초"/>
      <sheetName val="총물량"/>
      <sheetName val="동해title"/>
      <sheetName val="광양방향"/>
      <sheetName val="ABUT수량-A1"/>
      <sheetName val="3BL공동구 수량"/>
      <sheetName val="Total"/>
      <sheetName val="교대(A1)"/>
      <sheetName val="전체"/>
      <sheetName val="기계공사"/>
      <sheetName val="공통가설공사"/>
      <sheetName val="Tool"/>
      <sheetName val="수목표준대가"/>
      <sheetName val="산출내역서"/>
      <sheetName val="기초일위"/>
      <sheetName val="Base"/>
      <sheetName val="내역서01"/>
      <sheetName val="단가목록"/>
      <sheetName val="댐구조도"/>
      <sheetName val="세월교산출기초"/>
      <sheetName val="수량산출표"/>
      <sheetName val="마장"/>
      <sheetName val="우수받이"/>
      <sheetName val="기본사항"/>
      <sheetName val="Revised PEGS98"/>
      <sheetName val="밸브설치"/>
      <sheetName val="입찰안"/>
      <sheetName val="우석문틀"/>
      <sheetName val="교각계산"/>
      <sheetName val="참고사항"/>
      <sheetName val="2004일위대가"/>
      <sheetName val="손익계산서(SJ)"/>
      <sheetName val="일위대가(건축)"/>
      <sheetName val="간선계산"/>
      <sheetName val="A-4"/>
      <sheetName val="시설일위"/>
      <sheetName val="지우지마"/>
      <sheetName val="CPM챠트"/>
      <sheetName val="기본일위"/>
      <sheetName val="원형1호맨홀토공수량"/>
      <sheetName val="02자재"/>
      <sheetName val="일위대가모듈"/>
      <sheetName val="백호우계수"/>
      <sheetName val="관로내역원"/>
      <sheetName val="4차원가계산서"/>
      <sheetName val="금액내역서"/>
      <sheetName val="미지급금"/>
      <sheetName val="000000"/>
      <sheetName val="용수량(생활용수)"/>
      <sheetName val="INPUT"/>
      <sheetName val="단면가정"/>
      <sheetName val="개별직종노임단가(2002.5)"/>
      <sheetName val="제경비율"/>
      <sheetName val="중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일위대가"/>
      <sheetName val="산출2-기기동력"/>
      <sheetName val="산출3-유도등"/>
      <sheetName val="산출2-동력"/>
      <sheetName val="산출2-피뢰침"/>
      <sheetName val="노무비단가"/>
      <sheetName val="노임단가"/>
      <sheetName val="원도급"/>
      <sheetName val="하도급"/>
      <sheetName val="기본단가표"/>
      <sheetName val="투찰가"/>
      <sheetName val="총괄표 "/>
      <sheetName val="가도공"/>
      <sheetName val="단가"/>
      <sheetName val="인건비"/>
      <sheetName val="실정내역"/>
      <sheetName val="노임"/>
      <sheetName val="시설물일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YO"/>
      <sheetName val="WON기타"/>
      <sheetName val="NAI-T"/>
      <sheetName val="NAI"/>
      <sheetName val="관급"/>
      <sheetName val="IL-L"/>
      <sheetName val="IL"/>
      <sheetName val="G-IL-L"/>
      <sheetName val="G-IL"/>
      <sheetName val="EQ-L"/>
      <sheetName val="EQ-총"/>
      <sheetName val="EQ-R1"/>
      <sheetName val="BU-L"/>
      <sheetName val="BU"/>
      <sheetName val="BU-손"/>
      <sheetName val="DAN"/>
      <sheetName val="CAL-R"/>
      <sheetName val="운반시간"/>
      <sheetName val="요율표"/>
      <sheetName val="+-"/>
      <sheetName val="F1"/>
      <sheetName val="불도저 계수"/>
      <sheetName val="배토판 용량"/>
      <sheetName val="BD운반거리계수"/>
      <sheetName val="로더계수"/>
      <sheetName val="백호우계수"/>
      <sheetName val="덤프트럭계수"/>
      <sheetName val="그레이더계수"/>
      <sheetName val="롤러계수"/>
      <sheetName val="디젤파일해머계수"/>
      <sheetName val="SU_전기공량"/>
      <sheetName val="인력터파기품"/>
      <sheetName val="조경계수"/>
      <sheetName val="일위대가"/>
      <sheetName val="내역서"/>
      <sheetName val="총괄표 "/>
      <sheetName val="노무비"/>
      <sheetName val="Sheet5"/>
      <sheetName val="입찰"/>
      <sheetName val="현경"/>
      <sheetName val="인건비"/>
      <sheetName val="광양방향"/>
      <sheetName val="Nalma"/>
      <sheetName val="수목표준대가"/>
      <sheetName val="노임단가"/>
      <sheetName val="대가목록"/>
      <sheetName val="기본단가표"/>
      <sheetName val="ABUT수량-A1"/>
      <sheetName val="노무비단가"/>
      <sheetName val="중기사용료"/>
      <sheetName val="집계표"/>
      <sheetName val="물가변동대가세부내역서"/>
      <sheetName val="운동장 (2)"/>
      <sheetName val="단가"/>
      <sheetName val="코드표"/>
      <sheetName val="시설물일위"/>
      <sheetName val="총괄"/>
      <sheetName val="산근1"/>
      <sheetName val="장비"/>
      <sheetName val="노무"/>
      <sheetName val="자재"/>
      <sheetName val="건축"/>
      <sheetName val="MYUN(MAC)"/>
      <sheetName val="내역서01"/>
      <sheetName val="단가목록"/>
      <sheetName val="내역1"/>
      <sheetName val="단위단가"/>
      <sheetName val="단가 "/>
      <sheetName val="철거산출근거"/>
      <sheetName val="제작비추산총괄표"/>
      <sheetName val="본체"/>
      <sheetName val="불도저_계수"/>
      <sheetName val="배토판_용량"/>
      <sheetName val="불도저_계수1"/>
      <sheetName val="배토판_용량1"/>
      <sheetName val="백룡교차로"/>
      <sheetName val="산정교차로"/>
      <sheetName val="신영교차로"/>
      <sheetName val="공통자료"/>
      <sheetName val="DATA"/>
      <sheetName val="데이타"/>
      <sheetName val="식재가격"/>
      <sheetName val="식재총괄"/>
      <sheetName val="일위목록"/>
      <sheetName val="대림경상68억"/>
      <sheetName val="공사비"/>
      <sheetName val="노임"/>
      <sheetName val="콘철"/>
      <sheetName val="99총공사내역서"/>
      <sheetName val="XL4Poppy"/>
      <sheetName val="대전-교대(A1-A2)"/>
      <sheetName val="하부철근수량"/>
      <sheetName val="화해(함평)"/>
      <sheetName val="화해(장성)"/>
      <sheetName val="시설수량표"/>
      <sheetName val="설비단가표"/>
      <sheetName val="견적"/>
      <sheetName val="식재"/>
      <sheetName val="시설물"/>
      <sheetName val="식재출력용"/>
      <sheetName val="유지관리"/>
      <sheetName val="기초일위"/>
      <sheetName val="EACT10"/>
      <sheetName val="연못내역"/>
      <sheetName val="Sheet1"/>
      <sheetName val="일위_파일"/>
      <sheetName val="70%"/>
      <sheetName val="45,46"/>
      <sheetName val="대비내역"/>
      <sheetName val="DATE"/>
      <sheetName val="총괄표_"/>
      <sheetName val="기자재비"/>
      <sheetName val="#REF"/>
      <sheetName val="수량산출서"/>
      <sheetName val="간접비"/>
      <sheetName val="기계경비"/>
      <sheetName val="7+160암거변경"/>
      <sheetName val="총괄내역서"/>
      <sheetName val="금액내역서"/>
      <sheetName val="단가(자재)"/>
      <sheetName val="단가(노임)"/>
      <sheetName val="기초목록"/>
      <sheetName val="ⴭⴭⴭⴭⴭ"/>
      <sheetName val="단가산출"/>
      <sheetName val="요율"/>
      <sheetName val="단위수량"/>
      <sheetName val="공통가설"/>
      <sheetName val="건축공사실행"/>
      <sheetName val="I一般比"/>
      <sheetName val="부대내역"/>
      <sheetName val="수리보고서비"/>
      <sheetName val="소방"/>
      <sheetName val="지급자재"/>
      <sheetName val="DONT TOUCH"/>
      <sheetName val="광산내역"/>
      <sheetName val="단"/>
      <sheetName val="포장면적산출"/>
      <sheetName val="Sheet1 (2)"/>
      <sheetName val="부분별수량산출(조합기초)"/>
      <sheetName val="데리네이타현황"/>
      <sheetName val="개별직종노임단가(2003.9)"/>
      <sheetName val="수지표"/>
      <sheetName val="셀명"/>
      <sheetName val="일위대가목록"/>
      <sheetName val="N賃率-職"/>
      <sheetName val="1단계"/>
      <sheetName val="전기공사일위대가"/>
      <sheetName val="1,2공구원가계산서"/>
      <sheetName val="원가계산서(변경)"/>
      <sheetName val="내역"/>
      <sheetName val="일위대가모듈"/>
      <sheetName val="밸브설치"/>
      <sheetName val="예산명세서"/>
      <sheetName val="설계명세서"/>
      <sheetName val="자료입력"/>
      <sheetName val="SG"/>
      <sheetName val="실행철강하도"/>
      <sheetName val="실행내역"/>
      <sheetName val="예측단가간지"/>
      <sheetName val="적현로"/>
      <sheetName val="2공구산출내역"/>
      <sheetName val="하수급견적대비"/>
      <sheetName val="수지예산"/>
      <sheetName val="토사(PE)"/>
      <sheetName val="날개벽수량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2">
          <cell r="K2" t="str">
            <v>모자양</v>
          </cell>
          <cell r="L2">
            <v>0.85</v>
          </cell>
        </row>
        <row r="3">
          <cell r="K3" t="str">
            <v>모자보</v>
          </cell>
          <cell r="L3">
            <v>0.7</v>
          </cell>
        </row>
        <row r="4">
          <cell r="K4" t="str">
            <v>모자불</v>
          </cell>
          <cell r="L4">
            <v>0.55000000000000004</v>
          </cell>
        </row>
        <row r="5">
          <cell r="K5" t="str">
            <v>모흐양</v>
          </cell>
          <cell r="L5">
            <v>0.9</v>
          </cell>
        </row>
        <row r="6">
          <cell r="K6" t="str">
            <v>모흐보</v>
          </cell>
          <cell r="L6">
            <v>0.75</v>
          </cell>
        </row>
        <row r="7">
          <cell r="K7" t="str">
            <v>모흐불</v>
          </cell>
          <cell r="L7">
            <v>0.6</v>
          </cell>
        </row>
        <row r="8">
          <cell r="K8" t="str">
            <v>사자양</v>
          </cell>
          <cell r="L8">
            <v>0.85</v>
          </cell>
        </row>
        <row r="9">
          <cell r="K9" t="str">
            <v>사자보</v>
          </cell>
          <cell r="L9">
            <v>0.7</v>
          </cell>
        </row>
        <row r="10">
          <cell r="K10" t="str">
            <v>사자불</v>
          </cell>
          <cell r="L10">
            <v>0.55000000000000004</v>
          </cell>
        </row>
        <row r="11">
          <cell r="K11" t="str">
            <v>사흐양</v>
          </cell>
          <cell r="L11">
            <v>0.9</v>
          </cell>
        </row>
        <row r="12">
          <cell r="K12" t="str">
            <v>사흐보</v>
          </cell>
          <cell r="L12">
            <v>0.75</v>
          </cell>
        </row>
        <row r="13">
          <cell r="K13" t="str">
            <v>사흐불</v>
          </cell>
          <cell r="L13">
            <v>0.6</v>
          </cell>
        </row>
        <row r="14">
          <cell r="K14" t="str">
            <v>자자양</v>
          </cell>
          <cell r="L14">
            <v>0.75</v>
          </cell>
        </row>
        <row r="15">
          <cell r="K15" t="str">
            <v>자자보</v>
          </cell>
          <cell r="L15">
            <v>0.6</v>
          </cell>
        </row>
        <row r="16">
          <cell r="K16" t="str">
            <v>자자불</v>
          </cell>
          <cell r="L16">
            <v>0.45</v>
          </cell>
        </row>
        <row r="17">
          <cell r="K17" t="str">
            <v>자흐양</v>
          </cell>
          <cell r="L17">
            <v>0.8</v>
          </cell>
        </row>
        <row r="18">
          <cell r="K18" t="str">
            <v>자흐보</v>
          </cell>
          <cell r="L18">
            <v>0.65</v>
          </cell>
        </row>
        <row r="19">
          <cell r="K19" t="str">
            <v>자흐불</v>
          </cell>
          <cell r="L19">
            <v>0.5</v>
          </cell>
        </row>
        <row r="20">
          <cell r="K20" t="str">
            <v>점자양</v>
          </cell>
          <cell r="L20">
            <v>0.75</v>
          </cell>
        </row>
        <row r="21">
          <cell r="K21" t="str">
            <v>점자보</v>
          </cell>
          <cell r="L21">
            <v>0.6</v>
          </cell>
        </row>
        <row r="22">
          <cell r="K22" t="str">
            <v>점자불</v>
          </cell>
          <cell r="L22">
            <v>0.45</v>
          </cell>
        </row>
        <row r="23">
          <cell r="K23" t="str">
            <v>점흐양</v>
          </cell>
          <cell r="L23">
            <v>0.8</v>
          </cell>
        </row>
        <row r="24">
          <cell r="K24" t="str">
            <v>점흐보</v>
          </cell>
          <cell r="L24">
            <v>0.65</v>
          </cell>
        </row>
        <row r="25">
          <cell r="K25" t="str">
            <v>점흐불</v>
          </cell>
          <cell r="L25">
            <v>0.5</v>
          </cell>
        </row>
        <row r="26">
          <cell r="K26" t="str">
            <v>파자양</v>
          </cell>
          <cell r="L26" t="str">
            <v>값 없음</v>
          </cell>
        </row>
        <row r="27">
          <cell r="K27" t="str">
            <v>파자보</v>
          </cell>
          <cell r="L27" t="str">
            <v>값 없음</v>
          </cell>
        </row>
        <row r="28">
          <cell r="K28" t="str">
            <v>파자불</v>
          </cell>
          <cell r="L28" t="str">
            <v>값 없음</v>
          </cell>
        </row>
        <row r="29">
          <cell r="K29" t="str">
            <v>파흐양</v>
          </cell>
          <cell r="L29" t="str">
            <v>값 없음</v>
          </cell>
        </row>
        <row r="30">
          <cell r="K30" t="str">
            <v>파흐보</v>
          </cell>
          <cell r="L30">
            <v>0.45</v>
          </cell>
        </row>
        <row r="31">
          <cell r="K31" t="str">
            <v>파흐불</v>
          </cell>
          <cell r="L31">
            <v>0.35</v>
          </cell>
        </row>
        <row r="32">
          <cell r="K32" t="str">
            <v>1자양</v>
          </cell>
          <cell r="L32">
            <v>0.7</v>
          </cell>
        </row>
        <row r="33">
          <cell r="K33" t="str">
            <v>1자보</v>
          </cell>
          <cell r="L33">
            <v>0.55000000000000004</v>
          </cell>
        </row>
        <row r="34">
          <cell r="K34" t="str">
            <v>1자불</v>
          </cell>
          <cell r="L34">
            <v>0.4</v>
          </cell>
        </row>
        <row r="35">
          <cell r="K35" t="str">
            <v>1흐양</v>
          </cell>
          <cell r="L35">
            <v>0.75</v>
          </cell>
        </row>
        <row r="36">
          <cell r="K36" t="str">
            <v>1흐보</v>
          </cell>
          <cell r="L36">
            <v>0.6</v>
          </cell>
        </row>
        <row r="37">
          <cell r="K37" t="str">
            <v>1흐불</v>
          </cell>
          <cell r="L37">
            <v>0.45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중노임"/>
      <sheetName val="Sheet1"/>
      <sheetName val="Sheet2"/>
      <sheetName val="Sheet3"/>
      <sheetName val="노무비"/>
      <sheetName val="노무비단가"/>
      <sheetName val="백호우계수"/>
      <sheetName val="기초일위"/>
      <sheetName val="시설일위"/>
      <sheetName val="식재일위"/>
      <sheetName val="일위목록"/>
      <sheetName val="부분별수량산출(조합기초)"/>
      <sheetName val="Sheet1 (2)"/>
      <sheetName val="총괄표 "/>
      <sheetName val="시점교대"/>
      <sheetName val="MYUN(MAC)"/>
      <sheetName val="기본단가표"/>
      <sheetName val="개화1교"/>
      <sheetName val="총괄내역서"/>
      <sheetName val="시설물일위"/>
      <sheetName val="일위대가"/>
      <sheetName val="단가"/>
      <sheetName val="앉음벽 (2)"/>
      <sheetName val="자재집계"/>
      <sheetName val="I一般比"/>
      <sheetName val="#REF"/>
      <sheetName val="조명시설"/>
      <sheetName val="노임"/>
      <sheetName val="목록"/>
      <sheetName val="기초일위대가"/>
      <sheetName val="식재일위대가"/>
      <sheetName val="내역서"/>
      <sheetName val="data"/>
      <sheetName val="중기사용료"/>
      <sheetName val="집계표"/>
      <sheetName val="Sheet1 _2_"/>
      <sheetName val="Sheet5"/>
      <sheetName val="guard(mac)"/>
      <sheetName val="일위대가표"/>
      <sheetName val="자재목록"/>
      <sheetName val="입력"/>
      <sheetName val="Sheet1_(2)"/>
      <sheetName val="총괄표_"/>
      <sheetName val="DAN"/>
      <sheetName val="일위대가목차"/>
      <sheetName val="설비단가표"/>
      <sheetName val="Macro1"/>
      <sheetName val="산근목록"/>
      <sheetName val="당초계약"/>
      <sheetName val="변경내역"/>
      <sheetName val="을지"/>
      <sheetName val="조명일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로표지"/>
      <sheetName val="예정공정"/>
      <sheetName val="설계서"/>
      <sheetName val="설계서(폐기물)"/>
      <sheetName val="공사원가"/>
      <sheetName val="총괄내역"/>
      <sheetName val="내역합계"/>
      <sheetName val="내역"/>
      <sheetName val="이전비내역"/>
      <sheetName val="이전내역수량산출"/>
      <sheetName val="수량(지주,비료)"/>
      <sheetName val="수량(시설물)"/>
      <sheetName val="일위목록"/>
      <sheetName val="일위대가"/>
      <sheetName val="기초일위"/>
      <sheetName val="수목단가"/>
      <sheetName val="시설단가"/>
      <sheetName val="노임단가"/>
      <sheetName val="중기단가"/>
      <sheetName val="중기산출"/>
      <sheetName val="수량산출"/>
      <sheetName val="단가"/>
      <sheetName val="식재"/>
      <sheetName val="시설물"/>
      <sheetName val="식재출력용"/>
      <sheetName val="유지관리"/>
      <sheetName val="8.식재일위"/>
      <sheetName val="B시설가격"/>
      <sheetName val="시노"/>
      <sheetName val="영업소실적"/>
      <sheetName val="아파트"/>
      <sheetName val="총괄내역서"/>
      <sheetName val="내역서"/>
      <sheetName val="Sheet1 (2)"/>
      <sheetName val="단위단가"/>
      <sheetName val="#REF"/>
      <sheetName val="Sheet1"/>
      <sheetName val="수안보-MBR1"/>
      <sheetName val="DAN"/>
      <sheetName val="백호우계수"/>
      <sheetName val="단면설계"/>
      <sheetName val="안정검토"/>
      <sheetName val="3.공통공사대비"/>
      <sheetName val="자재(원원+원대)"/>
      <sheetName val="노임"/>
      <sheetName val="날개벽수량표"/>
      <sheetName val="1월"/>
      <sheetName val="일위대가표"/>
      <sheetName val="분석"/>
      <sheetName val="시설수량표"/>
      <sheetName val="시설일위"/>
      <sheetName val="식재수량표"/>
      <sheetName val="식재일위"/>
      <sheetName val="자재단가"/>
      <sheetName val="2공구산출내역"/>
      <sheetName val="시중노임"/>
      <sheetName val="실행대비"/>
      <sheetName val="지주목시비량산출서"/>
      <sheetName val="경산"/>
      <sheetName val="기계경비일람"/>
      <sheetName val="중기사용료"/>
      <sheetName val="단가 및 재료비"/>
      <sheetName val="중기사용료산출근거"/>
      <sheetName val="단가산출내역"/>
      <sheetName val="배수내역(98년도분)"/>
      <sheetName val="개산공사비"/>
      <sheetName val="시설물일위"/>
      <sheetName val="시점교대"/>
      <sheetName val="자재목록"/>
      <sheetName val="입력"/>
      <sheetName val="내역서01"/>
      <sheetName val="97 사업추정(WEKI)"/>
      <sheetName val="2경간"/>
      <sheetName val="총괄"/>
      <sheetName val="XL4Poppy"/>
      <sheetName val="노무비단가"/>
      <sheetName val="기본단가표"/>
      <sheetName val="식재인부"/>
      <sheetName val="기본1"/>
      <sheetName val="수정일위대가"/>
      <sheetName val="산출내역서집계표"/>
      <sheetName val="실행내역서"/>
      <sheetName val="공통가설"/>
      <sheetName val="슬래브(PF)(하류)"/>
      <sheetName val="빗물받이(910-510-410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로표지"/>
      <sheetName val="예정공정"/>
      <sheetName val="설계서"/>
      <sheetName val="공사원가"/>
      <sheetName val="총괄내역"/>
      <sheetName val="폐기물내역"/>
      <sheetName val="내역합계"/>
      <sheetName val="내역"/>
      <sheetName val="수량(지주,비료)"/>
      <sheetName val="수량(시설물) (2)"/>
      <sheetName val="수량(시설물)"/>
      <sheetName val="일위목록"/>
      <sheetName val="일위대가"/>
      <sheetName val="기초일위"/>
      <sheetName val="수목단가"/>
      <sheetName val="시설단가"/>
      <sheetName val="노임단가"/>
      <sheetName val="중기사용목록"/>
      <sheetName val="중기사용"/>
      <sheetName val="산출근거목록"/>
      <sheetName val="산출근거"/>
      <sheetName val="중기산출"/>
      <sheetName val="식재공단위수량산출서"/>
      <sheetName val="시설공단위수량산출서"/>
      <sheetName val="철거수량산출"/>
      <sheetName val="철거산출집계표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간지"/>
      <sheetName val="목차"/>
      <sheetName val="자재집계1"/>
      <sheetName val="자재집계"/>
      <sheetName val="토공계획"/>
      <sheetName val="토공유동"/>
      <sheetName val="토공집계표"/>
      <sheetName val="토량운반집계"/>
      <sheetName val="구조깨기"/>
      <sheetName val="헐기"/>
      <sheetName val="구조물총"/>
      <sheetName val="구조물공"/>
      <sheetName val="시가지L형측구"/>
      <sheetName val="옹벽식L형집계"/>
      <sheetName val="옹벽식L형측구(절토부)"/>
      <sheetName val="옹벽식L형연장"/>
      <sheetName val="도로경계석집계"/>
      <sheetName val="도로경계석연장"/>
      <sheetName val="도로경계석(150)"/>
      <sheetName val="복구수량집"/>
      <sheetName val="복구포장집"/>
      <sheetName val="복구포장단위"/>
      <sheetName val="우,오수공총"/>
      <sheetName val="맨홀총"/>
      <sheetName val="맨홀"/>
      <sheetName val="우오수관"/>
      <sheetName val="우오수토공집계"/>
      <sheetName val="관토공"/>
      <sheetName val="우오수연장"/>
      <sheetName val="우오수단위"/>
      <sheetName val="우오수평균고"/>
      <sheetName val="우수받이"/>
      <sheetName val="우수연결관"/>
      <sheetName val="오수유입"/>
      <sheetName val="석축집계"/>
      <sheetName val="석축연장"/>
      <sheetName val="석축수량"/>
      <sheetName val="석축(찰쌓기)단위수량 "/>
      <sheetName val="상수연장"/>
      <sheetName val="상수도"/>
      <sheetName val="포장총"/>
      <sheetName val="본선포장"/>
      <sheetName val="포장단위"/>
      <sheetName val="오버레이구간"/>
      <sheetName val="오버레이수량"/>
      <sheetName val="접속수량집"/>
      <sheetName val="접속포장집"/>
      <sheetName val="접속산출"/>
      <sheetName val="측구포장증감"/>
      <sheetName val="L형측구공제"/>
      <sheetName val="가각포장집계"/>
      <sheetName val="가각포장단위"/>
      <sheetName val="가각부"/>
      <sheetName val="부대공"/>
      <sheetName val="차선도색집"/>
      <sheetName val="일반차선도색"/>
      <sheetName val="배수공총"/>
      <sheetName val="종배수공"/>
      <sheetName val="횡배수공"/>
      <sheetName val="날개치수"/>
      <sheetName val="접속도로"/>
      <sheetName val="관기초"/>
      <sheetName val="화산"/>
      <sheetName val="단면설계"/>
      <sheetName val="안정검토"/>
      <sheetName val="대가목록"/>
      <sheetName val="기초일위"/>
      <sheetName val="설계"/>
      <sheetName val="4.2유효폭의 계산"/>
      <sheetName val="백호우계수"/>
      <sheetName val="일위대가"/>
    </sheetNames>
    <definedNames>
      <definedName name="일위코드입력매크로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자재집계"/>
      <sheetName val="총수량"/>
      <sheetName val="총철근"/>
      <sheetName val="몰탈"/>
      <sheetName val="토공집계"/>
      <sheetName val="토적집계"/>
      <sheetName val="토적표"/>
      <sheetName val="포장수량집계"/>
      <sheetName val="포장철근집계"/>
      <sheetName val="아스콘T=62.5"/>
      <sheetName val="고압블럭T=20"/>
      <sheetName val="보차도경계블럭"/>
      <sheetName val="보도경계블럭"/>
      <sheetName val="L형측구"/>
      <sheetName val="감속턱"/>
      <sheetName val="차선(중앙선)"/>
      <sheetName val="차선(직각주차)"/>
      <sheetName val="우수수량집계"/>
      <sheetName val="우수철근집계"/>
      <sheetName val="우수흄관깊이"/>
      <sheetName val="우수맨홀깊이"/>
      <sheetName val="우수맨홀(D900)"/>
      <sheetName val="우수맨홀(D1200)"/>
      <sheetName val="흄관(D450)"/>
      <sheetName val="흄관(D600)"/>
      <sheetName val="집수정"/>
      <sheetName val="홈통받이"/>
      <sheetName val="빗물받이(910-510-410)"/>
      <sheetName val="빗물받이(600-510-410)"/>
      <sheetName val="U형측구"/>
      <sheetName val="홈통받이연락관(D.C PIPE-150)"/>
      <sheetName val="빗물받이연락관(D.C PIPE-250)"/>
      <sheetName val="맹암거(SDP150)"/>
      <sheetName val="맹암거(SDP100)"/>
      <sheetName val="우수PIT"/>
      <sheetName val="오수수량집계"/>
      <sheetName val="오수철근집계"/>
      <sheetName val="오수공흄관평균깊이"/>
      <sheetName val="오수공맨홀평균깊이"/>
      <sheetName val="오수맨홀(D900)"/>
      <sheetName val="오수-흄관(D300)"/>
      <sheetName val="오수받이(910-510-410)"/>
      <sheetName val="오수받이연락관(D.CPIPE-150)"/>
      <sheetName val="상수수량집계"/>
      <sheetName val="상수철근집계"/>
      <sheetName val="제수변실(1.40-1.80)"/>
      <sheetName val="주철관(D40)"/>
      <sheetName val="주철관(D150)"/>
      <sheetName val="공동구수량집계"/>
      <sheetName val="공동구철근집계"/>
      <sheetName val="공동구단위시트"/>
      <sheetName val="4.2유효폭의 계산"/>
      <sheetName val="우수"/>
      <sheetName val="내역서"/>
      <sheetName val="수량산출"/>
      <sheetName val="대구진천삼성APT"/>
      <sheetName val="기초일위"/>
      <sheetName val="코드"/>
      <sheetName val="터파기및재료"/>
      <sheetName val="원형1호맨홀토공수량"/>
      <sheetName val="guard(mac)"/>
      <sheetName val="#REF"/>
      <sheetName val="공비대비"/>
      <sheetName val="본공사"/>
      <sheetName val="빗물받이_910_510_410_"/>
      <sheetName val="Sheet1 (2)"/>
      <sheetName val="원가계산 (2)"/>
      <sheetName val="자재단가"/>
      <sheetName val="입찰"/>
      <sheetName val="현경"/>
      <sheetName val="원가계산서"/>
      <sheetName val="JUCKEYK"/>
      <sheetName val="BID"/>
      <sheetName val="S0"/>
      <sheetName val="토목"/>
      <sheetName val="설계"/>
      <sheetName val="식재인부"/>
      <sheetName val="마산월령동골조물량변경"/>
      <sheetName val="노임"/>
      <sheetName val="형틀공사"/>
      <sheetName val="토공"/>
      <sheetName val="일반부표"/>
      <sheetName val="DATE"/>
      <sheetName val="터널조도"/>
      <sheetName val="목차임시"/>
      <sheetName val="견적대비"/>
      <sheetName val="감시제어"/>
      <sheetName val="부대내역"/>
      <sheetName val="내역"/>
      <sheetName val="투찰"/>
      <sheetName val="환산"/>
      <sheetName val="전신환매도율"/>
      <sheetName val="실행철강하도"/>
      <sheetName val="JUCK"/>
      <sheetName val="노무비"/>
      <sheetName val="갑지(추정)"/>
      <sheetName val="금액"/>
      <sheetName val="Sheet1"/>
      <sheetName val="Sheet2"/>
      <sheetName val="토목공사"/>
      <sheetName val="★도급내역"/>
      <sheetName val="단위수량"/>
      <sheetName val="국내조달(통합-1)"/>
      <sheetName val="부대"/>
      <sheetName val="일위CODE"/>
      <sheetName val="시중노임"/>
      <sheetName val="TYPE-A"/>
      <sheetName val="관리,공감"/>
      <sheetName val="ELEV SPEC(Ia,Ir)"/>
      <sheetName val="데리네이타현황"/>
      <sheetName val="효명0010"/>
      <sheetName val="단가조사"/>
      <sheetName val="CT"/>
      <sheetName val="중기 부표"/>
      <sheetName val="공내역"/>
      <sheetName val="단가"/>
      <sheetName val="자재운반단가일람표"/>
      <sheetName val="배수공 내역서 적용수량"/>
      <sheetName val="Sheet6"/>
      <sheetName val="(1)본선수량집계"/>
      <sheetName val="노임단가"/>
      <sheetName val="유효폭의 계산"/>
      <sheetName val="정보"/>
      <sheetName val="백호우계수"/>
      <sheetName val="MYUN(MAC)"/>
      <sheetName val="단위단가"/>
      <sheetName val="과천MAIN"/>
      <sheetName val="인원자료"/>
      <sheetName val="Baby일위대가"/>
      <sheetName val="시중노임단가"/>
      <sheetName val="내역(중앙)"/>
      <sheetName val="내역(창신)"/>
      <sheetName val="갑지"/>
      <sheetName val="2경간"/>
      <sheetName val="제경비율"/>
      <sheetName val="시점교대"/>
      <sheetName val="토공(우물통,기타) "/>
      <sheetName val="자재집게표 "/>
      <sheetName val="이름정의"/>
      <sheetName val="부관수량집계"/>
      <sheetName val="전산output"/>
      <sheetName val="말뚝지지력산정"/>
      <sheetName val="Sheet4"/>
      <sheetName val="N賃率-職"/>
      <sheetName val="원가계산"/>
      <sheetName val="복구경비"/>
      <sheetName val="부하계산"/>
      <sheetName val="gyun"/>
      <sheetName val="단가비교표"/>
      <sheetName val="아스콘T=62_5"/>
      <sheetName val="홈통받이연락관(D_C_PIPE-150)"/>
      <sheetName val="빗물받이연락관(D_C_PIPE-250)"/>
      <sheetName val="오수받이연락관(D_CPIPE-150)"/>
      <sheetName val="제수변실(1_40-1_80)"/>
      <sheetName val="집수정(600-700)"/>
      <sheetName val="교대(A1)"/>
      <sheetName val="자재집계표"/>
      <sheetName val="교각1"/>
      <sheetName val="DATA"/>
      <sheetName val="가공비"/>
      <sheetName val="이토변실"/>
      <sheetName val="단면설계"/>
      <sheetName val="안정검토"/>
      <sheetName val="토사(PE)"/>
      <sheetName val="자재(원원+원대)"/>
      <sheetName val="철근량 검토"/>
      <sheetName val="공통가설"/>
      <sheetName val="도로포장면적산출(1)"/>
      <sheetName val="수리결과"/>
      <sheetName val="2.대외공문"/>
      <sheetName val="인건비"/>
      <sheetName val="자재비"/>
      <sheetName val="일위대가"/>
      <sheetName val="STORAGE"/>
      <sheetName val="70%"/>
      <sheetName val="TOWER 10TON"/>
      <sheetName val="설계명세서"/>
      <sheetName val="SH.R설치"/>
      <sheetName val="슬래브(PF)(하류)"/>
      <sheetName val="3.바닥판설계"/>
      <sheetName val="실행내역"/>
      <sheetName val="공사개요"/>
      <sheetName val="1,2,3,4,5단위수량"/>
      <sheetName val="합계금액"/>
      <sheetName val="수안보-MBR1"/>
      <sheetName val="3련 BOX"/>
      <sheetName val="현장관리비 산출내역"/>
      <sheetName val="하수급견적대비"/>
      <sheetName val="조명시설"/>
      <sheetName val="흙쌓기도수로설치현황"/>
      <sheetName val="기본단가표"/>
      <sheetName val="기계경비(시간당)"/>
      <sheetName val="설계조건"/>
      <sheetName val="명세서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재료비단가(800)"/>
      <sheetName val="경희대"/>
      <sheetName val="총물량"/>
      <sheetName val="Total"/>
      <sheetName val="단"/>
      <sheetName val="공통비(전체)"/>
      <sheetName val="일위대가 "/>
      <sheetName val="내역표지"/>
      <sheetName val="MOTOR"/>
      <sheetName val="조정금액결과표 (차수별)"/>
      <sheetName val="부대원내역"/>
      <sheetName val="부대하내역"/>
      <sheetName val="정부노임(2000.상)"/>
      <sheetName val="품셈"/>
      <sheetName val="우배수"/>
      <sheetName val="수량산출 (8)"/>
      <sheetName val="을지"/>
      <sheetName val="4_2유효폭의_계산"/>
      <sheetName val="C.배수관공"/>
      <sheetName val="노무비단가"/>
      <sheetName val="총수량집계표"/>
      <sheetName val="내역을"/>
      <sheetName val="부대공수량"/>
      <sheetName val="직접재료비"/>
      <sheetName val="도근좌표"/>
      <sheetName val="I一般比"/>
      <sheetName val="직노"/>
      <sheetName val="집계표"/>
      <sheetName val="준검 내역서"/>
      <sheetName val="적상기초자료"/>
      <sheetName val="수입"/>
      <sheetName val="월별손익"/>
      <sheetName val="비용적자료"/>
      <sheetName val="경로당내역건축"/>
      <sheetName val="ABUT수량-A1"/>
      <sheetName val="강관파일내역"/>
      <sheetName val="포장공"/>
      <sheetName val="부대공"/>
      <sheetName val="단가산출2"/>
      <sheetName val="중기사용료산출근거"/>
      <sheetName val="단가산출1"/>
      <sheetName val="부하계산서"/>
      <sheetName val="설비"/>
      <sheetName val="Project Brief"/>
      <sheetName val="03하반기내역서"/>
      <sheetName val="04상반기"/>
      <sheetName val="L_RPTB10_01"/>
      <sheetName val="북제주원가"/>
      <sheetName val="(하관내역)"/>
      <sheetName val="COVER"/>
      <sheetName val="1,2공구원가계산서"/>
      <sheetName val="2공구산출내역"/>
      <sheetName val="1공구산출내역서"/>
      <sheetName val="을-ATYPE"/>
      <sheetName val="DATA 입력부"/>
      <sheetName val="2~3.해석단면및모델링"/>
      <sheetName val="POOM_MOTO"/>
      <sheetName val="POOM_MOTO2"/>
      <sheetName val="플랜트 설치"/>
      <sheetName val="내역서적용수량 (지방도893)"/>
      <sheetName val="데이타"/>
      <sheetName val="6PILE  (돌출)"/>
      <sheetName val="옹벽기초자료"/>
      <sheetName val="현황산출서"/>
      <sheetName val="기초자료"/>
      <sheetName val="기계경비일람"/>
      <sheetName val="말뚝물량"/>
      <sheetName val="직접인건비"/>
      <sheetName val="순공사비"/>
      <sheetName val="차량별점검"/>
      <sheetName val="97노임단가"/>
      <sheetName val="입력란"/>
      <sheetName val="교대(A1-A2)"/>
      <sheetName val="중기사용료"/>
      <sheetName val="문학간접"/>
      <sheetName val="간접"/>
      <sheetName val="45,46"/>
      <sheetName val="Source"/>
      <sheetName val="판매시설"/>
      <sheetName val="(4-2)열관류값-2"/>
      <sheetName val="총괄표"/>
      <sheetName val="개산공사비"/>
      <sheetName val="xxxxxx"/>
      <sheetName val="가설공사비"/>
      <sheetName val="단가 및 재료비"/>
      <sheetName val="농로토공집계"/>
      <sheetName val="농로수량집계"/>
      <sheetName val="화해(함평)"/>
      <sheetName val="화해(장성)"/>
      <sheetName val="우각부보강"/>
      <sheetName val="종배수관"/>
      <sheetName val="물가대비표"/>
      <sheetName val="대로근거"/>
      <sheetName val="물가시세"/>
      <sheetName val="다곡2교"/>
      <sheetName val="목차"/>
      <sheetName val="2000년1차"/>
      <sheetName val="쌍송교"/>
      <sheetName val="기계경비"/>
      <sheetName val="룡전상부"/>
      <sheetName val="날개벽수량표"/>
      <sheetName val="약전설비"/>
      <sheetName val="000000"/>
      <sheetName val="샌딩 에폭시 도장"/>
      <sheetName val="일반문틀 설치"/>
      <sheetName val="유림골조"/>
      <sheetName val="택지성격총괄"/>
      <sheetName val="95하U$가격"/>
      <sheetName val="DATA테이블1 (2)"/>
      <sheetName val="급여data"/>
      <sheetName val="시공계획"/>
      <sheetName val="일위대가표지"/>
      <sheetName val="역T형"/>
      <sheetName val="PILE"/>
      <sheetName val="1-1"/>
      <sheetName val="1-2"/>
      <sheetName val="1-3"/>
      <sheetName val="1-4"/>
      <sheetName val="대비표(토공1안)"/>
      <sheetName val="간접비"/>
      <sheetName val="특기사항"/>
      <sheetName val="노임단가 (2)"/>
      <sheetName val="t형"/>
      <sheetName val="3차설계"/>
      <sheetName val="장비가동"/>
      <sheetName val="정화조동내역"/>
      <sheetName val="woo(mac)"/>
      <sheetName val="맨홀수량"/>
      <sheetName val="매매"/>
      <sheetName val="노무"/>
      <sheetName val="투찰가"/>
      <sheetName val="계림(함평)"/>
      <sheetName val="계림(장성)"/>
      <sheetName val="7+160암거변경"/>
      <sheetName val="품셈TABLE"/>
      <sheetName val="일위대가(가설)"/>
      <sheetName val="Sheet1_(2)"/>
      <sheetName val="원가계산_(2)"/>
      <sheetName val="가도공"/>
      <sheetName val="일위대가표"/>
      <sheetName val="슬래브수량"/>
      <sheetName val="일반공사"/>
      <sheetName val="SULKEA"/>
      <sheetName val="기기리스트"/>
      <sheetName val="용역단가"/>
      <sheetName val="덕전리"/>
      <sheetName val="수원공사비"/>
      <sheetName val="자재대"/>
      <sheetName val="H PILE수량"/>
      <sheetName val="H-PILE수량집계"/>
      <sheetName val="총괄내역서"/>
      <sheetName val="4차원가계산서"/>
      <sheetName val="설계예산서"/>
      <sheetName val="산출내역서"/>
      <sheetName val="횡배수관부설집계"/>
      <sheetName val="9GNG운반"/>
      <sheetName val="연결관암거"/>
      <sheetName val="이토변실(A3-LINE)"/>
      <sheetName val="unit 4"/>
      <sheetName val="TIE-IN"/>
      <sheetName val="계약내역"/>
      <sheetName val="3BL공동구 수량"/>
      <sheetName val="2층(부대공사)"/>
      <sheetName val="1.설계조건"/>
      <sheetName val="96노임기준"/>
      <sheetName val="옹벽"/>
      <sheetName val="통합"/>
      <sheetName val="일위대가표(DEEP)"/>
      <sheetName val="표지"/>
      <sheetName val="일위대가서식"/>
      <sheetName val="차도부연장현황"/>
      <sheetName val="측구공수량집계"/>
      <sheetName val="Macro1"/>
      <sheetName val="기둥(원형)"/>
      <sheetName val="기초공"/>
      <sheetName val="맨홀_공사비"/>
      <sheetName val="단가산출서"/>
      <sheetName val="유첨3.적용기준"/>
      <sheetName val="단가표 (2)"/>
      <sheetName val="물가변동대가세부내역서"/>
      <sheetName val="대가표(품셈)"/>
      <sheetName val="2"/>
      <sheetName val="수로BOX"/>
      <sheetName val="동별물량집계표"/>
      <sheetName val="대전-교대(A1-A2)"/>
      <sheetName val="부대원내역(설비)"/>
      <sheetName val="03(상)적용노임"/>
      <sheetName val="공문"/>
      <sheetName val="수지"/>
      <sheetName val="우수공"/>
      <sheetName val="관경별내역서"/>
      <sheetName val="신규사업"/>
      <sheetName val="(03)조기사업"/>
      <sheetName val="개별직종노임단가(2005.1)"/>
      <sheetName val="묘발입력"/>
      <sheetName val="횡배수관집현황(2공구)"/>
      <sheetName val="버팀목"/>
      <sheetName val="SW개발내역"/>
      <sheetName val="아파트_9"/>
      <sheetName val="3.공통공사대비"/>
      <sheetName val="점검총괄"/>
      <sheetName val="횡배수관집현황_2공구_"/>
      <sheetName val="분전함신설"/>
      <sheetName val="접지1종"/>
      <sheetName val="연못방수쉬트"/>
      <sheetName val="토목검측서"/>
      <sheetName val="평야부단가"/>
      <sheetName val="수정시산표"/>
      <sheetName val="관부설"/>
      <sheetName val="횡단굴착및 분기점폐쇄"/>
      <sheetName val="정부노임단가"/>
      <sheetName val="직접경비"/>
      <sheetName val="식생블럭단위수량"/>
      <sheetName val="중기일위대가"/>
      <sheetName val="보도포장연장조서-표준차도부"/>
      <sheetName val="시설물일위"/>
      <sheetName val="토목2"/>
      <sheetName val="램머"/>
      <sheetName val="구천"/>
      <sheetName val="청천내"/>
      <sheetName val="수목데이타"/>
      <sheetName val="설계명세"/>
      <sheetName val="새공통"/>
      <sheetName val="TYPE_A"/>
      <sheetName val="작성기준"/>
      <sheetName val="ANX3A11"/>
      <sheetName val="콘_재료분리(1)"/>
      <sheetName val="토공수량"/>
      <sheetName val="옥룡잡비"/>
      <sheetName val="산재 안전"/>
      <sheetName val="노무비 경비"/>
      <sheetName val="표준차도부연장조서-ASP"/>
      <sheetName val="01상노임"/>
      <sheetName val="재료비단가"/>
      <sheetName val="제작운반"/>
      <sheetName val="제작운반변경"/>
      <sheetName val="배수공집계"/>
      <sheetName val="포장공집계"/>
      <sheetName val="일위대가목록"/>
      <sheetName val="VXXXXX"/>
      <sheetName val="구조물공"/>
      <sheetName val="배수공"/>
      <sheetName val="철근량"/>
      <sheetName val="설계서식"/>
      <sheetName val="Sheet3"/>
      <sheetName val="설비단가표"/>
      <sheetName val="계약서"/>
      <sheetName val="1~6 설계조건...."/>
      <sheetName val="지급자재"/>
      <sheetName val="5.전사투자계획종함안"/>
      <sheetName val="1월"/>
      <sheetName val="PAN"/>
      <sheetName val="유기공정"/>
      <sheetName val="견적내역"/>
      <sheetName val="삭제내역1차"/>
      <sheetName val="건축내역서"/>
      <sheetName val="단가목록"/>
      <sheetName val="실행예산"/>
      <sheetName val="증감대비"/>
      <sheetName val="적용기준"/>
      <sheetName val="빌딩 안내"/>
      <sheetName val="프로젝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4">
          <cell r="P4">
            <v>49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철근집계 "/>
      <sheetName val="철근집계(에폭시)"/>
      <sheetName val="콘_재료분리(1)"/>
      <sheetName val="콘크리트집계"/>
      <sheetName val="이월"/>
      <sheetName val="1.본선"/>
      <sheetName val="2.RAMP-C"/>
      <sheetName val="3.총수량"/>
      <sheetName val="삽도"/>
      <sheetName val="일반수량집계"/>
      <sheetName val="교각철근집계표"/>
      <sheetName val="토공집계표"/>
      <sheetName val="PIER1"/>
      <sheetName val="PIER2"/>
      <sheetName val="Sheet1"/>
      <sheetName val="빗물받이(910-510-410)"/>
      <sheetName val="철근수량집계"/>
      <sheetName val="상부집계"/>
      <sheetName val="철근집계"/>
      <sheetName val="강재집계"/>
      <sheetName val="RC상부"/>
      <sheetName val="PF상부"/>
      <sheetName val="P.F빔"/>
      <sheetName val="품셈"/>
      <sheetName val="횡배위치"/>
      <sheetName val="계산중"/>
      <sheetName val="식재인부"/>
      <sheetName val="중기손료"/>
      <sheetName val="투찰금액"/>
      <sheetName val="Sheet1 (2)"/>
      <sheetName val="플랜트 설치"/>
      <sheetName val="단위중량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산출내역서"/>
      <sheetName val="단위중량"/>
      <sheetName val="기초일위"/>
      <sheetName val="백호우계수"/>
      <sheetName val="콘_재료분리(1)"/>
      <sheetName val="설계예산서"/>
      <sheetName val="단가"/>
      <sheetName val="2002하반기노임기준"/>
      <sheetName val="빗물받이(910-510-410)"/>
      <sheetName val="토공산근"/>
      <sheetName val="일위대가"/>
      <sheetName val="본공사"/>
      <sheetName val="원가서"/>
      <sheetName val="●수량(침구보관창고-21평)"/>
      <sheetName val="내역서"/>
      <sheetName val="분전함신설"/>
      <sheetName val="접지1종"/>
      <sheetName val="노무비단가"/>
      <sheetName val="자재단가"/>
      <sheetName val="중기손료"/>
      <sheetName val="식재인부"/>
      <sheetName val="데이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Sheet1"/>
      <sheetName val="Sheet2"/>
      <sheetName val="Sheet3"/>
      <sheetName val="산출내역서"/>
      <sheetName val="본공사"/>
      <sheetName val="공비대비"/>
      <sheetName val="일위"/>
      <sheetName val=""/>
      <sheetName val="현설시 설명자료(내부)"/>
      <sheetName val="BID"/>
      <sheetName val="일반부표"/>
      <sheetName val="단가(자재)"/>
      <sheetName val="단가(노임)"/>
      <sheetName val="기초목록"/>
      <sheetName val="조직"/>
      <sheetName val="설계예산서"/>
      <sheetName val="갑지"/>
      <sheetName val="백호우계수"/>
      <sheetName val="gyun"/>
      <sheetName val="시설수량표"/>
      <sheetName val="일위(건축)"/>
      <sheetName val="_x0000__x0006_Ā㭀"/>
      <sheetName val="본체"/>
      <sheetName val="4.2유효폭의 계산"/>
      <sheetName val="06 일위대가목록"/>
      <sheetName val="인부노임"/>
      <sheetName val="콘_재료분리(1)"/>
      <sheetName val="빗물받이(910-510-410)"/>
      <sheetName val="일위대가"/>
      <sheetName val="이름표"/>
      <sheetName val="내역서.xls"/>
      <sheetName val="맨홀수량산출"/>
      <sheetName val="장비가동"/>
      <sheetName val="2002하반기노임기준"/>
      <sheetName val="내역서적용수량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내역"/>
      <sheetName val="4차원가계산서"/>
      <sheetName val="산출내역서"/>
      <sheetName val="기초일위"/>
      <sheetName val="시설물일위"/>
      <sheetName val="원가"/>
      <sheetName val="백호우계수"/>
      <sheetName val="노무비"/>
      <sheetName val="기초경사,전단키있음"/>
      <sheetName val="빗물받이(910-510-410)"/>
      <sheetName val="4CHA"/>
      <sheetName val="콘_재료분리(1)"/>
    </sheetNames>
    <sheetDataSet>
      <sheetData sheetId="0"/>
      <sheetData sheetId="1" refreshError="1">
        <row r="3">
          <cell r="H3">
            <v>1528562953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표지"/>
      <sheetName val="내역서갑지"/>
      <sheetName val="설계설명서"/>
      <sheetName val="목차"/>
      <sheetName val="간지"/>
      <sheetName val="공사예정공정표"/>
      <sheetName val="공사원가계산서"/>
      <sheetName val="공사내역서(총괄)"/>
      <sheetName val="공사내역서"/>
      <sheetName val="호표목록"/>
      <sheetName val="일위대가"/>
      <sheetName val="노임단가"/>
      <sheetName val="시중노임표"/>
      <sheetName val="단가조사표"/>
      <sheetName val="중기단가산출표"/>
      <sheetName val="단가산출서"/>
      <sheetName val="수량산출서"/>
      <sheetName val="주요자재집계표"/>
      <sheetName val="4차원가계산서"/>
      <sheetName val="목록"/>
      <sheetName val="BID"/>
      <sheetName val="단가 및 재료비"/>
      <sheetName val="산출내역서집계표"/>
      <sheetName val="산출내역서"/>
      <sheetName val="정부노임단가"/>
      <sheetName val="터파기및재료"/>
      <sheetName val="상하차비용(기계상차)"/>
      <sheetName val="수간보호"/>
      <sheetName val="운반비"/>
      <sheetName val="공사기본내용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  <sheetName val="갑지들"/>
      <sheetName val="총괄표"/>
      <sheetName val="원가계산서"/>
      <sheetName val="인건_측정"/>
      <sheetName val="4차원가계산서"/>
      <sheetName val="BID"/>
      <sheetName val="요율"/>
      <sheetName val="자재대"/>
      <sheetName val="건축일위()"/>
      <sheetName val="산출내역서집계표"/>
      <sheetName val="기자재수량"/>
      <sheetName val="목록"/>
      <sheetName val="수로단위수량"/>
      <sheetName val="Sheet1"/>
      <sheetName val="단가"/>
      <sheetName val="개소별수량산출"/>
      <sheetName val="건축(을)"/>
      <sheetName val="gyun"/>
      <sheetName val="노임단가"/>
      <sheetName val="근로자자료입력"/>
      <sheetName val="참고자료"/>
      <sheetName val="본공사"/>
      <sheetName val="Sheet2"/>
      <sheetName val="일위대가"/>
      <sheetName val="부하계산서"/>
      <sheetName val="단가DATA"/>
      <sheetName val="건축"/>
      <sheetName val="DATA 입력란"/>
      <sheetName val="IMPEADENCE MAP 취수장"/>
      <sheetName val="원주복~1"/>
      <sheetName val="실행"/>
      <sheetName val="기초일위"/>
      <sheetName val="터파기및재료"/>
      <sheetName val="소야공정계획표"/>
      <sheetName val="콘_재료분리(1)"/>
      <sheetName val="공사기본내용입력"/>
      <sheetName val="상하차비용(기계상차)"/>
      <sheetName val="수간보호"/>
      <sheetName val="운반비"/>
      <sheetName val="선금급신청서"/>
      <sheetName val="유리"/>
      <sheetName val="입찰"/>
      <sheetName val="현경"/>
      <sheetName val="기계내역"/>
      <sheetName val="구조물토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000000"/>
      <sheetName val="단가목록"/>
      <sheetName val="내역서 갑지"/>
      <sheetName val="총괄표"/>
      <sheetName val="1. 위생기구 설치공사"/>
      <sheetName val="2. 급수 배관공사"/>
      <sheetName val="3. 오, 배수 배관공사"/>
      <sheetName val="4. 옥외 배관공사"/>
      <sheetName val="소방내역서 갑지"/>
      <sheetName val="소방총괄표"/>
      <sheetName val="기계소방총괄표"/>
      <sheetName val="1. 소화장비 설치공사"/>
      <sheetName val="2. 소화 배관공사"/>
      <sheetName val="인건-측정"/>
      <sheetName val="단가결정"/>
      <sheetName val="4차원가계산서"/>
      <sheetName val="일위대가"/>
      <sheetName val="근로자자료입력"/>
      <sheetName val="참고자료"/>
    </sheetNames>
    <sheetDataSet>
      <sheetData sheetId="0"/>
      <sheetData sheetId="1"/>
      <sheetData sheetId="2">
        <row r="1">
          <cell r="A1" t="str">
            <v>코드</v>
          </cell>
          <cell r="B1" t="str">
            <v>명  칭</v>
          </cell>
          <cell r="C1" t="str">
            <v>규격</v>
          </cell>
          <cell r="D1" t="str">
            <v>단위</v>
          </cell>
          <cell r="E1" t="str">
            <v>재료비</v>
          </cell>
          <cell r="F1" t="str">
            <v>노무비</v>
          </cell>
          <cell r="G1" t="str">
            <v>물가재료</v>
          </cell>
          <cell r="I1" t="str">
            <v>물가정보</v>
          </cell>
          <cell r="K1" t="str">
            <v>유통물가</v>
          </cell>
        </row>
        <row r="2">
          <cell r="G2" t="str">
            <v>단가</v>
          </cell>
          <cell r="H2" t="str">
            <v>쪽</v>
          </cell>
          <cell r="I2" t="str">
            <v>단가</v>
          </cell>
          <cell r="J2" t="str">
            <v>쪽</v>
          </cell>
          <cell r="K2" t="str">
            <v>단가</v>
          </cell>
          <cell r="L2" t="str">
            <v>쪽</v>
          </cell>
        </row>
        <row r="3">
          <cell r="A3">
            <v>0</v>
          </cell>
          <cell r="E3">
            <v>0</v>
          </cell>
          <cell r="F3">
            <v>0</v>
          </cell>
          <cell r="H3">
            <v>0</v>
          </cell>
          <cell r="I3">
            <v>0</v>
          </cell>
          <cell r="J3">
            <v>0</v>
          </cell>
          <cell r="L3">
            <v>0</v>
          </cell>
        </row>
        <row r="4">
          <cell r="A4">
            <v>1011</v>
          </cell>
          <cell r="B4" t="str">
            <v>양변기(로우탱크)</v>
          </cell>
          <cell r="C4" t="str">
            <v>KSVC-1410</v>
          </cell>
          <cell r="D4" t="str">
            <v>조</v>
          </cell>
          <cell r="E4">
            <v>70000</v>
          </cell>
          <cell r="F4">
            <v>0</v>
          </cell>
          <cell r="G4">
            <v>70000</v>
          </cell>
          <cell r="H4">
            <v>627</v>
          </cell>
          <cell r="I4">
            <v>70400</v>
          </cell>
          <cell r="J4">
            <v>565</v>
          </cell>
          <cell r="K4">
            <v>70000</v>
          </cell>
          <cell r="L4">
            <v>538</v>
          </cell>
        </row>
        <row r="5">
          <cell r="A5">
            <v>1012</v>
          </cell>
          <cell r="B5" t="str">
            <v>양변기(후레쉬밸브)</v>
          </cell>
          <cell r="C5" t="str">
            <v>KSVC-1110</v>
          </cell>
          <cell r="D5" t="str">
            <v>조</v>
          </cell>
          <cell r="E5">
            <v>81600</v>
          </cell>
          <cell r="F5">
            <v>0</v>
          </cell>
          <cell r="G5">
            <v>81600</v>
          </cell>
          <cell r="H5">
            <v>627</v>
          </cell>
          <cell r="I5">
            <v>96300</v>
          </cell>
          <cell r="J5">
            <v>565</v>
          </cell>
          <cell r="K5">
            <v>81600</v>
          </cell>
          <cell r="L5">
            <v>538</v>
          </cell>
        </row>
        <row r="6">
          <cell r="A6">
            <v>1013</v>
          </cell>
          <cell r="B6" t="str">
            <v>화변기(후레쉬밸브)</v>
          </cell>
          <cell r="C6" t="str">
            <v>KSVC- 310</v>
          </cell>
          <cell r="D6" t="str">
            <v>조</v>
          </cell>
          <cell r="E6">
            <v>56600</v>
          </cell>
          <cell r="F6">
            <v>0</v>
          </cell>
          <cell r="G6">
            <v>56600</v>
          </cell>
          <cell r="H6">
            <v>627</v>
          </cell>
          <cell r="I6">
            <v>61100</v>
          </cell>
          <cell r="J6">
            <v>565</v>
          </cell>
          <cell r="K6">
            <v>56600</v>
          </cell>
          <cell r="L6">
            <v>538</v>
          </cell>
        </row>
        <row r="7">
          <cell r="A7">
            <v>1014</v>
          </cell>
          <cell r="B7" t="str">
            <v>유아용양변기</v>
          </cell>
          <cell r="C7" t="str">
            <v>KSVC- 760</v>
          </cell>
          <cell r="D7" t="str">
            <v>조</v>
          </cell>
          <cell r="E7">
            <v>86900</v>
          </cell>
          <cell r="F7">
            <v>0</v>
          </cell>
          <cell r="H7">
            <v>0</v>
          </cell>
          <cell r="I7">
            <v>86900</v>
          </cell>
          <cell r="J7">
            <v>565</v>
          </cell>
          <cell r="L7" t="str">
            <v>-</v>
          </cell>
        </row>
        <row r="8">
          <cell r="A8">
            <v>1015</v>
          </cell>
          <cell r="B8" t="str">
            <v>장애자용양변기</v>
          </cell>
          <cell r="C8" t="str">
            <v>RCP - 1</v>
          </cell>
          <cell r="D8" t="str">
            <v>조</v>
          </cell>
          <cell r="E8">
            <v>213000</v>
          </cell>
          <cell r="F8">
            <v>0</v>
          </cell>
          <cell r="H8">
            <v>0</v>
          </cell>
          <cell r="I8">
            <v>213000</v>
          </cell>
          <cell r="J8">
            <v>565</v>
          </cell>
          <cell r="L8" t="str">
            <v>-</v>
          </cell>
        </row>
        <row r="9">
          <cell r="A9">
            <v>1016</v>
          </cell>
          <cell r="B9" t="str">
            <v>장애자용양변기(가동식)</v>
          </cell>
          <cell r="C9" t="str">
            <v>RCP - 2R</v>
          </cell>
          <cell r="D9" t="str">
            <v>조</v>
          </cell>
          <cell r="E9">
            <v>324000</v>
          </cell>
          <cell r="F9">
            <v>0</v>
          </cell>
          <cell r="H9">
            <v>0</v>
          </cell>
          <cell r="I9">
            <v>324000</v>
          </cell>
          <cell r="J9">
            <v>565</v>
          </cell>
          <cell r="L9" t="str">
            <v>-</v>
          </cell>
        </row>
        <row r="10">
          <cell r="A10">
            <v>1017</v>
          </cell>
          <cell r="B10" t="str">
            <v>장애자용양변기(고정식)</v>
          </cell>
          <cell r="C10" t="str">
            <v>RCP - 3R</v>
          </cell>
          <cell r="D10" t="str">
            <v>조</v>
          </cell>
          <cell r="E10">
            <v>201000</v>
          </cell>
          <cell r="F10">
            <v>0</v>
          </cell>
          <cell r="H10">
            <v>0</v>
          </cell>
          <cell r="I10">
            <v>201000</v>
          </cell>
          <cell r="J10">
            <v>565</v>
          </cell>
          <cell r="L10" t="str">
            <v>-</v>
          </cell>
        </row>
        <row r="12">
          <cell r="A12">
            <v>1021</v>
          </cell>
          <cell r="B12" t="str">
            <v>중형스톨소변기</v>
          </cell>
          <cell r="C12" t="str">
            <v>KSVU- 320</v>
          </cell>
          <cell r="D12" t="str">
            <v>조</v>
          </cell>
          <cell r="E12">
            <v>92500</v>
          </cell>
          <cell r="F12">
            <v>0</v>
          </cell>
          <cell r="G12">
            <v>92500</v>
          </cell>
          <cell r="H12">
            <v>627</v>
          </cell>
          <cell r="I12">
            <v>92700</v>
          </cell>
          <cell r="J12">
            <v>565</v>
          </cell>
          <cell r="K12">
            <v>92500</v>
          </cell>
          <cell r="L12">
            <v>538</v>
          </cell>
        </row>
        <row r="13">
          <cell r="A13">
            <v>1022</v>
          </cell>
          <cell r="B13" t="str">
            <v>소형스톨소변기</v>
          </cell>
          <cell r="C13" t="str">
            <v>KSVU- 330</v>
          </cell>
          <cell r="D13" t="str">
            <v>조</v>
          </cell>
          <cell r="E13">
            <v>70500</v>
          </cell>
          <cell r="F13">
            <v>0</v>
          </cell>
          <cell r="G13">
            <v>70500</v>
          </cell>
          <cell r="H13">
            <v>627</v>
          </cell>
          <cell r="I13">
            <v>72900</v>
          </cell>
          <cell r="J13">
            <v>565</v>
          </cell>
          <cell r="K13">
            <v>70500</v>
          </cell>
          <cell r="L13">
            <v>538</v>
          </cell>
        </row>
        <row r="14">
          <cell r="A14">
            <v>1023</v>
          </cell>
          <cell r="B14" t="str">
            <v>대형벽걸이소변기</v>
          </cell>
          <cell r="C14" t="str">
            <v>KSVU- 410</v>
          </cell>
          <cell r="D14" t="str">
            <v>조</v>
          </cell>
          <cell r="E14">
            <v>96800</v>
          </cell>
          <cell r="F14">
            <v>0</v>
          </cell>
          <cell r="G14">
            <v>98000</v>
          </cell>
          <cell r="H14">
            <v>627</v>
          </cell>
          <cell r="I14">
            <v>96800</v>
          </cell>
          <cell r="J14">
            <v>565</v>
          </cell>
          <cell r="K14">
            <v>100500</v>
          </cell>
          <cell r="L14">
            <v>538</v>
          </cell>
        </row>
        <row r="15">
          <cell r="A15">
            <v>1024</v>
          </cell>
          <cell r="B15" t="str">
            <v>소형벽걸이소변기</v>
          </cell>
          <cell r="C15" t="str">
            <v>KSVU- 430</v>
          </cell>
          <cell r="D15" t="str">
            <v>조</v>
          </cell>
          <cell r="E15">
            <v>57200</v>
          </cell>
          <cell r="F15">
            <v>0</v>
          </cell>
          <cell r="G15">
            <v>66000</v>
          </cell>
          <cell r="H15">
            <v>627</v>
          </cell>
          <cell r="I15">
            <v>57200</v>
          </cell>
          <cell r="J15">
            <v>565</v>
          </cell>
          <cell r="L15" t="str">
            <v>-</v>
          </cell>
        </row>
        <row r="16">
          <cell r="A16">
            <v>1025</v>
          </cell>
          <cell r="B16" t="str">
            <v>장애자용소변기</v>
          </cell>
          <cell r="C16" t="str">
            <v>RUP - 1</v>
          </cell>
          <cell r="D16" t="str">
            <v>조</v>
          </cell>
          <cell r="E16">
            <v>123000</v>
          </cell>
          <cell r="F16">
            <v>0</v>
          </cell>
          <cell r="G16">
            <v>200000</v>
          </cell>
          <cell r="H16">
            <v>627</v>
          </cell>
          <cell r="I16">
            <v>123000</v>
          </cell>
          <cell r="J16">
            <v>565</v>
          </cell>
          <cell r="K16">
            <v>200000</v>
          </cell>
          <cell r="L16">
            <v>538</v>
          </cell>
        </row>
        <row r="17">
          <cell r="A17">
            <v>1026</v>
          </cell>
          <cell r="B17" t="str">
            <v>장애자용소변기(노출)</v>
          </cell>
          <cell r="C17" t="str">
            <v>RUP - 2</v>
          </cell>
          <cell r="D17" t="str">
            <v>조</v>
          </cell>
          <cell r="E17">
            <v>211000</v>
          </cell>
          <cell r="F17">
            <v>0</v>
          </cell>
          <cell r="G17">
            <v>280000</v>
          </cell>
          <cell r="H17">
            <v>627</v>
          </cell>
          <cell r="I17">
            <v>211000</v>
          </cell>
          <cell r="J17">
            <v>565</v>
          </cell>
          <cell r="K17">
            <v>280000</v>
          </cell>
          <cell r="L17">
            <v>538</v>
          </cell>
        </row>
        <row r="18">
          <cell r="A18">
            <v>1027</v>
          </cell>
          <cell r="B18" t="str">
            <v>장애자용소변기(매립)</v>
          </cell>
          <cell r="C18" t="str">
            <v>RUP - 3</v>
          </cell>
          <cell r="D18" t="str">
            <v>조</v>
          </cell>
          <cell r="E18">
            <v>236000</v>
          </cell>
          <cell r="F18">
            <v>0</v>
          </cell>
          <cell r="I18">
            <v>236000</v>
          </cell>
          <cell r="J18">
            <v>565</v>
          </cell>
          <cell r="L18" t="str">
            <v>-</v>
          </cell>
        </row>
        <row r="20">
          <cell r="A20">
            <v>1031</v>
          </cell>
          <cell r="B20" t="str">
            <v>세면기(싱글레버포함)</v>
          </cell>
          <cell r="C20" t="str">
            <v>KSVL-1040</v>
          </cell>
          <cell r="D20" t="str">
            <v>조</v>
          </cell>
          <cell r="E20">
            <v>115500</v>
          </cell>
          <cell r="F20">
            <v>0</v>
          </cell>
          <cell r="I20">
            <v>115500</v>
          </cell>
          <cell r="J20">
            <v>565</v>
          </cell>
          <cell r="L20">
            <v>0</v>
          </cell>
        </row>
        <row r="21">
          <cell r="A21">
            <v>1032</v>
          </cell>
          <cell r="B21" t="str">
            <v>세면기(싱글레버포함)</v>
          </cell>
          <cell r="C21" t="str">
            <v>KSVL- 610</v>
          </cell>
          <cell r="D21" t="str">
            <v>조</v>
          </cell>
          <cell r="E21">
            <v>93500</v>
          </cell>
          <cell r="F21">
            <v>0</v>
          </cell>
          <cell r="I21">
            <v>93500</v>
          </cell>
          <cell r="J21">
            <v>565</v>
          </cell>
          <cell r="L21" t="str">
            <v>-</v>
          </cell>
        </row>
        <row r="22">
          <cell r="A22">
            <v>1033</v>
          </cell>
          <cell r="B22" t="str">
            <v>세면기(싱글레버포함)</v>
          </cell>
          <cell r="C22" t="str">
            <v>KSVL-1050</v>
          </cell>
          <cell r="D22" t="str">
            <v>조</v>
          </cell>
          <cell r="E22">
            <v>115000</v>
          </cell>
          <cell r="F22">
            <v>0</v>
          </cell>
          <cell r="G22">
            <v>115000</v>
          </cell>
          <cell r="H22">
            <v>631</v>
          </cell>
          <cell r="I22">
            <v>115500</v>
          </cell>
          <cell r="J22">
            <v>565</v>
          </cell>
          <cell r="K22">
            <v>124000</v>
          </cell>
          <cell r="L22">
            <v>540</v>
          </cell>
        </row>
        <row r="23">
          <cell r="A23">
            <v>1034</v>
          </cell>
          <cell r="B23" t="str">
            <v>장애자용세면기(폽업)</v>
          </cell>
          <cell r="C23" t="str">
            <v>RLP - 1</v>
          </cell>
          <cell r="D23" t="str">
            <v>조</v>
          </cell>
          <cell r="E23">
            <v>180000</v>
          </cell>
          <cell r="F23">
            <v>0</v>
          </cell>
          <cell r="I23">
            <v>294000</v>
          </cell>
          <cell r="J23">
            <v>565</v>
          </cell>
          <cell r="K23">
            <v>180000</v>
          </cell>
          <cell r="L23">
            <v>538</v>
          </cell>
        </row>
        <row r="24">
          <cell r="A24">
            <v>1035</v>
          </cell>
          <cell r="B24" t="str">
            <v>장애자용세면기(배수구)</v>
          </cell>
          <cell r="C24" t="str">
            <v>RLP - 2</v>
          </cell>
          <cell r="D24" t="str">
            <v>조</v>
          </cell>
          <cell r="E24">
            <v>272000</v>
          </cell>
          <cell r="F24">
            <v>0</v>
          </cell>
          <cell r="I24">
            <v>272000</v>
          </cell>
          <cell r="J24">
            <v>565</v>
          </cell>
          <cell r="K24">
            <v>400000</v>
          </cell>
          <cell r="L24">
            <v>538</v>
          </cell>
        </row>
        <row r="26">
          <cell r="A26">
            <v>1041</v>
          </cell>
          <cell r="B26" t="str">
            <v>청소씽크(1구)</v>
          </cell>
          <cell r="C26" t="str">
            <v>KSVS- 210</v>
          </cell>
          <cell r="D26" t="str">
            <v>조</v>
          </cell>
          <cell r="E26">
            <v>137500</v>
          </cell>
          <cell r="F26">
            <v>0</v>
          </cell>
          <cell r="G26">
            <v>140000</v>
          </cell>
          <cell r="H26">
            <v>627</v>
          </cell>
          <cell r="I26">
            <v>137500</v>
          </cell>
          <cell r="J26">
            <v>565</v>
          </cell>
          <cell r="L26" t="str">
            <v>-</v>
          </cell>
        </row>
        <row r="27">
          <cell r="A27">
            <v>1042</v>
          </cell>
          <cell r="B27" t="str">
            <v>청소씽크(2구)</v>
          </cell>
          <cell r="C27" t="str">
            <v>KSVS- 210</v>
          </cell>
          <cell r="D27" t="str">
            <v>조</v>
          </cell>
          <cell r="E27">
            <v>140000</v>
          </cell>
          <cell r="F27">
            <v>0</v>
          </cell>
          <cell r="G27">
            <v>140000</v>
          </cell>
          <cell r="H27">
            <v>627</v>
          </cell>
          <cell r="I27">
            <v>143000</v>
          </cell>
          <cell r="J27">
            <v>565</v>
          </cell>
          <cell r="L27" t="str">
            <v>-</v>
          </cell>
        </row>
        <row r="29">
          <cell r="A29">
            <v>1045</v>
          </cell>
          <cell r="B29" t="str">
            <v>샤워(PVC호스형)</v>
          </cell>
          <cell r="C29" t="str">
            <v>RBS-100AG1</v>
          </cell>
          <cell r="D29" t="str">
            <v>개</v>
          </cell>
          <cell r="E29">
            <v>57300</v>
          </cell>
          <cell r="F29">
            <v>0</v>
          </cell>
          <cell r="H29">
            <v>569</v>
          </cell>
          <cell r="I29">
            <v>57300</v>
          </cell>
          <cell r="J29">
            <v>570</v>
          </cell>
          <cell r="L29" t="str">
            <v>-</v>
          </cell>
        </row>
        <row r="30">
          <cell r="A30">
            <v>1046</v>
          </cell>
          <cell r="B30" t="str">
            <v>샤워(메탈호스형)</v>
          </cell>
          <cell r="C30" t="str">
            <v>RBS-100AG1</v>
          </cell>
          <cell r="D30" t="str">
            <v>개</v>
          </cell>
          <cell r="E30">
            <v>61900</v>
          </cell>
          <cell r="F30">
            <v>0</v>
          </cell>
          <cell r="H30">
            <v>569</v>
          </cell>
          <cell r="I30">
            <v>61900</v>
          </cell>
          <cell r="J30">
            <v>570</v>
          </cell>
          <cell r="L30" t="str">
            <v>-</v>
          </cell>
        </row>
        <row r="31">
          <cell r="A31">
            <v>1047</v>
          </cell>
          <cell r="B31" t="str">
            <v>샤워(자폐식PVC형)</v>
          </cell>
          <cell r="C31" t="str">
            <v>RBT-101A</v>
          </cell>
          <cell r="D31" t="str">
            <v>개</v>
          </cell>
          <cell r="E31">
            <v>125300</v>
          </cell>
          <cell r="F31">
            <v>0</v>
          </cell>
          <cell r="H31">
            <v>569</v>
          </cell>
          <cell r="I31">
            <v>125300</v>
          </cell>
          <cell r="J31">
            <v>570</v>
          </cell>
          <cell r="L31" t="str">
            <v>-</v>
          </cell>
        </row>
        <row r="32">
          <cell r="A32">
            <v>1048</v>
          </cell>
          <cell r="B32" t="str">
            <v>샤워(자폐식메탈형)</v>
          </cell>
          <cell r="C32" t="str">
            <v>RBT-201A</v>
          </cell>
          <cell r="D32" t="str">
            <v>개</v>
          </cell>
          <cell r="E32">
            <v>130300</v>
          </cell>
          <cell r="F32">
            <v>0</v>
          </cell>
          <cell r="H32">
            <v>569</v>
          </cell>
          <cell r="I32">
            <v>130300</v>
          </cell>
          <cell r="J32">
            <v>570</v>
          </cell>
          <cell r="L32" t="str">
            <v>-</v>
          </cell>
        </row>
        <row r="33">
          <cell r="A33">
            <v>1049</v>
          </cell>
          <cell r="B33" t="str">
            <v>샤워(매립서머스타트식)</v>
          </cell>
          <cell r="C33" t="str">
            <v>RBT-500A</v>
          </cell>
          <cell r="D33" t="str">
            <v>개</v>
          </cell>
          <cell r="E33">
            <v>169300</v>
          </cell>
          <cell r="F33">
            <v>0</v>
          </cell>
          <cell r="H33">
            <v>569</v>
          </cell>
          <cell r="I33">
            <v>169300</v>
          </cell>
          <cell r="J33">
            <v>570</v>
          </cell>
          <cell r="L33" t="str">
            <v>-</v>
          </cell>
        </row>
        <row r="35">
          <cell r="A35">
            <v>1051</v>
          </cell>
          <cell r="B35" t="str">
            <v>씽크수전(고정식대붙이)</v>
          </cell>
          <cell r="C35" t="str">
            <v>RKS-110CLO</v>
          </cell>
          <cell r="D35" t="str">
            <v>개</v>
          </cell>
          <cell r="E35">
            <v>55700</v>
          </cell>
          <cell r="F35">
            <v>0</v>
          </cell>
          <cell r="H35">
            <v>570</v>
          </cell>
          <cell r="I35">
            <v>55700</v>
          </cell>
          <cell r="J35">
            <v>571</v>
          </cell>
          <cell r="L35" t="str">
            <v>-</v>
          </cell>
        </row>
        <row r="36">
          <cell r="A36">
            <v>1052</v>
          </cell>
          <cell r="B36" t="str">
            <v>씽크수전(착탈식대붙이)</v>
          </cell>
          <cell r="C36" t="str">
            <v>RKS-420CM2</v>
          </cell>
          <cell r="D36" t="str">
            <v>개</v>
          </cell>
          <cell r="E36">
            <v>81700</v>
          </cell>
          <cell r="F36">
            <v>0</v>
          </cell>
          <cell r="H36">
            <v>570</v>
          </cell>
          <cell r="I36">
            <v>81700</v>
          </cell>
          <cell r="J36">
            <v>571</v>
          </cell>
          <cell r="L36" t="str">
            <v>-</v>
          </cell>
        </row>
        <row r="37">
          <cell r="A37">
            <v>1053</v>
          </cell>
          <cell r="B37" t="str">
            <v>씽크수전(고정식벽붙이)</v>
          </cell>
          <cell r="C37" t="str">
            <v>RKS-400CM3</v>
          </cell>
          <cell r="D37" t="str">
            <v>개</v>
          </cell>
          <cell r="E37">
            <v>56400</v>
          </cell>
          <cell r="F37">
            <v>0</v>
          </cell>
          <cell r="H37">
            <v>570</v>
          </cell>
          <cell r="I37">
            <v>56400</v>
          </cell>
          <cell r="J37">
            <v>571</v>
          </cell>
          <cell r="L37" t="str">
            <v>-</v>
          </cell>
        </row>
        <row r="38">
          <cell r="A38">
            <v>1054</v>
          </cell>
          <cell r="B38" t="str">
            <v>씽크수전(착탈식벽붙이)</v>
          </cell>
          <cell r="C38" t="str">
            <v>RKS-300AL9</v>
          </cell>
          <cell r="D38" t="str">
            <v>개</v>
          </cell>
          <cell r="E38">
            <v>63900</v>
          </cell>
          <cell r="F38">
            <v>0</v>
          </cell>
          <cell r="H38">
            <v>570</v>
          </cell>
          <cell r="I38">
            <v>63900</v>
          </cell>
          <cell r="J38">
            <v>571</v>
          </cell>
          <cell r="L38" t="str">
            <v>-</v>
          </cell>
        </row>
        <row r="40">
          <cell r="A40">
            <v>1055</v>
          </cell>
          <cell r="B40" t="str">
            <v>일반수전(15Ø)</v>
          </cell>
          <cell r="C40" t="str">
            <v>R - 102A</v>
          </cell>
          <cell r="D40" t="str">
            <v>개</v>
          </cell>
          <cell r="E40">
            <v>3450</v>
          </cell>
          <cell r="F40">
            <v>0</v>
          </cell>
          <cell r="H40">
            <v>0</v>
          </cell>
          <cell r="I40">
            <v>3450</v>
          </cell>
          <cell r="J40">
            <v>0</v>
          </cell>
          <cell r="K40">
            <v>3850</v>
          </cell>
          <cell r="L40">
            <v>544</v>
          </cell>
        </row>
        <row r="41">
          <cell r="A41">
            <v>1056</v>
          </cell>
          <cell r="B41" t="str">
            <v>일반수전(20Ø)</v>
          </cell>
          <cell r="C41" t="str">
            <v>R - 102D</v>
          </cell>
          <cell r="D41" t="str">
            <v>개</v>
          </cell>
          <cell r="E41">
            <v>6900</v>
          </cell>
          <cell r="F41">
            <v>0</v>
          </cell>
          <cell r="H41">
            <v>0</v>
          </cell>
          <cell r="I41">
            <v>6900</v>
          </cell>
          <cell r="J41">
            <v>0</v>
          </cell>
          <cell r="K41">
            <v>6930</v>
          </cell>
          <cell r="L41">
            <v>544</v>
          </cell>
        </row>
        <row r="42">
          <cell r="A42">
            <v>1057</v>
          </cell>
          <cell r="B42" t="str">
            <v>세탁수전(15Ø)</v>
          </cell>
          <cell r="C42" t="str">
            <v>R - 103A</v>
          </cell>
          <cell r="D42" t="str">
            <v>개</v>
          </cell>
          <cell r="E42">
            <v>4620</v>
          </cell>
          <cell r="F42">
            <v>0</v>
          </cell>
          <cell r="H42">
            <v>0</v>
          </cell>
          <cell r="I42">
            <v>6900</v>
          </cell>
          <cell r="J42">
            <v>0</v>
          </cell>
          <cell r="K42">
            <v>4620</v>
          </cell>
          <cell r="L42">
            <v>544</v>
          </cell>
        </row>
        <row r="44">
          <cell r="A44">
            <v>1060</v>
          </cell>
          <cell r="B44" t="str">
            <v>마블욕조</v>
          </cell>
          <cell r="C44" t="str">
            <v>1,200x750</v>
          </cell>
          <cell r="D44" t="str">
            <v>개</v>
          </cell>
          <cell r="E44">
            <v>110000</v>
          </cell>
          <cell r="F44">
            <v>0</v>
          </cell>
          <cell r="H44">
            <v>566</v>
          </cell>
          <cell r="I44">
            <v>110000</v>
          </cell>
          <cell r="J44">
            <v>566</v>
          </cell>
          <cell r="L44" t="str">
            <v>-</v>
          </cell>
        </row>
        <row r="45">
          <cell r="A45">
            <v>1061</v>
          </cell>
          <cell r="B45" t="str">
            <v>마블욕조</v>
          </cell>
          <cell r="C45" t="str">
            <v>1,300x750</v>
          </cell>
          <cell r="D45" t="str">
            <v>개</v>
          </cell>
          <cell r="E45">
            <v>115000</v>
          </cell>
          <cell r="F45">
            <v>0</v>
          </cell>
          <cell r="H45">
            <v>566</v>
          </cell>
          <cell r="I45">
            <v>115000</v>
          </cell>
          <cell r="J45">
            <v>566</v>
          </cell>
          <cell r="L45" t="str">
            <v>-</v>
          </cell>
        </row>
        <row r="46">
          <cell r="A46">
            <v>1062</v>
          </cell>
          <cell r="B46" t="str">
            <v>마블욕조</v>
          </cell>
          <cell r="C46" t="str">
            <v>1,400x750</v>
          </cell>
          <cell r="D46" t="str">
            <v>개</v>
          </cell>
          <cell r="E46">
            <v>120000</v>
          </cell>
          <cell r="F46">
            <v>0</v>
          </cell>
          <cell r="H46">
            <v>566</v>
          </cell>
          <cell r="I46">
            <v>120000</v>
          </cell>
          <cell r="J46">
            <v>566</v>
          </cell>
          <cell r="K46">
            <v>140000</v>
          </cell>
          <cell r="L46">
            <v>540</v>
          </cell>
        </row>
        <row r="47">
          <cell r="A47">
            <v>1063</v>
          </cell>
          <cell r="B47" t="str">
            <v>마블욕조</v>
          </cell>
          <cell r="C47" t="str">
            <v>1,500x750</v>
          </cell>
          <cell r="D47" t="str">
            <v>개</v>
          </cell>
          <cell r="E47">
            <v>125000</v>
          </cell>
          <cell r="F47">
            <v>0</v>
          </cell>
          <cell r="H47">
            <v>566</v>
          </cell>
          <cell r="I47">
            <v>125000</v>
          </cell>
          <cell r="J47">
            <v>566</v>
          </cell>
          <cell r="K47">
            <v>142000</v>
          </cell>
          <cell r="L47">
            <v>540</v>
          </cell>
        </row>
        <row r="48">
          <cell r="A48">
            <v>1064</v>
          </cell>
          <cell r="B48" t="str">
            <v>마블욕조</v>
          </cell>
          <cell r="C48" t="str">
            <v>1,600x750</v>
          </cell>
          <cell r="D48" t="str">
            <v>개</v>
          </cell>
          <cell r="E48">
            <v>130000</v>
          </cell>
          <cell r="F48">
            <v>0</v>
          </cell>
          <cell r="H48">
            <v>566</v>
          </cell>
          <cell r="I48">
            <v>130000</v>
          </cell>
          <cell r="J48">
            <v>566</v>
          </cell>
          <cell r="K48">
            <v>142000</v>
          </cell>
          <cell r="L48">
            <v>540</v>
          </cell>
        </row>
        <row r="49">
          <cell r="A49">
            <v>1065</v>
          </cell>
          <cell r="B49" t="str">
            <v>마블욕조</v>
          </cell>
          <cell r="C49" t="str">
            <v>1,700x750</v>
          </cell>
          <cell r="D49" t="str">
            <v>개</v>
          </cell>
          <cell r="E49">
            <v>135000</v>
          </cell>
          <cell r="F49">
            <v>0</v>
          </cell>
          <cell r="H49">
            <v>566</v>
          </cell>
          <cell r="I49">
            <v>135000</v>
          </cell>
          <cell r="J49">
            <v>566</v>
          </cell>
          <cell r="K49">
            <v>145000</v>
          </cell>
          <cell r="L49">
            <v>540</v>
          </cell>
        </row>
        <row r="52">
          <cell r="A52">
            <v>1066</v>
          </cell>
          <cell r="B52" t="str">
            <v>마블세면대</v>
          </cell>
          <cell r="C52" t="str">
            <v>800x600</v>
          </cell>
          <cell r="D52" t="str">
            <v>개</v>
          </cell>
          <cell r="E52">
            <v>71000</v>
          </cell>
          <cell r="F52">
            <v>0</v>
          </cell>
          <cell r="G52">
            <v>71000</v>
          </cell>
          <cell r="H52">
            <v>0</v>
          </cell>
          <cell r="I52">
            <v>80000</v>
          </cell>
          <cell r="J52">
            <v>0</v>
          </cell>
          <cell r="L52">
            <v>0</v>
          </cell>
        </row>
        <row r="53">
          <cell r="A53">
            <v>1067</v>
          </cell>
          <cell r="B53" t="str">
            <v>마블세면대</v>
          </cell>
          <cell r="C53" t="str">
            <v>1,000x600</v>
          </cell>
          <cell r="D53" t="str">
            <v>개</v>
          </cell>
          <cell r="E53">
            <v>71000</v>
          </cell>
          <cell r="F53">
            <v>0</v>
          </cell>
          <cell r="G53">
            <v>71000</v>
          </cell>
          <cell r="H53">
            <v>631</v>
          </cell>
          <cell r="I53">
            <v>90000</v>
          </cell>
          <cell r="J53">
            <v>565</v>
          </cell>
          <cell r="K53">
            <v>115000</v>
          </cell>
          <cell r="L53">
            <v>540</v>
          </cell>
        </row>
        <row r="54">
          <cell r="A54">
            <v>1068</v>
          </cell>
          <cell r="B54" t="str">
            <v>마블세면대</v>
          </cell>
          <cell r="C54" t="str">
            <v>1,500x600</v>
          </cell>
          <cell r="D54" t="str">
            <v>개</v>
          </cell>
          <cell r="E54">
            <v>105000</v>
          </cell>
          <cell r="F54">
            <v>0</v>
          </cell>
          <cell r="G54">
            <v>105000</v>
          </cell>
          <cell r="H54">
            <v>631</v>
          </cell>
          <cell r="I54">
            <v>150000</v>
          </cell>
          <cell r="J54">
            <v>565</v>
          </cell>
          <cell r="L54" t="str">
            <v>-</v>
          </cell>
        </row>
        <row r="55">
          <cell r="A55">
            <v>1069</v>
          </cell>
          <cell r="B55" t="str">
            <v>마블세면대</v>
          </cell>
          <cell r="C55" t="str">
            <v>2,000x600</v>
          </cell>
          <cell r="D55" t="str">
            <v>개</v>
          </cell>
          <cell r="E55">
            <v>138000</v>
          </cell>
          <cell r="F55">
            <v>0</v>
          </cell>
          <cell r="G55">
            <v>138000</v>
          </cell>
          <cell r="H55">
            <v>631</v>
          </cell>
          <cell r="I55">
            <v>180000</v>
          </cell>
          <cell r="J55">
            <v>565</v>
          </cell>
          <cell r="L55" t="str">
            <v>-</v>
          </cell>
        </row>
        <row r="57">
          <cell r="A57">
            <v>1070</v>
          </cell>
          <cell r="B57" t="str">
            <v>화장경</v>
          </cell>
          <cell r="C57" t="str">
            <v>600x900x5t</v>
          </cell>
          <cell r="D57" t="str">
            <v>매</v>
          </cell>
          <cell r="E57">
            <v>9500</v>
          </cell>
          <cell r="F57">
            <v>0</v>
          </cell>
          <cell r="H57">
            <v>0</v>
          </cell>
          <cell r="I57">
            <v>15000</v>
          </cell>
          <cell r="J57">
            <v>0</v>
          </cell>
          <cell r="K57">
            <v>9500</v>
          </cell>
          <cell r="L57">
            <v>548</v>
          </cell>
        </row>
        <row r="58">
          <cell r="A58">
            <v>1071</v>
          </cell>
          <cell r="B58" t="str">
            <v>화장경</v>
          </cell>
          <cell r="C58" t="str">
            <v>1,000x600x5t</v>
          </cell>
          <cell r="D58" t="str">
            <v>매</v>
          </cell>
          <cell r="E58">
            <v>21840</v>
          </cell>
          <cell r="F58">
            <v>0</v>
          </cell>
          <cell r="H58">
            <v>0</v>
          </cell>
          <cell r="J58">
            <v>0</v>
          </cell>
          <cell r="K58">
            <v>21840</v>
          </cell>
          <cell r="L58">
            <v>548</v>
          </cell>
        </row>
        <row r="59">
          <cell r="A59">
            <v>1072</v>
          </cell>
          <cell r="B59" t="str">
            <v>화장경</v>
          </cell>
          <cell r="C59" t="str">
            <v>1,500x900x5t</v>
          </cell>
          <cell r="D59" t="str">
            <v>매</v>
          </cell>
          <cell r="E59">
            <v>37500</v>
          </cell>
          <cell r="F59">
            <v>0</v>
          </cell>
          <cell r="H59">
            <v>0</v>
          </cell>
          <cell r="I59">
            <v>37500</v>
          </cell>
          <cell r="J59">
            <v>0</v>
          </cell>
          <cell r="L59">
            <v>0</v>
          </cell>
        </row>
        <row r="60">
          <cell r="A60">
            <v>1073</v>
          </cell>
          <cell r="B60" t="str">
            <v>화장경</v>
          </cell>
          <cell r="C60" t="str">
            <v>2,000x900x5t</v>
          </cell>
          <cell r="D60" t="str">
            <v>매</v>
          </cell>
          <cell r="E60">
            <v>50000</v>
          </cell>
          <cell r="F60">
            <v>0</v>
          </cell>
          <cell r="H60">
            <v>0</v>
          </cell>
          <cell r="I60">
            <v>50000</v>
          </cell>
          <cell r="J60">
            <v>0</v>
          </cell>
          <cell r="L60">
            <v>0</v>
          </cell>
        </row>
        <row r="62">
          <cell r="A62">
            <v>1074</v>
          </cell>
          <cell r="B62" t="str">
            <v>화장선반</v>
          </cell>
          <cell r="C62" t="str">
            <v>SUS</v>
          </cell>
          <cell r="D62" t="str">
            <v>개</v>
          </cell>
          <cell r="E62">
            <v>8700</v>
          </cell>
          <cell r="F62">
            <v>0</v>
          </cell>
          <cell r="H62">
            <v>0</v>
          </cell>
          <cell r="J62">
            <v>0</v>
          </cell>
          <cell r="K62">
            <v>8700</v>
          </cell>
          <cell r="L62">
            <v>0</v>
          </cell>
        </row>
        <row r="63">
          <cell r="A63">
            <v>1075</v>
          </cell>
          <cell r="B63" t="str">
            <v>수건걸이</v>
          </cell>
          <cell r="C63" t="str">
            <v>SUS</v>
          </cell>
          <cell r="D63" t="str">
            <v>개</v>
          </cell>
          <cell r="E63">
            <v>3750</v>
          </cell>
          <cell r="F63">
            <v>0</v>
          </cell>
          <cell r="H63">
            <v>0</v>
          </cell>
          <cell r="J63">
            <v>0</v>
          </cell>
          <cell r="K63">
            <v>3750</v>
          </cell>
          <cell r="L63">
            <v>0</v>
          </cell>
        </row>
        <row r="64">
          <cell r="A64">
            <v>1076</v>
          </cell>
          <cell r="B64" t="str">
            <v>휴지걸이</v>
          </cell>
          <cell r="C64" t="str">
            <v>SUS</v>
          </cell>
          <cell r="D64" t="str">
            <v>개</v>
          </cell>
          <cell r="E64">
            <v>3200</v>
          </cell>
          <cell r="F64">
            <v>0</v>
          </cell>
          <cell r="H64">
            <v>0</v>
          </cell>
          <cell r="J64">
            <v>0</v>
          </cell>
          <cell r="K64">
            <v>3200</v>
          </cell>
          <cell r="L64">
            <v>0</v>
          </cell>
        </row>
        <row r="65">
          <cell r="A65">
            <v>1081</v>
          </cell>
          <cell r="B65" t="str">
            <v>주방기구(유로6001)</v>
          </cell>
          <cell r="C65" t="str">
            <v>1500 L</v>
          </cell>
          <cell r="D65" t="str">
            <v>조</v>
          </cell>
          <cell r="E65">
            <v>653900</v>
          </cell>
          <cell r="F65">
            <v>0</v>
          </cell>
          <cell r="H65">
            <v>0</v>
          </cell>
          <cell r="I65">
            <v>653900</v>
          </cell>
          <cell r="J65">
            <v>0</v>
          </cell>
          <cell r="L65">
            <v>0</v>
          </cell>
        </row>
        <row r="66">
          <cell r="A66">
            <v>1082</v>
          </cell>
          <cell r="B66" t="str">
            <v>주방기구(유로6001)</v>
          </cell>
          <cell r="C66" t="str">
            <v>1800 L</v>
          </cell>
          <cell r="D66" t="str">
            <v>조</v>
          </cell>
          <cell r="E66">
            <v>967900</v>
          </cell>
          <cell r="F66">
            <v>77432</v>
          </cell>
          <cell r="H66">
            <v>0</v>
          </cell>
          <cell r="I66">
            <v>967900</v>
          </cell>
          <cell r="J66">
            <v>0</v>
          </cell>
          <cell r="L66">
            <v>0</v>
          </cell>
        </row>
        <row r="67">
          <cell r="E67">
            <v>0</v>
          </cell>
        </row>
        <row r="68">
          <cell r="A68">
            <v>1091</v>
          </cell>
          <cell r="B68" t="str">
            <v>심야전기온수기</v>
          </cell>
          <cell r="C68" t="str">
            <v>150Lit</v>
          </cell>
          <cell r="D68" t="str">
            <v>대</v>
          </cell>
          <cell r="E68">
            <v>612000</v>
          </cell>
          <cell r="F68">
            <v>0</v>
          </cell>
          <cell r="H68">
            <v>586</v>
          </cell>
          <cell r="I68">
            <v>612000</v>
          </cell>
          <cell r="J68">
            <v>586</v>
          </cell>
          <cell r="L68">
            <v>586</v>
          </cell>
        </row>
        <row r="69">
          <cell r="A69">
            <v>1092</v>
          </cell>
          <cell r="B69" t="str">
            <v>심야전기온수기</v>
          </cell>
          <cell r="C69" t="str">
            <v>200Lit</v>
          </cell>
          <cell r="D69" t="str">
            <v>대</v>
          </cell>
          <cell r="E69">
            <v>731000</v>
          </cell>
          <cell r="F69">
            <v>0</v>
          </cell>
          <cell r="H69">
            <v>586</v>
          </cell>
          <cell r="I69">
            <v>731000</v>
          </cell>
          <cell r="J69">
            <v>586</v>
          </cell>
          <cell r="L69">
            <v>586</v>
          </cell>
        </row>
        <row r="70">
          <cell r="A70">
            <v>1093</v>
          </cell>
          <cell r="B70" t="str">
            <v>심야전기온수기</v>
          </cell>
          <cell r="C70" t="str">
            <v>300Lit</v>
          </cell>
          <cell r="D70" t="str">
            <v>대</v>
          </cell>
          <cell r="E70">
            <v>850000</v>
          </cell>
          <cell r="F70">
            <v>0</v>
          </cell>
          <cell r="H70">
            <v>586</v>
          </cell>
          <cell r="I70">
            <v>850000</v>
          </cell>
          <cell r="J70">
            <v>586</v>
          </cell>
          <cell r="L70">
            <v>586</v>
          </cell>
        </row>
        <row r="71">
          <cell r="A71">
            <v>1094</v>
          </cell>
          <cell r="B71" t="str">
            <v>심야전기온수기</v>
          </cell>
          <cell r="C71" t="str">
            <v>400Lit</v>
          </cell>
          <cell r="D71" t="str">
            <v>대</v>
          </cell>
          <cell r="E71">
            <v>943000</v>
          </cell>
          <cell r="F71">
            <v>0</v>
          </cell>
          <cell r="H71">
            <v>586</v>
          </cell>
          <cell r="I71">
            <v>943000</v>
          </cell>
          <cell r="J71">
            <v>586</v>
          </cell>
          <cell r="L71">
            <v>586</v>
          </cell>
        </row>
        <row r="72">
          <cell r="A72">
            <v>1095</v>
          </cell>
          <cell r="B72" t="str">
            <v>심야전기온수기</v>
          </cell>
          <cell r="C72" t="str">
            <v>450Lit</v>
          </cell>
          <cell r="D72" t="str">
            <v>대</v>
          </cell>
          <cell r="E72">
            <v>1164000</v>
          </cell>
          <cell r="F72">
            <v>0</v>
          </cell>
          <cell r="H72">
            <v>586</v>
          </cell>
          <cell r="I72">
            <v>1164000</v>
          </cell>
          <cell r="J72">
            <v>586</v>
          </cell>
          <cell r="L72">
            <v>586</v>
          </cell>
        </row>
        <row r="73">
          <cell r="E73">
            <v>0</v>
          </cell>
        </row>
        <row r="74">
          <cell r="A74">
            <v>2011</v>
          </cell>
          <cell r="B74" t="str">
            <v>SMC보온물탱크</v>
          </cell>
          <cell r="C74" t="str">
            <v>4,000 Lit</v>
          </cell>
          <cell r="D74" t="str">
            <v>대</v>
          </cell>
          <cell r="E74">
            <v>2710000</v>
          </cell>
          <cell r="F74">
            <v>0</v>
          </cell>
          <cell r="H74">
            <v>577</v>
          </cell>
          <cell r="I74">
            <v>2710000</v>
          </cell>
          <cell r="J74">
            <v>577</v>
          </cell>
          <cell r="L74">
            <v>577</v>
          </cell>
        </row>
        <row r="75">
          <cell r="A75">
            <v>2012</v>
          </cell>
          <cell r="B75" t="str">
            <v>SMC보온물탱크</v>
          </cell>
          <cell r="C75" t="str">
            <v>8,000 Lit</v>
          </cell>
          <cell r="D75" t="str">
            <v>대</v>
          </cell>
          <cell r="E75">
            <v>3610000</v>
          </cell>
          <cell r="F75">
            <v>0</v>
          </cell>
          <cell r="H75">
            <v>577</v>
          </cell>
          <cell r="I75">
            <v>3610000</v>
          </cell>
          <cell r="J75">
            <v>577</v>
          </cell>
          <cell r="L75">
            <v>577</v>
          </cell>
        </row>
        <row r="76">
          <cell r="A76">
            <v>2013</v>
          </cell>
          <cell r="B76" t="str">
            <v>SMC보온물탱크</v>
          </cell>
          <cell r="C76" t="str">
            <v>10,000 Lit</v>
          </cell>
          <cell r="D76" t="str">
            <v>대</v>
          </cell>
          <cell r="E76">
            <v>5310000</v>
          </cell>
          <cell r="F76">
            <v>0</v>
          </cell>
          <cell r="H76">
            <v>577</v>
          </cell>
          <cell r="I76">
            <v>5310000</v>
          </cell>
          <cell r="J76">
            <v>577</v>
          </cell>
          <cell r="L76">
            <v>577</v>
          </cell>
        </row>
        <row r="77">
          <cell r="A77">
            <v>2014</v>
          </cell>
          <cell r="B77" t="str">
            <v>SMC보온물탱크</v>
          </cell>
          <cell r="C77" t="str">
            <v>12,000 Lit</v>
          </cell>
          <cell r="D77" t="str">
            <v>대</v>
          </cell>
          <cell r="E77">
            <v>5990000</v>
          </cell>
          <cell r="F77">
            <v>0</v>
          </cell>
          <cell r="H77">
            <v>577</v>
          </cell>
          <cell r="I77">
            <v>5990000</v>
          </cell>
          <cell r="J77">
            <v>577</v>
          </cell>
          <cell r="L77">
            <v>577</v>
          </cell>
        </row>
        <row r="78">
          <cell r="A78">
            <v>2015</v>
          </cell>
          <cell r="B78" t="str">
            <v>SMC보온물탱크</v>
          </cell>
          <cell r="C78" t="str">
            <v>16,000 Lit</v>
          </cell>
          <cell r="D78" t="str">
            <v>대</v>
          </cell>
          <cell r="E78">
            <v>7030000</v>
          </cell>
          <cell r="F78">
            <v>0</v>
          </cell>
          <cell r="H78">
            <v>577</v>
          </cell>
          <cell r="I78">
            <v>7030000</v>
          </cell>
          <cell r="J78">
            <v>577</v>
          </cell>
          <cell r="L78">
            <v>577</v>
          </cell>
        </row>
        <row r="79">
          <cell r="A79">
            <v>2016</v>
          </cell>
          <cell r="B79" t="str">
            <v>SMC보온물탱크</v>
          </cell>
          <cell r="C79" t="str">
            <v>20,000 Lit</v>
          </cell>
          <cell r="D79" t="str">
            <v>대</v>
          </cell>
          <cell r="E79">
            <v>8740000</v>
          </cell>
          <cell r="F79">
            <v>0</v>
          </cell>
          <cell r="H79">
            <v>577</v>
          </cell>
          <cell r="I79">
            <v>8740000</v>
          </cell>
          <cell r="J79">
            <v>577</v>
          </cell>
          <cell r="L79">
            <v>577</v>
          </cell>
        </row>
        <row r="80">
          <cell r="A80">
            <v>2017</v>
          </cell>
          <cell r="B80" t="str">
            <v>SMC보온물탱크</v>
          </cell>
          <cell r="C80" t="str">
            <v>24,000 Lit</v>
          </cell>
          <cell r="D80" t="str">
            <v>대</v>
          </cell>
          <cell r="E80">
            <v>9930000</v>
          </cell>
          <cell r="F80">
            <v>0</v>
          </cell>
          <cell r="H80">
            <v>577</v>
          </cell>
          <cell r="I80">
            <v>9930000</v>
          </cell>
          <cell r="J80">
            <v>577</v>
          </cell>
          <cell r="L80">
            <v>577</v>
          </cell>
        </row>
        <row r="81">
          <cell r="A81">
            <v>2018</v>
          </cell>
          <cell r="B81" t="str">
            <v>SMC보온물탱크</v>
          </cell>
          <cell r="C81" t="str">
            <v>30,000 Lit</v>
          </cell>
          <cell r="D81" t="str">
            <v>대</v>
          </cell>
          <cell r="E81">
            <v>10450000</v>
          </cell>
          <cell r="F81">
            <v>0</v>
          </cell>
          <cell r="H81">
            <v>577</v>
          </cell>
          <cell r="I81">
            <v>10450000</v>
          </cell>
          <cell r="J81">
            <v>577</v>
          </cell>
          <cell r="L81">
            <v>577</v>
          </cell>
        </row>
        <row r="82">
          <cell r="A82">
            <v>2019</v>
          </cell>
          <cell r="B82" t="str">
            <v>SMC보온물탱크</v>
          </cell>
          <cell r="C82" t="str">
            <v>40,000 Lit</v>
          </cell>
          <cell r="D82" t="str">
            <v>대</v>
          </cell>
          <cell r="E82">
            <v>14250000</v>
          </cell>
          <cell r="F82">
            <v>0</v>
          </cell>
          <cell r="H82">
            <v>577</v>
          </cell>
          <cell r="I82">
            <v>14250000</v>
          </cell>
          <cell r="J82">
            <v>577</v>
          </cell>
          <cell r="L82">
            <v>577</v>
          </cell>
        </row>
        <row r="83">
          <cell r="A83">
            <v>2111</v>
          </cell>
          <cell r="B83" t="str">
            <v>STS보온물탱크</v>
          </cell>
          <cell r="C83" t="str">
            <v>3,000 Lit</v>
          </cell>
          <cell r="D83" t="str">
            <v>대</v>
          </cell>
          <cell r="E83">
            <v>2100000</v>
          </cell>
          <cell r="F83">
            <v>0</v>
          </cell>
          <cell r="H83">
            <v>570</v>
          </cell>
          <cell r="I83">
            <v>2100000</v>
          </cell>
          <cell r="J83">
            <v>570</v>
          </cell>
          <cell r="L83">
            <v>570</v>
          </cell>
        </row>
        <row r="84">
          <cell r="A84">
            <v>2112</v>
          </cell>
          <cell r="B84" t="str">
            <v>STS보온물탱크</v>
          </cell>
          <cell r="C84" t="str">
            <v>5,000 Lit</v>
          </cell>
          <cell r="D84" t="str">
            <v>대</v>
          </cell>
          <cell r="E84">
            <v>2900000</v>
          </cell>
          <cell r="F84">
            <v>0</v>
          </cell>
          <cell r="H84">
            <v>570</v>
          </cell>
          <cell r="I84">
            <v>2900000</v>
          </cell>
          <cell r="J84">
            <v>570</v>
          </cell>
          <cell r="L84">
            <v>570</v>
          </cell>
        </row>
        <row r="85">
          <cell r="A85">
            <v>2113</v>
          </cell>
          <cell r="B85" t="str">
            <v>STS보온물탱크</v>
          </cell>
          <cell r="C85" t="str">
            <v>6,800 Lit</v>
          </cell>
          <cell r="D85" t="str">
            <v>대</v>
          </cell>
          <cell r="E85">
            <v>3750000</v>
          </cell>
          <cell r="F85">
            <v>0</v>
          </cell>
          <cell r="G85">
            <v>3750000</v>
          </cell>
          <cell r="H85">
            <v>636</v>
          </cell>
          <cell r="I85">
            <v>3750000</v>
          </cell>
          <cell r="J85">
            <v>570</v>
          </cell>
          <cell r="L85">
            <v>570</v>
          </cell>
        </row>
        <row r="86">
          <cell r="A86">
            <v>2114</v>
          </cell>
          <cell r="B86" t="str">
            <v>STS보온물탱크</v>
          </cell>
          <cell r="C86" t="str">
            <v>10,000 Lit</v>
          </cell>
          <cell r="D86" t="str">
            <v>대</v>
          </cell>
          <cell r="E86">
            <v>5000000</v>
          </cell>
          <cell r="F86">
            <v>0</v>
          </cell>
          <cell r="G86">
            <v>5000000</v>
          </cell>
          <cell r="H86">
            <v>636</v>
          </cell>
          <cell r="I86">
            <v>5000000</v>
          </cell>
          <cell r="J86">
            <v>570</v>
          </cell>
          <cell r="L86">
            <v>570</v>
          </cell>
        </row>
        <row r="87">
          <cell r="A87">
            <v>2115</v>
          </cell>
          <cell r="B87" t="str">
            <v>STS보온물탱크</v>
          </cell>
          <cell r="C87" t="str">
            <v>13,000 Lit</v>
          </cell>
          <cell r="D87" t="str">
            <v>대</v>
          </cell>
          <cell r="E87">
            <v>5600000</v>
          </cell>
          <cell r="F87">
            <v>0</v>
          </cell>
          <cell r="G87">
            <v>5600000</v>
          </cell>
          <cell r="H87">
            <v>636</v>
          </cell>
          <cell r="I87">
            <v>5600000</v>
          </cell>
          <cell r="J87">
            <v>570</v>
          </cell>
          <cell r="L87">
            <v>570</v>
          </cell>
        </row>
        <row r="88">
          <cell r="A88">
            <v>2116</v>
          </cell>
          <cell r="B88" t="str">
            <v>STS보온물탱크</v>
          </cell>
          <cell r="C88" t="str">
            <v>15,000 Lit</v>
          </cell>
          <cell r="D88" t="str">
            <v>대</v>
          </cell>
          <cell r="E88">
            <v>6700000</v>
          </cell>
          <cell r="F88">
            <v>0</v>
          </cell>
          <cell r="G88">
            <v>6700000</v>
          </cell>
          <cell r="H88">
            <v>636</v>
          </cell>
          <cell r="I88">
            <v>6700000</v>
          </cell>
          <cell r="J88">
            <v>570</v>
          </cell>
          <cell r="L88">
            <v>570</v>
          </cell>
        </row>
        <row r="89">
          <cell r="A89">
            <v>2117</v>
          </cell>
          <cell r="B89" t="str">
            <v>STS보온물탱크</v>
          </cell>
          <cell r="C89" t="str">
            <v>20,000 Lit</v>
          </cell>
          <cell r="D89" t="str">
            <v>대</v>
          </cell>
          <cell r="E89">
            <v>8150000</v>
          </cell>
          <cell r="F89">
            <v>0</v>
          </cell>
          <cell r="G89">
            <v>8150000</v>
          </cell>
          <cell r="H89">
            <v>636</v>
          </cell>
          <cell r="I89">
            <v>8150000</v>
          </cell>
          <cell r="J89">
            <v>570</v>
          </cell>
          <cell r="L89">
            <v>570</v>
          </cell>
        </row>
        <row r="90">
          <cell r="A90">
            <v>2118</v>
          </cell>
          <cell r="B90" t="str">
            <v>STS보온물탱크</v>
          </cell>
          <cell r="C90" t="str">
            <v>23,000 Lit</v>
          </cell>
          <cell r="D90" t="str">
            <v>대</v>
          </cell>
          <cell r="E90">
            <v>10200000</v>
          </cell>
          <cell r="F90">
            <v>0</v>
          </cell>
          <cell r="G90">
            <v>10200000</v>
          </cell>
          <cell r="H90">
            <v>636</v>
          </cell>
          <cell r="I90">
            <v>10200000</v>
          </cell>
          <cell r="J90">
            <v>570</v>
          </cell>
          <cell r="L90">
            <v>570</v>
          </cell>
        </row>
        <row r="91">
          <cell r="A91">
            <v>2119</v>
          </cell>
          <cell r="B91" t="str">
            <v>STS보온물탱크</v>
          </cell>
          <cell r="C91" t="str">
            <v>34,000 Lit</v>
          </cell>
          <cell r="D91" t="str">
            <v>대</v>
          </cell>
          <cell r="E91">
            <v>12000000</v>
          </cell>
          <cell r="F91">
            <v>0</v>
          </cell>
          <cell r="G91">
            <v>12000000</v>
          </cell>
          <cell r="H91">
            <v>636</v>
          </cell>
          <cell r="I91">
            <v>12000000</v>
          </cell>
          <cell r="J91">
            <v>570</v>
          </cell>
          <cell r="L91">
            <v>570</v>
          </cell>
        </row>
        <row r="92">
          <cell r="A92">
            <v>2121</v>
          </cell>
          <cell r="B92" t="str">
            <v>FRP보온물탱크(원통)</v>
          </cell>
          <cell r="C92" t="str">
            <v>3,000 Lit</v>
          </cell>
          <cell r="D92" t="str">
            <v>대</v>
          </cell>
          <cell r="E92">
            <v>510000</v>
          </cell>
          <cell r="F92">
            <v>0</v>
          </cell>
          <cell r="H92">
            <v>575</v>
          </cell>
          <cell r="I92">
            <v>510000</v>
          </cell>
          <cell r="J92">
            <v>575</v>
          </cell>
          <cell r="L92">
            <v>575</v>
          </cell>
        </row>
        <row r="93">
          <cell r="A93">
            <v>2122</v>
          </cell>
          <cell r="B93" t="str">
            <v>FRP보온물탱크(원통)</v>
          </cell>
          <cell r="C93" t="str">
            <v>5,000Lit</v>
          </cell>
          <cell r="D93" t="str">
            <v>대</v>
          </cell>
          <cell r="E93">
            <v>750000</v>
          </cell>
          <cell r="F93">
            <v>0</v>
          </cell>
          <cell r="H93">
            <v>575</v>
          </cell>
          <cell r="I93">
            <v>750000</v>
          </cell>
          <cell r="J93">
            <v>575</v>
          </cell>
          <cell r="L93">
            <v>575</v>
          </cell>
        </row>
        <row r="94">
          <cell r="A94">
            <v>2123</v>
          </cell>
          <cell r="B94" t="str">
            <v>FRP보온물탱크(각형)</v>
          </cell>
          <cell r="C94" t="str">
            <v>8,000Lit</v>
          </cell>
          <cell r="D94" t="str">
            <v>대</v>
          </cell>
          <cell r="E94">
            <v>1600000</v>
          </cell>
          <cell r="F94">
            <v>0</v>
          </cell>
          <cell r="H94">
            <v>575</v>
          </cell>
          <cell r="I94">
            <v>1600000</v>
          </cell>
          <cell r="J94">
            <v>575</v>
          </cell>
          <cell r="L94">
            <v>575</v>
          </cell>
        </row>
        <row r="95">
          <cell r="A95">
            <v>2124</v>
          </cell>
          <cell r="B95" t="str">
            <v>FRP보온물탱크(각형)</v>
          </cell>
          <cell r="C95" t="str">
            <v>10,000 Lit</v>
          </cell>
          <cell r="D95" t="str">
            <v>대</v>
          </cell>
          <cell r="E95">
            <v>1700000</v>
          </cell>
          <cell r="F95">
            <v>0</v>
          </cell>
          <cell r="H95">
            <v>575</v>
          </cell>
          <cell r="I95">
            <v>1700000</v>
          </cell>
          <cell r="J95">
            <v>575</v>
          </cell>
          <cell r="L95">
            <v>575</v>
          </cell>
        </row>
        <row r="96">
          <cell r="A96">
            <v>2125</v>
          </cell>
          <cell r="B96" t="str">
            <v>FRP보온물탱크(각형)</v>
          </cell>
          <cell r="C96" t="str">
            <v>12,000 Lit</v>
          </cell>
          <cell r="D96" t="str">
            <v>대</v>
          </cell>
          <cell r="E96">
            <v>2000000</v>
          </cell>
          <cell r="F96">
            <v>0</v>
          </cell>
          <cell r="H96">
            <v>575</v>
          </cell>
          <cell r="I96">
            <v>2000000</v>
          </cell>
          <cell r="J96">
            <v>575</v>
          </cell>
          <cell r="L96">
            <v>575</v>
          </cell>
        </row>
        <row r="97">
          <cell r="A97">
            <v>2126</v>
          </cell>
          <cell r="B97" t="str">
            <v>FRP보온물탱크(각형)</v>
          </cell>
          <cell r="C97" t="str">
            <v>15,000 Lit</v>
          </cell>
          <cell r="D97" t="str">
            <v>대</v>
          </cell>
          <cell r="E97">
            <v>2700000</v>
          </cell>
          <cell r="F97">
            <v>0</v>
          </cell>
          <cell r="H97">
            <v>575</v>
          </cell>
          <cell r="I97">
            <v>2700000</v>
          </cell>
          <cell r="J97">
            <v>575</v>
          </cell>
          <cell r="L97">
            <v>575</v>
          </cell>
        </row>
        <row r="98">
          <cell r="A98">
            <v>2127</v>
          </cell>
          <cell r="B98" t="str">
            <v>FRP보온물탱크(각형)</v>
          </cell>
          <cell r="C98" t="str">
            <v>20,000 Lit</v>
          </cell>
          <cell r="D98" t="str">
            <v>대</v>
          </cell>
          <cell r="E98">
            <v>3600000</v>
          </cell>
          <cell r="F98">
            <v>0</v>
          </cell>
          <cell r="H98">
            <v>575</v>
          </cell>
          <cell r="I98">
            <v>3600000</v>
          </cell>
          <cell r="J98">
            <v>575</v>
          </cell>
          <cell r="L98">
            <v>575</v>
          </cell>
        </row>
        <row r="99">
          <cell r="A99">
            <v>2128</v>
          </cell>
          <cell r="B99" t="str">
            <v>FRP보온물탱크(각형)</v>
          </cell>
          <cell r="C99" t="str">
            <v>25,000 Lit</v>
          </cell>
          <cell r="D99" t="str">
            <v>대</v>
          </cell>
          <cell r="E99">
            <v>5150000</v>
          </cell>
          <cell r="F99">
            <v>0</v>
          </cell>
          <cell r="H99">
            <v>575</v>
          </cell>
          <cell r="I99">
            <v>5150000</v>
          </cell>
          <cell r="J99">
            <v>575</v>
          </cell>
          <cell r="L99">
            <v>575</v>
          </cell>
        </row>
        <row r="100">
          <cell r="A100">
            <v>2129</v>
          </cell>
          <cell r="B100" t="str">
            <v>FRP보온물탱크(각형)</v>
          </cell>
          <cell r="C100" t="str">
            <v>30,000 Lit</v>
          </cell>
          <cell r="D100" t="str">
            <v>대</v>
          </cell>
          <cell r="E100">
            <v>6200000</v>
          </cell>
          <cell r="F100">
            <v>0</v>
          </cell>
          <cell r="H100">
            <v>575</v>
          </cell>
          <cell r="I100">
            <v>6200000</v>
          </cell>
          <cell r="J100">
            <v>575</v>
          </cell>
          <cell r="L100">
            <v>575</v>
          </cell>
        </row>
        <row r="101">
          <cell r="A101">
            <v>2131</v>
          </cell>
          <cell r="B101" t="str">
            <v>경유저장탱크(1.0t)</v>
          </cell>
          <cell r="C101" t="str">
            <v>400 Lit</v>
          </cell>
          <cell r="D101" t="str">
            <v>대</v>
          </cell>
          <cell r="E101">
            <v>80000</v>
          </cell>
          <cell r="F101">
            <v>0</v>
          </cell>
          <cell r="H101">
            <v>0</v>
          </cell>
          <cell r="I101">
            <v>80000</v>
          </cell>
          <cell r="J101">
            <v>0</v>
          </cell>
          <cell r="L101">
            <v>0</v>
          </cell>
        </row>
        <row r="102">
          <cell r="A102">
            <v>2132</v>
          </cell>
          <cell r="B102" t="str">
            <v>경유저장탱크(1.0t)</v>
          </cell>
          <cell r="C102" t="str">
            <v>600 Lit</v>
          </cell>
          <cell r="D102" t="str">
            <v>대</v>
          </cell>
          <cell r="E102">
            <v>120000</v>
          </cell>
          <cell r="F102">
            <v>0</v>
          </cell>
          <cell r="H102">
            <v>0</v>
          </cell>
          <cell r="I102">
            <v>120000</v>
          </cell>
          <cell r="J102">
            <v>0</v>
          </cell>
          <cell r="L102">
            <v>0</v>
          </cell>
        </row>
        <row r="103">
          <cell r="A103">
            <v>2133</v>
          </cell>
          <cell r="B103" t="str">
            <v>경유저장탱크(1.0t)</v>
          </cell>
          <cell r="C103" t="str">
            <v>800 Lit</v>
          </cell>
          <cell r="D103" t="str">
            <v>대</v>
          </cell>
          <cell r="E103">
            <v>160000</v>
          </cell>
          <cell r="F103">
            <v>0</v>
          </cell>
          <cell r="H103">
            <v>0</v>
          </cell>
          <cell r="I103">
            <v>160000</v>
          </cell>
          <cell r="J103">
            <v>0</v>
          </cell>
          <cell r="L103">
            <v>0</v>
          </cell>
        </row>
        <row r="104">
          <cell r="A104">
            <v>2134</v>
          </cell>
          <cell r="B104" t="str">
            <v>경유저장탱크(4.5t)</v>
          </cell>
          <cell r="C104" t="str">
            <v>3,000 Lit</v>
          </cell>
          <cell r="D104" t="str">
            <v>대</v>
          </cell>
          <cell r="E104">
            <v>381946</v>
          </cell>
          <cell r="F104">
            <v>1826457</v>
          </cell>
          <cell r="H104">
            <v>0</v>
          </cell>
          <cell r="I104">
            <v>381946</v>
          </cell>
          <cell r="J104">
            <v>0</v>
          </cell>
          <cell r="L104">
            <v>0</v>
          </cell>
        </row>
        <row r="105">
          <cell r="A105">
            <v>2135</v>
          </cell>
          <cell r="B105" t="str">
            <v>경유저장탱크(4.5t)</v>
          </cell>
          <cell r="C105" t="str">
            <v>4,000 Lit</v>
          </cell>
          <cell r="D105" t="str">
            <v>대</v>
          </cell>
          <cell r="E105">
            <v>459511</v>
          </cell>
          <cell r="F105">
            <v>2178257</v>
          </cell>
          <cell r="H105">
            <v>0</v>
          </cell>
          <cell r="I105">
            <v>459511</v>
          </cell>
          <cell r="J105">
            <v>0</v>
          </cell>
          <cell r="L105">
            <v>0</v>
          </cell>
        </row>
        <row r="106">
          <cell r="A106">
            <v>2136</v>
          </cell>
          <cell r="B106" t="str">
            <v>경유저장탱크(4.5t)</v>
          </cell>
          <cell r="C106" t="str">
            <v>5,200 Lit</v>
          </cell>
          <cell r="D106" t="str">
            <v>대</v>
          </cell>
          <cell r="E106">
            <v>610623</v>
          </cell>
          <cell r="F106">
            <v>2869899</v>
          </cell>
          <cell r="H106">
            <v>0</v>
          </cell>
          <cell r="I106">
            <v>610623</v>
          </cell>
          <cell r="J106">
            <v>0</v>
          </cell>
          <cell r="L106">
            <v>0</v>
          </cell>
        </row>
        <row r="107">
          <cell r="A107">
            <v>2137</v>
          </cell>
          <cell r="B107" t="str">
            <v>경유저장탱크(6.0t)</v>
          </cell>
          <cell r="C107" t="str">
            <v>10,000 Lit</v>
          </cell>
          <cell r="D107" t="str">
            <v>대</v>
          </cell>
          <cell r="E107">
            <v>905845</v>
          </cell>
          <cell r="F107">
            <v>4366507</v>
          </cell>
          <cell r="H107">
            <v>0</v>
          </cell>
          <cell r="I107">
            <v>905845</v>
          </cell>
          <cell r="J107">
            <v>0</v>
          </cell>
          <cell r="L107">
            <v>0</v>
          </cell>
        </row>
        <row r="108">
          <cell r="A108">
            <v>2138</v>
          </cell>
          <cell r="B108" t="str">
            <v>경유저장탱크(6.0t)</v>
          </cell>
          <cell r="C108" t="str">
            <v>11,000 Lit</v>
          </cell>
          <cell r="D108" t="str">
            <v>대</v>
          </cell>
          <cell r="E108">
            <v>992501</v>
          </cell>
          <cell r="F108">
            <v>4797538</v>
          </cell>
          <cell r="H108">
            <v>0</v>
          </cell>
          <cell r="I108">
            <v>992501</v>
          </cell>
          <cell r="J108">
            <v>0</v>
          </cell>
          <cell r="L108">
            <v>0</v>
          </cell>
        </row>
        <row r="109">
          <cell r="A109">
            <v>2139</v>
          </cell>
          <cell r="B109" t="str">
            <v>경유저장탱크(6.0t)</v>
          </cell>
          <cell r="C109" t="str">
            <v>20,000 Lit</v>
          </cell>
          <cell r="D109" t="str">
            <v>대</v>
          </cell>
          <cell r="E109">
            <v>1675882</v>
          </cell>
          <cell r="F109">
            <v>8343536</v>
          </cell>
          <cell r="H109">
            <v>0</v>
          </cell>
          <cell r="I109">
            <v>1675882</v>
          </cell>
          <cell r="J109">
            <v>0</v>
          </cell>
          <cell r="L109">
            <v>0</v>
          </cell>
        </row>
        <row r="111">
          <cell r="A111">
            <v>2141</v>
          </cell>
          <cell r="B111" t="str">
            <v>팽창탱크(SUS)</v>
          </cell>
          <cell r="C111" t="str">
            <v>100 Lit</v>
          </cell>
          <cell r="D111" t="str">
            <v>대</v>
          </cell>
          <cell r="E111">
            <v>181210</v>
          </cell>
          <cell r="F111">
            <v>349365</v>
          </cell>
          <cell r="H111">
            <v>0</v>
          </cell>
          <cell r="I111">
            <v>181210</v>
          </cell>
          <cell r="J111">
            <v>0</v>
          </cell>
          <cell r="L111">
            <v>0</v>
          </cell>
        </row>
        <row r="112">
          <cell r="A112">
            <v>2142</v>
          </cell>
          <cell r="B112" t="str">
            <v>팽창탱크(SUS)</v>
          </cell>
          <cell r="C112" t="str">
            <v>200 Lit</v>
          </cell>
          <cell r="D112" t="str">
            <v>대</v>
          </cell>
          <cell r="E112">
            <v>267795</v>
          </cell>
          <cell r="F112">
            <v>525827</v>
          </cell>
          <cell r="H112">
            <v>0</v>
          </cell>
          <cell r="I112">
            <v>267795</v>
          </cell>
          <cell r="J112">
            <v>0</v>
          </cell>
          <cell r="L112">
            <v>0</v>
          </cell>
        </row>
        <row r="113">
          <cell r="A113">
            <v>2143</v>
          </cell>
          <cell r="B113" t="str">
            <v>팽창탱크(SUS)</v>
          </cell>
          <cell r="C113" t="str">
            <v>600 Lit</v>
          </cell>
          <cell r="D113" t="str">
            <v>대</v>
          </cell>
          <cell r="E113">
            <v>356940</v>
          </cell>
          <cell r="F113">
            <v>646866</v>
          </cell>
          <cell r="H113">
            <v>0</v>
          </cell>
          <cell r="I113">
            <v>356940</v>
          </cell>
          <cell r="J113">
            <v>0</v>
          </cell>
          <cell r="L113">
            <v>0</v>
          </cell>
        </row>
        <row r="115">
          <cell r="A115">
            <v>2144</v>
          </cell>
          <cell r="B115" t="str">
            <v>밀폐형팽창탱크</v>
          </cell>
          <cell r="C115" t="str">
            <v>130 Lit</v>
          </cell>
          <cell r="D115" t="str">
            <v>대</v>
          </cell>
          <cell r="E115">
            <v>1240000</v>
          </cell>
          <cell r="F115">
            <v>0</v>
          </cell>
          <cell r="H115">
            <v>604</v>
          </cell>
          <cell r="I115">
            <v>1240000</v>
          </cell>
          <cell r="J115">
            <v>604</v>
          </cell>
          <cell r="L115">
            <v>604</v>
          </cell>
        </row>
        <row r="116">
          <cell r="A116">
            <v>2145</v>
          </cell>
          <cell r="B116" t="str">
            <v>밀폐형팽창탱크</v>
          </cell>
          <cell r="C116" t="str">
            <v>185 Lit</v>
          </cell>
          <cell r="D116" t="str">
            <v>대</v>
          </cell>
          <cell r="E116">
            <v>1400000</v>
          </cell>
          <cell r="F116">
            <v>0</v>
          </cell>
          <cell r="H116">
            <v>604</v>
          </cell>
          <cell r="I116">
            <v>1400000</v>
          </cell>
          <cell r="J116">
            <v>604</v>
          </cell>
          <cell r="L116">
            <v>604</v>
          </cell>
        </row>
        <row r="117">
          <cell r="A117">
            <v>2146</v>
          </cell>
          <cell r="B117" t="str">
            <v>밀폐형팽창탱크</v>
          </cell>
          <cell r="C117" t="str">
            <v>250 Lit</v>
          </cell>
          <cell r="D117" t="str">
            <v>대</v>
          </cell>
          <cell r="E117">
            <v>1520000</v>
          </cell>
          <cell r="F117">
            <v>0</v>
          </cell>
          <cell r="H117">
            <v>604</v>
          </cell>
          <cell r="I117">
            <v>1520000</v>
          </cell>
          <cell r="J117">
            <v>604</v>
          </cell>
          <cell r="L117">
            <v>604</v>
          </cell>
        </row>
        <row r="118">
          <cell r="A118">
            <v>2147</v>
          </cell>
          <cell r="B118" t="str">
            <v>밀폐형팽창탱크</v>
          </cell>
          <cell r="C118" t="str">
            <v>300 Lit</v>
          </cell>
          <cell r="D118" t="str">
            <v>대</v>
          </cell>
          <cell r="E118">
            <v>1680000</v>
          </cell>
          <cell r="F118">
            <v>0</v>
          </cell>
          <cell r="H118">
            <v>604</v>
          </cell>
          <cell r="I118">
            <v>1680000</v>
          </cell>
          <cell r="J118">
            <v>604</v>
          </cell>
          <cell r="L118">
            <v>604</v>
          </cell>
        </row>
        <row r="120">
          <cell r="A120">
            <v>2151</v>
          </cell>
          <cell r="B120" t="str">
            <v>저탕탱크(SUS-304)</v>
          </cell>
          <cell r="C120" t="str">
            <v>300 Lit</v>
          </cell>
          <cell r="D120" t="str">
            <v>대</v>
          </cell>
          <cell r="E120">
            <v>0</v>
          </cell>
          <cell r="H120">
            <v>0</v>
          </cell>
          <cell r="J120">
            <v>0</v>
          </cell>
          <cell r="L120">
            <v>0</v>
          </cell>
        </row>
        <row r="121">
          <cell r="A121">
            <v>2152</v>
          </cell>
          <cell r="B121" t="str">
            <v>저탕탱크(SUS-304)</v>
          </cell>
          <cell r="C121" t="str">
            <v>1,000 Lit</v>
          </cell>
          <cell r="D121" t="str">
            <v>대</v>
          </cell>
          <cell r="E121">
            <v>605955</v>
          </cell>
          <cell r="F121">
            <v>1009750</v>
          </cell>
          <cell r="H121">
            <v>0</v>
          </cell>
          <cell r="I121">
            <v>605955</v>
          </cell>
          <cell r="J121">
            <v>0</v>
          </cell>
          <cell r="L121">
            <v>0</v>
          </cell>
        </row>
        <row r="122">
          <cell r="A122">
            <v>2154</v>
          </cell>
          <cell r="B122" t="str">
            <v>저탕탱크(SUS-304)</v>
          </cell>
          <cell r="C122" t="str">
            <v>2,000 Lit</v>
          </cell>
          <cell r="D122" t="str">
            <v>대</v>
          </cell>
          <cell r="E122">
            <v>944814</v>
          </cell>
          <cell r="F122">
            <v>1675710</v>
          </cell>
          <cell r="H122">
            <v>0</v>
          </cell>
          <cell r="I122">
            <v>944814</v>
          </cell>
          <cell r="J122">
            <v>0</v>
          </cell>
          <cell r="L122">
            <v>0</v>
          </cell>
        </row>
        <row r="123">
          <cell r="A123">
            <v>2155</v>
          </cell>
          <cell r="B123" t="str">
            <v>저탕탱크(SUS-304)</v>
          </cell>
          <cell r="C123" t="str">
            <v>3,000 Lit</v>
          </cell>
          <cell r="D123" t="str">
            <v>대</v>
          </cell>
          <cell r="E123">
            <v>1281035</v>
          </cell>
          <cell r="F123">
            <v>2242439</v>
          </cell>
          <cell r="H123">
            <v>0</v>
          </cell>
          <cell r="I123">
            <v>1281035</v>
          </cell>
          <cell r="J123">
            <v>0</v>
          </cell>
          <cell r="L123">
            <v>0</v>
          </cell>
        </row>
        <row r="124">
          <cell r="A124">
            <v>2157</v>
          </cell>
          <cell r="B124" t="str">
            <v>저탕탱크(SUS-304)</v>
          </cell>
          <cell r="C124" t="str">
            <v>5,000 Lit</v>
          </cell>
          <cell r="D124" t="str">
            <v>대</v>
          </cell>
          <cell r="E124">
            <v>1863979</v>
          </cell>
          <cell r="F124">
            <v>3143142</v>
          </cell>
          <cell r="H124">
            <v>0</v>
          </cell>
          <cell r="I124">
            <v>1863979</v>
          </cell>
          <cell r="J124">
            <v>0</v>
          </cell>
          <cell r="L124">
            <v>0</v>
          </cell>
        </row>
        <row r="126">
          <cell r="A126">
            <v>2211</v>
          </cell>
          <cell r="B126" t="str">
            <v>온수보일러</v>
          </cell>
          <cell r="C126" t="str">
            <v>9,000kcal/hr</v>
          </cell>
          <cell r="D126" t="str">
            <v>대</v>
          </cell>
          <cell r="E126">
            <v>300000</v>
          </cell>
          <cell r="F126">
            <v>0</v>
          </cell>
          <cell r="H126">
            <v>585</v>
          </cell>
          <cell r="I126">
            <v>300000</v>
          </cell>
          <cell r="J126">
            <v>585</v>
          </cell>
          <cell r="L126">
            <v>585</v>
          </cell>
        </row>
        <row r="127">
          <cell r="A127">
            <v>2212</v>
          </cell>
          <cell r="B127" t="str">
            <v>온수보일러</v>
          </cell>
          <cell r="C127" t="str">
            <v>13,000kcal/hr</v>
          </cell>
          <cell r="D127" t="str">
            <v>대</v>
          </cell>
          <cell r="E127">
            <v>320000</v>
          </cell>
          <cell r="F127">
            <v>0</v>
          </cell>
          <cell r="H127">
            <v>585</v>
          </cell>
          <cell r="I127">
            <v>320000</v>
          </cell>
          <cell r="J127">
            <v>585</v>
          </cell>
          <cell r="L127">
            <v>585</v>
          </cell>
        </row>
        <row r="128">
          <cell r="A128">
            <v>2213</v>
          </cell>
          <cell r="B128" t="str">
            <v>온수보일러</v>
          </cell>
          <cell r="C128" t="str">
            <v>15,000kcal/hr</v>
          </cell>
          <cell r="D128" t="str">
            <v>대</v>
          </cell>
          <cell r="E128">
            <v>380000</v>
          </cell>
          <cell r="F128">
            <v>0</v>
          </cell>
          <cell r="H128">
            <v>585</v>
          </cell>
          <cell r="I128">
            <v>380000</v>
          </cell>
          <cell r="J128">
            <v>585</v>
          </cell>
          <cell r="L128">
            <v>585</v>
          </cell>
        </row>
        <row r="129">
          <cell r="A129">
            <v>2214</v>
          </cell>
          <cell r="B129" t="str">
            <v>온수보일러</v>
          </cell>
          <cell r="C129" t="str">
            <v>20,000kcal/hr</v>
          </cell>
          <cell r="D129" t="str">
            <v>대</v>
          </cell>
          <cell r="E129">
            <v>400000</v>
          </cell>
          <cell r="F129">
            <v>0</v>
          </cell>
          <cell r="H129">
            <v>585</v>
          </cell>
          <cell r="I129">
            <v>400000</v>
          </cell>
          <cell r="J129">
            <v>585</v>
          </cell>
          <cell r="L129">
            <v>585</v>
          </cell>
        </row>
        <row r="130">
          <cell r="A130">
            <v>2215</v>
          </cell>
          <cell r="B130" t="str">
            <v>가스보일러</v>
          </cell>
          <cell r="C130" t="str">
            <v>10,000kcal/hr</v>
          </cell>
          <cell r="D130" t="str">
            <v>대</v>
          </cell>
          <cell r="E130">
            <v>443000</v>
          </cell>
          <cell r="F130">
            <v>0</v>
          </cell>
          <cell r="H130">
            <v>598</v>
          </cell>
          <cell r="I130">
            <v>443000</v>
          </cell>
          <cell r="J130">
            <v>598</v>
          </cell>
          <cell r="L130">
            <v>598</v>
          </cell>
        </row>
        <row r="131">
          <cell r="A131">
            <v>2216</v>
          </cell>
          <cell r="B131" t="str">
            <v>가스보일러</v>
          </cell>
          <cell r="C131" t="str">
            <v>13,000kcal/hr</v>
          </cell>
          <cell r="D131" t="str">
            <v>대</v>
          </cell>
          <cell r="E131">
            <v>472000</v>
          </cell>
          <cell r="F131">
            <v>0</v>
          </cell>
          <cell r="H131">
            <v>598</v>
          </cell>
          <cell r="I131">
            <v>472000</v>
          </cell>
          <cell r="J131">
            <v>598</v>
          </cell>
          <cell r="L131">
            <v>598</v>
          </cell>
        </row>
        <row r="132">
          <cell r="A132">
            <v>2217</v>
          </cell>
          <cell r="B132" t="str">
            <v>가스보일러</v>
          </cell>
          <cell r="C132" t="str">
            <v>16,000kcal/hr</v>
          </cell>
          <cell r="D132" t="str">
            <v>대</v>
          </cell>
          <cell r="E132">
            <v>500000</v>
          </cell>
          <cell r="F132">
            <v>0</v>
          </cell>
          <cell r="H132">
            <v>598</v>
          </cell>
          <cell r="I132">
            <v>500000</v>
          </cell>
          <cell r="J132">
            <v>598</v>
          </cell>
          <cell r="L132">
            <v>598</v>
          </cell>
        </row>
        <row r="133">
          <cell r="A133">
            <v>2218</v>
          </cell>
          <cell r="B133" t="str">
            <v>가스보일러</v>
          </cell>
          <cell r="C133" t="str">
            <v>20,000kcal/hr</v>
          </cell>
          <cell r="D133" t="str">
            <v>대</v>
          </cell>
          <cell r="E133">
            <v>585000</v>
          </cell>
          <cell r="F133">
            <v>0</v>
          </cell>
          <cell r="H133">
            <v>598</v>
          </cell>
          <cell r="I133">
            <v>585000</v>
          </cell>
          <cell r="J133">
            <v>598</v>
          </cell>
          <cell r="L133">
            <v>598</v>
          </cell>
        </row>
        <row r="134">
          <cell r="A134">
            <v>2219</v>
          </cell>
          <cell r="B134" t="str">
            <v>심야전기보일러</v>
          </cell>
          <cell r="C134" t="str">
            <v>22.3kW</v>
          </cell>
          <cell r="D134" t="str">
            <v>대</v>
          </cell>
          <cell r="E134">
            <v>2710000</v>
          </cell>
          <cell r="F134">
            <v>0</v>
          </cell>
          <cell r="H134">
            <v>581</v>
          </cell>
          <cell r="I134">
            <v>2710000</v>
          </cell>
          <cell r="J134">
            <v>581</v>
          </cell>
          <cell r="L134">
            <v>581</v>
          </cell>
        </row>
        <row r="135">
          <cell r="A135">
            <v>2220</v>
          </cell>
          <cell r="B135" t="str">
            <v>심야전기보일러</v>
          </cell>
          <cell r="C135" t="str">
            <v>30kW</v>
          </cell>
          <cell r="D135" t="str">
            <v>대</v>
          </cell>
          <cell r="E135">
            <v>3070000</v>
          </cell>
          <cell r="F135">
            <v>0</v>
          </cell>
          <cell r="H135">
            <v>581</v>
          </cell>
          <cell r="I135">
            <v>3070000</v>
          </cell>
          <cell r="J135">
            <v>581</v>
          </cell>
          <cell r="L135">
            <v>581</v>
          </cell>
        </row>
        <row r="136">
          <cell r="A136">
            <v>2221</v>
          </cell>
          <cell r="B136" t="str">
            <v>중형온수보일러(입형)</v>
          </cell>
          <cell r="C136" t="str">
            <v>30,000kcal/hr</v>
          </cell>
          <cell r="D136" t="str">
            <v>대</v>
          </cell>
          <cell r="E136">
            <v>620000</v>
          </cell>
          <cell r="F136">
            <v>0</v>
          </cell>
          <cell r="H136">
            <v>595</v>
          </cell>
          <cell r="I136">
            <v>620000</v>
          </cell>
          <cell r="J136">
            <v>595</v>
          </cell>
          <cell r="L136">
            <v>595</v>
          </cell>
        </row>
        <row r="137">
          <cell r="A137">
            <v>2222</v>
          </cell>
          <cell r="B137" t="str">
            <v>중형온수보일러(입형)</v>
          </cell>
          <cell r="C137" t="str">
            <v>50,000kcal/hr</v>
          </cell>
          <cell r="D137" t="str">
            <v>대</v>
          </cell>
          <cell r="E137">
            <v>750000</v>
          </cell>
          <cell r="F137">
            <v>0</v>
          </cell>
          <cell r="H137">
            <v>597</v>
          </cell>
          <cell r="I137">
            <v>750000</v>
          </cell>
          <cell r="J137">
            <v>597</v>
          </cell>
          <cell r="L137">
            <v>597</v>
          </cell>
        </row>
        <row r="138">
          <cell r="A138">
            <v>2223</v>
          </cell>
          <cell r="B138" t="str">
            <v>중형온수보일러(입형)</v>
          </cell>
          <cell r="C138" t="str">
            <v>70,000kcal/hr</v>
          </cell>
          <cell r="D138" t="str">
            <v>대</v>
          </cell>
          <cell r="E138">
            <v>870000</v>
          </cell>
          <cell r="F138">
            <v>0</v>
          </cell>
          <cell r="H138">
            <v>597</v>
          </cell>
          <cell r="I138">
            <v>870000</v>
          </cell>
          <cell r="J138">
            <v>597</v>
          </cell>
          <cell r="L138">
            <v>597</v>
          </cell>
        </row>
        <row r="139">
          <cell r="A139">
            <v>2224</v>
          </cell>
          <cell r="B139" t="str">
            <v>중형온수보일러(입형)</v>
          </cell>
          <cell r="C139" t="str">
            <v>100,000kcal/hr</v>
          </cell>
          <cell r="D139" t="str">
            <v>대</v>
          </cell>
          <cell r="E139">
            <v>1180000</v>
          </cell>
          <cell r="F139">
            <v>0</v>
          </cell>
          <cell r="H139">
            <v>597</v>
          </cell>
          <cell r="I139">
            <v>1180000</v>
          </cell>
          <cell r="J139">
            <v>597</v>
          </cell>
          <cell r="L139">
            <v>597</v>
          </cell>
        </row>
        <row r="140">
          <cell r="A140">
            <v>2225</v>
          </cell>
          <cell r="B140" t="str">
            <v>중형온수보일러(입형)</v>
          </cell>
          <cell r="C140" t="str">
            <v>150,000kcal/hr</v>
          </cell>
          <cell r="D140" t="str">
            <v>대</v>
          </cell>
          <cell r="E140">
            <v>1600000</v>
          </cell>
          <cell r="F140">
            <v>0</v>
          </cell>
          <cell r="H140">
            <v>597</v>
          </cell>
          <cell r="I140">
            <v>1600000</v>
          </cell>
          <cell r="J140">
            <v>597</v>
          </cell>
          <cell r="L140">
            <v>597</v>
          </cell>
        </row>
        <row r="141">
          <cell r="A141">
            <v>2226</v>
          </cell>
          <cell r="B141" t="str">
            <v>중형온수보일러(입형)</v>
          </cell>
          <cell r="C141" t="str">
            <v>200,000kcal/hr</v>
          </cell>
          <cell r="D141" t="str">
            <v>대</v>
          </cell>
          <cell r="E141">
            <v>3320000</v>
          </cell>
          <cell r="F141">
            <v>0</v>
          </cell>
          <cell r="H141">
            <v>597</v>
          </cell>
          <cell r="I141">
            <v>3320000</v>
          </cell>
          <cell r="J141">
            <v>597</v>
          </cell>
          <cell r="L141">
            <v>597</v>
          </cell>
        </row>
        <row r="142">
          <cell r="A142">
            <v>2227</v>
          </cell>
          <cell r="B142" t="str">
            <v>중형온수보일러(입형)</v>
          </cell>
          <cell r="C142" t="str">
            <v>300,000kcal/hr</v>
          </cell>
          <cell r="D142" t="str">
            <v>대</v>
          </cell>
          <cell r="E142">
            <v>5100000</v>
          </cell>
          <cell r="F142">
            <v>0</v>
          </cell>
          <cell r="H142">
            <v>597</v>
          </cell>
          <cell r="I142">
            <v>5100000</v>
          </cell>
          <cell r="J142">
            <v>597</v>
          </cell>
          <cell r="L142">
            <v>597</v>
          </cell>
        </row>
        <row r="143">
          <cell r="A143">
            <v>2231</v>
          </cell>
          <cell r="B143" t="str">
            <v>온수보일러(2회로식)</v>
          </cell>
          <cell r="C143" t="str">
            <v>100,000kcal/hr</v>
          </cell>
          <cell r="D143" t="str">
            <v>대</v>
          </cell>
          <cell r="E143">
            <v>10000000</v>
          </cell>
          <cell r="F143">
            <v>0</v>
          </cell>
          <cell r="H143">
            <v>597</v>
          </cell>
          <cell r="I143">
            <v>10000000</v>
          </cell>
          <cell r="J143">
            <v>597</v>
          </cell>
          <cell r="L143">
            <v>597</v>
          </cell>
        </row>
        <row r="144">
          <cell r="A144">
            <v>2232</v>
          </cell>
          <cell r="B144" t="str">
            <v>온수보일러(2회로식)</v>
          </cell>
          <cell r="C144" t="str">
            <v>150,000kcal/hr</v>
          </cell>
          <cell r="D144" t="str">
            <v>대</v>
          </cell>
          <cell r="E144">
            <v>11000000</v>
          </cell>
          <cell r="F144">
            <v>0</v>
          </cell>
          <cell r="I144">
            <v>11000000</v>
          </cell>
        </row>
        <row r="145">
          <cell r="A145">
            <v>2233</v>
          </cell>
          <cell r="B145" t="str">
            <v>온수보일러(2회로식)</v>
          </cell>
          <cell r="C145" t="str">
            <v>200,000kcal/hr</v>
          </cell>
          <cell r="D145" t="str">
            <v>대</v>
          </cell>
          <cell r="E145">
            <v>15600000</v>
          </cell>
          <cell r="F145">
            <v>0</v>
          </cell>
          <cell r="H145">
            <v>597</v>
          </cell>
          <cell r="I145">
            <v>15600000</v>
          </cell>
          <cell r="J145">
            <v>597</v>
          </cell>
          <cell r="L145">
            <v>597</v>
          </cell>
        </row>
        <row r="146">
          <cell r="A146">
            <v>2234</v>
          </cell>
          <cell r="B146" t="str">
            <v>온수보일러(2회로식)</v>
          </cell>
          <cell r="C146" t="str">
            <v>300,000kcal/hr</v>
          </cell>
          <cell r="D146" t="str">
            <v>대</v>
          </cell>
          <cell r="E146">
            <v>17700000</v>
          </cell>
          <cell r="F146">
            <v>0</v>
          </cell>
          <cell r="H146">
            <v>597</v>
          </cell>
          <cell r="I146">
            <v>17700000</v>
          </cell>
          <cell r="J146">
            <v>597</v>
          </cell>
          <cell r="L146">
            <v>597</v>
          </cell>
        </row>
        <row r="147">
          <cell r="A147">
            <v>2235</v>
          </cell>
          <cell r="B147" t="str">
            <v>온수보일러(2회로식)</v>
          </cell>
          <cell r="C147" t="str">
            <v>400,000kcal/hr</v>
          </cell>
          <cell r="D147" t="str">
            <v>대</v>
          </cell>
          <cell r="E147">
            <v>20000000</v>
          </cell>
          <cell r="F147">
            <v>0</v>
          </cell>
          <cell r="H147">
            <v>597</v>
          </cell>
          <cell r="I147">
            <v>20000000</v>
          </cell>
          <cell r="J147">
            <v>597</v>
          </cell>
          <cell r="L147">
            <v>597</v>
          </cell>
        </row>
        <row r="148">
          <cell r="A148">
            <v>2236</v>
          </cell>
          <cell r="B148" t="str">
            <v>온수보일러(2회로식)</v>
          </cell>
          <cell r="C148" t="str">
            <v>500,000kcal/hr</v>
          </cell>
          <cell r="D148" t="str">
            <v>대</v>
          </cell>
          <cell r="E148">
            <v>21300000</v>
          </cell>
          <cell r="F148">
            <v>0</v>
          </cell>
          <cell r="H148">
            <v>597</v>
          </cell>
          <cell r="I148">
            <v>21300000</v>
          </cell>
          <cell r="J148">
            <v>597</v>
          </cell>
          <cell r="L148">
            <v>597</v>
          </cell>
        </row>
        <row r="149">
          <cell r="A149">
            <v>2241</v>
          </cell>
          <cell r="B149" t="str">
            <v>경유관류형증기보일러</v>
          </cell>
          <cell r="C149" t="str">
            <v>100 kg/hr</v>
          </cell>
          <cell r="D149" t="str">
            <v>대</v>
          </cell>
          <cell r="E149">
            <v>5700000</v>
          </cell>
          <cell r="F149">
            <v>0</v>
          </cell>
          <cell r="H149">
            <v>602</v>
          </cell>
          <cell r="I149">
            <v>5700000</v>
          </cell>
          <cell r="J149">
            <v>602</v>
          </cell>
          <cell r="L149">
            <v>602</v>
          </cell>
        </row>
        <row r="150">
          <cell r="A150">
            <v>2242</v>
          </cell>
          <cell r="B150" t="str">
            <v>경유관류형증기보일러</v>
          </cell>
          <cell r="C150" t="str">
            <v>200 kg/hr</v>
          </cell>
          <cell r="D150" t="str">
            <v>대</v>
          </cell>
          <cell r="E150">
            <v>6940000</v>
          </cell>
          <cell r="F150">
            <v>0</v>
          </cell>
          <cell r="H150">
            <v>602</v>
          </cell>
          <cell r="I150">
            <v>6940000</v>
          </cell>
          <cell r="J150">
            <v>602</v>
          </cell>
          <cell r="L150">
            <v>602</v>
          </cell>
        </row>
        <row r="151">
          <cell r="A151">
            <v>2243</v>
          </cell>
          <cell r="B151" t="str">
            <v>경유관류형증기보일러</v>
          </cell>
          <cell r="C151" t="str">
            <v>300 kg/hr</v>
          </cell>
          <cell r="D151" t="str">
            <v>대</v>
          </cell>
          <cell r="E151">
            <v>8700000</v>
          </cell>
          <cell r="F151">
            <v>0</v>
          </cell>
          <cell r="H151">
            <v>602</v>
          </cell>
          <cell r="I151">
            <v>8700000</v>
          </cell>
          <cell r="J151">
            <v>602</v>
          </cell>
          <cell r="L151">
            <v>602</v>
          </cell>
        </row>
        <row r="152">
          <cell r="A152">
            <v>2244</v>
          </cell>
          <cell r="B152" t="str">
            <v>경유관류형증기보일러</v>
          </cell>
          <cell r="C152" t="str">
            <v>500 kg/hr</v>
          </cell>
          <cell r="D152" t="str">
            <v>대</v>
          </cell>
          <cell r="E152">
            <v>15950000</v>
          </cell>
          <cell r="F152">
            <v>0</v>
          </cell>
          <cell r="H152">
            <v>602</v>
          </cell>
          <cell r="I152">
            <v>15950000</v>
          </cell>
          <cell r="J152">
            <v>602</v>
          </cell>
          <cell r="L152">
            <v>602</v>
          </cell>
        </row>
        <row r="153">
          <cell r="A153">
            <v>2245</v>
          </cell>
          <cell r="B153" t="str">
            <v>경유관류형증기보일러</v>
          </cell>
          <cell r="C153" t="str">
            <v>1,000 kg/hr</v>
          </cell>
          <cell r="D153" t="str">
            <v>대</v>
          </cell>
          <cell r="E153">
            <v>21900000</v>
          </cell>
          <cell r="F153">
            <v>0</v>
          </cell>
          <cell r="H153">
            <v>602</v>
          </cell>
          <cell r="I153">
            <v>21900000</v>
          </cell>
          <cell r="J153">
            <v>602</v>
          </cell>
          <cell r="L153">
            <v>602</v>
          </cell>
        </row>
        <row r="154">
          <cell r="A154">
            <v>2246</v>
          </cell>
          <cell r="B154" t="str">
            <v>경유관류형증기보일러</v>
          </cell>
          <cell r="C154" t="str">
            <v>1,500 kg/hr</v>
          </cell>
          <cell r="D154" t="str">
            <v>대</v>
          </cell>
          <cell r="E154">
            <v>25000000</v>
          </cell>
          <cell r="F154">
            <v>0</v>
          </cell>
          <cell r="H154">
            <v>602</v>
          </cell>
          <cell r="I154">
            <v>25000000</v>
          </cell>
          <cell r="J154">
            <v>602</v>
          </cell>
          <cell r="L154">
            <v>602</v>
          </cell>
        </row>
        <row r="155">
          <cell r="A155">
            <v>2247</v>
          </cell>
          <cell r="B155" t="str">
            <v>경유관류형증기보일러</v>
          </cell>
          <cell r="C155" t="str">
            <v>2,000 kg/hr</v>
          </cell>
          <cell r="D155" t="str">
            <v>대</v>
          </cell>
          <cell r="E155">
            <v>37500000</v>
          </cell>
          <cell r="F155">
            <v>0</v>
          </cell>
          <cell r="H155">
            <v>602</v>
          </cell>
          <cell r="I155">
            <v>37500000</v>
          </cell>
          <cell r="J155">
            <v>602</v>
          </cell>
          <cell r="L155">
            <v>602</v>
          </cell>
        </row>
        <row r="156">
          <cell r="A156">
            <v>2248</v>
          </cell>
          <cell r="B156" t="str">
            <v>경유관류형증기보일러</v>
          </cell>
          <cell r="C156" t="str">
            <v>2,500 kg/hr</v>
          </cell>
          <cell r="D156" t="str">
            <v>대</v>
          </cell>
          <cell r="E156">
            <v>40490000</v>
          </cell>
          <cell r="F156">
            <v>0</v>
          </cell>
          <cell r="H156">
            <v>602</v>
          </cell>
          <cell r="I156">
            <v>40490000</v>
          </cell>
          <cell r="J156">
            <v>602</v>
          </cell>
          <cell r="L156">
            <v>602</v>
          </cell>
        </row>
        <row r="157">
          <cell r="A157">
            <v>2249</v>
          </cell>
          <cell r="B157" t="str">
            <v>경유관류형증기보일러</v>
          </cell>
          <cell r="C157" t="str">
            <v>3,000 kg/hr</v>
          </cell>
          <cell r="D157" t="str">
            <v>대</v>
          </cell>
          <cell r="E157">
            <v>42890000</v>
          </cell>
          <cell r="F157">
            <v>0</v>
          </cell>
          <cell r="H157">
            <v>602</v>
          </cell>
          <cell r="I157">
            <v>42890000</v>
          </cell>
          <cell r="J157">
            <v>602</v>
          </cell>
          <cell r="L157">
            <v>602</v>
          </cell>
        </row>
        <row r="158">
          <cell r="A158">
            <v>2251</v>
          </cell>
          <cell r="B158" t="str">
            <v>가스관류형증기보일러</v>
          </cell>
          <cell r="C158" t="str">
            <v>100 kg/hr</v>
          </cell>
          <cell r="D158" t="str">
            <v>대</v>
          </cell>
          <cell r="E158">
            <v>7545000</v>
          </cell>
          <cell r="F158">
            <v>0</v>
          </cell>
          <cell r="H158">
            <v>602</v>
          </cell>
          <cell r="I158">
            <v>7545000</v>
          </cell>
          <cell r="J158">
            <v>602</v>
          </cell>
          <cell r="L158">
            <v>602</v>
          </cell>
        </row>
        <row r="159">
          <cell r="A159">
            <v>2252</v>
          </cell>
          <cell r="B159" t="str">
            <v>가스관류형증기보일러</v>
          </cell>
          <cell r="C159" t="str">
            <v>200 kg/hr</v>
          </cell>
          <cell r="D159" t="str">
            <v>대</v>
          </cell>
          <cell r="E159">
            <v>8900000</v>
          </cell>
          <cell r="F159">
            <v>0</v>
          </cell>
          <cell r="H159">
            <v>602</v>
          </cell>
          <cell r="I159">
            <v>8900000</v>
          </cell>
          <cell r="J159">
            <v>602</v>
          </cell>
          <cell r="L159">
            <v>602</v>
          </cell>
        </row>
        <row r="160">
          <cell r="A160">
            <v>2253</v>
          </cell>
          <cell r="B160" t="str">
            <v>가스관류형증기보일러</v>
          </cell>
          <cell r="C160" t="str">
            <v>300 kg/hr</v>
          </cell>
          <cell r="D160" t="str">
            <v>대</v>
          </cell>
          <cell r="E160">
            <v>9940000</v>
          </cell>
          <cell r="F160">
            <v>0</v>
          </cell>
          <cell r="H160">
            <v>602</v>
          </cell>
          <cell r="I160">
            <v>9940000</v>
          </cell>
          <cell r="J160">
            <v>602</v>
          </cell>
          <cell r="L160">
            <v>602</v>
          </cell>
        </row>
        <row r="161">
          <cell r="A161">
            <v>2254</v>
          </cell>
          <cell r="B161" t="str">
            <v>가스관류형증기보일러</v>
          </cell>
          <cell r="C161" t="str">
            <v>500 kg/hr</v>
          </cell>
          <cell r="D161" t="str">
            <v>대</v>
          </cell>
          <cell r="E161">
            <v>20900000</v>
          </cell>
          <cell r="F161">
            <v>0</v>
          </cell>
          <cell r="H161">
            <v>602</v>
          </cell>
          <cell r="I161">
            <v>20900000</v>
          </cell>
          <cell r="J161">
            <v>602</v>
          </cell>
          <cell r="L161">
            <v>602</v>
          </cell>
        </row>
        <row r="162">
          <cell r="A162">
            <v>2255</v>
          </cell>
          <cell r="B162" t="str">
            <v>가스관류형증기보일러</v>
          </cell>
          <cell r="C162" t="str">
            <v>1,000 kg/hr</v>
          </cell>
          <cell r="D162" t="str">
            <v>대</v>
          </cell>
          <cell r="E162">
            <v>26500000</v>
          </cell>
          <cell r="F162">
            <v>0</v>
          </cell>
          <cell r="H162">
            <v>602</v>
          </cell>
          <cell r="I162">
            <v>26500000</v>
          </cell>
          <cell r="J162">
            <v>602</v>
          </cell>
          <cell r="L162">
            <v>602</v>
          </cell>
        </row>
        <row r="163">
          <cell r="A163">
            <v>2256</v>
          </cell>
          <cell r="B163" t="str">
            <v>가스관류형증기보일러</v>
          </cell>
          <cell r="C163" t="str">
            <v>1,500 kg/hr</v>
          </cell>
          <cell r="D163" t="str">
            <v>대</v>
          </cell>
          <cell r="E163">
            <v>30500000</v>
          </cell>
          <cell r="F163">
            <v>0</v>
          </cell>
          <cell r="H163">
            <v>602</v>
          </cell>
          <cell r="I163">
            <v>30500000</v>
          </cell>
          <cell r="J163">
            <v>602</v>
          </cell>
          <cell r="L163">
            <v>602</v>
          </cell>
        </row>
        <row r="164">
          <cell r="A164">
            <v>2257</v>
          </cell>
          <cell r="B164" t="str">
            <v>가스관류형증기보일러</v>
          </cell>
          <cell r="C164" t="str">
            <v>2,000 kg/hr</v>
          </cell>
          <cell r="D164" t="str">
            <v>대</v>
          </cell>
          <cell r="E164">
            <v>44590000</v>
          </cell>
          <cell r="F164">
            <v>0</v>
          </cell>
          <cell r="H164">
            <v>602</v>
          </cell>
          <cell r="I164">
            <v>44590000</v>
          </cell>
          <cell r="J164">
            <v>602</v>
          </cell>
          <cell r="L164">
            <v>602</v>
          </cell>
        </row>
        <row r="165">
          <cell r="A165">
            <v>2258</v>
          </cell>
          <cell r="B165" t="str">
            <v>가스관류형증기보일러</v>
          </cell>
          <cell r="C165" t="str">
            <v>2,500 kg/hr</v>
          </cell>
          <cell r="D165" t="str">
            <v>대</v>
          </cell>
          <cell r="E165">
            <v>46300000</v>
          </cell>
          <cell r="F165">
            <v>0</v>
          </cell>
          <cell r="H165">
            <v>602</v>
          </cell>
          <cell r="I165">
            <v>46300000</v>
          </cell>
          <cell r="J165">
            <v>602</v>
          </cell>
          <cell r="L165">
            <v>602</v>
          </cell>
        </row>
        <row r="166">
          <cell r="A166">
            <v>2259</v>
          </cell>
          <cell r="B166" t="str">
            <v>가스관류형증기보일러</v>
          </cell>
          <cell r="C166" t="str">
            <v>3,000 kg/hr</v>
          </cell>
          <cell r="D166" t="str">
            <v>대</v>
          </cell>
          <cell r="E166">
            <v>47900000</v>
          </cell>
          <cell r="F166">
            <v>0</v>
          </cell>
          <cell r="H166">
            <v>602</v>
          </cell>
          <cell r="I166">
            <v>47900000</v>
          </cell>
          <cell r="J166">
            <v>602</v>
          </cell>
          <cell r="L166">
            <v>602</v>
          </cell>
        </row>
        <row r="167">
          <cell r="A167">
            <v>2261</v>
          </cell>
          <cell r="B167" t="str">
            <v>경유노통증기보일러</v>
          </cell>
          <cell r="C167" t="str">
            <v>100 kg/hr</v>
          </cell>
          <cell r="D167" t="str">
            <v>대</v>
          </cell>
          <cell r="E167">
            <v>0</v>
          </cell>
          <cell r="F167">
            <v>0</v>
          </cell>
          <cell r="H167">
            <v>602</v>
          </cell>
          <cell r="J167">
            <v>602</v>
          </cell>
          <cell r="L167">
            <v>602</v>
          </cell>
        </row>
        <row r="168">
          <cell r="A168">
            <v>2262</v>
          </cell>
          <cell r="B168" t="str">
            <v>경유노통증기보일러</v>
          </cell>
          <cell r="C168" t="str">
            <v>200 kg/hr</v>
          </cell>
          <cell r="D168" t="str">
            <v>대</v>
          </cell>
          <cell r="E168">
            <v>0</v>
          </cell>
          <cell r="F168">
            <v>0</v>
          </cell>
          <cell r="H168">
            <v>602</v>
          </cell>
          <cell r="J168">
            <v>602</v>
          </cell>
          <cell r="L168">
            <v>602</v>
          </cell>
        </row>
        <row r="169">
          <cell r="A169">
            <v>2263</v>
          </cell>
          <cell r="B169" t="str">
            <v>경유노통증기보일러</v>
          </cell>
          <cell r="C169" t="str">
            <v>300 kg/hr</v>
          </cell>
          <cell r="D169" t="str">
            <v>대</v>
          </cell>
          <cell r="E169">
            <v>0</v>
          </cell>
          <cell r="F169">
            <v>0</v>
          </cell>
          <cell r="H169">
            <v>602</v>
          </cell>
          <cell r="J169">
            <v>602</v>
          </cell>
          <cell r="L169">
            <v>602</v>
          </cell>
        </row>
        <row r="170">
          <cell r="A170">
            <v>2264</v>
          </cell>
          <cell r="B170" t="str">
            <v>경유노통증기보일러</v>
          </cell>
          <cell r="C170" t="str">
            <v>500 kg/hr</v>
          </cell>
          <cell r="D170" t="str">
            <v>대</v>
          </cell>
          <cell r="E170">
            <v>20400000</v>
          </cell>
          <cell r="F170">
            <v>0</v>
          </cell>
          <cell r="H170">
            <v>602</v>
          </cell>
          <cell r="I170">
            <v>20400000</v>
          </cell>
          <cell r="J170">
            <v>602</v>
          </cell>
          <cell r="L170">
            <v>602</v>
          </cell>
        </row>
        <row r="171">
          <cell r="A171">
            <v>2265</v>
          </cell>
          <cell r="B171" t="str">
            <v>경유노통증기보일러</v>
          </cell>
          <cell r="C171" t="str">
            <v>1,000 kg/hr</v>
          </cell>
          <cell r="D171" t="str">
            <v>대</v>
          </cell>
          <cell r="E171">
            <v>28000000</v>
          </cell>
          <cell r="F171">
            <v>0</v>
          </cell>
          <cell r="H171">
            <v>602</v>
          </cell>
          <cell r="I171">
            <v>28000000</v>
          </cell>
          <cell r="J171">
            <v>602</v>
          </cell>
          <cell r="L171">
            <v>602</v>
          </cell>
        </row>
        <row r="172">
          <cell r="A172">
            <v>2266</v>
          </cell>
          <cell r="B172" t="str">
            <v>경유노통증기보일러</v>
          </cell>
          <cell r="C172" t="str">
            <v>1,500 kg/hr</v>
          </cell>
          <cell r="D172" t="str">
            <v>대</v>
          </cell>
          <cell r="E172">
            <v>29000000</v>
          </cell>
          <cell r="F172">
            <v>0</v>
          </cell>
          <cell r="H172">
            <v>602</v>
          </cell>
          <cell r="I172">
            <v>29000000</v>
          </cell>
          <cell r="J172">
            <v>602</v>
          </cell>
          <cell r="L172">
            <v>602</v>
          </cell>
        </row>
        <row r="173">
          <cell r="A173">
            <v>2267</v>
          </cell>
          <cell r="B173" t="str">
            <v>경유노통증기보일러</v>
          </cell>
          <cell r="C173" t="str">
            <v>2,000 kg/hr</v>
          </cell>
          <cell r="D173" t="str">
            <v>대</v>
          </cell>
          <cell r="E173">
            <v>31100000</v>
          </cell>
          <cell r="F173">
            <v>0</v>
          </cell>
          <cell r="H173">
            <v>602</v>
          </cell>
          <cell r="I173">
            <v>31100000</v>
          </cell>
          <cell r="J173">
            <v>602</v>
          </cell>
          <cell r="L173">
            <v>602</v>
          </cell>
        </row>
        <row r="174">
          <cell r="A174">
            <v>2268</v>
          </cell>
          <cell r="B174" t="str">
            <v>경유노통증기보일러</v>
          </cell>
          <cell r="C174" t="str">
            <v>2,500 kg/hr</v>
          </cell>
          <cell r="D174" t="str">
            <v>대</v>
          </cell>
          <cell r="E174">
            <v>33670000</v>
          </cell>
          <cell r="F174">
            <v>0</v>
          </cell>
          <cell r="H174">
            <v>602</v>
          </cell>
          <cell r="I174">
            <v>33670000</v>
          </cell>
          <cell r="J174">
            <v>602</v>
          </cell>
          <cell r="L174">
            <v>602</v>
          </cell>
        </row>
        <row r="175">
          <cell r="A175">
            <v>2269</v>
          </cell>
          <cell r="B175" t="str">
            <v>경유노통증기보일러</v>
          </cell>
          <cell r="C175" t="str">
            <v>3,000 kg/hr</v>
          </cell>
          <cell r="D175" t="str">
            <v>대</v>
          </cell>
          <cell r="E175">
            <v>35810000</v>
          </cell>
          <cell r="F175">
            <v>0</v>
          </cell>
          <cell r="H175">
            <v>602</v>
          </cell>
          <cell r="I175">
            <v>35810000</v>
          </cell>
          <cell r="J175">
            <v>602</v>
          </cell>
          <cell r="L175">
            <v>602</v>
          </cell>
        </row>
        <row r="176">
          <cell r="A176">
            <v>2271</v>
          </cell>
          <cell r="B176" t="str">
            <v>가스노통증기보일러</v>
          </cell>
          <cell r="C176" t="str">
            <v>100 kg/hr</v>
          </cell>
          <cell r="D176" t="str">
            <v>대</v>
          </cell>
          <cell r="E176">
            <v>0</v>
          </cell>
          <cell r="F176">
            <v>0</v>
          </cell>
          <cell r="H176">
            <v>602</v>
          </cell>
          <cell r="J176">
            <v>602</v>
          </cell>
          <cell r="L176">
            <v>602</v>
          </cell>
        </row>
        <row r="177">
          <cell r="A177">
            <v>2272</v>
          </cell>
          <cell r="B177" t="str">
            <v>가스노통증기보일러</v>
          </cell>
          <cell r="C177" t="str">
            <v>200 kg/hr</v>
          </cell>
          <cell r="D177" t="str">
            <v>대</v>
          </cell>
          <cell r="E177">
            <v>0</v>
          </cell>
          <cell r="F177">
            <v>0</v>
          </cell>
          <cell r="H177">
            <v>602</v>
          </cell>
          <cell r="J177">
            <v>602</v>
          </cell>
          <cell r="L177">
            <v>602</v>
          </cell>
        </row>
        <row r="178">
          <cell r="A178">
            <v>2273</v>
          </cell>
          <cell r="B178" t="str">
            <v>가스노통증기보일러</v>
          </cell>
          <cell r="C178" t="str">
            <v>300 kg/hr</v>
          </cell>
          <cell r="D178" t="str">
            <v>대</v>
          </cell>
          <cell r="E178">
            <v>0</v>
          </cell>
          <cell r="F178">
            <v>0</v>
          </cell>
          <cell r="H178">
            <v>602</v>
          </cell>
          <cell r="J178">
            <v>602</v>
          </cell>
          <cell r="L178">
            <v>602</v>
          </cell>
        </row>
        <row r="179">
          <cell r="A179">
            <v>2274</v>
          </cell>
          <cell r="B179" t="str">
            <v>가스노통증기보일러</v>
          </cell>
          <cell r="C179" t="str">
            <v>500 kg/hr</v>
          </cell>
          <cell r="D179" t="str">
            <v>대</v>
          </cell>
          <cell r="E179">
            <v>25000000</v>
          </cell>
          <cell r="F179">
            <v>0</v>
          </cell>
          <cell r="H179">
            <v>602</v>
          </cell>
          <cell r="I179">
            <v>25000000</v>
          </cell>
          <cell r="J179">
            <v>602</v>
          </cell>
          <cell r="L179">
            <v>602</v>
          </cell>
        </row>
        <row r="180">
          <cell r="A180">
            <v>2275</v>
          </cell>
          <cell r="B180" t="str">
            <v>가스노통증기보일러</v>
          </cell>
          <cell r="C180" t="str">
            <v>1,000 kg/hr</v>
          </cell>
          <cell r="D180" t="str">
            <v>대</v>
          </cell>
          <cell r="E180">
            <v>30780000</v>
          </cell>
          <cell r="F180">
            <v>0</v>
          </cell>
          <cell r="H180">
            <v>602</v>
          </cell>
          <cell r="I180">
            <v>30780000</v>
          </cell>
          <cell r="J180">
            <v>602</v>
          </cell>
          <cell r="L180">
            <v>602</v>
          </cell>
        </row>
        <row r="181">
          <cell r="A181">
            <v>2276</v>
          </cell>
          <cell r="B181" t="str">
            <v>가스노통증기보일러</v>
          </cell>
          <cell r="C181" t="str">
            <v>1,500 kg/hr</v>
          </cell>
          <cell r="D181" t="str">
            <v>대</v>
          </cell>
          <cell r="E181">
            <v>32460000</v>
          </cell>
          <cell r="F181">
            <v>0</v>
          </cell>
          <cell r="H181">
            <v>602</v>
          </cell>
          <cell r="I181">
            <v>32460000</v>
          </cell>
          <cell r="J181">
            <v>602</v>
          </cell>
          <cell r="L181">
            <v>602</v>
          </cell>
        </row>
        <row r="182">
          <cell r="A182">
            <v>2277</v>
          </cell>
          <cell r="B182" t="str">
            <v>가스노통증기보일러</v>
          </cell>
          <cell r="C182" t="str">
            <v>2,000 kg/hr</v>
          </cell>
          <cell r="D182" t="str">
            <v>대</v>
          </cell>
          <cell r="E182">
            <v>34360000</v>
          </cell>
          <cell r="F182">
            <v>0</v>
          </cell>
          <cell r="H182">
            <v>602</v>
          </cell>
          <cell r="I182">
            <v>34360000</v>
          </cell>
          <cell r="J182">
            <v>602</v>
          </cell>
          <cell r="L182">
            <v>602</v>
          </cell>
        </row>
        <row r="183">
          <cell r="A183">
            <v>2278</v>
          </cell>
          <cell r="B183" t="str">
            <v>가스노통증기보일러</v>
          </cell>
          <cell r="C183" t="str">
            <v>2,500 kg/hr</v>
          </cell>
          <cell r="D183" t="str">
            <v>대</v>
          </cell>
          <cell r="E183">
            <v>37000000</v>
          </cell>
          <cell r="F183">
            <v>0</v>
          </cell>
          <cell r="H183">
            <v>602</v>
          </cell>
          <cell r="I183">
            <v>37000000</v>
          </cell>
          <cell r="J183">
            <v>602</v>
          </cell>
          <cell r="L183">
            <v>602</v>
          </cell>
        </row>
        <row r="184">
          <cell r="A184">
            <v>2279</v>
          </cell>
          <cell r="B184" t="str">
            <v>가스노통증기보일러</v>
          </cell>
          <cell r="C184" t="str">
            <v>3,000 kg/hr</v>
          </cell>
          <cell r="D184" t="str">
            <v>대</v>
          </cell>
          <cell r="E184">
            <v>40000000</v>
          </cell>
          <cell r="F184">
            <v>0</v>
          </cell>
          <cell r="H184">
            <v>602</v>
          </cell>
          <cell r="I184">
            <v>40000000</v>
          </cell>
          <cell r="J184">
            <v>602</v>
          </cell>
          <cell r="L184">
            <v>602</v>
          </cell>
        </row>
        <row r="185">
          <cell r="E185">
            <v>0</v>
          </cell>
        </row>
        <row r="186">
          <cell r="A186">
            <v>2311</v>
          </cell>
          <cell r="B186" t="str">
            <v>온수순환펌프</v>
          </cell>
          <cell r="C186" t="str">
            <v>40 W</v>
          </cell>
          <cell r="D186" t="str">
            <v>대</v>
          </cell>
          <cell r="E186">
            <v>33000</v>
          </cell>
          <cell r="F186">
            <v>0</v>
          </cell>
          <cell r="H186">
            <v>1011</v>
          </cell>
          <cell r="I186">
            <v>33000</v>
          </cell>
          <cell r="J186">
            <v>1011</v>
          </cell>
          <cell r="L186">
            <v>1011</v>
          </cell>
        </row>
        <row r="187">
          <cell r="A187">
            <v>2312</v>
          </cell>
          <cell r="B187" t="str">
            <v>온수순환펌프</v>
          </cell>
          <cell r="C187" t="str">
            <v>100 W</v>
          </cell>
          <cell r="D187" t="str">
            <v>대</v>
          </cell>
          <cell r="E187">
            <v>52000</v>
          </cell>
          <cell r="F187">
            <v>0</v>
          </cell>
          <cell r="H187">
            <v>1011</v>
          </cell>
          <cell r="I187">
            <v>52000</v>
          </cell>
          <cell r="J187">
            <v>1011</v>
          </cell>
          <cell r="L187">
            <v>1011</v>
          </cell>
        </row>
        <row r="188">
          <cell r="A188">
            <v>2313</v>
          </cell>
          <cell r="B188" t="str">
            <v>온수순환펌프</v>
          </cell>
          <cell r="C188" t="str">
            <v>200 W</v>
          </cell>
          <cell r="D188" t="str">
            <v>대</v>
          </cell>
          <cell r="E188">
            <v>67000</v>
          </cell>
          <cell r="F188">
            <v>0</v>
          </cell>
          <cell r="H188">
            <v>1011</v>
          </cell>
          <cell r="I188">
            <v>67000</v>
          </cell>
          <cell r="J188">
            <v>1011</v>
          </cell>
          <cell r="L188">
            <v>1011</v>
          </cell>
        </row>
        <row r="189">
          <cell r="A189">
            <v>2314</v>
          </cell>
          <cell r="B189" t="str">
            <v>온수순환펌프</v>
          </cell>
          <cell r="C189" t="str">
            <v>375 W</v>
          </cell>
          <cell r="D189" t="str">
            <v>대</v>
          </cell>
          <cell r="E189">
            <v>130000</v>
          </cell>
          <cell r="F189">
            <v>0</v>
          </cell>
          <cell r="H189">
            <v>1011</v>
          </cell>
          <cell r="I189">
            <v>130000</v>
          </cell>
          <cell r="J189">
            <v>1011</v>
          </cell>
          <cell r="L189">
            <v>1011</v>
          </cell>
        </row>
        <row r="190">
          <cell r="A190">
            <v>2315</v>
          </cell>
          <cell r="B190" t="str">
            <v>온수순환펌프</v>
          </cell>
          <cell r="C190" t="str">
            <v>0.75 kW</v>
          </cell>
          <cell r="D190" t="str">
            <v>대</v>
          </cell>
          <cell r="E190">
            <v>200000</v>
          </cell>
          <cell r="F190">
            <v>0</v>
          </cell>
          <cell r="H190">
            <v>0</v>
          </cell>
          <cell r="I190">
            <v>200000</v>
          </cell>
          <cell r="J190">
            <v>0</v>
          </cell>
          <cell r="L190">
            <v>0</v>
          </cell>
        </row>
        <row r="191">
          <cell r="A191">
            <v>2316</v>
          </cell>
          <cell r="B191" t="str">
            <v>수중자동배수펌프</v>
          </cell>
          <cell r="C191" t="str">
            <v>0.75 kW</v>
          </cell>
          <cell r="D191" t="str">
            <v>대</v>
          </cell>
          <cell r="E191">
            <v>374000</v>
          </cell>
          <cell r="F191">
            <v>0</v>
          </cell>
          <cell r="G191">
            <v>374000</v>
          </cell>
          <cell r="H191">
            <v>1069</v>
          </cell>
          <cell r="J191">
            <v>0</v>
          </cell>
          <cell r="L191">
            <v>449</v>
          </cell>
        </row>
        <row r="192">
          <cell r="A192">
            <v>2317</v>
          </cell>
          <cell r="B192" t="str">
            <v>급수가압펌프</v>
          </cell>
          <cell r="C192" t="str">
            <v>0.75 kW</v>
          </cell>
          <cell r="D192" t="str">
            <v>대</v>
          </cell>
          <cell r="E192">
            <v>380000</v>
          </cell>
          <cell r="F192">
            <v>0</v>
          </cell>
          <cell r="H192">
            <v>0</v>
          </cell>
          <cell r="I192">
            <v>380000</v>
          </cell>
          <cell r="J192">
            <v>0</v>
          </cell>
          <cell r="L192">
            <v>0</v>
          </cell>
        </row>
        <row r="193">
          <cell r="A193">
            <v>2318</v>
          </cell>
          <cell r="B193" t="str">
            <v>파워후레쉬펌프(PE)</v>
          </cell>
          <cell r="C193" t="str">
            <v>0.37 kW</v>
          </cell>
          <cell r="D193" t="str">
            <v>대</v>
          </cell>
          <cell r="E193">
            <v>1050000</v>
          </cell>
          <cell r="F193">
            <v>0</v>
          </cell>
          <cell r="H193">
            <v>1011</v>
          </cell>
          <cell r="I193">
            <v>1050000</v>
          </cell>
          <cell r="J193">
            <v>1011</v>
          </cell>
          <cell r="L193">
            <v>1011</v>
          </cell>
        </row>
        <row r="194">
          <cell r="A194">
            <v>2321</v>
          </cell>
          <cell r="B194" t="str">
            <v>보류트펌프(모터포함)</v>
          </cell>
          <cell r="C194" t="str">
            <v>1.5 kW</v>
          </cell>
          <cell r="D194" t="str">
            <v>대</v>
          </cell>
          <cell r="E194">
            <v>380000</v>
          </cell>
          <cell r="F194">
            <v>0</v>
          </cell>
          <cell r="H194">
            <v>992</v>
          </cell>
          <cell r="I194">
            <v>380000</v>
          </cell>
          <cell r="J194">
            <v>992</v>
          </cell>
          <cell r="L194">
            <v>992</v>
          </cell>
        </row>
        <row r="195">
          <cell r="A195">
            <v>2322</v>
          </cell>
          <cell r="B195" t="str">
            <v>보류트펌프(모터포함)</v>
          </cell>
          <cell r="C195" t="str">
            <v>2.2 kW</v>
          </cell>
          <cell r="D195" t="str">
            <v>대</v>
          </cell>
          <cell r="E195">
            <v>445000</v>
          </cell>
          <cell r="F195">
            <v>0</v>
          </cell>
          <cell r="H195">
            <v>992</v>
          </cell>
          <cell r="I195">
            <v>445000</v>
          </cell>
          <cell r="J195">
            <v>992</v>
          </cell>
          <cell r="L195">
            <v>992</v>
          </cell>
        </row>
        <row r="196">
          <cell r="A196">
            <v>2323</v>
          </cell>
          <cell r="B196" t="str">
            <v>보류트펌프(모터포함)</v>
          </cell>
          <cell r="C196" t="str">
            <v>3.75 kW</v>
          </cell>
          <cell r="D196" t="str">
            <v>대</v>
          </cell>
          <cell r="E196">
            <v>501000</v>
          </cell>
          <cell r="F196">
            <v>0</v>
          </cell>
          <cell r="H196">
            <v>992</v>
          </cell>
          <cell r="I196">
            <v>501000</v>
          </cell>
          <cell r="J196">
            <v>992</v>
          </cell>
          <cell r="L196">
            <v>992</v>
          </cell>
        </row>
        <row r="197">
          <cell r="A197">
            <v>2324</v>
          </cell>
          <cell r="B197" t="str">
            <v>보류트펌프(모터포함)</v>
          </cell>
          <cell r="C197" t="str">
            <v>5.62 kW</v>
          </cell>
          <cell r="D197" t="str">
            <v>대</v>
          </cell>
          <cell r="E197">
            <v>606000</v>
          </cell>
          <cell r="F197">
            <v>0</v>
          </cell>
          <cell r="H197">
            <v>992</v>
          </cell>
          <cell r="I197">
            <v>606000</v>
          </cell>
          <cell r="J197">
            <v>992</v>
          </cell>
          <cell r="L197">
            <v>992</v>
          </cell>
        </row>
        <row r="198">
          <cell r="A198">
            <v>2325</v>
          </cell>
          <cell r="B198" t="str">
            <v>보류트펌프(모터포함)</v>
          </cell>
          <cell r="C198" t="str">
            <v>7.5 kW</v>
          </cell>
          <cell r="D198" t="str">
            <v>대</v>
          </cell>
          <cell r="E198">
            <v>643000</v>
          </cell>
          <cell r="F198">
            <v>0</v>
          </cell>
          <cell r="H198">
            <v>992</v>
          </cell>
          <cell r="I198">
            <v>643000</v>
          </cell>
          <cell r="J198">
            <v>992</v>
          </cell>
          <cell r="L198">
            <v>992</v>
          </cell>
        </row>
        <row r="199">
          <cell r="A199">
            <v>2326</v>
          </cell>
          <cell r="B199" t="str">
            <v>보류트펌프(모터포함)</v>
          </cell>
          <cell r="C199" t="str">
            <v>11.25 kW</v>
          </cell>
          <cell r="D199" t="str">
            <v>대</v>
          </cell>
          <cell r="E199">
            <v>716000</v>
          </cell>
          <cell r="F199">
            <v>0</v>
          </cell>
          <cell r="H199">
            <v>992</v>
          </cell>
          <cell r="I199">
            <v>716000</v>
          </cell>
          <cell r="J199">
            <v>992</v>
          </cell>
          <cell r="L199">
            <v>992</v>
          </cell>
        </row>
        <row r="200">
          <cell r="A200">
            <v>2327</v>
          </cell>
          <cell r="B200" t="str">
            <v>보류트펌프(모터포함)</v>
          </cell>
          <cell r="C200" t="str">
            <v>15.0 kW</v>
          </cell>
          <cell r="D200" t="str">
            <v>대</v>
          </cell>
          <cell r="E200">
            <v>847000</v>
          </cell>
          <cell r="F200">
            <v>0</v>
          </cell>
          <cell r="H200">
            <v>992</v>
          </cell>
          <cell r="I200">
            <v>847000</v>
          </cell>
          <cell r="J200">
            <v>992</v>
          </cell>
          <cell r="L200">
            <v>992</v>
          </cell>
        </row>
        <row r="201">
          <cell r="A201">
            <v>2328</v>
          </cell>
          <cell r="B201" t="str">
            <v>보류트펌프(모터포함)</v>
          </cell>
          <cell r="C201" t="str">
            <v>22.5 kW</v>
          </cell>
          <cell r="D201" t="str">
            <v>대</v>
          </cell>
          <cell r="E201">
            <v>1081000</v>
          </cell>
          <cell r="F201">
            <v>0</v>
          </cell>
          <cell r="H201">
            <v>992</v>
          </cell>
          <cell r="I201">
            <v>1081000</v>
          </cell>
          <cell r="J201">
            <v>992</v>
          </cell>
          <cell r="L201">
            <v>992</v>
          </cell>
        </row>
        <row r="202">
          <cell r="A202">
            <v>2329</v>
          </cell>
          <cell r="B202" t="str">
            <v>보류트펌프(모터포함)</v>
          </cell>
          <cell r="C202" t="str">
            <v>30.0 kW</v>
          </cell>
          <cell r="D202" t="str">
            <v>대</v>
          </cell>
          <cell r="E202">
            <v>1140000</v>
          </cell>
          <cell r="F202">
            <v>0</v>
          </cell>
          <cell r="H202">
            <v>992</v>
          </cell>
          <cell r="I202">
            <v>1140000</v>
          </cell>
          <cell r="J202">
            <v>992</v>
          </cell>
          <cell r="L202">
            <v>992</v>
          </cell>
        </row>
        <row r="203">
          <cell r="A203">
            <v>2331</v>
          </cell>
          <cell r="B203" t="str">
            <v>웨스코펌프</v>
          </cell>
          <cell r="C203" t="str">
            <v>2.2 kW</v>
          </cell>
          <cell r="D203" t="str">
            <v>대</v>
          </cell>
          <cell r="E203">
            <v>501000</v>
          </cell>
          <cell r="F203">
            <v>0</v>
          </cell>
          <cell r="H203">
            <v>0</v>
          </cell>
          <cell r="I203">
            <v>501000</v>
          </cell>
          <cell r="J203">
            <v>0</v>
          </cell>
          <cell r="L203">
            <v>0</v>
          </cell>
        </row>
        <row r="204">
          <cell r="A204">
            <v>2332</v>
          </cell>
          <cell r="B204" t="str">
            <v>다단터어빈펌프</v>
          </cell>
          <cell r="C204" t="str">
            <v>3.75 kW</v>
          </cell>
          <cell r="D204" t="str">
            <v>대</v>
          </cell>
          <cell r="E204">
            <v>562000</v>
          </cell>
          <cell r="F204">
            <v>0</v>
          </cell>
          <cell r="H204">
            <v>992</v>
          </cell>
          <cell r="I204">
            <v>562000</v>
          </cell>
          <cell r="J204">
            <v>992</v>
          </cell>
          <cell r="L204">
            <v>992</v>
          </cell>
        </row>
        <row r="205">
          <cell r="A205">
            <v>2333</v>
          </cell>
          <cell r="B205" t="str">
            <v>다단터어빈펌프</v>
          </cell>
          <cell r="C205" t="str">
            <v>5.62 kW</v>
          </cell>
          <cell r="D205" t="str">
            <v>대</v>
          </cell>
          <cell r="E205">
            <v>700000</v>
          </cell>
          <cell r="F205">
            <v>0</v>
          </cell>
          <cell r="H205">
            <v>992</v>
          </cell>
          <cell r="I205">
            <v>700000</v>
          </cell>
          <cell r="J205">
            <v>992</v>
          </cell>
          <cell r="L205">
            <v>992</v>
          </cell>
        </row>
        <row r="206">
          <cell r="A206">
            <v>2334</v>
          </cell>
          <cell r="B206" t="str">
            <v>다단터어빈펌프</v>
          </cell>
          <cell r="C206" t="str">
            <v>7.5 kW</v>
          </cell>
          <cell r="D206" t="str">
            <v>대</v>
          </cell>
          <cell r="E206">
            <v>816000</v>
          </cell>
          <cell r="F206">
            <v>0</v>
          </cell>
          <cell r="H206">
            <v>992</v>
          </cell>
          <cell r="I206">
            <v>816000</v>
          </cell>
          <cell r="J206">
            <v>992</v>
          </cell>
          <cell r="L206">
            <v>992</v>
          </cell>
        </row>
        <row r="207">
          <cell r="A207">
            <v>2335</v>
          </cell>
          <cell r="B207" t="str">
            <v>다단터어빈펌프</v>
          </cell>
          <cell r="C207" t="str">
            <v>11.25 kW</v>
          </cell>
          <cell r="D207" t="str">
            <v>대</v>
          </cell>
          <cell r="E207">
            <v>902000</v>
          </cell>
          <cell r="F207">
            <v>0</v>
          </cell>
          <cell r="H207">
            <v>992</v>
          </cell>
          <cell r="I207">
            <v>902000</v>
          </cell>
          <cell r="J207">
            <v>992</v>
          </cell>
          <cell r="L207">
            <v>992</v>
          </cell>
        </row>
        <row r="208">
          <cell r="A208">
            <v>2336</v>
          </cell>
          <cell r="B208" t="str">
            <v>다단터어빈펌프</v>
          </cell>
          <cell r="C208" t="str">
            <v>15.0 kW</v>
          </cell>
          <cell r="D208" t="str">
            <v>대</v>
          </cell>
          <cell r="E208">
            <v>956000</v>
          </cell>
          <cell r="F208">
            <v>0</v>
          </cell>
          <cell r="H208">
            <v>992</v>
          </cell>
          <cell r="I208">
            <v>956000</v>
          </cell>
          <cell r="J208">
            <v>992</v>
          </cell>
          <cell r="L208">
            <v>992</v>
          </cell>
        </row>
        <row r="209">
          <cell r="A209">
            <v>2337</v>
          </cell>
          <cell r="B209" t="str">
            <v>다단터어빈펌프</v>
          </cell>
          <cell r="C209" t="str">
            <v>22.5 kW</v>
          </cell>
          <cell r="D209" t="str">
            <v>대</v>
          </cell>
          <cell r="E209">
            <v>1100000</v>
          </cell>
          <cell r="F209">
            <v>0</v>
          </cell>
          <cell r="H209">
            <v>992</v>
          </cell>
          <cell r="I209">
            <v>1100000</v>
          </cell>
          <cell r="J209">
            <v>992</v>
          </cell>
          <cell r="L209">
            <v>992</v>
          </cell>
        </row>
        <row r="210">
          <cell r="A210">
            <v>2338</v>
          </cell>
          <cell r="B210" t="str">
            <v>다단터어빈펌프</v>
          </cell>
          <cell r="C210" t="str">
            <v>30.0 kW</v>
          </cell>
          <cell r="D210" t="str">
            <v>대</v>
          </cell>
          <cell r="E210">
            <v>1160000</v>
          </cell>
          <cell r="F210">
            <v>0</v>
          </cell>
          <cell r="H210">
            <v>992</v>
          </cell>
          <cell r="I210">
            <v>1160000</v>
          </cell>
          <cell r="J210">
            <v>992</v>
          </cell>
          <cell r="L210">
            <v>992</v>
          </cell>
        </row>
        <row r="212">
          <cell r="A212">
            <v>2341</v>
          </cell>
          <cell r="B212" t="str">
            <v>전동기</v>
          </cell>
          <cell r="C212" t="str">
            <v>1.5 kW</v>
          </cell>
          <cell r="D212" t="str">
            <v>대</v>
          </cell>
          <cell r="E212">
            <v>107000</v>
          </cell>
          <cell r="F212">
            <v>0</v>
          </cell>
          <cell r="H212">
            <v>805</v>
          </cell>
          <cell r="I212">
            <v>107000</v>
          </cell>
          <cell r="J212">
            <v>805</v>
          </cell>
          <cell r="L212">
            <v>805</v>
          </cell>
        </row>
        <row r="213">
          <cell r="A213">
            <v>2342</v>
          </cell>
          <cell r="B213" t="str">
            <v>전동기</v>
          </cell>
          <cell r="C213" t="str">
            <v>2.2 kW</v>
          </cell>
          <cell r="D213" t="str">
            <v>대</v>
          </cell>
          <cell r="E213">
            <v>140000</v>
          </cell>
          <cell r="F213">
            <v>0</v>
          </cell>
          <cell r="H213">
            <v>805</v>
          </cell>
          <cell r="I213">
            <v>140000</v>
          </cell>
          <cell r="J213">
            <v>805</v>
          </cell>
          <cell r="L213">
            <v>805</v>
          </cell>
        </row>
        <row r="214">
          <cell r="A214">
            <v>2343</v>
          </cell>
          <cell r="B214" t="str">
            <v>전동기</v>
          </cell>
          <cell r="C214" t="str">
            <v>3.75 kW</v>
          </cell>
          <cell r="D214" t="str">
            <v>대</v>
          </cell>
          <cell r="E214">
            <v>162000</v>
          </cell>
          <cell r="F214">
            <v>0</v>
          </cell>
          <cell r="H214">
            <v>805</v>
          </cell>
          <cell r="I214">
            <v>162000</v>
          </cell>
          <cell r="J214">
            <v>805</v>
          </cell>
          <cell r="L214">
            <v>805</v>
          </cell>
        </row>
        <row r="215">
          <cell r="A215">
            <v>2344</v>
          </cell>
          <cell r="B215" t="str">
            <v>전동기</v>
          </cell>
          <cell r="C215" t="str">
            <v>5.62 kW</v>
          </cell>
          <cell r="D215" t="str">
            <v>대</v>
          </cell>
          <cell r="E215">
            <v>255000</v>
          </cell>
          <cell r="F215">
            <v>0</v>
          </cell>
          <cell r="H215">
            <v>805</v>
          </cell>
          <cell r="I215">
            <v>255000</v>
          </cell>
          <cell r="J215">
            <v>805</v>
          </cell>
          <cell r="L215">
            <v>805</v>
          </cell>
        </row>
        <row r="216">
          <cell r="A216">
            <v>2345</v>
          </cell>
          <cell r="B216" t="str">
            <v>전동기</v>
          </cell>
          <cell r="C216" t="str">
            <v>7.5 kW</v>
          </cell>
          <cell r="D216" t="str">
            <v>대</v>
          </cell>
          <cell r="E216">
            <v>299000</v>
          </cell>
          <cell r="F216">
            <v>0</v>
          </cell>
          <cell r="H216">
            <v>805</v>
          </cell>
          <cell r="I216">
            <v>299000</v>
          </cell>
          <cell r="J216">
            <v>805</v>
          </cell>
          <cell r="L216">
            <v>805</v>
          </cell>
        </row>
        <row r="217">
          <cell r="A217">
            <v>2346</v>
          </cell>
          <cell r="B217" t="str">
            <v>전동기</v>
          </cell>
          <cell r="C217" t="str">
            <v>11.25 kW</v>
          </cell>
          <cell r="D217" t="str">
            <v>대</v>
          </cell>
          <cell r="E217">
            <v>407000</v>
          </cell>
          <cell r="F217">
            <v>0</v>
          </cell>
          <cell r="H217">
            <v>805</v>
          </cell>
          <cell r="I217">
            <v>407000</v>
          </cell>
          <cell r="J217">
            <v>805</v>
          </cell>
          <cell r="L217">
            <v>805</v>
          </cell>
        </row>
        <row r="218">
          <cell r="A218">
            <v>2347</v>
          </cell>
          <cell r="B218" t="str">
            <v>전동기</v>
          </cell>
          <cell r="C218" t="str">
            <v>15.0 kW</v>
          </cell>
          <cell r="D218" t="str">
            <v>대</v>
          </cell>
          <cell r="E218">
            <v>540000</v>
          </cell>
          <cell r="F218">
            <v>0</v>
          </cell>
          <cell r="H218">
            <v>805</v>
          </cell>
          <cell r="I218">
            <v>540000</v>
          </cell>
          <cell r="J218">
            <v>805</v>
          </cell>
          <cell r="L218">
            <v>805</v>
          </cell>
        </row>
        <row r="219">
          <cell r="A219">
            <v>2348</v>
          </cell>
          <cell r="B219" t="str">
            <v>전동기</v>
          </cell>
          <cell r="C219" t="str">
            <v>22.5 kW</v>
          </cell>
          <cell r="D219" t="str">
            <v>대</v>
          </cell>
          <cell r="E219">
            <v>897000</v>
          </cell>
          <cell r="F219">
            <v>0</v>
          </cell>
          <cell r="H219">
            <v>805</v>
          </cell>
          <cell r="I219">
            <v>897000</v>
          </cell>
          <cell r="J219">
            <v>805</v>
          </cell>
          <cell r="L219">
            <v>805</v>
          </cell>
        </row>
        <row r="220">
          <cell r="A220">
            <v>2349</v>
          </cell>
          <cell r="B220" t="str">
            <v>전동기</v>
          </cell>
          <cell r="C220" t="str">
            <v>30.0 kW</v>
          </cell>
          <cell r="D220" t="str">
            <v>대</v>
          </cell>
          <cell r="E220">
            <v>1367000</v>
          </cell>
          <cell r="F220">
            <v>0</v>
          </cell>
          <cell r="H220">
            <v>805</v>
          </cell>
          <cell r="I220">
            <v>1367000</v>
          </cell>
          <cell r="J220">
            <v>805</v>
          </cell>
          <cell r="L220">
            <v>805</v>
          </cell>
        </row>
        <row r="221">
          <cell r="A221">
            <v>2351</v>
          </cell>
          <cell r="B221" t="str">
            <v>방진가대(스프링방진)</v>
          </cell>
          <cell r="C221" t="str">
            <v>3.75 kW이하</v>
          </cell>
          <cell r="D221" t="str">
            <v>조</v>
          </cell>
          <cell r="E221">
            <v>343000</v>
          </cell>
          <cell r="F221">
            <v>0</v>
          </cell>
          <cell r="H221">
            <v>756</v>
          </cell>
          <cell r="I221">
            <v>343000</v>
          </cell>
          <cell r="J221">
            <v>756</v>
          </cell>
          <cell r="L221">
            <v>756</v>
          </cell>
        </row>
        <row r="222">
          <cell r="A222">
            <v>2352</v>
          </cell>
          <cell r="B222" t="str">
            <v>방진가대(스프링방진)</v>
          </cell>
          <cell r="C222" t="str">
            <v>5.62 kW이하</v>
          </cell>
          <cell r="D222" t="str">
            <v>조</v>
          </cell>
          <cell r="E222">
            <v>378000</v>
          </cell>
          <cell r="F222">
            <v>0</v>
          </cell>
          <cell r="H222">
            <v>756</v>
          </cell>
          <cell r="I222">
            <v>378000</v>
          </cell>
          <cell r="J222">
            <v>756</v>
          </cell>
          <cell r="L222">
            <v>756</v>
          </cell>
        </row>
        <row r="223">
          <cell r="A223">
            <v>2353</v>
          </cell>
          <cell r="B223" t="str">
            <v>방진가대(스프링방진)</v>
          </cell>
          <cell r="C223" t="str">
            <v>7.50 kW이하</v>
          </cell>
          <cell r="D223" t="str">
            <v>조</v>
          </cell>
          <cell r="E223">
            <v>412000</v>
          </cell>
          <cell r="F223">
            <v>0</v>
          </cell>
          <cell r="H223">
            <v>756</v>
          </cell>
          <cell r="I223">
            <v>412000</v>
          </cell>
          <cell r="J223">
            <v>756</v>
          </cell>
          <cell r="L223">
            <v>756</v>
          </cell>
        </row>
        <row r="224">
          <cell r="A224">
            <v>2354</v>
          </cell>
          <cell r="B224" t="str">
            <v>방진가대(스프링방진)</v>
          </cell>
          <cell r="C224" t="str">
            <v>10.0 kW이하</v>
          </cell>
          <cell r="D224" t="str">
            <v>조</v>
          </cell>
          <cell r="E224">
            <v>446000</v>
          </cell>
          <cell r="F224">
            <v>0</v>
          </cell>
          <cell r="H224">
            <v>756</v>
          </cell>
          <cell r="I224">
            <v>446000</v>
          </cell>
          <cell r="J224">
            <v>756</v>
          </cell>
          <cell r="L224">
            <v>756</v>
          </cell>
        </row>
        <row r="225">
          <cell r="A225">
            <v>2355</v>
          </cell>
          <cell r="B225" t="str">
            <v>방진가대(스프링방진)</v>
          </cell>
          <cell r="C225" t="str">
            <v>15.0 kW이하</v>
          </cell>
          <cell r="D225" t="str">
            <v>조</v>
          </cell>
          <cell r="E225">
            <v>480000</v>
          </cell>
          <cell r="F225">
            <v>0</v>
          </cell>
          <cell r="H225">
            <v>756</v>
          </cell>
          <cell r="I225">
            <v>480000</v>
          </cell>
          <cell r="J225">
            <v>756</v>
          </cell>
          <cell r="L225">
            <v>756</v>
          </cell>
        </row>
        <row r="226">
          <cell r="A226">
            <v>2356</v>
          </cell>
          <cell r="B226" t="str">
            <v>방진가대(스프링방진)</v>
          </cell>
          <cell r="C226" t="str">
            <v>20.0 kW이하</v>
          </cell>
          <cell r="D226" t="str">
            <v>조</v>
          </cell>
          <cell r="E226">
            <v>549000</v>
          </cell>
          <cell r="F226">
            <v>0</v>
          </cell>
          <cell r="H226">
            <v>756</v>
          </cell>
          <cell r="I226">
            <v>549000</v>
          </cell>
          <cell r="J226">
            <v>756</v>
          </cell>
          <cell r="L226">
            <v>756</v>
          </cell>
        </row>
        <row r="227">
          <cell r="A227">
            <v>2357</v>
          </cell>
          <cell r="B227" t="str">
            <v>방진가대(스프링방진)</v>
          </cell>
          <cell r="C227" t="str">
            <v>30.0 kW이하</v>
          </cell>
          <cell r="D227" t="str">
            <v>조</v>
          </cell>
          <cell r="E227">
            <v>583000</v>
          </cell>
          <cell r="F227">
            <v>0</v>
          </cell>
          <cell r="H227">
            <v>756</v>
          </cell>
          <cell r="I227">
            <v>583000</v>
          </cell>
          <cell r="J227">
            <v>756</v>
          </cell>
          <cell r="L227">
            <v>756</v>
          </cell>
        </row>
        <row r="229">
          <cell r="A229">
            <v>2384</v>
          </cell>
          <cell r="B229" t="str">
            <v>냉,난방기</v>
          </cell>
          <cell r="C229" t="str">
            <v>CH-402F</v>
          </cell>
          <cell r="D229" t="str">
            <v>대</v>
          </cell>
          <cell r="E229">
            <v>4050000</v>
          </cell>
          <cell r="F229">
            <v>0</v>
          </cell>
          <cell r="G229">
            <v>4050000</v>
          </cell>
          <cell r="H229">
            <v>696</v>
          </cell>
          <cell r="I229">
            <v>4170000</v>
          </cell>
          <cell r="J229">
            <v>651</v>
          </cell>
          <cell r="L229">
            <v>479</v>
          </cell>
        </row>
        <row r="230">
          <cell r="A230">
            <v>2391</v>
          </cell>
          <cell r="B230" t="str">
            <v>팬코일유닛(노출형)</v>
          </cell>
          <cell r="C230" t="str">
            <v>VL-102</v>
          </cell>
          <cell r="D230" t="str">
            <v>대</v>
          </cell>
          <cell r="E230">
            <v>255000</v>
          </cell>
          <cell r="F230">
            <v>0</v>
          </cell>
          <cell r="H230">
            <v>625</v>
          </cell>
          <cell r="I230">
            <v>255000</v>
          </cell>
          <cell r="J230">
            <v>625</v>
          </cell>
          <cell r="L230">
            <v>625</v>
          </cell>
        </row>
        <row r="231">
          <cell r="A231">
            <v>2392</v>
          </cell>
          <cell r="B231" t="str">
            <v>팬코일유닛(노출형)</v>
          </cell>
          <cell r="C231" t="str">
            <v>VL-103</v>
          </cell>
          <cell r="D231" t="str">
            <v>대</v>
          </cell>
          <cell r="E231">
            <v>265000</v>
          </cell>
          <cell r="F231">
            <v>0</v>
          </cell>
          <cell r="H231">
            <v>625</v>
          </cell>
          <cell r="I231">
            <v>265000</v>
          </cell>
          <cell r="J231">
            <v>625</v>
          </cell>
          <cell r="L231">
            <v>625</v>
          </cell>
        </row>
        <row r="232">
          <cell r="A232">
            <v>2393</v>
          </cell>
          <cell r="B232" t="str">
            <v>팬코일유닛(노출형)</v>
          </cell>
          <cell r="C232" t="str">
            <v>VL-104</v>
          </cell>
          <cell r="D232" t="str">
            <v>대</v>
          </cell>
          <cell r="E232">
            <v>315000</v>
          </cell>
          <cell r="F232">
            <v>0</v>
          </cell>
          <cell r="H232">
            <v>625</v>
          </cell>
          <cell r="I232">
            <v>315000</v>
          </cell>
          <cell r="J232">
            <v>625</v>
          </cell>
          <cell r="L232">
            <v>625</v>
          </cell>
        </row>
        <row r="233">
          <cell r="A233">
            <v>2394</v>
          </cell>
          <cell r="B233" t="str">
            <v>팬코일유닛(노출형)</v>
          </cell>
          <cell r="C233" t="str">
            <v>VL-106</v>
          </cell>
          <cell r="D233" t="str">
            <v>대</v>
          </cell>
          <cell r="E233">
            <v>350000</v>
          </cell>
          <cell r="F233">
            <v>0</v>
          </cell>
          <cell r="H233">
            <v>625</v>
          </cell>
          <cell r="I233">
            <v>350000</v>
          </cell>
          <cell r="J233">
            <v>625</v>
          </cell>
          <cell r="L233">
            <v>625</v>
          </cell>
        </row>
        <row r="234">
          <cell r="A234">
            <v>2395</v>
          </cell>
          <cell r="B234" t="str">
            <v>팬코일유닛(매입형)</v>
          </cell>
          <cell r="C234" t="str">
            <v>VM-102</v>
          </cell>
          <cell r="D234" t="str">
            <v>대</v>
          </cell>
          <cell r="E234">
            <v>224000</v>
          </cell>
          <cell r="F234">
            <v>0</v>
          </cell>
          <cell r="H234">
            <v>625</v>
          </cell>
          <cell r="I234">
            <v>224000</v>
          </cell>
          <cell r="J234">
            <v>625</v>
          </cell>
          <cell r="L234">
            <v>625</v>
          </cell>
        </row>
        <row r="235">
          <cell r="A235">
            <v>2396</v>
          </cell>
          <cell r="B235" t="str">
            <v>팬코일유닛(매입형)</v>
          </cell>
          <cell r="C235" t="str">
            <v>VM-103</v>
          </cell>
          <cell r="D235" t="str">
            <v>대</v>
          </cell>
          <cell r="E235">
            <v>267000</v>
          </cell>
          <cell r="F235">
            <v>0</v>
          </cell>
          <cell r="H235">
            <v>625</v>
          </cell>
          <cell r="I235">
            <v>267000</v>
          </cell>
          <cell r="J235">
            <v>625</v>
          </cell>
          <cell r="L235">
            <v>625</v>
          </cell>
        </row>
        <row r="236">
          <cell r="A236">
            <v>2397</v>
          </cell>
          <cell r="B236" t="str">
            <v>팬코일유닛(매입형)</v>
          </cell>
          <cell r="C236" t="str">
            <v>VM-104</v>
          </cell>
          <cell r="D236" t="str">
            <v>대</v>
          </cell>
          <cell r="E236">
            <v>295000</v>
          </cell>
          <cell r="F236">
            <v>0</v>
          </cell>
          <cell r="H236">
            <v>625</v>
          </cell>
          <cell r="I236">
            <v>295000</v>
          </cell>
          <cell r="J236">
            <v>625</v>
          </cell>
          <cell r="L236">
            <v>625</v>
          </cell>
        </row>
        <row r="237">
          <cell r="A237">
            <v>2398</v>
          </cell>
          <cell r="B237" t="str">
            <v>팬코일유닛(매입형)</v>
          </cell>
          <cell r="C237" t="str">
            <v>VM-106</v>
          </cell>
          <cell r="D237" t="str">
            <v>대</v>
          </cell>
          <cell r="E237">
            <v>330000</v>
          </cell>
          <cell r="F237">
            <v>0</v>
          </cell>
          <cell r="H237">
            <v>625</v>
          </cell>
          <cell r="I237">
            <v>330000</v>
          </cell>
          <cell r="J237">
            <v>625</v>
          </cell>
          <cell r="L237">
            <v>625</v>
          </cell>
        </row>
        <row r="238">
          <cell r="E238">
            <v>0</v>
          </cell>
        </row>
        <row r="239">
          <cell r="A239">
            <v>2411</v>
          </cell>
          <cell r="B239" t="str">
            <v>오수분뇨합병정화조</v>
          </cell>
          <cell r="C239" t="str">
            <v>5 인용</v>
          </cell>
          <cell r="D239" t="str">
            <v>조</v>
          </cell>
          <cell r="E239">
            <v>2641000</v>
          </cell>
          <cell r="F239">
            <v>0</v>
          </cell>
          <cell r="H239">
            <v>578</v>
          </cell>
          <cell r="I239">
            <v>2641000</v>
          </cell>
          <cell r="J239">
            <v>578</v>
          </cell>
          <cell r="L239">
            <v>578</v>
          </cell>
        </row>
        <row r="240">
          <cell r="A240">
            <v>2412</v>
          </cell>
          <cell r="B240" t="str">
            <v>오수분뇨합병정화조</v>
          </cell>
          <cell r="C240" t="str">
            <v>10 인용</v>
          </cell>
          <cell r="D240" t="str">
            <v>조</v>
          </cell>
          <cell r="E240">
            <v>3586000</v>
          </cell>
          <cell r="F240">
            <v>0</v>
          </cell>
          <cell r="H240">
            <v>578</v>
          </cell>
          <cell r="I240">
            <v>3586000</v>
          </cell>
          <cell r="J240">
            <v>578</v>
          </cell>
          <cell r="L240">
            <v>578</v>
          </cell>
        </row>
        <row r="241">
          <cell r="A241">
            <v>2413</v>
          </cell>
          <cell r="B241" t="str">
            <v>오수분뇨합병정화조</v>
          </cell>
          <cell r="C241" t="str">
            <v>20 인용</v>
          </cell>
          <cell r="D241" t="str">
            <v>조</v>
          </cell>
          <cell r="E241">
            <v>6643000</v>
          </cell>
          <cell r="F241">
            <v>0</v>
          </cell>
          <cell r="H241">
            <v>578</v>
          </cell>
          <cell r="I241">
            <v>6643000</v>
          </cell>
          <cell r="J241">
            <v>578</v>
          </cell>
          <cell r="L241">
            <v>578</v>
          </cell>
        </row>
        <row r="242">
          <cell r="A242">
            <v>2414</v>
          </cell>
          <cell r="B242" t="str">
            <v>오수분뇨합병정화조</v>
          </cell>
          <cell r="C242" t="str">
            <v>30 인용</v>
          </cell>
          <cell r="D242" t="str">
            <v>조</v>
          </cell>
          <cell r="E242">
            <v>10673000</v>
          </cell>
          <cell r="F242">
            <v>0</v>
          </cell>
          <cell r="H242">
            <v>578</v>
          </cell>
          <cell r="I242">
            <v>10673000</v>
          </cell>
          <cell r="J242">
            <v>578</v>
          </cell>
          <cell r="L242">
            <v>578</v>
          </cell>
        </row>
        <row r="243">
          <cell r="E243">
            <v>0</v>
          </cell>
        </row>
        <row r="244">
          <cell r="E244">
            <v>0</v>
          </cell>
        </row>
        <row r="245">
          <cell r="E245">
            <v>0</v>
          </cell>
        </row>
        <row r="246">
          <cell r="E246">
            <v>0</v>
          </cell>
        </row>
        <row r="247">
          <cell r="E247">
            <v>0</v>
          </cell>
        </row>
        <row r="248">
          <cell r="A248">
            <v>3101</v>
          </cell>
          <cell r="B248" t="str">
            <v>동관 (L형)</v>
          </cell>
          <cell r="C248" t="str">
            <v>100Ø</v>
          </cell>
          <cell r="D248" t="str">
            <v>M</v>
          </cell>
          <cell r="E248">
            <v>30840</v>
          </cell>
          <cell r="F248">
            <v>0</v>
          </cell>
          <cell r="G248">
            <v>30840</v>
          </cell>
          <cell r="H248">
            <v>534</v>
          </cell>
          <cell r="I248">
            <v>32190</v>
          </cell>
          <cell r="J248">
            <v>488</v>
          </cell>
          <cell r="L248">
            <v>488</v>
          </cell>
        </row>
        <row r="249">
          <cell r="A249">
            <v>3102</v>
          </cell>
          <cell r="B249" t="str">
            <v>동관 (L형)</v>
          </cell>
          <cell r="C249" t="str">
            <v>80Ø</v>
          </cell>
          <cell r="D249" t="str">
            <v>M</v>
          </cell>
          <cell r="E249">
            <v>19040</v>
          </cell>
          <cell r="F249">
            <v>0</v>
          </cell>
          <cell r="G249">
            <v>19040</v>
          </cell>
          <cell r="H249">
            <v>534</v>
          </cell>
          <cell r="I249">
            <v>19870</v>
          </cell>
          <cell r="J249">
            <v>488</v>
          </cell>
          <cell r="L249">
            <v>488</v>
          </cell>
        </row>
        <row r="250">
          <cell r="A250">
            <v>3103</v>
          </cell>
          <cell r="B250" t="str">
            <v>동관 (L형)</v>
          </cell>
          <cell r="C250" t="str">
            <v>65Ø</v>
          </cell>
          <cell r="D250" t="str">
            <v>M</v>
          </cell>
          <cell r="E250">
            <v>14050</v>
          </cell>
          <cell r="F250">
            <v>0</v>
          </cell>
          <cell r="G250">
            <v>14050</v>
          </cell>
          <cell r="H250">
            <v>534</v>
          </cell>
          <cell r="I250">
            <v>14630</v>
          </cell>
          <cell r="J250">
            <v>488</v>
          </cell>
          <cell r="L250">
            <v>488</v>
          </cell>
        </row>
        <row r="251">
          <cell r="A251">
            <v>3104</v>
          </cell>
          <cell r="B251" t="str">
            <v>동관 (L형)</v>
          </cell>
          <cell r="C251" t="str">
            <v>50Ø</v>
          </cell>
          <cell r="D251" t="str">
            <v>M</v>
          </cell>
          <cell r="E251">
            <v>9850</v>
          </cell>
          <cell r="F251">
            <v>0</v>
          </cell>
          <cell r="G251">
            <v>9850</v>
          </cell>
          <cell r="H251">
            <v>534</v>
          </cell>
          <cell r="I251">
            <v>10270</v>
          </cell>
          <cell r="J251">
            <v>488</v>
          </cell>
          <cell r="L251">
            <v>488</v>
          </cell>
        </row>
        <row r="252">
          <cell r="A252">
            <v>3105</v>
          </cell>
          <cell r="B252" t="str">
            <v>동관 (L형)</v>
          </cell>
          <cell r="C252" t="str">
            <v>40Ø</v>
          </cell>
          <cell r="D252" t="str">
            <v>M</v>
          </cell>
          <cell r="E252">
            <v>6410</v>
          </cell>
          <cell r="F252">
            <v>0</v>
          </cell>
          <cell r="G252">
            <v>6410</v>
          </cell>
          <cell r="H252">
            <v>534</v>
          </cell>
          <cell r="I252">
            <v>6690</v>
          </cell>
          <cell r="J252">
            <v>476</v>
          </cell>
          <cell r="L252">
            <v>376</v>
          </cell>
        </row>
        <row r="253">
          <cell r="A253">
            <v>3106</v>
          </cell>
          <cell r="B253" t="str">
            <v>동관 (L형)</v>
          </cell>
          <cell r="C253" t="str">
            <v>32Ø</v>
          </cell>
          <cell r="D253" t="str">
            <v>M</v>
          </cell>
          <cell r="E253">
            <v>4980</v>
          </cell>
          <cell r="F253">
            <v>0</v>
          </cell>
          <cell r="G253">
            <v>4980</v>
          </cell>
          <cell r="H253">
            <v>534</v>
          </cell>
          <cell r="I253">
            <v>5200</v>
          </cell>
          <cell r="J253">
            <v>476</v>
          </cell>
          <cell r="L253">
            <v>376</v>
          </cell>
        </row>
        <row r="254">
          <cell r="A254">
            <v>3107</v>
          </cell>
          <cell r="B254" t="str">
            <v>동관 (L형)</v>
          </cell>
          <cell r="C254" t="str">
            <v>25Ø</v>
          </cell>
          <cell r="D254" t="str">
            <v>M</v>
          </cell>
          <cell r="E254">
            <v>3700</v>
          </cell>
          <cell r="F254">
            <v>0</v>
          </cell>
          <cell r="G254">
            <v>3700</v>
          </cell>
          <cell r="H254">
            <v>534</v>
          </cell>
          <cell r="I254">
            <v>3850</v>
          </cell>
          <cell r="J254">
            <v>476</v>
          </cell>
          <cell r="L254">
            <v>376</v>
          </cell>
        </row>
        <row r="255">
          <cell r="A255">
            <v>3108</v>
          </cell>
          <cell r="B255" t="str">
            <v>동관 (L형)</v>
          </cell>
          <cell r="C255" t="str">
            <v>20Ø</v>
          </cell>
          <cell r="D255" t="str">
            <v>M</v>
          </cell>
          <cell r="E255">
            <v>2570</v>
          </cell>
          <cell r="F255">
            <v>0</v>
          </cell>
          <cell r="G255">
            <v>2570</v>
          </cell>
          <cell r="H255">
            <v>534</v>
          </cell>
          <cell r="I255">
            <v>2690</v>
          </cell>
          <cell r="J255">
            <v>476</v>
          </cell>
          <cell r="L255">
            <v>376</v>
          </cell>
        </row>
        <row r="256">
          <cell r="A256">
            <v>3109</v>
          </cell>
          <cell r="B256" t="str">
            <v>동관 (L형)</v>
          </cell>
          <cell r="C256" t="str">
            <v>15Ø</v>
          </cell>
          <cell r="D256" t="str">
            <v>M</v>
          </cell>
          <cell r="E256">
            <v>1650</v>
          </cell>
          <cell r="F256">
            <v>0</v>
          </cell>
          <cell r="G256">
            <v>1650</v>
          </cell>
          <cell r="H256">
            <v>534</v>
          </cell>
          <cell r="I256">
            <v>1710</v>
          </cell>
          <cell r="J256">
            <v>476</v>
          </cell>
          <cell r="L256">
            <v>376</v>
          </cell>
        </row>
        <row r="257">
          <cell r="A257">
            <v>3111</v>
          </cell>
          <cell r="B257" t="str">
            <v>동엘보</v>
          </cell>
          <cell r="C257" t="str">
            <v>100Ø</v>
          </cell>
          <cell r="D257" t="str">
            <v>개</v>
          </cell>
          <cell r="E257">
            <v>18044</v>
          </cell>
          <cell r="F257">
            <v>0</v>
          </cell>
          <cell r="G257">
            <v>18044</v>
          </cell>
          <cell r="H257">
            <v>535</v>
          </cell>
          <cell r="I257">
            <v>20621</v>
          </cell>
          <cell r="J257">
            <v>489</v>
          </cell>
          <cell r="L257">
            <v>489</v>
          </cell>
        </row>
        <row r="258">
          <cell r="A258">
            <v>3112</v>
          </cell>
          <cell r="B258" t="str">
            <v>동엘보</v>
          </cell>
          <cell r="C258" t="str">
            <v>80Ø</v>
          </cell>
          <cell r="D258" t="str">
            <v>개</v>
          </cell>
          <cell r="E258">
            <v>8056</v>
          </cell>
          <cell r="F258">
            <v>0</v>
          </cell>
          <cell r="G258">
            <v>8056</v>
          </cell>
          <cell r="H258">
            <v>535</v>
          </cell>
          <cell r="I258">
            <v>9206</v>
          </cell>
          <cell r="J258">
            <v>489</v>
          </cell>
          <cell r="L258">
            <v>489</v>
          </cell>
        </row>
        <row r="259">
          <cell r="A259">
            <v>3113</v>
          </cell>
          <cell r="B259" t="str">
            <v>동엘보</v>
          </cell>
          <cell r="C259" t="str">
            <v>65Ø</v>
          </cell>
          <cell r="D259" t="str">
            <v>개</v>
          </cell>
          <cell r="E259">
            <v>5062</v>
          </cell>
          <cell r="F259">
            <v>0</v>
          </cell>
          <cell r="G259">
            <v>5062</v>
          </cell>
          <cell r="H259">
            <v>535</v>
          </cell>
          <cell r="I259">
            <v>5785</v>
          </cell>
          <cell r="J259">
            <v>489</v>
          </cell>
          <cell r="L259">
            <v>489</v>
          </cell>
        </row>
        <row r="260">
          <cell r="A260">
            <v>3114</v>
          </cell>
          <cell r="B260" t="str">
            <v>동엘보</v>
          </cell>
          <cell r="C260" t="str">
            <v>50Ø</v>
          </cell>
          <cell r="D260" t="str">
            <v>개</v>
          </cell>
          <cell r="E260">
            <v>2806</v>
          </cell>
          <cell r="F260">
            <v>0</v>
          </cell>
          <cell r="G260">
            <v>2806</v>
          </cell>
          <cell r="H260">
            <v>535</v>
          </cell>
          <cell r="I260">
            <v>3206</v>
          </cell>
          <cell r="J260">
            <v>489</v>
          </cell>
          <cell r="L260">
            <v>489</v>
          </cell>
        </row>
        <row r="261">
          <cell r="A261">
            <v>3115</v>
          </cell>
          <cell r="B261" t="str">
            <v>동엘보</v>
          </cell>
          <cell r="C261" t="str">
            <v>40Ø</v>
          </cell>
          <cell r="D261" t="str">
            <v>개</v>
          </cell>
          <cell r="E261">
            <v>1255</v>
          </cell>
          <cell r="F261">
            <v>0</v>
          </cell>
          <cell r="G261">
            <v>1255</v>
          </cell>
          <cell r="H261">
            <v>535</v>
          </cell>
          <cell r="I261">
            <v>1434</v>
          </cell>
          <cell r="J261">
            <v>477</v>
          </cell>
          <cell r="L261">
            <v>377</v>
          </cell>
        </row>
        <row r="262">
          <cell r="A262">
            <v>3116</v>
          </cell>
          <cell r="B262" t="str">
            <v>동엘보</v>
          </cell>
          <cell r="C262" t="str">
            <v>32Ø</v>
          </cell>
          <cell r="D262" t="str">
            <v>개</v>
          </cell>
          <cell r="E262">
            <v>828</v>
          </cell>
          <cell r="F262">
            <v>0</v>
          </cell>
          <cell r="G262">
            <v>828</v>
          </cell>
          <cell r="H262">
            <v>535</v>
          </cell>
          <cell r="I262">
            <v>946</v>
          </cell>
          <cell r="J262">
            <v>477</v>
          </cell>
          <cell r="L262">
            <v>377</v>
          </cell>
        </row>
        <row r="263">
          <cell r="A263">
            <v>3117</v>
          </cell>
          <cell r="B263" t="str">
            <v>동엘보</v>
          </cell>
          <cell r="C263" t="str">
            <v>25Ø</v>
          </cell>
          <cell r="D263" t="str">
            <v>개</v>
          </cell>
          <cell r="E263">
            <v>539</v>
          </cell>
          <cell r="F263">
            <v>0</v>
          </cell>
          <cell r="G263">
            <v>539</v>
          </cell>
          <cell r="H263">
            <v>535</v>
          </cell>
          <cell r="I263">
            <v>616</v>
          </cell>
          <cell r="J263">
            <v>477</v>
          </cell>
          <cell r="L263">
            <v>377</v>
          </cell>
        </row>
        <row r="264">
          <cell r="A264">
            <v>3118</v>
          </cell>
          <cell r="B264" t="str">
            <v>동엘보</v>
          </cell>
          <cell r="C264" t="str">
            <v>20Ø</v>
          </cell>
          <cell r="D264" t="str">
            <v>개</v>
          </cell>
          <cell r="E264">
            <v>312</v>
          </cell>
          <cell r="F264">
            <v>0</v>
          </cell>
          <cell r="G264">
            <v>312</v>
          </cell>
          <cell r="H264">
            <v>535</v>
          </cell>
          <cell r="I264">
            <v>356</v>
          </cell>
          <cell r="J264">
            <v>477</v>
          </cell>
          <cell r="L264">
            <v>377</v>
          </cell>
        </row>
        <row r="265">
          <cell r="A265">
            <v>3119</v>
          </cell>
          <cell r="B265" t="str">
            <v>동엘보</v>
          </cell>
          <cell r="C265" t="str">
            <v>15Ø</v>
          </cell>
          <cell r="D265" t="str">
            <v>개</v>
          </cell>
          <cell r="E265">
            <v>153</v>
          </cell>
          <cell r="F265">
            <v>0</v>
          </cell>
          <cell r="G265">
            <v>153</v>
          </cell>
          <cell r="H265">
            <v>535</v>
          </cell>
          <cell r="I265">
            <v>174</v>
          </cell>
          <cell r="J265">
            <v>477</v>
          </cell>
          <cell r="L265">
            <v>377</v>
          </cell>
        </row>
        <row r="266">
          <cell r="A266">
            <v>3121</v>
          </cell>
          <cell r="B266" t="str">
            <v>동티</v>
          </cell>
          <cell r="C266" t="str">
            <v>100Ø</v>
          </cell>
          <cell r="D266" t="str">
            <v>개</v>
          </cell>
          <cell r="E266">
            <v>19893</v>
          </cell>
          <cell r="F266">
            <v>0</v>
          </cell>
          <cell r="G266">
            <v>19893</v>
          </cell>
          <cell r="H266">
            <v>535</v>
          </cell>
          <cell r="I266">
            <v>22734</v>
          </cell>
          <cell r="J266">
            <v>489</v>
          </cell>
          <cell r="L266">
            <v>489</v>
          </cell>
        </row>
        <row r="267">
          <cell r="A267">
            <v>3122</v>
          </cell>
          <cell r="B267" t="str">
            <v>동티</v>
          </cell>
          <cell r="C267" t="str">
            <v>80Ø</v>
          </cell>
          <cell r="D267" t="str">
            <v>개</v>
          </cell>
          <cell r="E267">
            <v>10919</v>
          </cell>
          <cell r="F267">
            <v>0</v>
          </cell>
          <cell r="G267">
            <v>10919</v>
          </cell>
          <cell r="H267">
            <v>535</v>
          </cell>
          <cell r="I267">
            <v>12478</v>
          </cell>
          <cell r="J267">
            <v>489</v>
          </cell>
          <cell r="L267">
            <v>489</v>
          </cell>
        </row>
        <row r="268">
          <cell r="A268">
            <v>3123</v>
          </cell>
          <cell r="B268" t="str">
            <v>동티</v>
          </cell>
          <cell r="C268" t="str">
            <v>65Ø</v>
          </cell>
          <cell r="D268" t="str">
            <v>개</v>
          </cell>
          <cell r="E268">
            <v>5700</v>
          </cell>
          <cell r="F268">
            <v>0</v>
          </cell>
          <cell r="G268">
            <v>5700</v>
          </cell>
          <cell r="H268">
            <v>535</v>
          </cell>
          <cell r="I268">
            <v>6512</v>
          </cell>
          <cell r="J268">
            <v>489</v>
          </cell>
          <cell r="L268">
            <v>489</v>
          </cell>
        </row>
        <row r="269">
          <cell r="A269">
            <v>3124</v>
          </cell>
          <cell r="B269" t="str">
            <v>동티</v>
          </cell>
          <cell r="C269" t="str">
            <v>50Ø</v>
          </cell>
          <cell r="D269" t="str">
            <v>개</v>
          </cell>
          <cell r="E269">
            <v>3484</v>
          </cell>
          <cell r="F269">
            <v>0</v>
          </cell>
          <cell r="G269">
            <v>3484</v>
          </cell>
          <cell r="H269">
            <v>535</v>
          </cell>
          <cell r="I269">
            <v>3981</v>
          </cell>
          <cell r="J269">
            <v>489</v>
          </cell>
          <cell r="L269">
            <v>489</v>
          </cell>
        </row>
        <row r="270">
          <cell r="A270">
            <v>3125</v>
          </cell>
          <cell r="B270" t="str">
            <v>동티</v>
          </cell>
          <cell r="C270" t="str">
            <v>40Ø</v>
          </cell>
          <cell r="D270" t="str">
            <v>개</v>
          </cell>
          <cell r="E270">
            <v>1912</v>
          </cell>
          <cell r="F270">
            <v>0</v>
          </cell>
          <cell r="G270">
            <v>1912</v>
          </cell>
          <cell r="H270">
            <v>535</v>
          </cell>
          <cell r="I270">
            <v>2185</v>
          </cell>
          <cell r="J270">
            <v>477</v>
          </cell>
          <cell r="L270">
            <v>377</v>
          </cell>
        </row>
        <row r="271">
          <cell r="A271">
            <v>3126</v>
          </cell>
          <cell r="B271" t="str">
            <v>동티</v>
          </cell>
          <cell r="C271" t="str">
            <v>32Ø</v>
          </cell>
          <cell r="D271" t="str">
            <v>개</v>
          </cell>
          <cell r="E271">
            <v>1283</v>
          </cell>
          <cell r="F271">
            <v>0</v>
          </cell>
          <cell r="G271">
            <v>1283</v>
          </cell>
          <cell r="H271">
            <v>535</v>
          </cell>
          <cell r="I271">
            <v>1466</v>
          </cell>
          <cell r="J271">
            <v>477</v>
          </cell>
          <cell r="L271">
            <v>377</v>
          </cell>
        </row>
        <row r="272">
          <cell r="A272">
            <v>3127</v>
          </cell>
          <cell r="B272" t="str">
            <v>동티</v>
          </cell>
          <cell r="C272" t="str">
            <v>25Ø</v>
          </cell>
          <cell r="D272" t="str">
            <v>개</v>
          </cell>
          <cell r="E272">
            <v>755</v>
          </cell>
          <cell r="F272">
            <v>0</v>
          </cell>
          <cell r="G272">
            <v>755</v>
          </cell>
          <cell r="H272">
            <v>535</v>
          </cell>
          <cell r="I272">
            <v>862</v>
          </cell>
          <cell r="J272">
            <v>477</v>
          </cell>
          <cell r="L272">
            <v>377</v>
          </cell>
        </row>
        <row r="273">
          <cell r="A273">
            <v>3128</v>
          </cell>
          <cell r="B273" t="str">
            <v>동티</v>
          </cell>
          <cell r="C273" t="str">
            <v>20Ø</v>
          </cell>
          <cell r="D273" t="str">
            <v>개</v>
          </cell>
          <cell r="E273">
            <v>490</v>
          </cell>
          <cell r="F273">
            <v>0</v>
          </cell>
          <cell r="G273">
            <v>490</v>
          </cell>
          <cell r="H273">
            <v>535</v>
          </cell>
          <cell r="I273">
            <v>560</v>
          </cell>
          <cell r="J273">
            <v>477</v>
          </cell>
          <cell r="L273">
            <v>377</v>
          </cell>
        </row>
        <row r="274">
          <cell r="A274">
            <v>3129</v>
          </cell>
          <cell r="B274" t="str">
            <v>동티</v>
          </cell>
          <cell r="C274" t="str">
            <v>15Ø</v>
          </cell>
          <cell r="D274" t="str">
            <v>개</v>
          </cell>
          <cell r="E274">
            <v>333</v>
          </cell>
          <cell r="F274">
            <v>0</v>
          </cell>
          <cell r="G274">
            <v>333</v>
          </cell>
          <cell r="H274">
            <v>535</v>
          </cell>
          <cell r="I274">
            <v>380</v>
          </cell>
          <cell r="J274">
            <v>477</v>
          </cell>
          <cell r="L274">
            <v>377</v>
          </cell>
        </row>
        <row r="275">
          <cell r="A275">
            <v>3131</v>
          </cell>
          <cell r="B275" t="str">
            <v>동레듀샤</v>
          </cell>
          <cell r="C275" t="str">
            <v>100Ø</v>
          </cell>
          <cell r="D275" t="str">
            <v>개</v>
          </cell>
          <cell r="E275">
            <v>7113</v>
          </cell>
          <cell r="F275">
            <v>0</v>
          </cell>
          <cell r="G275">
            <v>7113</v>
          </cell>
          <cell r="H275">
            <v>535</v>
          </cell>
          <cell r="I275">
            <v>8129</v>
          </cell>
          <cell r="J275">
            <v>489</v>
          </cell>
          <cell r="L275">
            <v>489</v>
          </cell>
        </row>
        <row r="276">
          <cell r="A276">
            <v>3132</v>
          </cell>
          <cell r="B276" t="str">
            <v>동레듀샤</v>
          </cell>
          <cell r="C276" t="str">
            <v>80Ø</v>
          </cell>
          <cell r="D276" t="str">
            <v>개</v>
          </cell>
          <cell r="E276">
            <v>3133</v>
          </cell>
          <cell r="F276">
            <v>0</v>
          </cell>
          <cell r="G276">
            <v>3133</v>
          </cell>
          <cell r="H276">
            <v>535</v>
          </cell>
          <cell r="I276">
            <v>3580</v>
          </cell>
          <cell r="J276">
            <v>489</v>
          </cell>
          <cell r="L276">
            <v>489</v>
          </cell>
        </row>
        <row r="277">
          <cell r="A277">
            <v>3133</v>
          </cell>
          <cell r="B277" t="str">
            <v>동레듀샤</v>
          </cell>
          <cell r="C277" t="str">
            <v>65Ø</v>
          </cell>
          <cell r="D277" t="str">
            <v>개</v>
          </cell>
          <cell r="E277">
            <v>2220</v>
          </cell>
          <cell r="F277">
            <v>0</v>
          </cell>
          <cell r="G277">
            <v>2220</v>
          </cell>
          <cell r="H277">
            <v>535</v>
          </cell>
          <cell r="I277">
            <v>2536</v>
          </cell>
          <cell r="J277">
            <v>489</v>
          </cell>
          <cell r="L277">
            <v>489</v>
          </cell>
        </row>
        <row r="278">
          <cell r="A278">
            <v>3134</v>
          </cell>
          <cell r="B278" t="str">
            <v>동레듀샤</v>
          </cell>
          <cell r="C278" t="str">
            <v>50Ø</v>
          </cell>
          <cell r="D278" t="str">
            <v>개</v>
          </cell>
          <cell r="E278">
            <v>1629</v>
          </cell>
          <cell r="F278">
            <v>0</v>
          </cell>
          <cell r="G278">
            <v>1629</v>
          </cell>
          <cell r="H278">
            <v>535</v>
          </cell>
          <cell r="I278">
            <v>1861</v>
          </cell>
          <cell r="J278">
            <v>489</v>
          </cell>
          <cell r="L278">
            <v>489</v>
          </cell>
        </row>
        <row r="279">
          <cell r="A279">
            <v>3135</v>
          </cell>
          <cell r="B279" t="str">
            <v>동레듀샤</v>
          </cell>
          <cell r="C279" t="str">
            <v>40Ø</v>
          </cell>
          <cell r="D279" t="str">
            <v>개</v>
          </cell>
          <cell r="E279">
            <v>679</v>
          </cell>
          <cell r="F279">
            <v>0</v>
          </cell>
          <cell r="G279">
            <v>679</v>
          </cell>
          <cell r="H279">
            <v>535</v>
          </cell>
          <cell r="I279">
            <v>776</v>
          </cell>
          <cell r="J279">
            <v>489</v>
          </cell>
          <cell r="L279">
            <v>489</v>
          </cell>
        </row>
        <row r="280">
          <cell r="A280">
            <v>3136</v>
          </cell>
          <cell r="B280" t="str">
            <v>동레듀샤</v>
          </cell>
          <cell r="C280" t="str">
            <v>32Ø</v>
          </cell>
          <cell r="D280" t="str">
            <v>개</v>
          </cell>
          <cell r="E280">
            <v>396</v>
          </cell>
          <cell r="F280">
            <v>0</v>
          </cell>
          <cell r="G280">
            <v>396</v>
          </cell>
          <cell r="H280">
            <v>535</v>
          </cell>
          <cell r="I280">
            <v>452</v>
          </cell>
          <cell r="J280">
            <v>489</v>
          </cell>
          <cell r="L280">
            <v>489</v>
          </cell>
        </row>
        <row r="281">
          <cell r="A281">
            <v>3137</v>
          </cell>
          <cell r="B281" t="str">
            <v>동레듀샤</v>
          </cell>
          <cell r="C281" t="str">
            <v>25Ø</v>
          </cell>
          <cell r="D281" t="str">
            <v>개</v>
          </cell>
          <cell r="E281">
            <v>290</v>
          </cell>
          <cell r="F281">
            <v>0</v>
          </cell>
          <cell r="G281">
            <v>290</v>
          </cell>
          <cell r="H281">
            <v>535</v>
          </cell>
          <cell r="I281">
            <v>331</v>
          </cell>
          <cell r="J281">
            <v>489</v>
          </cell>
          <cell r="L281">
            <v>489</v>
          </cell>
        </row>
        <row r="282">
          <cell r="A282">
            <v>3138</v>
          </cell>
          <cell r="B282" t="str">
            <v>동레듀샤</v>
          </cell>
          <cell r="C282" t="str">
            <v>20Ø</v>
          </cell>
          <cell r="D282" t="str">
            <v>개</v>
          </cell>
          <cell r="E282">
            <v>195</v>
          </cell>
          <cell r="F282">
            <v>0</v>
          </cell>
          <cell r="G282">
            <v>195</v>
          </cell>
          <cell r="H282">
            <v>535</v>
          </cell>
          <cell r="I282">
            <v>223</v>
          </cell>
          <cell r="J282">
            <v>489</v>
          </cell>
          <cell r="L282">
            <v>489</v>
          </cell>
        </row>
        <row r="283">
          <cell r="A283">
            <v>3141</v>
          </cell>
          <cell r="B283" t="str">
            <v>동소켓</v>
          </cell>
          <cell r="C283" t="str">
            <v>100Ø</v>
          </cell>
          <cell r="D283" t="str">
            <v>개</v>
          </cell>
          <cell r="E283">
            <v>5622</v>
          </cell>
          <cell r="F283">
            <v>0</v>
          </cell>
          <cell r="G283">
            <v>5622</v>
          </cell>
          <cell r="H283">
            <v>535</v>
          </cell>
          <cell r="I283">
            <v>6425</v>
          </cell>
          <cell r="J283">
            <v>489</v>
          </cell>
          <cell r="L283">
            <v>489</v>
          </cell>
        </row>
        <row r="284">
          <cell r="A284">
            <v>3142</v>
          </cell>
          <cell r="B284" t="str">
            <v>동소켓</v>
          </cell>
          <cell r="C284" t="str">
            <v>80Ø</v>
          </cell>
          <cell r="D284" t="str">
            <v>개</v>
          </cell>
          <cell r="E284">
            <v>2433</v>
          </cell>
          <cell r="F284">
            <v>0</v>
          </cell>
          <cell r="G284">
            <v>2433</v>
          </cell>
          <cell r="H284">
            <v>535</v>
          </cell>
          <cell r="I284">
            <v>2780</v>
          </cell>
          <cell r="J284">
            <v>489</v>
          </cell>
          <cell r="L284">
            <v>489</v>
          </cell>
        </row>
        <row r="285">
          <cell r="A285">
            <v>3143</v>
          </cell>
          <cell r="B285" t="str">
            <v>동소켓</v>
          </cell>
          <cell r="C285" t="str">
            <v>65Ø</v>
          </cell>
          <cell r="D285" t="str">
            <v>개</v>
          </cell>
          <cell r="E285">
            <v>1490</v>
          </cell>
          <cell r="F285">
            <v>0</v>
          </cell>
          <cell r="G285">
            <v>1490</v>
          </cell>
          <cell r="H285">
            <v>535</v>
          </cell>
          <cell r="I285">
            <v>1702</v>
          </cell>
          <cell r="J285">
            <v>489</v>
          </cell>
          <cell r="L285">
            <v>489</v>
          </cell>
        </row>
        <row r="286">
          <cell r="A286">
            <v>3144</v>
          </cell>
          <cell r="B286" t="str">
            <v>동소켓</v>
          </cell>
          <cell r="C286" t="str">
            <v>50Ø</v>
          </cell>
          <cell r="D286" t="str">
            <v>개</v>
          </cell>
          <cell r="E286">
            <v>743</v>
          </cell>
          <cell r="F286">
            <v>0</v>
          </cell>
          <cell r="G286">
            <v>743</v>
          </cell>
          <cell r="H286">
            <v>535</v>
          </cell>
          <cell r="I286">
            <v>848</v>
          </cell>
          <cell r="J286">
            <v>489</v>
          </cell>
          <cell r="L286">
            <v>489</v>
          </cell>
        </row>
        <row r="287">
          <cell r="A287">
            <v>3145</v>
          </cell>
          <cell r="B287" t="str">
            <v>동소켓</v>
          </cell>
          <cell r="C287" t="str">
            <v>40Ø</v>
          </cell>
          <cell r="D287" t="str">
            <v>개</v>
          </cell>
          <cell r="E287">
            <v>416</v>
          </cell>
          <cell r="F287">
            <v>0</v>
          </cell>
          <cell r="G287">
            <v>416</v>
          </cell>
          <cell r="H287">
            <v>535</v>
          </cell>
          <cell r="I287">
            <v>475</v>
          </cell>
          <cell r="J287">
            <v>477</v>
          </cell>
          <cell r="L287">
            <v>377</v>
          </cell>
        </row>
        <row r="288">
          <cell r="A288">
            <v>3146</v>
          </cell>
          <cell r="B288" t="str">
            <v>동소켓</v>
          </cell>
          <cell r="C288" t="str">
            <v>32Ø</v>
          </cell>
          <cell r="D288" t="str">
            <v>개</v>
          </cell>
          <cell r="E288">
            <v>290</v>
          </cell>
          <cell r="F288">
            <v>0</v>
          </cell>
          <cell r="G288">
            <v>290</v>
          </cell>
          <cell r="H288">
            <v>535</v>
          </cell>
          <cell r="I288">
            <v>331</v>
          </cell>
          <cell r="J288">
            <v>477</v>
          </cell>
          <cell r="L288">
            <v>377</v>
          </cell>
        </row>
        <row r="289">
          <cell r="A289">
            <v>3147</v>
          </cell>
          <cell r="B289" t="str">
            <v>동소켓</v>
          </cell>
          <cell r="C289" t="str">
            <v>25Ø</v>
          </cell>
          <cell r="D289" t="str">
            <v>개</v>
          </cell>
          <cell r="E289">
            <v>226</v>
          </cell>
          <cell r="F289">
            <v>0</v>
          </cell>
          <cell r="G289">
            <v>226</v>
          </cell>
          <cell r="H289">
            <v>535</v>
          </cell>
          <cell r="I289">
            <v>258</v>
          </cell>
          <cell r="J289">
            <v>477</v>
          </cell>
          <cell r="L289">
            <v>377</v>
          </cell>
        </row>
        <row r="290">
          <cell r="A290">
            <v>3148</v>
          </cell>
          <cell r="B290" t="str">
            <v>동소켓</v>
          </cell>
          <cell r="C290" t="str">
            <v>20Ø</v>
          </cell>
          <cell r="D290" t="str">
            <v>개</v>
          </cell>
          <cell r="E290">
            <v>151</v>
          </cell>
          <cell r="F290">
            <v>0</v>
          </cell>
          <cell r="G290">
            <v>151</v>
          </cell>
          <cell r="H290">
            <v>535</v>
          </cell>
          <cell r="I290">
            <v>172</v>
          </cell>
          <cell r="J290">
            <v>477</v>
          </cell>
          <cell r="L290">
            <v>377</v>
          </cell>
        </row>
        <row r="291">
          <cell r="A291">
            <v>3149</v>
          </cell>
          <cell r="B291" t="str">
            <v>동소켓</v>
          </cell>
          <cell r="C291" t="str">
            <v>15Ø</v>
          </cell>
          <cell r="D291" t="str">
            <v>개</v>
          </cell>
          <cell r="E291">
            <v>100</v>
          </cell>
          <cell r="F291">
            <v>0</v>
          </cell>
          <cell r="G291">
            <v>100</v>
          </cell>
          <cell r="H291">
            <v>535</v>
          </cell>
          <cell r="I291">
            <v>114</v>
          </cell>
          <cell r="J291">
            <v>477</v>
          </cell>
          <cell r="L291">
            <v>377</v>
          </cell>
        </row>
        <row r="292">
          <cell r="A292">
            <v>3151</v>
          </cell>
          <cell r="B292" t="str">
            <v>동캡</v>
          </cell>
          <cell r="C292" t="str">
            <v>100Ø</v>
          </cell>
          <cell r="D292" t="str">
            <v>개</v>
          </cell>
          <cell r="E292">
            <v>5082</v>
          </cell>
          <cell r="F292">
            <v>0</v>
          </cell>
          <cell r="G292">
            <v>5082</v>
          </cell>
          <cell r="H292">
            <v>535</v>
          </cell>
          <cell r="I292">
            <v>5808</v>
          </cell>
          <cell r="J292">
            <v>489</v>
          </cell>
          <cell r="L292">
            <v>489</v>
          </cell>
        </row>
        <row r="293">
          <cell r="A293">
            <v>3152</v>
          </cell>
          <cell r="B293" t="str">
            <v>동캡</v>
          </cell>
          <cell r="C293" t="str">
            <v>80Ø</v>
          </cell>
          <cell r="D293" t="str">
            <v>개</v>
          </cell>
          <cell r="E293">
            <v>2629</v>
          </cell>
          <cell r="F293">
            <v>0</v>
          </cell>
          <cell r="G293">
            <v>2629</v>
          </cell>
          <cell r="H293">
            <v>535</v>
          </cell>
          <cell r="I293">
            <v>3004</v>
          </cell>
          <cell r="J293">
            <v>489</v>
          </cell>
          <cell r="L293">
            <v>489</v>
          </cell>
        </row>
        <row r="294">
          <cell r="A294">
            <v>3153</v>
          </cell>
          <cell r="B294" t="str">
            <v>동캡</v>
          </cell>
          <cell r="C294" t="str">
            <v>65Ø</v>
          </cell>
          <cell r="D294" t="str">
            <v>개</v>
          </cell>
          <cell r="E294">
            <v>1768</v>
          </cell>
          <cell r="F294">
            <v>0</v>
          </cell>
          <cell r="G294">
            <v>1768</v>
          </cell>
          <cell r="H294">
            <v>535</v>
          </cell>
          <cell r="I294">
            <v>2020</v>
          </cell>
          <cell r="J294">
            <v>489</v>
          </cell>
          <cell r="L294">
            <v>489</v>
          </cell>
        </row>
        <row r="295">
          <cell r="A295">
            <v>3154</v>
          </cell>
          <cell r="B295" t="str">
            <v>동캡</v>
          </cell>
          <cell r="C295" t="str">
            <v>50Ø</v>
          </cell>
          <cell r="D295" t="str">
            <v>개</v>
          </cell>
          <cell r="E295">
            <v>1044</v>
          </cell>
          <cell r="F295">
            <v>0</v>
          </cell>
          <cell r="G295">
            <v>1044</v>
          </cell>
          <cell r="H295">
            <v>535</v>
          </cell>
          <cell r="I295">
            <v>1192</v>
          </cell>
          <cell r="J295">
            <v>489</v>
          </cell>
          <cell r="L295">
            <v>489</v>
          </cell>
        </row>
        <row r="296">
          <cell r="A296">
            <v>3155</v>
          </cell>
          <cell r="B296" t="str">
            <v>동캡</v>
          </cell>
          <cell r="C296" t="str">
            <v>40Ø</v>
          </cell>
          <cell r="D296" t="str">
            <v>개</v>
          </cell>
          <cell r="E296">
            <v>603</v>
          </cell>
          <cell r="F296">
            <v>0</v>
          </cell>
          <cell r="G296">
            <v>603</v>
          </cell>
          <cell r="H296">
            <v>535</v>
          </cell>
          <cell r="I296">
            <v>689</v>
          </cell>
          <cell r="J296">
            <v>477</v>
          </cell>
          <cell r="L296">
            <v>377</v>
          </cell>
        </row>
        <row r="297">
          <cell r="A297">
            <v>3156</v>
          </cell>
          <cell r="B297" t="str">
            <v>동캡</v>
          </cell>
          <cell r="C297" t="str">
            <v>32Ø</v>
          </cell>
          <cell r="D297" t="str">
            <v>개</v>
          </cell>
          <cell r="E297">
            <v>371</v>
          </cell>
          <cell r="F297">
            <v>0</v>
          </cell>
          <cell r="G297">
            <v>371</v>
          </cell>
          <cell r="H297">
            <v>535</v>
          </cell>
          <cell r="I297">
            <v>424</v>
          </cell>
          <cell r="J297">
            <v>477</v>
          </cell>
          <cell r="L297">
            <v>377</v>
          </cell>
        </row>
        <row r="298">
          <cell r="A298">
            <v>3157</v>
          </cell>
          <cell r="B298" t="str">
            <v>동캡</v>
          </cell>
          <cell r="C298" t="str">
            <v>25Ø</v>
          </cell>
          <cell r="D298" t="str">
            <v>개</v>
          </cell>
          <cell r="E298">
            <v>270</v>
          </cell>
          <cell r="F298">
            <v>0</v>
          </cell>
          <cell r="G298">
            <v>270</v>
          </cell>
          <cell r="H298">
            <v>535</v>
          </cell>
          <cell r="I298">
            <v>308</v>
          </cell>
          <cell r="J298">
            <v>477</v>
          </cell>
          <cell r="L298">
            <v>377</v>
          </cell>
        </row>
        <row r="299">
          <cell r="A299">
            <v>3158</v>
          </cell>
          <cell r="B299" t="str">
            <v>동캡</v>
          </cell>
          <cell r="C299" t="str">
            <v>20Ø</v>
          </cell>
          <cell r="D299" t="str">
            <v>개</v>
          </cell>
          <cell r="E299">
            <v>182</v>
          </cell>
          <cell r="F299">
            <v>0</v>
          </cell>
          <cell r="G299">
            <v>182</v>
          </cell>
          <cell r="H299">
            <v>535</v>
          </cell>
          <cell r="I299">
            <v>208</v>
          </cell>
          <cell r="J299">
            <v>477</v>
          </cell>
          <cell r="L299">
            <v>377</v>
          </cell>
        </row>
        <row r="300">
          <cell r="A300">
            <v>3159</v>
          </cell>
          <cell r="B300" t="str">
            <v>동캡</v>
          </cell>
          <cell r="C300" t="str">
            <v>15Ø</v>
          </cell>
          <cell r="D300" t="str">
            <v>개</v>
          </cell>
          <cell r="E300">
            <v>139</v>
          </cell>
          <cell r="F300">
            <v>0</v>
          </cell>
          <cell r="G300">
            <v>139</v>
          </cell>
          <cell r="H300">
            <v>535</v>
          </cell>
          <cell r="I300">
            <v>158</v>
          </cell>
          <cell r="J300">
            <v>477</v>
          </cell>
          <cell r="L300">
            <v>377</v>
          </cell>
        </row>
        <row r="301">
          <cell r="A301">
            <v>3161</v>
          </cell>
          <cell r="B301" t="str">
            <v>동절연 합 후렌지</v>
          </cell>
          <cell r="C301" t="str">
            <v>100Ø</v>
          </cell>
          <cell r="D301" t="str">
            <v>개</v>
          </cell>
          <cell r="E301">
            <v>25637</v>
          </cell>
          <cell r="F301">
            <v>12436</v>
          </cell>
          <cell r="H301">
            <v>0</v>
          </cell>
          <cell r="I301">
            <v>25637</v>
          </cell>
          <cell r="J301">
            <v>0</v>
          </cell>
          <cell r="L301">
            <v>0</v>
          </cell>
        </row>
        <row r="302">
          <cell r="A302">
            <v>3162</v>
          </cell>
          <cell r="B302" t="str">
            <v>동절연 합 후렌지</v>
          </cell>
          <cell r="C302" t="str">
            <v>80Ø</v>
          </cell>
          <cell r="D302" t="str">
            <v>개</v>
          </cell>
          <cell r="E302">
            <v>19335</v>
          </cell>
          <cell r="F302">
            <v>8814</v>
          </cell>
          <cell r="H302">
            <v>0</v>
          </cell>
          <cell r="I302">
            <v>19335</v>
          </cell>
          <cell r="J302">
            <v>0</v>
          </cell>
          <cell r="L302">
            <v>0</v>
          </cell>
        </row>
        <row r="303">
          <cell r="A303">
            <v>3163</v>
          </cell>
          <cell r="B303" t="str">
            <v>동절연 합 후렌지</v>
          </cell>
          <cell r="C303" t="str">
            <v>65Ø</v>
          </cell>
          <cell r="D303" t="str">
            <v>개</v>
          </cell>
          <cell r="E303">
            <v>13265</v>
          </cell>
          <cell r="F303">
            <v>7606</v>
          </cell>
          <cell r="H303">
            <v>0</v>
          </cell>
          <cell r="I303">
            <v>13265</v>
          </cell>
          <cell r="J303">
            <v>0</v>
          </cell>
          <cell r="L303">
            <v>0</v>
          </cell>
        </row>
        <row r="304">
          <cell r="A304">
            <v>3164</v>
          </cell>
          <cell r="B304" t="str">
            <v>동유니온 (C x M)</v>
          </cell>
          <cell r="C304" t="str">
            <v>50Ø</v>
          </cell>
          <cell r="D304" t="str">
            <v>개</v>
          </cell>
          <cell r="E304">
            <v>8972</v>
          </cell>
          <cell r="F304">
            <v>0</v>
          </cell>
          <cell r="G304">
            <v>8972</v>
          </cell>
          <cell r="H304">
            <v>535</v>
          </cell>
          <cell r="I304">
            <v>8972</v>
          </cell>
          <cell r="J304">
            <v>489</v>
          </cell>
          <cell r="L304">
            <v>489</v>
          </cell>
        </row>
        <row r="305">
          <cell r="A305">
            <v>3165</v>
          </cell>
          <cell r="B305" t="str">
            <v>동유니온 (C x M)</v>
          </cell>
          <cell r="C305" t="str">
            <v>40Ø</v>
          </cell>
          <cell r="D305" t="str">
            <v>개</v>
          </cell>
          <cell r="E305">
            <v>6850</v>
          </cell>
          <cell r="F305">
            <v>0</v>
          </cell>
          <cell r="G305">
            <v>6850</v>
          </cell>
          <cell r="H305">
            <v>535</v>
          </cell>
          <cell r="I305">
            <v>6850</v>
          </cell>
          <cell r="J305">
            <v>477</v>
          </cell>
          <cell r="L305">
            <v>377</v>
          </cell>
        </row>
        <row r="306">
          <cell r="A306">
            <v>3166</v>
          </cell>
          <cell r="B306" t="str">
            <v>동유니온 (C x M)</v>
          </cell>
          <cell r="C306" t="str">
            <v>32Ø</v>
          </cell>
          <cell r="D306" t="str">
            <v>개</v>
          </cell>
          <cell r="E306">
            <v>4604</v>
          </cell>
          <cell r="F306">
            <v>0</v>
          </cell>
          <cell r="G306">
            <v>4604</v>
          </cell>
          <cell r="H306">
            <v>535</v>
          </cell>
          <cell r="I306">
            <v>4604</v>
          </cell>
          <cell r="J306">
            <v>477</v>
          </cell>
          <cell r="L306">
            <v>377</v>
          </cell>
        </row>
        <row r="307">
          <cell r="A307">
            <v>3167</v>
          </cell>
          <cell r="B307" t="str">
            <v>동유니온 (C x M)</v>
          </cell>
          <cell r="C307" t="str">
            <v>25Ø</v>
          </cell>
          <cell r="D307" t="str">
            <v>개</v>
          </cell>
          <cell r="E307">
            <v>3096</v>
          </cell>
          <cell r="F307">
            <v>0</v>
          </cell>
          <cell r="G307">
            <v>3096</v>
          </cell>
          <cell r="H307">
            <v>535</v>
          </cell>
          <cell r="I307">
            <v>3097</v>
          </cell>
          <cell r="J307">
            <v>477</v>
          </cell>
          <cell r="L307">
            <v>377</v>
          </cell>
        </row>
        <row r="308">
          <cell r="A308">
            <v>3168</v>
          </cell>
          <cell r="B308" t="str">
            <v>동유니온 (C x M)</v>
          </cell>
          <cell r="C308" t="str">
            <v>20Ø</v>
          </cell>
          <cell r="D308" t="str">
            <v>개</v>
          </cell>
          <cell r="E308">
            <v>1980</v>
          </cell>
          <cell r="F308">
            <v>0</v>
          </cell>
          <cell r="G308">
            <v>1980</v>
          </cell>
          <cell r="H308">
            <v>535</v>
          </cell>
          <cell r="I308">
            <v>1980</v>
          </cell>
          <cell r="J308">
            <v>477</v>
          </cell>
          <cell r="L308">
            <v>377</v>
          </cell>
        </row>
        <row r="309">
          <cell r="A309">
            <v>3169</v>
          </cell>
          <cell r="B309" t="str">
            <v>동유니온 (C x M)</v>
          </cell>
          <cell r="C309" t="str">
            <v>15Ø</v>
          </cell>
          <cell r="D309" t="str">
            <v>개</v>
          </cell>
          <cell r="E309">
            <v>1130</v>
          </cell>
          <cell r="F309">
            <v>0</v>
          </cell>
          <cell r="G309">
            <v>1130</v>
          </cell>
          <cell r="H309">
            <v>535</v>
          </cell>
          <cell r="I309">
            <v>1130</v>
          </cell>
          <cell r="J309">
            <v>477</v>
          </cell>
          <cell r="L309">
            <v>377</v>
          </cell>
        </row>
        <row r="310">
          <cell r="A310">
            <v>3171</v>
          </cell>
          <cell r="B310" t="str">
            <v>CM 아답타</v>
          </cell>
          <cell r="C310" t="str">
            <v>100Ø</v>
          </cell>
          <cell r="D310" t="str">
            <v>개</v>
          </cell>
          <cell r="E310">
            <v>26090</v>
          </cell>
          <cell r="F310">
            <v>0</v>
          </cell>
          <cell r="G310">
            <v>26090</v>
          </cell>
          <cell r="H310">
            <v>535</v>
          </cell>
          <cell r="I310">
            <v>26091</v>
          </cell>
          <cell r="J310">
            <v>489</v>
          </cell>
          <cell r="L310">
            <v>489</v>
          </cell>
        </row>
        <row r="311">
          <cell r="A311">
            <v>3172</v>
          </cell>
          <cell r="B311" t="str">
            <v>CM 아답타</v>
          </cell>
          <cell r="C311" t="str">
            <v>80Ø</v>
          </cell>
          <cell r="D311" t="str">
            <v>개</v>
          </cell>
          <cell r="E311">
            <v>12488</v>
          </cell>
          <cell r="F311">
            <v>0</v>
          </cell>
          <cell r="G311">
            <v>12490</v>
          </cell>
          <cell r="H311">
            <v>535</v>
          </cell>
          <cell r="I311">
            <v>12488</v>
          </cell>
          <cell r="J311">
            <v>489</v>
          </cell>
          <cell r="L311">
            <v>489</v>
          </cell>
        </row>
        <row r="312">
          <cell r="A312">
            <v>3173</v>
          </cell>
          <cell r="B312" t="str">
            <v>CM 아답타</v>
          </cell>
          <cell r="C312" t="str">
            <v>65Ø</v>
          </cell>
          <cell r="D312" t="str">
            <v>개</v>
          </cell>
          <cell r="E312">
            <v>6906</v>
          </cell>
          <cell r="F312">
            <v>0</v>
          </cell>
          <cell r="G312">
            <v>6906</v>
          </cell>
          <cell r="H312">
            <v>535</v>
          </cell>
          <cell r="I312">
            <v>6906</v>
          </cell>
          <cell r="J312">
            <v>489</v>
          </cell>
          <cell r="L312">
            <v>489</v>
          </cell>
        </row>
        <row r="313">
          <cell r="A313">
            <v>3174</v>
          </cell>
          <cell r="B313" t="str">
            <v>CM 아답타</v>
          </cell>
          <cell r="C313" t="str">
            <v>50Ø</v>
          </cell>
          <cell r="D313" t="str">
            <v>개</v>
          </cell>
          <cell r="E313">
            <v>3223</v>
          </cell>
          <cell r="F313">
            <v>0</v>
          </cell>
          <cell r="G313">
            <v>3223</v>
          </cell>
          <cell r="H313">
            <v>535</v>
          </cell>
          <cell r="I313">
            <v>3223</v>
          </cell>
          <cell r="J313">
            <v>489</v>
          </cell>
          <cell r="L313">
            <v>489</v>
          </cell>
        </row>
        <row r="314">
          <cell r="A314">
            <v>3175</v>
          </cell>
          <cell r="B314" t="str">
            <v>CM 아답타</v>
          </cell>
          <cell r="C314" t="str">
            <v>40Ø</v>
          </cell>
          <cell r="D314" t="str">
            <v>개</v>
          </cell>
          <cell r="E314">
            <v>2300</v>
          </cell>
          <cell r="F314">
            <v>0</v>
          </cell>
          <cell r="G314">
            <v>2300</v>
          </cell>
          <cell r="H314">
            <v>535</v>
          </cell>
          <cell r="I314">
            <v>2302</v>
          </cell>
          <cell r="J314">
            <v>477</v>
          </cell>
          <cell r="L314">
            <v>377</v>
          </cell>
        </row>
        <row r="315">
          <cell r="A315">
            <v>3176</v>
          </cell>
          <cell r="B315" t="str">
            <v>CM 아답타</v>
          </cell>
          <cell r="C315" t="str">
            <v>32Ø</v>
          </cell>
          <cell r="D315" t="str">
            <v>개</v>
          </cell>
          <cell r="E315">
            <v>1565</v>
          </cell>
          <cell r="F315">
            <v>0</v>
          </cell>
          <cell r="G315">
            <v>1565</v>
          </cell>
          <cell r="H315">
            <v>535</v>
          </cell>
          <cell r="I315">
            <v>1566</v>
          </cell>
          <cell r="J315">
            <v>477</v>
          </cell>
          <cell r="L315">
            <v>377</v>
          </cell>
        </row>
        <row r="316">
          <cell r="A316">
            <v>3177</v>
          </cell>
          <cell r="B316" t="str">
            <v>CM 아답타</v>
          </cell>
          <cell r="C316" t="str">
            <v>25Ø</v>
          </cell>
          <cell r="D316" t="str">
            <v>개</v>
          </cell>
          <cell r="E316">
            <v>888</v>
          </cell>
          <cell r="F316">
            <v>0</v>
          </cell>
          <cell r="G316">
            <v>888</v>
          </cell>
          <cell r="H316">
            <v>535</v>
          </cell>
          <cell r="I316">
            <v>888</v>
          </cell>
          <cell r="J316">
            <v>477</v>
          </cell>
          <cell r="L316">
            <v>377</v>
          </cell>
        </row>
        <row r="317">
          <cell r="A317">
            <v>3178</v>
          </cell>
          <cell r="B317" t="str">
            <v>CM 아답타</v>
          </cell>
          <cell r="C317" t="str">
            <v>20Ø</v>
          </cell>
          <cell r="D317" t="str">
            <v>개</v>
          </cell>
          <cell r="E317">
            <v>556</v>
          </cell>
          <cell r="F317">
            <v>0</v>
          </cell>
          <cell r="G317">
            <v>556</v>
          </cell>
          <cell r="H317">
            <v>535</v>
          </cell>
          <cell r="I317">
            <v>556</v>
          </cell>
          <cell r="J317">
            <v>477</v>
          </cell>
          <cell r="L317">
            <v>377</v>
          </cell>
        </row>
        <row r="318">
          <cell r="A318">
            <v>3179</v>
          </cell>
          <cell r="B318" t="str">
            <v>CM 아답타</v>
          </cell>
          <cell r="C318" t="str">
            <v>15Ø</v>
          </cell>
          <cell r="D318" t="str">
            <v>개</v>
          </cell>
          <cell r="E318">
            <v>278</v>
          </cell>
          <cell r="F318">
            <v>0</v>
          </cell>
          <cell r="G318">
            <v>278</v>
          </cell>
          <cell r="H318">
            <v>535</v>
          </cell>
          <cell r="I318">
            <v>278</v>
          </cell>
          <cell r="J318">
            <v>477</v>
          </cell>
          <cell r="L318">
            <v>377</v>
          </cell>
        </row>
        <row r="319">
          <cell r="A319">
            <v>3181</v>
          </cell>
          <cell r="B319" t="str">
            <v>CF 아답타</v>
          </cell>
          <cell r="C319" t="str">
            <v>50Ø</v>
          </cell>
          <cell r="D319" t="str">
            <v>개</v>
          </cell>
          <cell r="E319">
            <v>5469</v>
          </cell>
          <cell r="F319">
            <v>0</v>
          </cell>
          <cell r="G319">
            <v>5469</v>
          </cell>
          <cell r="H319">
            <v>535</v>
          </cell>
          <cell r="I319">
            <v>5469</v>
          </cell>
          <cell r="J319">
            <v>489</v>
          </cell>
          <cell r="L319">
            <v>489</v>
          </cell>
        </row>
        <row r="320">
          <cell r="A320">
            <v>3182</v>
          </cell>
          <cell r="B320" t="str">
            <v>CF 아답타</v>
          </cell>
          <cell r="C320" t="str">
            <v>40Ø</v>
          </cell>
          <cell r="D320" t="str">
            <v>개</v>
          </cell>
          <cell r="E320">
            <v>3322</v>
          </cell>
          <cell r="F320">
            <v>0</v>
          </cell>
          <cell r="G320">
            <v>3322</v>
          </cell>
          <cell r="H320">
            <v>535</v>
          </cell>
          <cell r="I320">
            <v>3322</v>
          </cell>
          <cell r="J320">
            <v>477</v>
          </cell>
          <cell r="L320">
            <v>377</v>
          </cell>
        </row>
        <row r="321">
          <cell r="A321">
            <v>3183</v>
          </cell>
          <cell r="B321" t="str">
            <v>CF 아답타</v>
          </cell>
          <cell r="C321" t="str">
            <v>32Ø</v>
          </cell>
          <cell r="D321" t="str">
            <v>개</v>
          </cell>
          <cell r="E321">
            <v>2566</v>
          </cell>
          <cell r="F321">
            <v>0</v>
          </cell>
          <cell r="G321">
            <v>2566</v>
          </cell>
          <cell r="H321">
            <v>535</v>
          </cell>
          <cell r="I321">
            <v>2566</v>
          </cell>
          <cell r="J321">
            <v>477</v>
          </cell>
          <cell r="L321">
            <v>377</v>
          </cell>
        </row>
        <row r="322">
          <cell r="A322">
            <v>3184</v>
          </cell>
          <cell r="B322" t="str">
            <v>CF 아답타</v>
          </cell>
          <cell r="C322" t="str">
            <v>25Ø</v>
          </cell>
          <cell r="D322" t="str">
            <v>개</v>
          </cell>
          <cell r="E322">
            <v>1535</v>
          </cell>
          <cell r="F322">
            <v>0</v>
          </cell>
          <cell r="G322">
            <v>1535</v>
          </cell>
          <cell r="H322">
            <v>535</v>
          </cell>
          <cell r="I322">
            <v>1535</v>
          </cell>
          <cell r="J322">
            <v>477</v>
          </cell>
          <cell r="L322">
            <v>377</v>
          </cell>
        </row>
        <row r="323">
          <cell r="A323">
            <v>3185</v>
          </cell>
          <cell r="B323" t="str">
            <v>CF 아답타</v>
          </cell>
          <cell r="C323" t="str">
            <v>20Ø</v>
          </cell>
          <cell r="D323" t="str">
            <v>개</v>
          </cell>
          <cell r="E323">
            <v>681</v>
          </cell>
          <cell r="F323">
            <v>0</v>
          </cell>
          <cell r="G323">
            <v>681</v>
          </cell>
          <cell r="H323">
            <v>535</v>
          </cell>
          <cell r="I323">
            <v>682</v>
          </cell>
          <cell r="J323">
            <v>477</v>
          </cell>
          <cell r="L323">
            <v>377</v>
          </cell>
        </row>
        <row r="324">
          <cell r="A324">
            <v>3186</v>
          </cell>
          <cell r="B324" t="str">
            <v>CF 아답타</v>
          </cell>
          <cell r="C324" t="str">
            <v>15Ø</v>
          </cell>
          <cell r="D324" t="str">
            <v>개</v>
          </cell>
          <cell r="E324">
            <v>390</v>
          </cell>
          <cell r="F324">
            <v>0</v>
          </cell>
          <cell r="G324">
            <v>390</v>
          </cell>
          <cell r="H324">
            <v>535</v>
          </cell>
          <cell r="I324">
            <v>390</v>
          </cell>
          <cell r="J324">
            <v>477</v>
          </cell>
          <cell r="L324">
            <v>377</v>
          </cell>
        </row>
        <row r="325">
          <cell r="A325">
            <v>3191</v>
          </cell>
          <cell r="B325" t="str">
            <v>CF 엘보</v>
          </cell>
          <cell r="C325" t="str">
            <v>32Ø</v>
          </cell>
          <cell r="D325" t="str">
            <v>개</v>
          </cell>
          <cell r="E325">
            <v>4911</v>
          </cell>
          <cell r="F325">
            <v>0</v>
          </cell>
          <cell r="G325">
            <v>4911</v>
          </cell>
          <cell r="H325">
            <v>535</v>
          </cell>
          <cell r="I325">
            <v>4911</v>
          </cell>
          <cell r="J325">
            <v>477</v>
          </cell>
          <cell r="L325">
            <v>377</v>
          </cell>
        </row>
        <row r="326">
          <cell r="A326">
            <v>3192</v>
          </cell>
          <cell r="B326" t="str">
            <v>CF 엘보</v>
          </cell>
          <cell r="C326" t="str">
            <v>25Ø</v>
          </cell>
          <cell r="D326" t="str">
            <v>개</v>
          </cell>
          <cell r="E326">
            <v>2766</v>
          </cell>
          <cell r="F326">
            <v>0</v>
          </cell>
          <cell r="G326">
            <v>2766</v>
          </cell>
          <cell r="H326">
            <v>535</v>
          </cell>
          <cell r="I326">
            <v>2766</v>
          </cell>
          <cell r="J326">
            <v>477</v>
          </cell>
          <cell r="L326">
            <v>377</v>
          </cell>
        </row>
        <row r="327">
          <cell r="A327">
            <v>3193</v>
          </cell>
          <cell r="B327" t="str">
            <v>CF 엘보</v>
          </cell>
          <cell r="C327" t="str">
            <v>20Ø</v>
          </cell>
          <cell r="D327" t="str">
            <v>개</v>
          </cell>
          <cell r="E327">
            <v>1316</v>
          </cell>
          <cell r="F327">
            <v>0</v>
          </cell>
          <cell r="G327">
            <v>1316</v>
          </cell>
          <cell r="H327">
            <v>535</v>
          </cell>
          <cell r="I327">
            <v>1316</v>
          </cell>
          <cell r="J327">
            <v>477</v>
          </cell>
          <cell r="L327">
            <v>377</v>
          </cell>
        </row>
        <row r="328">
          <cell r="A328">
            <v>3194</v>
          </cell>
          <cell r="B328" t="str">
            <v>CF 엘보</v>
          </cell>
          <cell r="C328" t="str">
            <v>15Ø</v>
          </cell>
          <cell r="D328" t="str">
            <v>개</v>
          </cell>
          <cell r="E328">
            <v>772</v>
          </cell>
          <cell r="F328">
            <v>0</v>
          </cell>
          <cell r="G328">
            <v>772</v>
          </cell>
          <cell r="H328">
            <v>535</v>
          </cell>
          <cell r="I328">
            <v>773</v>
          </cell>
          <cell r="J328">
            <v>477</v>
          </cell>
          <cell r="L328">
            <v>377</v>
          </cell>
        </row>
        <row r="329">
          <cell r="A329">
            <v>3195</v>
          </cell>
          <cell r="B329" t="str">
            <v>동에어챔버</v>
          </cell>
          <cell r="C329" t="str">
            <v>25Ø</v>
          </cell>
          <cell r="D329" t="str">
            <v>개</v>
          </cell>
          <cell r="E329">
            <v>2187</v>
          </cell>
          <cell r="F329">
            <v>0</v>
          </cell>
          <cell r="G329">
            <v>2187</v>
          </cell>
          <cell r="H329">
            <v>535</v>
          </cell>
          <cell r="I329">
            <v>2499</v>
          </cell>
          <cell r="J329">
            <v>477</v>
          </cell>
          <cell r="L329">
            <v>377</v>
          </cell>
        </row>
        <row r="330">
          <cell r="A330">
            <v>3196</v>
          </cell>
          <cell r="B330" t="str">
            <v>동에어챔버</v>
          </cell>
          <cell r="C330" t="str">
            <v>20Ø</v>
          </cell>
          <cell r="D330" t="str">
            <v>개</v>
          </cell>
          <cell r="E330">
            <v>1770</v>
          </cell>
          <cell r="F330">
            <v>0</v>
          </cell>
          <cell r="G330">
            <v>1770</v>
          </cell>
          <cell r="H330">
            <v>535</v>
          </cell>
          <cell r="I330">
            <v>2024</v>
          </cell>
          <cell r="J330">
            <v>477</v>
          </cell>
          <cell r="L330">
            <v>377</v>
          </cell>
        </row>
        <row r="331">
          <cell r="A331">
            <v>3197</v>
          </cell>
          <cell r="B331" t="str">
            <v>동에어챔버</v>
          </cell>
          <cell r="C331" t="str">
            <v>15Ø</v>
          </cell>
          <cell r="D331" t="str">
            <v>개</v>
          </cell>
          <cell r="E331">
            <v>1770</v>
          </cell>
          <cell r="F331">
            <v>0</v>
          </cell>
          <cell r="G331">
            <v>1770</v>
          </cell>
          <cell r="H331">
            <v>535</v>
          </cell>
          <cell r="I331">
            <v>2024</v>
          </cell>
          <cell r="J331">
            <v>477</v>
          </cell>
          <cell r="L331">
            <v>377</v>
          </cell>
        </row>
        <row r="332">
          <cell r="E332">
            <v>0</v>
          </cell>
        </row>
        <row r="333">
          <cell r="E333">
            <v>0</v>
          </cell>
        </row>
        <row r="334">
          <cell r="E334">
            <v>0</v>
          </cell>
        </row>
        <row r="335">
          <cell r="E335">
            <v>0</v>
          </cell>
        </row>
        <row r="336">
          <cell r="E336">
            <v>0</v>
          </cell>
        </row>
        <row r="337">
          <cell r="E337">
            <v>0</v>
          </cell>
        </row>
        <row r="338">
          <cell r="E338">
            <v>0</v>
          </cell>
        </row>
        <row r="339">
          <cell r="E339">
            <v>0</v>
          </cell>
        </row>
        <row r="346">
          <cell r="A346">
            <v>3201</v>
          </cell>
          <cell r="B346" t="str">
            <v>스테인레스관 (3.0t)</v>
          </cell>
          <cell r="C346" t="str">
            <v>100Ø</v>
          </cell>
          <cell r="D346" t="str">
            <v>M</v>
          </cell>
          <cell r="E346">
            <v>22873</v>
          </cell>
          <cell r="F346">
            <v>0</v>
          </cell>
          <cell r="H346">
            <v>480</v>
          </cell>
          <cell r="I346">
            <v>22873</v>
          </cell>
          <cell r="J346">
            <v>480</v>
          </cell>
          <cell r="L346">
            <v>480</v>
          </cell>
        </row>
        <row r="347">
          <cell r="A347">
            <v>3202</v>
          </cell>
          <cell r="B347" t="str">
            <v>스테인레스관 (3.0t)</v>
          </cell>
          <cell r="C347" t="str">
            <v>80Ø</v>
          </cell>
          <cell r="D347" t="str">
            <v>M</v>
          </cell>
          <cell r="E347">
            <v>17695</v>
          </cell>
          <cell r="F347">
            <v>0</v>
          </cell>
          <cell r="H347">
            <v>480</v>
          </cell>
          <cell r="I347">
            <v>17695</v>
          </cell>
          <cell r="J347">
            <v>480</v>
          </cell>
          <cell r="L347">
            <v>480</v>
          </cell>
        </row>
        <row r="348">
          <cell r="A348">
            <v>3203</v>
          </cell>
          <cell r="B348" t="str">
            <v>스테인레스관 (K형)</v>
          </cell>
          <cell r="C348" t="str">
            <v>60Ø</v>
          </cell>
          <cell r="D348" t="str">
            <v>M</v>
          </cell>
          <cell r="E348">
            <v>7160</v>
          </cell>
          <cell r="F348">
            <v>0</v>
          </cell>
          <cell r="H348">
            <v>479</v>
          </cell>
          <cell r="I348">
            <v>7160</v>
          </cell>
          <cell r="J348">
            <v>479</v>
          </cell>
          <cell r="L348">
            <v>479</v>
          </cell>
        </row>
        <row r="349">
          <cell r="A349">
            <v>3204</v>
          </cell>
          <cell r="B349" t="str">
            <v>스테인레스관 (K형)</v>
          </cell>
          <cell r="C349" t="str">
            <v>50Ø</v>
          </cell>
          <cell r="D349" t="str">
            <v>M</v>
          </cell>
          <cell r="E349">
            <v>4730</v>
          </cell>
          <cell r="F349">
            <v>0</v>
          </cell>
          <cell r="H349">
            <v>479</v>
          </cell>
          <cell r="I349">
            <v>4730</v>
          </cell>
          <cell r="J349">
            <v>479</v>
          </cell>
          <cell r="L349">
            <v>479</v>
          </cell>
        </row>
        <row r="350">
          <cell r="A350">
            <v>3205</v>
          </cell>
          <cell r="B350" t="str">
            <v>스테인레스관 (K형)</v>
          </cell>
          <cell r="C350" t="str">
            <v>40Ø</v>
          </cell>
          <cell r="D350" t="str">
            <v>M</v>
          </cell>
          <cell r="E350">
            <v>4220</v>
          </cell>
          <cell r="F350">
            <v>0</v>
          </cell>
          <cell r="H350">
            <v>479</v>
          </cell>
          <cell r="I350">
            <v>4220</v>
          </cell>
          <cell r="J350">
            <v>479</v>
          </cell>
          <cell r="L350">
            <v>479</v>
          </cell>
        </row>
        <row r="351">
          <cell r="A351">
            <v>3206</v>
          </cell>
          <cell r="B351" t="str">
            <v>스테인레스관 (K형)</v>
          </cell>
          <cell r="C351" t="str">
            <v>30Ø</v>
          </cell>
          <cell r="D351" t="str">
            <v>M</v>
          </cell>
          <cell r="E351">
            <v>3470</v>
          </cell>
          <cell r="F351">
            <v>0</v>
          </cell>
          <cell r="H351">
            <v>479</v>
          </cell>
          <cell r="I351">
            <v>3470</v>
          </cell>
          <cell r="J351">
            <v>479</v>
          </cell>
          <cell r="L351">
            <v>479</v>
          </cell>
        </row>
        <row r="352">
          <cell r="A352">
            <v>3207</v>
          </cell>
          <cell r="B352" t="str">
            <v>스테인레스관 (K형)</v>
          </cell>
          <cell r="C352" t="str">
            <v>25Ø</v>
          </cell>
          <cell r="D352" t="str">
            <v>M</v>
          </cell>
          <cell r="E352">
            <v>2500</v>
          </cell>
          <cell r="F352">
            <v>0</v>
          </cell>
          <cell r="H352">
            <v>479</v>
          </cell>
          <cell r="I352">
            <v>2500</v>
          </cell>
          <cell r="J352">
            <v>479</v>
          </cell>
          <cell r="L352">
            <v>479</v>
          </cell>
        </row>
        <row r="353">
          <cell r="A353">
            <v>3208</v>
          </cell>
          <cell r="B353" t="str">
            <v>스테인레스관 (K형)</v>
          </cell>
          <cell r="C353" t="str">
            <v>20Ø</v>
          </cell>
          <cell r="D353" t="str">
            <v>M</v>
          </cell>
          <cell r="E353">
            <v>2000</v>
          </cell>
          <cell r="F353">
            <v>0</v>
          </cell>
          <cell r="H353">
            <v>479</v>
          </cell>
          <cell r="I353">
            <v>2000</v>
          </cell>
          <cell r="J353">
            <v>479</v>
          </cell>
          <cell r="L353">
            <v>479</v>
          </cell>
        </row>
        <row r="354">
          <cell r="A354">
            <v>3209</v>
          </cell>
          <cell r="B354" t="str">
            <v>스테인레스관 (K형)</v>
          </cell>
          <cell r="C354" t="str">
            <v>13Ø</v>
          </cell>
          <cell r="D354" t="str">
            <v>M</v>
          </cell>
          <cell r="E354">
            <v>1280</v>
          </cell>
          <cell r="F354">
            <v>0</v>
          </cell>
          <cell r="H354">
            <v>479</v>
          </cell>
          <cell r="I354">
            <v>1280</v>
          </cell>
          <cell r="J354">
            <v>479</v>
          </cell>
          <cell r="L354">
            <v>479</v>
          </cell>
        </row>
        <row r="355">
          <cell r="A355">
            <v>3211</v>
          </cell>
          <cell r="B355" t="str">
            <v>엘보 (용접식 S20S)</v>
          </cell>
          <cell r="C355" t="str">
            <v>100Ø</v>
          </cell>
          <cell r="D355" t="str">
            <v>개</v>
          </cell>
          <cell r="E355">
            <v>18400</v>
          </cell>
          <cell r="F355">
            <v>0</v>
          </cell>
          <cell r="H355">
            <v>482</v>
          </cell>
          <cell r="I355">
            <v>18400</v>
          </cell>
          <cell r="J355">
            <v>482</v>
          </cell>
          <cell r="L355">
            <v>482</v>
          </cell>
        </row>
        <row r="356">
          <cell r="A356">
            <v>3212</v>
          </cell>
          <cell r="B356" t="str">
            <v>엘보 (용접식 S20S)</v>
          </cell>
          <cell r="C356" t="str">
            <v>80Ø</v>
          </cell>
          <cell r="D356" t="str">
            <v>개</v>
          </cell>
          <cell r="E356">
            <v>11200</v>
          </cell>
          <cell r="F356">
            <v>0</v>
          </cell>
          <cell r="H356">
            <v>482</v>
          </cell>
          <cell r="I356">
            <v>11200</v>
          </cell>
          <cell r="J356">
            <v>482</v>
          </cell>
          <cell r="L356">
            <v>482</v>
          </cell>
        </row>
        <row r="357">
          <cell r="A357">
            <v>3213</v>
          </cell>
          <cell r="B357" t="str">
            <v>엘보 (SR죠인트)</v>
          </cell>
          <cell r="C357" t="str">
            <v>60Ø</v>
          </cell>
          <cell r="D357" t="str">
            <v>개</v>
          </cell>
          <cell r="E357">
            <v>11510</v>
          </cell>
          <cell r="F357">
            <v>0</v>
          </cell>
          <cell r="H357">
            <v>486</v>
          </cell>
          <cell r="I357">
            <v>11510</v>
          </cell>
          <cell r="J357">
            <v>486</v>
          </cell>
          <cell r="L357">
            <v>486</v>
          </cell>
        </row>
        <row r="358">
          <cell r="A358">
            <v>3214</v>
          </cell>
          <cell r="B358" t="str">
            <v>엘보 (SR죠인트)</v>
          </cell>
          <cell r="C358" t="str">
            <v>50Ø</v>
          </cell>
          <cell r="D358" t="str">
            <v>개</v>
          </cell>
          <cell r="E358">
            <v>9030</v>
          </cell>
          <cell r="F358">
            <v>0</v>
          </cell>
          <cell r="H358">
            <v>486</v>
          </cell>
          <cell r="I358">
            <v>9030</v>
          </cell>
          <cell r="J358">
            <v>486</v>
          </cell>
          <cell r="L358">
            <v>486</v>
          </cell>
        </row>
        <row r="359">
          <cell r="A359">
            <v>3215</v>
          </cell>
          <cell r="B359" t="str">
            <v>엘보 (SR죠인트)</v>
          </cell>
          <cell r="C359" t="str">
            <v>40Ø</v>
          </cell>
          <cell r="D359" t="str">
            <v>개</v>
          </cell>
          <cell r="E359">
            <v>6810</v>
          </cell>
          <cell r="F359">
            <v>0</v>
          </cell>
          <cell r="H359">
            <v>486</v>
          </cell>
          <cell r="I359">
            <v>6810</v>
          </cell>
          <cell r="J359">
            <v>486</v>
          </cell>
          <cell r="L359">
            <v>486</v>
          </cell>
        </row>
        <row r="360">
          <cell r="A360">
            <v>3216</v>
          </cell>
          <cell r="B360" t="str">
            <v>엘보 (SR죠인트)</v>
          </cell>
          <cell r="C360" t="str">
            <v>30Ø</v>
          </cell>
          <cell r="D360" t="str">
            <v>개</v>
          </cell>
          <cell r="E360">
            <v>5510</v>
          </cell>
          <cell r="F360">
            <v>0</v>
          </cell>
          <cell r="H360">
            <v>486</v>
          </cell>
          <cell r="I360">
            <v>5510</v>
          </cell>
          <cell r="J360">
            <v>486</v>
          </cell>
          <cell r="L360">
            <v>486</v>
          </cell>
        </row>
        <row r="361">
          <cell r="A361">
            <v>3217</v>
          </cell>
          <cell r="B361" t="str">
            <v>엘보 (SR죠인트)</v>
          </cell>
          <cell r="C361" t="str">
            <v>25Ø</v>
          </cell>
          <cell r="D361" t="str">
            <v>개</v>
          </cell>
          <cell r="E361">
            <v>2580</v>
          </cell>
          <cell r="F361">
            <v>0</v>
          </cell>
          <cell r="H361">
            <v>486</v>
          </cell>
          <cell r="I361">
            <v>2580</v>
          </cell>
          <cell r="J361">
            <v>486</v>
          </cell>
          <cell r="L361">
            <v>486</v>
          </cell>
        </row>
        <row r="362">
          <cell r="A362">
            <v>3218</v>
          </cell>
          <cell r="B362" t="str">
            <v>엘보 (SR죠인트)</v>
          </cell>
          <cell r="C362" t="str">
            <v>20Ø</v>
          </cell>
          <cell r="D362" t="str">
            <v>개</v>
          </cell>
          <cell r="E362">
            <v>1980</v>
          </cell>
          <cell r="F362">
            <v>0</v>
          </cell>
          <cell r="H362">
            <v>486</v>
          </cell>
          <cell r="I362">
            <v>1980</v>
          </cell>
          <cell r="J362">
            <v>486</v>
          </cell>
          <cell r="L362">
            <v>486</v>
          </cell>
        </row>
        <row r="363">
          <cell r="A363">
            <v>3219</v>
          </cell>
          <cell r="B363" t="str">
            <v>엘보 (SR죠인트)</v>
          </cell>
          <cell r="C363" t="str">
            <v>13Ø</v>
          </cell>
          <cell r="D363" t="str">
            <v>개</v>
          </cell>
          <cell r="E363">
            <v>1370</v>
          </cell>
          <cell r="F363">
            <v>0</v>
          </cell>
          <cell r="H363">
            <v>486</v>
          </cell>
          <cell r="I363">
            <v>1370</v>
          </cell>
          <cell r="J363">
            <v>486</v>
          </cell>
          <cell r="L363">
            <v>486</v>
          </cell>
        </row>
        <row r="364">
          <cell r="A364">
            <v>3221</v>
          </cell>
          <cell r="B364" t="str">
            <v>티 (용접식 S20S)</v>
          </cell>
          <cell r="C364" t="str">
            <v>100Ø</v>
          </cell>
          <cell r="D364" t="str">
            <v>개</v>
          </cell>
          <cell r="E364">
            <v>26720</v>
          </cell>
          <cell r="F364">
            <v>0</v>
          </cell>
          <cell r="H364">
            <v>482</v>
          </cell>
          <cell r="I364">
            <v>26720</v>
          </cell>
          <cell r="J364">
            <v>482</v>
          </cell>
          <cell r="L364">
            <v>482</v>
          </cell>
        </row>
        <row r="365">
          <cell r="A365">
            <v>3222</v>
          </cell>
          <cell r="B365" t="str">
            <v>티 (용접식 S20S)</v>
          </cell>
          <cell r="C365" t="str">
            <v>80Ø</v>
          </cell>
          <cell r="D365" t="str">
            <v>개</v>
          </cell>
          <cell r="E365">
            <v>17760</v>
          </cell>
          <cell r="F365">
            <v>0</v>
          </cell>
          <cell r="H365">
            <v>482</v>
          </cell>
          <cell r="I365">
            <v>17760</v>
          </cell>
          <cell r="J365">
            <v>482</v>
          </cell>
          <cell r="L365">
            <v>482</v>
          </cell>
        </row>
        <row r="366">
          <cell r="A366">
            <v>3223</v>
          </cell>
          <cell r="B366" t="str">
            <v>티 (SR죠인트)</v>
          </cell>
          <cell r="C366" t="str">
            <v>60Ø</v>
          </cell>
          <cell r="D366" t="str">
            <v>개</v>
          </cell>
          <cell r="E366">
            <v>23310</v>
          </cell>
          <cell r="F366">
            <v>0</v>
          </cell>
          <cell r="H366">
            <v>486</v>
          </cell>
          <cell r="I366">
            <v>23310</v>
          </cell>
          <cell r="J366">
            <v>486</v>
          </cell>
          <cell r="L366">
            <v>486</v>
          </cell>
        </row>
        <row r="367">
          <cell r="A367">
            <v>3224</v>
          </cell>
          <cell r="B367" t="str">
            <v>티 (SR죠인트)</v>
          </cell>
          <cell r="C367" t="str">
            <v>50Ø</v>
          </cell>
          <cell r="D367" t="str">
            <v>개</v>
          </cell>
          <cell r="E367">
            <v>20850</v>
          </cell>
          <cell r="F367">
            <v>0</v>
          </cell>
          <cell r="H367">
            <v>486</v>
          </cell>
          <cell r="I367">
            <v>20850</v>
          </cell>
          <cell r="J367">
            <v>486</v>
          </cell>
          <cell r="L367">
            <v>486</v>
          </cell>
        </row>
        <row r="368">
          <cell r="A368">
            <v>3225</v>
          </cell>
          <cell r="B368" t="str">
            <v>티 (SR죠인트)</v>
          </cell>
          <cell r="C368" t="str">
            <v>40Ø</v>
          </cell>
          <cell r="D368" t="str">
            <v>개</v>
          </cell>
          <cell r="E368">
            <v>15610</v>
          </cell>
          <cell r="F368">
            <v>0</v>
          </cell>
          <cell r="H368">
            <v>486</v>
          </cell>
          <cell r="I368">
            <v>15610</v>
          </cell>
          <cell r="J368">
            <v>486</v>
          </cell>
          <cell r="L368">
            <v>486</v>
          </cell>
        </row>
        <row r="369">
          <cell r="A369">
            <v>3226</v>
          </cell>
          <cell r="B369" t="str">
            <v>티 (SR죠인트)</v>
          </cell>
          <cell r="C369" t="str">
            <v>30Ø</v>
          </cell>
          <cell r="D369" t="str">
            <v>개</v>
          </cell>
          <cell r="E369">
            <v>12120</v>
          </cell>
          <cell r="F369">
            <v>0</v>
          </cell>
          <cell r="H369">
            <v>486</v>
          </cell>
          <cell r="I369">
            <v>12120</v>
          </cell>
          <cell r="J369">
            <v>486</v>
          </cell>
          <cell r="L369">
            <v>486</v>
          </cell>
        </row>
        <row r="370">
          <cell r="A370">
            <v>3227</v>
          </cell>
          <cell r="B370" t="str">
            <v>티 (SR죠인트)</v>
          </cell>
          <cell r="C370" t="str">
            <v>25Ø</v>
          </cell>
          <cell r="D370" t="str">
            <v>개</v>
          </cell>
          <cell r="E370">
            <v>7620</v>
          </cell>
          <cell r="F370">
            <v>0</v>
          </cell>
          <cell r="H370">
            <v>486</v>
          </cell>
          <cell r="I370">
            <v>7620</v>
          </cell>
          <cell r="J370">
            <v>486</v>
          </cell>
          <cell r="L370">
            <v>486</v>
          </cell>
        </row>
        <row r="371">
          <cell r="A371">
            <v>3228</v>
          </cell>
          <cell r="B371" t="str">
            <v>티 (SR죠인트)</v>
          </cell>
          <cell r="C371" t="str">
            <v>20Ø</v>
          </cell>
          <cell r="D371" t="str">
            <v>개</v>
          </cell>
          <cell r="E371">
            <v>5070</v>
          </cell>
          <cell r="F371">
            <v>0</v>
          </cell>
          <cell r="H371">
            <v>486</v>
          </cell>
          <cell r="I371">
            <v>5070</v>
          </cell>
          <cell r="J371">
            <v>486</v>
          </cell>
          <cell r="L371">
            <v>486</v>
          </cell>
        </row>
        <row r="372">
          <cell r="A372">
            <v>3229</v>
          </cell>
          <cell r="B372" t="str">
            <v>티 (SR죠인트)</v>
          </cell>
          <cell r="C372" t="str">
            <v>13Ø</v>
          </cell>
          <cell r="D372" t="str">
            <v>개</v>
          </cell>
          <cell r="E372">
            <v>3470</v>
          </cell>
          <cell r="F372">
            <v>0</v>
          </cell>
          <cell r="H372">
            <v>486</v>
          </cell>
          <cell r="I372">
            <v>3470</v>
          </cell>
          <cell r="J372">
            <v>486</v>
          </cell>
          <cell r="L372">
            <v>486</v>
          </cell>
        </row>
        <row r="373">
          <cell r="A373">
            <v>3232</v>
          </cell>
          <cell r="B373" t="str">
            <v>레듀샤 (용접식 S20S)</v>
          </cell>
          <cell r="C373" t="str">
            <v>100Ø</v>
          </cell>
          <cell r="D373" t="str">
            <v>개</v>
          </cell>
          <cell r="E373">
            <v>15200</v>
          </cell>
          <cell r="F373">
            <v>0</v>
          </cell>
          <cell r="H373">
            <v>482</v>
          </cell>
          <cell r="I373">
            <v>15200</v>
          </cell>
          <cell r="J373">
            <v>482</v>
          </cell>
          <cell r="L373">
            <v>482</v>
          </cell>
        </row>
        <row r="374">
          <cell r="A374">
            <v>3232</v>
          </cell>
          <cell r="B374" t="str">
            <v>레듀샤 (용접식 S20S)</v>
          </cell>
          <cell r="C374" t="str">
            <v>80Ø</v>
          </cell>
          <cell r="D374" t="str">
            <v>개</v>
          </cell>
          <cell r="E374">
            <v>10640</v>
          </cell>
          <cell r="F374">
            <v>0</v>
          </cell>
          <cell r="H374">
            <v>482</v>
          </cell>
          <cell r="I374">
            <v>10640</v>
          </cell>
          <cell r="J374">
            <v>482</v>
          </cell>
          <cell r="L374">
            <v>482</v>
          </cell>
        </row>
        <row r="375">
          <cell r="A375">
            <v>3233</v>
          </cell>
          <cell r="B375" t="str">
            <v>레듀샤 (SR죠인트)</v>
          </cell>
          <cell r="C375" t="str">
            <v>60Ø</v>
          </cell>
          <cell r="D375" t="str">
            <v>개</v>
          </cell>
          <cell r="E375">
            <v>13000</v>
          </cell>
          <cell r="F375">
            <v>0</v>
          </cell>
          <cell r="H375">
            <v>486</v>
          </cell>
          <cell r="I375">
            <v>13000</v>
          </cell>
          <cell r="J375">
            <v>486</v>
          </cell>
          <cell r="L375">
            <v>486</v>
          </cell>
        </row>
        <row r="376">
          <cell r="A376">
            <v>3234</v>
          </cell>
          <cell r="B376" t="str">
            <v>레듀샤 (SR죠인트)</v>
          </cell>
          <cell r="C376" t="str">
            <v>50Ø</v>
          </cell>
          <cell r="D376" t="str">
            <v>개</v>
          </cell>
          <cell r="E376">
            <v>11150</v>
          </cell>
          <cell r="F376">
            <v>0</v>
          </cell>
          <cell r="H376">
            <v>486</v>
          </cell>
          <cell r="I376">
            <v>11150</v>
          </cell>
          <cell r="J376">
            <v>486</v>
          </cell>
          <cell r="L376">
            <v>486</v>
          </cell>
        </row>
        <row r="377">
          <cell r="A377">
            <v>3235</v>
          </cell>
          <cell r="B377" t="str">
            <v>레듀샤 (SR죠인트)</v>
          </cell>
          <cell r="C377" t="str">
            <v>40Ø</v>
          </cell>
          <cell r="D377" t="str">
            <v>개</v>
          </cell>
          <cell r="E377">
            <v>9170</v>
          </cell>
          <cell r="F377">
            <v>0</v>
          </cell>
          <cell r="H377">
            <v>486</v>
          </cell>
          <cell r="I377">
            <v>9170</v>
          </cell>
          <cell r="J377">
            <v>486</v>
          </cell>
          <cell r="L377">
            <v>486</v>
          </cell>
        </row>
        <row r="378">
          <cell r="A378">
            <v>3236</v>
          </cell>
          <cell r="B378" t="str">
            <v>레듀샤 (SR죠인트)</v>
          </cell>
          <cell r="C378" t="str">
            <v>30Ø</v>
          </cell>
          <cell r="D378" t="str">
            <v>개</v>
          </cell>
          <cell r="E378">
            <v>7080</v>
          </cell>
          <cell r="F378">
            <v>0</v>
          </cell>
          <cell r="H378">
            <v>486</v>
          </cell>
          <cell r="I378">
            <v>7080</v>
          </cell>
          <cell r="J378">
            <v>486</v>
          </cell>
          <cell r="L378">
            <v>486</v>
          </cell>
        </row>
        <row r="379">
          <cell r="A379">
            <v>3237</v>
          </cell>
          <cell r="B379" t="str">
            <v>레듀샤 (SR죠인트)</v>
          </cell>
          <cell r="C379" t="str">
            <v>25Ø</v>
          </cell>
          <cell r="D379" t="str">
            <v>개</v>
          </cell>
          <cell r="E379">
            <v>3830</v>
          </cell>
          <cell r="F379">
            <v>0</v>
          </cell>
          <cell r="H379">
            <v>486</v>
          </cell>
          <cell r="I379">
            <v>3830</v>
          </cell>
          <cell r="J379">
            <v>486</v>
          </cell>
          <cell r="L379">
            <v>486</v>
          </cell>
        </row>
        <row r="380">
          <cell r="A380">
            <v>3238</v>
          </cell>
          <cell r="B380" t="str">
            <v>레듀샤 (SR죠인트)</v>
          </cell>
          <cell r="C380" t="str">
            <v>20Ø</v>
          </cell>
          <cell r="D380" t="str">
            <v>개</v>
          </cell>
          <cell r="E380">
            <v>2210</v>
          </cell>
          <cell r="F380">
            <v>0</v>
          </cell>
          <cell r="H380">
            <v>486</v>
          </cell>
          <cell r="I380">
            <v>2210</v>
          </cell>
          <cell r="J380">
            <v>486</v>
          </cell>
          <cell r="L380">
            <v>486</v>
          </cell>
        </row>
        <row r="381">
          <cell r="A381">
            <v>3241</v>
          </cell>
          <cell r="B381" t="str">
            <v>소켓 (SR죠인트)</v>
          </cell>
          <cell r="C381" t="str">
            <v>60Ø</v>
          </cell>
          <cell r="D381" t="str">
            <v>개</v>
          </cell>
          <cell r="E381">
            <v>8820</v>
          </cell>
          <cell r="F381">
            <v>0</v>
          </cell>
          <cell r="H381">
            <v>486</v>
          </cell>
          <cell r="I381">
            <v>8820</v>
          </cell>
          <cell r="J381">
            <v>486</v>
          </cell>
          <cell r="L381">
            <v>486</v>
          </cell>
        </row>
        <row r="382">
          <cell r="A382">
            <v>3242</v>
          </cell>
          <cell r="B382" t="str">
            <v>소켓 (SR죠인트)</v>
          </cell>
          <cell r="C382" t="str">
            <v>50Ø</v>
          </cell>
          <cell r="D382" t="str">
            <v>개</v>
          </cell>
          <cell r="E382">
            <v>7660</v>
          </cell>
          <cell r="F382">
            <v>0</v>
          </cell>
          <cell r="H382">
            <v>486</v>
          </cell>
          <cell r="I382">
            <v>7660</v>
          </cell>
          <cell r="J382">
            <v>486</v>
          </cell>
          <cell r="L382">
            <v>486</v>
          </cell>
        </row>
        <row r="383">
          <cell r="A383">
            <v>3243</v>
          </cell>
          <cell r="B383" t="str">
            <v>소켓 (SR죠인트)</v>
          </cell>
          <cell r="C383" t="str">
            <v>40Ø</v>
          </cell>
          <cell r="D383" t="str">
            <v>개</v>
          </cell>
          <cell r="E383">
            <v>5140</v>
          </cell>
          <cell r="F383">
            <v>0</v>
          </cell>
          <cell r="H383">
            <v>486</v>
          </cell>
          <cell r="I383">
            <v>5140</v>
          </cell>
          <cell r="J383">
            <v>486</v>
          </cell>
          <cell r="L383">
            <v>486</v>
          </cell>
        </row>
        <row r="384">
          <cell r="A384">
            <v>3244</v>
          </cell>
          <cell r="B384" t="str">
            <v>소켓 (SR죠인트)</v>
          </cell>
          <cell r="C384" t="str">
            <v>30Ø</v>
          </cell>
          <cell r="D384" t="str">
            <v>개</v>
          </cell>
          <cell r="E384">
            <v>3960</v>
          </cell>
          <cell r="F384">
            <v>0</v>
          </cell>
          <cell r="H384">
            <v>486</v>
          </cell>
          <cell r="I384">
            <v>3960</v>
          </cell>
          <cell r="J384">
            <v>486</v>
          </cell>
          <cell r="L384">
            <v>486</v>
          </cell>
        </row>
        <row r="385">
          <cell r="A385">
            <v>3245</v>
          </cell>
          <cell r="B385" t="str">
            <v>소켓 (SR죠인트)</v>
          </cell>
          <cell r="C385" t="str">
            <v>25Ø</v>
          </cell>
          <cell r="D385" t="str">
            <v>개</v>
          </cell>
          <cell r="E385">
            <v>2130</v>
          </cell>
          <cell r="F385">
            <v>0</v>
          </cell>
          <cell r="H385">
            <v>486</v>
          </cell>
          <cell r="I385">
            <v>2130</v>
          </cell>
          <cell r="J385">
            <v>486</v>
          </cell>
          <cell r="L385">
            <v>486</v>
          </cell>
        </row>
        <row r="386">
          <cell r="A386">
            <v>3246</v>
          </cell>
          <cell r="B386" t="str">
            <v>소켓 (SR죠인트)</v>
          </cell>
          <cell r="C386" t="str">
            <v>20Ø</v>
          </cell>
          <cell r="D386" t="str">
            <v>개</v>
          </cell>
          <cell r="E386">
            <v>1570</v>
          </cell>
          <cell r="F386">
            <v>0</v>
          </cell>
          <cell r="H386">
            <v>486</v>
          </cell>
          <cell r="I386">
            <v>1570</v>
          </cell>
          <cell r="J386">
            <v>486</v>
          </cell>
          <cell r="L386">
            <v>486</v>
          </cell>
        </row>
        <row r="387">
          <cell r="A387">
            <v>3247</v>
          </cell>
          <cell r="B387" t="str">
            <v>소켓 (SR죠인트)</v>
          </cell>
          <cell r="C387" t="str">
            <v>13Ø</v>
          </cell>
          <cell r="D387" t="str">
            <v>개</v>
          </cell>
          <cell r="E387">
            <v>1250</v>
          </cell>
          <cell r="F387">
            <v>0</v>
          </cell>
          <cell r="H387">
            <v>486</v>
          </cell>
          <cell r="I387">
            <v>1250</v>
          </cell>
          <cell r="J387">
            <v>486</v>
          </cell>
          <cell r="L387">
            <v>486</v>
          </cell>
        </row>
        <row r="388">
          <cell r="A388">
            <v>3251</v>
          </cell>
          <cell r="B388" t="str">
            <v>캡 (용접식 S20S)</v>
          </cell>
          <cell r="C388" t="str">
            <v>100Ø</v>
          </cell>
          <cell r="D388" t="str">
            <v>개</v>
          </cell>
          <cell r="E388">
            <v>8960</v>
          </cell>
          <cell r="F388">
            <v>0</v>
          </cell>
          <cell r="H388">
            <v>482</v>
          </cell>
          <cell r="I388">
            <v>8960</v>
          </cell>
          <cell r="J388">
            <v>482</v>
          </cell>
          <cell r="L388">
            <v>482</v>
          </cell>
        </row>
        <row r="389">
          <cell r="A389">
            <v>3252</v>
          </cell>
          <cell r="B389" t="str">
            <v>캡 (용접식 S20S)</v>
          </cell>
          <cell r="C389" t="str">
            <v>80Ø</v>
          </cell>
          <cell r="D389" t="str">
            <v>개</v>
          </cell>
          <cell r="E389">
            <v>6110</v>
          </cell>
          <cell r="F389">
            <v>0</v>
          </cell>
          <cell r="H389">
            <v>482</v>
          </cell>
          <cell r="I389">
            <v>6110</v>
          </cell>
          <cell r="J389">
            <v>482</v>
          </cell>
          <cell r="L389">
            <v>482</v>
          </cell>
        </row>
        <row r="390">
          <cell r="A390">
            <v>3253</v>
          </cell>
          <cell r="B390" t="str">
            <v>캡 (SR죠인트)</v>
          </cell>
          <cell r="C390" t="str">
            <v>60Ø</v>
          </cell>
          <cell r="D390" t="str">
            <v>개</v>
          </cell>
          <cell r="E390">
            <v>10600</v>
          </cell>
          <cell r="F390">
            <v>0</v>
          </cell>
          <cell r="H390">
            <v>486</v>
          </cell>
          <cell r="I390">
            <v>10600</v>
          </cell>
          <cell r="J390">
            <v>486</v>
          </cell>
          <cell r="L390">
            <v>486</v>
          </cell>
        </row>
        <row r="391">
          <cell r="A391">
            <v>3254</v>
          </cell>
          <cell r="B391" t="str">
            <v>캡 (SR죠인트)</v>
          </cell>
          <cell r="C391" t="str">
            <v>50Ø</v>
          </cell>
          <cell r="D391" t="str">
            <v>개</v>
          </cell>
          <cell r="E391">
            <v>8430</v>
          </cell>
          <cell r="F391">
            <v>0</v>
          </cell>
          <cell r="H391">
            <v>486</v>
          </cell>
          <cell r="I391">
            <v>8430</v>
          </cell>
          <cell r="J391">
            <v>486</v>
          </cell>
          <cell r="L391">
            <v>486</v>
          </cell>
        </row>
        <row r="392">
          <cell r="A392">
            <v>3255</v>
          </cell>
          <cell r="B392" t="str">
            <v>캡 (SR죠인트)</v>
          </cell>
          <cell r="C392" t="str">
            <v>40Ø</v>
          </cell>
          <cell r="D392" t="str">
            <v>개</v>
          </cell>
          <cell r="E392">
            <v>7610</v>
          </cell>
          <cell r="F392">
            <v>0</v>
          </cell>
          <cell r="H392">
            <v>486</v>
          </cell>
          <cell r="I392">
            <v>7610</v>
          </cell>
          <cell r="J392">
            <v>486</v>
          </cell>
          <cell r="L392">
            <v>486</v>
          </cell>
        </row>
        <row r="393">
          <cell r="A393">
            <v>3256</v>
          </cell>
          <cell r="B393" t="str">
            <v>캡 (SR죠인트)</v>
          </cell>
          <cell r="C393" t="str">
            <v>30Ø</v>
          </cell>
          <cell r="D393" t="str">
            <v>개</v>
          </cell>
          <cell r="E393">
            <v>5430</v>
          </cell>
          <cell r="F393">
            <v>0</v>
          </cell>
          <cell r="H393">
            <v>486</v>
          </cell>
          <cell r="I393">
            <v>5430</v>
          </cell>
          <cell r="J393">
            <v>486</v>
          </cell>
          <cell r="L393">
            <v>486</v>
          </cell>
        </row>
        <row r="394">
          <cell r="A394">
            <v>3257</v>
          </cell>
          <cell r="B394" t="str">
            <v>캡 (SR죠인트)</v>
          </cell>
          <cell r="C394" t="str">
            <v>25Ø</v>
          </cell>
          <cell r="D394" t="str">
            <v>개</v>
          </cell>
          <cell r="E394">
            <v>3050</v>
          </cell>
          <cell r="F394">
            <v>0</v>
          </cell>
          <cell r="H394">
            <v>486</v>
          </cell>
          <cell r="I394">
            <v>3050</v>
          </cell>
          <cell r="J394">
            <v>486</v>
          </cell>
          <cell r="L394">
            <v>486</v>
          </cell>
        </row>
        <row r="395">
          <cell r="A395">
            <v>3258</v>
          </cell>
          <cell r="B395" t="str">
            <v>캡 (SR죠인트)</v>
          </cell>
          <cell r="C395" t="str">
            <v>20Ø</v>
          </cell>
          <cell r="D395" t="str">
            <v>개</v>
          </cell>
          <cell r="E395">
            <v>2340</v>
          </cell>
          <cell r="F395">
            <v>0</v>
          </cell>
          <cell r="H395">
            <v>486</v>
          </cell>
          <cell r="I395">
            <v>2340</v>
          </cell>
          <cell r="J395">
            <v>486</v>
          </cell>
          <cell r="L395">
            <v>486</v>
          </cell>
        </row>
        <row r="396">
          <cell r="A396">
            <v>3259</v>
          </cell>
          <cell r="B396" t="str">
            <v>캡 (SR죠인트)</v>
          </cell>
          <cell r="C396" t="str">
            <v>13Ø</v>
          </cell>
          <cell r="D396" t="str">
            <v>개</v>
          </cell>
          <cell r="E396">
            <v>1920</v>
          </cell>
          <cell r="F396">
            <v>0</v>
          </cell>
          <cell r="H396">
            <v>486</v>
          </cell>
          <cell r="I396">
            <v>1920</v>
          </cell>
          <cell r="J396">
            <v>486</v>
          </cell>
          <cell r="L396">
            <v>486</v>
          </cell>
        </row>
        <row r="397">
          <cell r="A397">
            <v>3261</v>
          </cell>
          <cell r="B397" t="str">
            <v>SUS용접 합 후렌지</v>
          </cell>
          <cell r="C397" t="str">
            <v>100Ø</v>
          </cell>
          <cell r="D397" t="str">
            <v>개</v>
          </cell>
          <cell r="E397">
            <v>12300</v>
          </cell>
          <cell r="F397">
            <v>0</v>
          </cell>
          <cell r="H397">
            <v>0</v>
          </cell>
          <cell r="I397">
            <v>12300</v>
          </cell>
          <cell r="J397">
            <v>0</v>
          </cell>
          <cell r="L397">
            <v>0</v>
          </cell>
        </row>
        <row r="398">
          <cell r="A398">
            <v>3262</v>
          </cell>
          <cell r="B398" t="str">
            <v>SUS용접 합 후렌지</v>
          </cell>
          <cell r="C398" t="str">
            <v>80Ø</v>
          </cell>
          <cell r="D398" t="str">
            <v>개</v>
          </cell>
          <cell r="E398">
            <v>10300</v>
          </cell>
          <cell r="F398">
            <v>0</v>
          </cell>
          <cell r="H398">
            <v>0</v>
          </cell>
          <cell r="I398">
            <v>10300</v>
          </cell>
          <cell r="J398">
            <v>0</v>
          </cell>
          <cell r="L398">
            <v>0</v>
          </cell>
        </row>
        <row r="399">
          <cell r="A399">
            <v>3263</v>
          </cell>
          <cell r="B399" t="str">
            <v>유니온 (SR죠인트)</v>
          </cell>
          <cell r="C399" t="str">
            <v>60Ø</v>
          </cell>
          <cell r="D399" t="str">
            <v>개</v>
          </cell>
          <cell r="E399">
            <v>17460</v>
          </cell>
          <cell r="F399">
            <v>0</v>
          </cell>
          <cell r="H399">
            <v>486</v>
          </cell>
          <cell r="I399">
            <v>17460</v>
          </cell>
          <cell r="J399">
            <v>486</v>
          </cell>
          <cell r="L399">
            <v>486</v>
          </cell>
        </row>
        <row r="400">
          <cell r="A400">
            <v>3264</v>
          </cell>
          <cell r="B400" t="str">
            <v>유니온 (SR죠인트)</v>
          </cell>
          <cell r="C400" t="str">
            <v>50Ø</v>
          </cell>
          <cell r="D400" t="str">
            <v>개</v>
          </cell>
          <cell r="E400">
            <v>14000</v>
          </cell>
          <cell r="F400">
            <v>0</v>
          </cell>
          <cell r="H400">
            <v>486</v>
          </cell>
          <cell r="I400">
            <v>14000</v>
          </cell>
          <cell r="J400">
            <v>486</v>
          </cell>
          <cell r="L400">
            <v>486</v>
          </cell>
        </row>
        <row r="401">
          <cell r="A401">
            <v>3265</v>
          </cell>
          <cell r="B401" t="str">
            <v>유니온 (SR죠인트)</v>
          </cell>
          <cell r="C401" t="str">
            <v>40Ø</v>
          </cell>
          <cell r="D401" t="str">
            <v>개</v>
          </cell>
          <cell r="E401">
            <v>10470</v>
          </cell>
          <cell r="F401">
            <v>0</v>
          </cell>
          <cell r="H401">
            <v>486</v>
          </cell>
          <cell r="I401">
            <v>10470</v>
          </cell>
          <cell r="J401">
            <v>486</v>
          </cell>
          <cell r="L401">
            <v>486</v>
          </cell>
        </row>
        <row r="402">
          <cell r="A402">
            <v>3266</v>
          </cell>
          <cell r="B402" t="str">
            <v>유니온 (SR죠인트)</v>
          </cell>
          <cell r="C402" t="str">
            <v>30Ø</v>
          </cell>
          <cell r="D402" t="str">
            <v>개</v>
          </cell>
          <cell r="E402">
            <v>6980</v>
          </cell>
          <cell r="F402">
            <v>0</v>
          </cell>
          <cell r="H402">
            <v>486</v>
          </cell>
          <cell r="I402">
            <v>6980</v>
          </cell>
          <cell r="J402">
            <v>486</v>
          </cell>
          <cell r="L402">
            <v>486</v>
          </cell>
        </row>
        <row r="403">
          <cell r="A403">
            <v>3267</v>
          </cell>
          <cell r="B403" t="str">
            <v>유니온 (SR죠인트)</v>
          </cell>
          <cell r="C403" t="str">
            <v>25Ø</v>
          </cell>
          <cell r="D403" t="str">
            <v>개</v>
          </cell>
          <cell r="E403">
            <v>4660</v>
          </cell>
          <cell r="F403">
            <v>0</v>
          </cell>
          <cell r="H403">
            <v>486</v>
          </cell>
          <cell r="I403">
            <v>4660</v>
          </cell>
          <cell r="J403">
            <v>486</v>
          </cell>
          <cell r="L403">
            <v>486</v>
          </cell>
        </row>
        <row r="404">
          <cell r="A404">
            <v>3268</v>
          </cell>
          <cell r="B404" t="str">
            <v>유니온 (SR죠인트)</v>
          </cell>
          <cell r="C404" t="str">
            <v>20Ø</v>
          </cell>
          <cell r="D404" t="str">
            <v>개</v>
          </cell>
          <cell r="E404">
            <v>3490</v>
          </cell>
          <cell r="F404">
            <v>0</v>
          </cell>
          <cell r="H404">
            <v>486</v>
          </cell>
          <cell r="I404">
            <v>3490</v>
          </cell>
          <cell r="J404">
            <v>486</v>
          </cell>
          <cell r="L404">
            <v>486</v>
          </cell>
        </row>
        <row r="405">
          <cell r="A405">
            <v>3269</v>
          </cell>
          <cell r="B405" t="str">
            <v>유니온 (SR죠인트)</v>
          </cell>
          <cell r="C405" t="str">
            <v>13Ø</v>
          </cell>
          <cell r="D405" t="str">
            <v>개</v>
          </cell>
          <cell r="E405">
            <v>2330</v>
          </cell>
          <cell r="F405">
            <v>0</v>
          </cell>
          <cell r="H405">
            <v>486</v>
          </cell>
          <cell r="I405">
            <v>2330</v>
          </cell>
          <cell r="J405">
            <v>486</v>
          </cell>
          <cell r="L405">
            <v>486</v>
          </cell>
        </row>
        <row r="406">
          <cell r="A406">
            <v>3271</v>
          </cell>
          <cell r="B406" t="str">
            <v>밸브소켓 (SR죠인트)</v>
          </cell>
          <cell r="C406" t="str">
            <v>60Ø</v>
          </cell>
          <cell r="D406" t="str">
            <v>개</v>
          </cell>
          <cell r="E406">
            <v>9200</v>
          </cell>
          <cell r="F406">
            <v>0</v>
          </cell>
          <cell r="H406">
            <v>486</v>
          </cell>
          <cell r="I406">
            <v>9200</v>
          </cell>
          <cell r="J406">
            <v>486</v>
          </cell>
          <cell r="L406">
            <v>486</v>
          </cell>
        </row>
        <row r="407">
          <cell r="A407">
            <v>3272</v>
          </cell>
          <cell r="B407" t="str">
            <v>밸브소켓 (SR죠인트)</v>
          </cell>
          <cell r="C407" t="str">
            <v>50Ø</v>
          </cell>
          <cell r="D407" t="str">
            <v>개</v>
          </cell>
          <cell r="E407">
            <v>7850</v>
          </cell>
          <cell r="F407">
            <v>0</v>
          </cell>
          <cell r="H407">
            <v>486</v>
          </cell>
          <cell r="I407">
            <v>7850</v>
          </cell>
          <cell r="J407">
            <v>486</v>
          </cell>
          <cell r="L407">
            <v>486</v>
          </cell>
        </row>
        <row r="408">
          <cell r="A408">
            <v>3273</v>
          </cell>
          <cell r="B408" t="str">
            <v>밸브소켓 (SR죠인트)</v>
          </cell>
          <cell r="C408" t="str">
            <v>40Ø</v>
          </cell>
          <cell r="D408" t="str">
            <v>개</v>
          </cell>
          <cell r="E408">
            <v>6770</v>
          </cell>
          <cell r="F408">
            <v>0</v>
          </cell>
          <cell r="H408">
            <v>486</v>
          </cell>
          <cell r="I408">
            <v>6770</v>
          </cell>
          <cell r="J408">
            <v>486</v>
          </cell>
          <cell r="L408">
            <v>486</v>
          </cell>
        </row>
        <row r="409">
          <cell r="A409">
            <v>3274</v>
          </cell>
          <cell r="B409" t="str">
            <v>밸브소켓 (SR죠인트)</v>
          </cell>
          <cell r="C409" t="str">
            <v>30Ø</v>
          </cell>
          <cell r="D409" t="str">
            <v>개</v>
          </cell>
          <cell r="E409">
            <v>4630</v>
          </cell>
          <cell r="F409">
            <v>0</v>
          </cell>
          <cell r="H409">
            <v>486</v>
          </cell>
          <cell r="I409">
            <v>4630</v>
          </cell>
          <cell r="J409">
            <v>486</v>
          </cell>
          <cell r="L409">
            <v>486</v>
          </cell>
        </row>
        <row r="410">
          <cell r="A410">
            <v>3275</v>
          </cell>
          <cell r="B410" t="str">
            <v>밸브소켓 (SR죠인트)</v>
          </cell>
          <cell r="C410" t="str">
            <v>25Ø</v>
          </cell>
          <cell r="D410" t="str">
            <v>개</v>
          </cell>
          <cell r="E410">
            <v>2860</v>
          </cell>
          <cell r="F410">
            <v>0</v>
          </cell>
          <cell r="H410">
            <v>486</v>
          </cell>
          <cell r="I410">
            <v>2860</v>
          </cell>
          <cell r="J410">
            <v>486</v>
          </cell>
          <cell r="L410">
            <v>486</v>
          </cell>
        </row>
        <row r="411">
          <cell r="A411">
            <v>3276</v>
          </cell>
          <cell r="B411" t="str">
            <v>밸브소켓 (SR죠인트)</v>
          </cell>
          <cell r="C411" t="str">
            <v>20Ø</v>
          </cell>
          <cell r="D411" t="str">
            <v>개</v>
          </cell>
          <cell r="E411">
            <v>1980</v>
          </cell>
          <cell r="F411">
            <v>0</v>
          </cell>
          <cell r="H411">
            <v>486</v>
          </cell>
          <cell r="I411">
            <v>1980</v>
          </cell>
          <cell r="J411">
            <v>486</v>
          </cell>
          <cell r="L411">
            <v>486</v>
          </cell>
        </row>
        <row r="412">
          <cell r="A412">
            <v>3277</v>
          </cell>
          <cell r="B412" t="str">
            <v>밸브소켓 (SR죠인트)</v>
          </cell>
          <cell r="C412" t="str">
            <v>13Ø</v>
          </cell>
          <cell r="D412" t="str">
            <v>개</v>
          </cell>
          <cell r="E412">
            <v>1260</v>
          </cell>
          <cell r="F412">
            <v>0</v>
          </cell>
          <cell r="H412">
            <v>486</v>
          </cell>
          <cell r="I412">
            <v>1260</v>
          </cell>
          <cell r="J412">
            <v>486</v>
          </cell>
          <cell r="L412">
            <v>486</v>
          </cell>
        </row>
        <row r="413">
          <cell r="A413">
            <v>3281</v>
          </cell>
          <cell r="B413" t="str">
            <v>수전소켓 (SR죠인트)</v>
          </cell>
          <cell r="C413" t="str">
            <v>25Ø</v>
          </cell>
          <cell r="D413" t="str">
            <v>개</v>
          </cell>
          <cell r="E413">
            <v>4220</v>
          </cell>
          <cell r="F413">
            <v>0</v>
          </cell>
          <cell r="H413">
            <v>486</v>
          </cell>
          <cell r="I413">
            <v>4220</v>
          </cell>
          <cell r="J413">
            <v>486</v>
          </cell>
          <cell r="L413">
            <v>486</v>
          </cell>
        </row>
        <row r="414">
          <cell r="A414">
            <v>3282</v>
          </cell>
          <cell r="B414" t="str">
            <v>수전소켓 (SR죠인트)</v>
          </cell>
          <cell r="C414" t="str">
            <v>20Ø</v>
          </cell>
          <cell r="D414" t="str">
            <v>개</v>
          </cell>
          <cell r="E414">
            <v>3390</v>
          </cell>
          <cell r="F414">
            <v>0</v>
          </cell>
          <cell r="H414">
            <v>486</v>
          </cell>
          <cell r="I414">
            <v>3390</v>
          </cell>
          <cell r="J414">
            <v>486</v>
          </cell>
          <cell r="L414">
            <v>486</v>
          </cell>
        </row>
        <row r="415">
          <cell r="A415">
            <v>3283</v>
          </cell>
          <cell r="B415" t="str">
            <v>수전소켓 (SR죠인트)</v>
          </cell>
          <cell r="C415" t="str">
            <v>13Ø</v>
          </cell>
          <cell r="D415" t="str">
            <v>개</v>
          </cell>
          <cell r="E415">
            <v>2860</v>
          </cell>
          <cell r="F415">
            <v>0</v>
          </cell>
          <cell r="H415">
            <v>486</v>
          </cell>
          <cell r="I415">
            <v>2860</v>
          </cell>
          <cell r="J415">
            <v>486</v>
          </cell>
          <cell r="L415">
            <v>486</v>
          </cell>
        </row>
        <row r="416">
          <cell r="A416">
            <v>3291</v>
          </cell>
          <cell r="B416" t="str">
            <v>아답타엘보(SR죠인트)</v>
          </cell>
          <cell r="C416" t="str">
            <v>25Ø</v>
          </cell>
          <cell r="D416" t="str">
            <v>개</v>
          </cell>
          <cell r="E416">
            <v>5710</v>
          </cell>
          <cell r="F416">
            <v>0</v>
          </cell>
          <cell r="H416">
            <v>486</v>
          </cell>
          <cell r="I416">
            <v>5710</v>
          </cell>
          <cell r="J416">
            <v>486</v>
          </cell>
          <cell r="L416">
            <v>486</v>
          </cell>
        </row>
        <row r="417">
          <cell r="A417">
            <v>3292</v>
          </cell>
          <cell r="B417" t="str">
            <v>아답타엘보(SR죠인트)</v>
          </cell>
          <cell r="C417" t="str">
            <v>20Ø</v>
          </cell>
          <cell r="D417" t="str">
            <v>개</v>
          </cell>
          <cell r="E417">
            <v>4010</v>
          </cell>
          <cell r="F417">
            <v>0</v>
          </cell>
          <cell r="H417">
            <v>486</v>
          </cell>
          <cell r="I417">
            <v>4010</v>
          </cell>
          <cell r="J417">
            <v>486</v>
          </cell>
          <cell r="L417">
            <v>486</v>
          </cell>
        </row>
        <row r="418">
          <cell r="A418">
            <v>3293</v>
          </cell>
          <cell r="B418" t="str">
            <v>아답타엘보(SR죠인트)</v>
          </cell>
          <cell r="C418" t="str">
            <v>13Ø</v>
          </cell>
          <cell r="D418" t="str">
            <v>개</v>
          </cell>
          <cell r="E418">
            <v>3440</v>
          </cell>
          <cell r="F418">
            <v>0</v>
          </cell>
          <cell r="H418">
            <v>486</v>
          </cell>
          <cell r="I418">
            <v>3440</v>
          </cell>
          <cell r="J418">
            <v>486</v>
          </cell>
          <cell r="L418">
            <v>486</v>
          </cell>
        </row>
        <row r="419">
          <cell r="E419">
            <v>0</v>
          </cell>
        </row>
        <row r="420">
          <cell r="E420">
            <v>0</v>
          </cell>
        </row>
        <row r="421">
          <cell r="E421">
            <v>0</v>
          </cell>
        </row>
        <row r="444">
          <cell r="A444">
            <v>3299</v>
          </cell>
          <cell r="B444" t="str">
            <v>백강관</v>
          </cell>
          <cell r="C444" t="str">
            <v>150Ø</v>
          </cell>
          <cell r="D444" t="str">
            <v>M</v>
          </cell>
          <cell r="E444">
            <v>12628</v>
          </cell>
          <cell r="F444">
            <v>0</v>
          </cell>
          <cell r="H444">
            <v>457</v>
          </cell>
          <cell r="I444">
            <v>12628</v>
          </cell>
          <cell r="J444">
            <v>457</v>
          </cell>
          <cell r="L444">
            <v>457</v>
          </cell>
        </row>
        <row r="445">
          <cell r="A445">
            <v>3300</v>
          </cell>
          <cell r="B445" t="str">
            <v>백강관</v>
          </cell>
          <cell r="C445" t="str">
            <v>125Ø</v>
          </cell>
          <cell r="D445" t="str">
            <v>M</v>
          </cell>
          <cell r="E445">
            <v>10605</v>
          </cell>
          <cell r="F445">
            <v>0</v>
          </cell>
          <cell r="H445">
            <v>457</v>
          </cell>
          <cell r="I445">
            <v>10605</v>
          </cell>
          <cell r="J445">
            <v>457</v>
          </cell>
          <cell r="L445">
            <v>457</v>
          </cell>
        </row>
        <row r="446">
          <cell r="A446">
            <v>3301</v>
          </cell>
          <cell r="B446" t="str">
            <v>백강관</v>
          </cell>
          <cell r="C446" t="str">
            <v>100Ø</v>
          </cell>
          <cell r="D446" t="str">
            <v>M</v>
          </cell>
          <cell r="E446">
            <v>7822</v>
          </cell>
          <cell r="F446">
            <v>0</v>
          </cell>
          <cell r="H446">
            <v>457</v>
          </cell>
          <cell r="I446">
            <v>7822</v>
          </cell>
          <cell r="J446">
            <v>457</v>
          </cell>
          <cell r="L446">
            <v>457</v>
          </cell>
        </row>
        <row r="447">
          <cell r="A447">
            <v>3302</v>
          </cell>
          <cell r="B447" t="str">
            <v>백강관</v>
          </cell>
          <cell r="C447" t="str">
            <v>80Ø</v>
          </cell>
          <cell r="D447" t="str">
            <v>M</v>
          </cell>
          <cell r="E447">
            <v>5487</v>
          </cell>
          <cell r="F447">
            <v>0</v>
          </cell>
          <cell r="H447">
            <v>457</v>
          </cell>
          <cell r="I447">
            <v>5487</v>
          </cell>
          <cell r="J447">
            <v>457</v>
          </cell>
          <cell r="L447">
            <v>457</v>
          </cell>
        </row>
        <row r="448">
          <cell r="A448">
            <v>3303</v>
          </cell>
          <cell r="B448" t="str">
            <v>백강관</v>
          </cell>
          <cell r="C448" t="str">
            <v>65Ø</v>
          </cell>
          <cell r="D448" t="str">
            <v>M</v>
          </cell>
          <cell r="E448">
            <v>4402</v>
          </cell>
          <cell r="F448">
            <v>0</v>
          </cell>
          <cell r="H448">
            <v>457</v>
          </cell>
          <cell r="I448">
            <v>4402</v>
          </cell>
          <cell r="J448">
            <v>457</v>
          </cell>
          <cell r="L448">
            <v>457</v>
          </cell>
        </row>
        <row r="449">
          <cell r="A449">
            <v>3304</v>
          </cell>
          <cell r="B449" t="str">
            <v>백강관</v>
          </cell>
          <cell r="C449" t="str">
            <v>50Ø</v>
          </cell>
          <cell r="D449" t="str">
            <v>M</v>
          </cell>
          <cell r="E449">
            <v>3450</v>
          </cell>
          <cell r="F449">
            <v>0</v>
          </cell>
          <cell r="H449">
            <v>457</v>
          </cell>
          <cell r="I449">
            <v>3450</v>
          </cell>
          <cell r="J449">
            <v>457</v>
          </cell>
          <cell r="L449">
            <v>457</v>
          </cell>
        </row>
        <row r="450">
          <cell r="A450">
            <v>3305</v>
          </cell>
          <cell r="B450" t="str">
            <v>백강관</v>
          </cell>
          <cell r="C450" t="str">
            <v>40Ø</v>
          </cell>
          <cell r="D450" t="str">
            <v>M</v>
          </cell>
          <cell r="E450">
            <v>2513</v>
          </cell>
          <cell r="F450">
            <v>0</v>
          </cell>
          <cell r="H450">
            <v>457</v>
          </cell>
          <cell r="I450">
            <v>2513</v>
          </cell>
          <cell r="J450">
            <v>457</v>
          </cell>
          <cell r="L450">
            <v>457</v>
          </cell>
        </row>
        <row r="451">
          <cell r="A451">
            <v>3306</v>
          </cell>
          <cell r="B451" t="str">
            <v>백강관</v>
          </cell>
          <cell r="C451" t="str">
            <v>32Ø</v>
          </cell>
          <cell r="D451" t="str">
            <v>M</v>
          </cell>
          <cell r="E451">
            <v>2187</v>
          </cell>
          <cell r="F451">
            <v>0</v>
          </cell>
          <cell r="H451">
            <v>457</v>
          </cell>
          <cell r="I451">
            <v>2187</v>
          </cell>
          <cell r="J451">
            <v>457</v>
          </cell>
          <cell r="L451">
            <v>457</v>
          </cell>
        </row>
        <row r="452">
          <cell r="A452">
            <v>3307</v>
          </cell>
          <cell r="B452" t="str">
            <v>백강관</v>
          </cell>
          <cell r="C452" t="str">
            <v>25Ø</v>
          </cell>
          <cell r="D452" t="str">
            <v>M</v>
          </cell>
          <cell r="E452">
            <v>1782</v>
          </cell>
          <cell r="F452">
            <v>0</v>
          </cell>
          <cell r="H452">
            <v>457</v>
          </cell>
          <cell r="I452">
            <v>1782</v>
          </cell>
          <cell r="J452">
            <v>457</v>
          </cell>
          <cell r="L452">
            <v>457</v>
          </cell>
        </row>
        <row r="453">
          <cell r="A453">
            <v>3308</v>
          </cell>
          <cell r="B453" t="str">
            <v>백강관</v>
          </cell>
          <cell r="C453" t="str">
            <v>20Ø</v>
          </cell>
          <cell r="D453" t="str">
            <v>M</v>
          </cell>
          <cell r="E453">
            <v>1252</v>
          </cell>
          <cell r="F453">
            <v>0</v>
          </cell>
          <cell r="H453">
            <v>457</v>
          </cell>
          <cell r="I453">
            <v>1252</v>
          </cell>
          <cell r="J453">
            <v>457</v>
          </cell>
          <cell r="L453">
            <v>457</v>
          </cell>
        </row>
        <row r="454">
          <cell r="A454">
            <v>3309</v>
          </cell>
          <cell r="B454" t="str">
            <v>백강관</v>
          </cell>
          <cell r="C454" t="str">
            <v>15Ø</v>
          </cell>
          <cell r="D454" t="str">
            <v>M</v>
          </cell>
          <cell r="E454">
            <v>993</v>
          </cell>
          <cell r="F454">
            <v>0</v>
          </cell>
          <cell r="H454">
            <v>457</v>
          </cell>
          <cell r="I454">
            <v>993</v>
          </cell>
          <cell r="J454">
            <v>457</v>
          </cell>
          <cell r="L454">
            <v>457</v>
          </cell>
        </row>
        <row r="455">
          <cell r="A455">
            <v>3310</v>
          </cell>
          <cell r="B455" t="str">
            <v>백엘보 (용접식)</v>
          </cell>
          <cell r="C455" t="str">
            <v>150Ø</v>
          </cell>
          <cell r="D455" t="str">
            <v>개</v>
          </cell>
          <cell r="E455">
            <v>16800</v>
          </cell>
          <cell r="F455">
            <v>0</v>
          </cell>
          <cell r="H455">
            <v>461</v>
          </cell>
          <cell r="I455">
            <v>16800</v>
          </cell>
          <cell r="J455">
            <v>461</v>
          </cell>
          <cell r="L455">
            <v>461</v>
          </cell>
        </row>
        <row r="456">
          <cell r="A456">
            <v>3311</v>
          </cell>
          <cell r="B456" t="str">
            <v>백엘보 (용접식)</v>
          </cell>
          <cell r="C456" t="str">
            <v>100Ø</v>
          </cell>
          <cell r="D456" t="str">
            <v>개</v>
          </cell>
          <cell r="E456">
            <v>6440</v>
          </cell>
          <cell r="F456">
            <v>0</v>
          </cell>
          <cell r="H456">
            <v>461</v>
          </cell>
          <cell r="I456">
            <v>6440</v>
          </cell>
          <cell r="J456">
            <v>461</v>
          </cell>
          <cell r="L456">
            <v>461</v>
          </cell>
        </row>
        <row r="457">
          <cell r="A457">
            <v>3312</v>
          </cell>
          <cell r="B457" t="str">
            <v>백엘보 (용접식)</v>
          </cell>
          <cell r="C457" t="str">
            <v>80Ø</v>
          </cell>
          <cell r="D457" t="str">
            <v>개</v>
          </cell>
          <cell r="E457">
            <v>3780</v>
          </cell>
          <cell r="F457">
            <v>0</v>
          </cell>
          <cell r="H457">
            <v>461</v>
          </cell>
          <cell r="I457">
            <v>3780</v>
          </cell>
          <cell r="J457">
            <v>461</v>
          </cell>
          <cell r="L457">
            <v>461</v>
          </cell>
        </row>
        <row r="458">
          <cell r="A458">
            <v>3313</v>
          </cell>
          <cell r="B458" t="str">
            <v>백엘보 (용접식)</v>
          </cell>
          <cell r="C458" t="str">
            <v>65Ø</v>
          </cell>
          <cell r="D458" t="str">
            <v>개</v>
          </cell>
          <cell r="E458">
            <v>2760</v>
          </cell>
          <cell r="F458">
            <v>0</v>
          </cell>
          <cell r="H458">
            <v>461</v>
          </cell>
          <cell r="I458">
            <v>2760</v>
          </cell>
          <cell r="J458">
            <v>461</v>
          </cell>
          <cell r="L458">
            <v>461</v>
          </cell>
        </row>
        <row r="459">
          <cell r="A459">
            <v>3314</v>
          </cell>
          <cell r="B459" t="str">
            <v>백엘보 (나사식)</v>
          </cell>
          <cell r="C459" t="str">
            <v>50Ø</v>
          </cell>
          <cell r="D459" t="str">
            <v>개</v>
          </cell>
          <cell r="E459">
            <v>1498</v>
          </cell>
          <cell r="F459">
            <v>0</v>
          </cell>
          <cell r="H459">
            <v>460</v>
          </cell>
          <cell r="I459">
            <v>1498</v>
          </cell>
          <cell r="J459">
            <v>460</v>
          </cell>
          <cell r="L459">
            <v>460</v>
          </cell>
        </row>
        <row r="460">
          <cell r="A460">
            <v>3315</v>
          </cell>
          <cell r="B460" t="str">
            <v>백엘보 (나사식)</v>
          </cell>
          <cell r="C460" t="str">
            <v>40Ø</v>
          </cell>
          <cell r="D460" t="str">
            <v>개</v>
          </cell>
          <cell r="E460">
            <v>957</v>
          </cell>
          <cell r="F460">
            <v>0</v>
          </cell>
          <cell r="H460">
            <v>460</v>
          </cell>
          <cell r="I460">
            <v>957</v>
          </cell>
          <cell r="J460">
            <v>460</v>
          </cell>
          <cell r="L460">
            <v>460</v>
          </cell>
        </row>
        <row r="461">
          <cell r="A461">
            <v>3316</v>
          </cell>
          <cell r="B461" t="str">
            <v>백엘보 (나사식)</v>
          </cell>
          <cell r="C461" t="str">
            <v>32Ø</v>
          </cell>
          <cell r="D461" t="str">
            <v>개</v>
          </cell>
          <cell r="E461">
            <v>805</v>
          </cell>
          <cell r="F461">
            <v>0</v>
          </cell>
          <cell r="H461">
            <v>460</v>
          </cell>
          <cell r="I461">
            <v>805</v>
          </cell>
          <cell r="J461">
            <v>460</v>
          </cell>
          <cell r="L461">
            <v>460</v>
          </cell>
        </row>
        <row r="462">
          <cell r="A462">
            <v>3317</v>
          </cell>
          <cell r="B462" t="str">
            <v>백엘보 (나사식)</v>
          </cell>
          <cell r="C462" t="str">
            <v>25Ø</v>
          </cell>
          <cell r="D462" t="str">
            <v>개</v>
          </cell>
          <cell r="E462">
            <v>523</v>
          </cell>
          <cell r="F462">
            <v>0</v>
          </cell>
          <cell r="H462">
            <v>460</v>
          </cell>
          <cell r="I462">
            <v>523</v>
          </cell>
          <cell r="J462">
            <v>460</v>
          </cell>
          <cell r="L462">
            <v>460</v>
          </cell>
        </row>
        <row r="463">
          <cell r="A463">
            <v>3318</v>
          </cell>
          <cell r="B463" t="str">
            <v>백엘보 (나사식)</v>
          </cell>
          <cell r="C463" t="str">
            <v>20Ø</v>
          </cell>
          <cell r="D463" t="str">
            <v>개</v>
          </cell>
          <cell r="E463">
            <v>326</v>
          </cell>
          <cell r="F463">
            <v>0</v>
          </cell>
          <cell r="H463">
            <v>460</v>
          </cell>
          <cell r="I463">
            <v>326</v>
          </cell>
          <cell r="J463">
            <v>460</v>
          </cell>
          <cell r="L463">
            <v>460</v>
          </cell>
        </row>
        <row r="464">
          <cell r="A464">
            <v>3319</v>
          </cell>
          <cell r="B464" t="str">
            <v>백엘보 (나사식)</v>
          </cell>
          <cell r="C464" t="str">
            <v>15Ø</v>
          </cell>
          <cell r="D464" t="str">
            <v>개</v>
          </cell>
          <cell r="E464">
            <v>221</v>
          </cell>
          <cell r="F464">
            <v>0</v>
          </cell>
          <cell r="H464">
            <v>460</v>
          </cell>
          <cell r="I464">
            <v>221</v>
          </cell>
          <cell r="J464">
            <v>460</v>
          </cell>
          <cell r="L464">
            <v>460</v>
          </cell>
        </row>
        <row r="465">
          <cell r="A465">
            <v>3320</v>
          </cell>
          <cell r="B465" t="str">
            <v>백티 (용접식)</v>
          </cell>
          <cell r="C465" t="str">
            <v>150Ø</v>
          </cell>
          <cell r="D465" t="str">
            <v>개</v>
          </cell>
          <cell r="E465">
            <v>21000</v>
          </cell>
          <cell r="F465">
            <v>0</v>
          </cell>
          <cell r="H465">
            <v>461</v>
          </cell>
          <cell r="I465">
            <v>21000</v>
          </cell>
          <cell r="J465">
            <v>461</v>
          </cell>
          <cell r="L465">
            <v>461</v>
          </cell>
        </row>
        <row r="466">
          <cell r="A466">
            <v>3321</v>
          </cell>
          <cell r="B466" t="str">
            <v>백티 (용접식)</v>
          </cell>
          <cell r="C466" t="str">
            <v>100Ø</v>
          </cell>
          <cell r="D466" t="str">
            <v>개</v>
          </cell>
          <cell r="E466">
            <v>9030</v>
          </cell>
          <cell r="F466">
            <v>0</v>
          </cell>
          <cell r="H466">
            <v>461</v>
          </cell>
          <cell r="I466">
            <v>9030</v>
          </cell>
          <cell r="J466">
            <v>461</v>
          </cell>
          <cell r="L466">
            <v>461</v>
          </cell>
        </row>
        <row r="467">
          <cell r="A467">
            <v>3322</v>
          </cell>
          <cell r="B467" t="str">
            <v>백티 (용접식)</v>
          </cell>
          <cell r="C467" t="str">
            <v>80Ø</v>
          </cell>
          <cell r="D467" t="str">
            <v>개</v>
          </cell>
          <cell r="E467">
            <v>5480</v>
          </cell>
          <cell r="F467">
            <v>0</v>
          </cell>
          <cell r="H467">
            <v>461</v>
          </cell>
          <cell r="I467">
            <v>5480</v>
          </cell>
          <cell r="J467">
            <v>461</v>
          </cell>
          <cell r="L467">
            <v>461</v>
          </cell>
        </row>
        <row r="468">
          <cell r="A468">
            <v>3323</v>
          </cell>
          <cell r="B468" t="str">
            <v>백티 (용접식)</v>
          </cell>
          <cell r="C468" t="str">
            <v>65Ø</v>
          </cell>
          <cell r="D468" t="str">
            <v>개</v>
          </cell>
          <cell r="E468">
            <v>4060</v>
          </cell>
          <cell r="F468">
            <v>0</v>
          </cell>
          <cell r="H468">
            <v>461</v>
          </cell>
          <cell r="I468">
            <v>4060</v>
          </cell>
          <cell r="J468">
            <v>461</v>
          </cell>
          <cell r="L468">
            <v>461</v>
          </cell>
        </row>
        <row r="469">
          <cell r="A469">
            <v>3324</v>
          </cell>
          <cell r="B469" t="str">
            <v>백티 (나사식)</v>
          </cell>
          <cell r="C469" t="str">
            <v>50Ø</v>
          </cell>
          <cell r="D469" t="str">
            <v>개</v>
          </cell>
          <cell r="E469">
            <v>1957</v>
          </cell>
          <cell r="F469">
            <v>0</v>
          </cell>
          <cell r="H469">
            <v>460</v>
          </cell>
          <cell r="I469">
            <v>1957</v>
          </cell>
          <cell r="J469">
            <v>460</v>
          </cell>
          <cell r="L469">
            <v>460</v>
          </cell>
        </row>
        <row r="470">
          <cell r="A470">
            <v>3325</v>
          </cell>
          <cell r="B470" t="str">
            <v>백티 (나사식)</v>
          </cell>
          <cell r="C470" t="str">
            <v>40Ø</v>
          </cell>
          <cell r="D470" t="str">
            <v>개</v>
          </cell>
          <cell r="E470">
            <v>1338</v>
          </cell>
          <cell r="F470">
            <v>0</v>
          </cell>
          <cell r="H470">
            <v>460</v>
          </cell>
          <cell r="I470">
            <v>1338</v>
          </cell>
          <cell r="J470">
            <v>460</v>
          </cell>
          <cell r="L470">
            <v>460</v>
          </cell>
        </row>
        <row r="471">
          <cell r="A471">
            <v>3326</v>
          </cell>
          <cell r="B471" t="str">
            <v>백티 (나사식)</v>
          </cell>
          <cell r="C471" t="str">
            <v>32Ø</v>
          </cell>
          <cell r="D471" t="str">
            <v>개</v>
          </cell>
          <cell r="E471">
            <v>1000</v>
          </cell>
          <cell r="F471">
            <v>0</v>
          </cell>
          <cell r="H471">
            <v>460</v>
          </cell>
          <cell r="I471">
            <v>1000</v>
          </cell>
          <cell r="J471">
            <v>460</v>
          </cell>
          <cell r="L471">
            <v>460</v>
          </cell>
        </row>
        <row r="472">
          <cell r="A472">
            <v>3327</v>
          </cell>
          <cell r="B472" t="str">
            <v>백티 (나사식)</v>
          </cell>
          <cell r="C472" t="str">
            <v>25Ø</v>
          </cell>
          <cell r="D472" t="str">
            <v>개</v>
          </cell>
          <cell r="E472">
            <v>724</v>
          </cell>
          <cell r="F472">
            <v>0</v>
          </cell>
          <cell r="H472">
            <v>460</v>
          </cell>
          <cell r="I472">
            <v>724</v>
          </cell>
          <cell r="J472">
            <v>460</v>
          </cell>
          <cell r="L472">
            <v>460</v>
          </cell>
        </row>
        <row r="473">
          <cell r="A473">
            <v>3328</v>
          </cell>
          <cell r="B473" t="str">
            <v>백티 (나사식)</v>
          </cell>
          <cell r="C473" t="str">
            <v>20Ø</v>
          </cell>
          <cell r="D473" t="str">
            <v>개</v>
          </cell>
          <cell r="E473">
            <v>483</v>
          </cell>
          <cell r="F473">
            <v>0</v>
          </cell>
          <cell r="H473">
            <v>460</v>
          </cell>
          <cell r="I473">
            <v>483</v>
          </cell>
          <cell r="J473">
            <v>460</v>
          </cell>
          <cell r="L473">
            <v>460</v>
          </cell>
        </row>
        <row r="474">
          <cell r="A474">
            <v>3329</v>
          </cell>
          <cell r="B474" t="str">
            <v>백티 (나사식)</v>
          </cell>
          <cell r="C474" t="str">
            <v>15Ø</v>
          </cell>
          <cell r="D474" t="str">
            <v>개</v>
          </cell>
          <cell r="E474">
            <v>330</v>
          </cell>
          <cell r="F474">
            <v>0</v>
          </cell>
          <cell r="H474">
            <v>460</v>
          </cell>
          <cell r="I474">
            <v>330</v>
          </cell>
          <cell r="J474">
            <v>460</v>
          </cell>
          <cell r="L474">
            <v>460</v>
          </cell>
        </row>
        <row r="475">
          <cell r="A475">
            <v>3330</v>
          </cell>
          <cell r="B475" t="str">
            <v>백레듀샤 (용접식)</v>
          </cell>
          <cell r="C475" t="str">
            <v>150Ø</v>
          </cell>
          <cell r="D475" t="str">
            <v>개</v>
          </cell>
          <cell r="E475">
            <v>11200</v>
          </cell>
          <cell r="F475">
            <v>0</v>
          </cell>
          <cell r="H475">
            <v>461</v>
          </cell>
          <cell r="I475">
            <v>11200</v>
          </cell>
          <cell r="J475">
            <v>461</v>
          </cell>
          <cell r="L475">
            <v>461</v>
          </cell>
        </row>
        <row r="476">
          <cell r="A476">
            <v>3331</v>
          </cell>
          <cell r="B476" t="str">
            <v>백레듀샤 (용접식)</v>
          </cell>
          <cell r="C476" t="str">
            <v>100Ø</v>
          </cell>
          <cell r="D476" t="str">
            <v>개</v>
          </cell>
          <cell r="E476">
            <v>5390</v>
          </cell>
          <cell r="F476">
            <v>0</v>
          </cell>
          <cell r="H476">
            <v>461</v>
          </cell>
          <cell r="I476">
            <v>5390</v>
          </cell>
          <cell r="J476">
            <v>461</v>
          </cell>
          <cell r="L476">
            <v>461</v>
          </cell>
        </row>
        <row r="477">
          <cell r="A477">
            <v>3332</v>
          </cell>
          <cell r="B477" t="str">
            <v>백레듀샤 (용접식)</v>
          </cell>
          <cell r="C477" t="str">
            <v>80Ø</v>
          </cell>
          <cell r="D477" t="str">
            <v>개</v>
          </cell>
          <cell r="E477">
            <v>3780</v>
          </cell>
          <cell r="F477">
            <v>0</v>
          </cell>
          <cell r="H477">
            <v>461</v>
          </cell>
          <cell r="I477">
            <v>3780</v>
          </cell>
          <cell r="J477">
            <v>461</v>
          </cell>
          <cell r="L477">
            <v>461</v>
          </cell>
        </row>
        <row r="478">
          <cell r="A478">
            <v>3333</v>
          </cell>
          <cell r="B478" t="str">
            <v>백레듀샤 (용접식)</v>
          </cell>
          <cell r="C478" t="str">
            <v>65Ø</v>
          </cell>
          <cell r="D478" t="str">
            <v>개</v>
          </cell>
          <cell r="E478">
            <v>3360</v>
          </cell>
          <cell r="F478">
            <v>0</v>
          </cell>
          <cell r="H478">
            <v>461</v>
          </cell>
          <cell r="I478">
            <v>3360</v>
          </cell>
          <cell r="J478">
            <v>461</v>
          </cell>
          <cell r="L478">
            <v>461</v>
          </cell>
        </row>
        <row r="479">
          <cell r="A479">
            <v>3334</v>
          </cell>
          <cell r="B479" t="str">
            <v>백레듀샤 (나사식)</v>
          </cell>
          <cell r="C479" t="str">
            <v>50Ø</v>
          </cell>
          <cell r="D479" t="str">
            <v>개</v>
          </cell>
          <cell r="E479">
            <v>884</v>
          </cell>
          <cell r="F479">
            <v>0</v>
          </cell>
          <cell r="H479">
            <v>460</v>
          </cell>
          <cell r="I479">
            <v>884</v>
          </cell>
          <cell r="J479">
            <v>460</v>
          </cell>
          <cell r="L479">
            <v>460</v>
          </cell>
        </row>
        <row r="480">
          <cell r="A480">
            <v>3335</v>
          </cell>
          <cell r="B480" t="str">
            <v>백레듀샤 (나사식)</v>
          </cell>
          <cell r="C480" t="str">
            <v>40Ø</v>
          </cell>
          <cell r="D480" t="str">
            <v>개</v>
          </cell>
          <cell r="E480">
            <v>685</v>
          </cell>
          <cell r="F480">
            <v>0</v>
          </cell>
          <cell r="H480">
            <v>460</v>
          </cell>
          <cell r="I480">
            <v>685</v>
          </cell>
          <cell r="J480">
            <v>460</v>
          </cell>
          <cell r="L480">
            <v>460</v>
          </cell>
        </row>
        <row r="481">
          <cell r="A481">
            <v>3336</v>
          </cell>
          <cell r="B481" t="str">
            <v>백레듀샤 (나사식)</v>
          </cell>
          <cell r="C481" t="str">
            <v>32Ø</v>
          </cell>
          <cell r="D481" t="str">
            <v>개</v>
          </cell>
          <cell r="E481">
            <v>530</v>
          </cell>
          <cell r="F481">
            <v>0</v>
          </cell>
          <cell r="H481">
            <v>460</v>
          </cell>
          <cell r="I481">
            <v>530</v>
          </cell>
          <cell r="J481">
            <v>460</v>
          </cell>
          <cell r="L481">
            <v>460</v>
          </cell>
        </row>
        <row r="482">
          <cell r="A482">
            <v>3337</v>
          </cell>
          <cell r="B482" t="str">
            <v>백레듀샤 (나사식)</v>
          </cell>
          <cell r="C482" t="str">
            <v>25Ø</v>
          </cell>
          <cell r="D482" t="str">
            <v>개</v>
          </cell>
          <cell r="E482">
            <v>400</v>
          </cell>
          <cell r="F482">
            <v>0</v>
          </cell>
          <cell r="H482">
            <v>460</v>
          </cell>
          <cell r="I482">
            <v>400</v>
          </cell>
          <cell r="J482">
            <v>460</v>
          </cell>
          <cell r="L482">
            <v>460</v>
          </cell>
        </row>
        <row r="483">
          <cell r="A483">
            <v>3338</v>
          </cell>
          <cell r="B483" t="str">
            <v>백레듀샤 (나사식)</v>
          </cell>
          <cell r="C483" t="str">
            <v>20Ø</v>
          </cell>
          <cell r="D483" t="str">
            <v>개</v>
          </cell>
          <cell r="E483">
            <v>277</v>
          </cell>
          <cell r="F483">
            <v>0</v>
          </cell>
          <cell r="H483">
            <v>460</v>
          </cell>
          <cell r="I483">
            <v>277</v>
          </cell>
          <cell r="J483">
            <v>460</v>
          </cell>
          <cell r="L483">
            <v>460</v>
          </cell>
        </row>
        <row r="484">
          <cell r="A484">
            <v>3341</v>
          </cell>
          <cell r="B484" t="str">
            <v>백소켓 (나사식)</v>
          </cell>
          <cell r="C484" t="str">
            <v>80Ø</v>
          </cell>
          <cell r="D484" t="str">
            <v>개</v>
          </cell>
          <cell r="E484">
            <v>2633</v>
          </cell>
          <cell r="F484">
            <v>0</v>
          </cell>
          <cell r="H484">
            <v>460</v>
          </cell>
          <cell r="I484">
            <v>2633</v>
          </cell>
          <cell r="J484">
            <v>460</v>
          </cell>
          <cell r="L484">
            <v>460</v>
          </cell>
        </row>
        <row r="485">
          <cell r="A485">
            <v>3342</v>
          </cell>
          <cell r="B485" t="str">
            <v>백소켓 (나사식)</v>
          </cell>
          <cell r="C485" t="str">
            <v>65Ø</v>
          </cell>
          <cell r="D485" t="str">
            <v>개</v>
          </cell>
          <cell r="E485">
            <v>2103</v>
          </cell>
          <cell r="F485">
            <v>0</v>
          </cell>
          <cell r="H485">
            <v>460</v>
          </cell>
          <cell r="I485">
            <v>2103</v>
          </cell>
          <cell r="J485">
            <v>460</v>
          </cell>
          <cell r="L485">
            <v>460</v>
          </cell>
        </row>
        <row r="486">
          <cell r="A486">
            <v>3343</v>
          </cell>
          <cell r="B486" t="str">
            <v>백소켓 (나사식)</v>
          </cell>
          <cell r="C486" t="str">
            <v>50Ø</v>
          </cell>
          <cell r="D486" t="str">
            <v>개</v>
          </cell>
          <cell r="E486">
            <v>1197</v>
          </cell>
          <cell r="F486">
            <v>0</v>
          </cell>
          <cell r="H486">
            <v>460</v>
          </cell>
          <cell r="I486">
            <v>1197</v>
          </cell>
          <cell r="J486">
            <v>460</v>
          </cell>
          <cell r="L486">
            <v>460</v>
          </cell>
        </row>
        <row r="487">
          <cell r="A487">
            <v>3344</v>
          </cell>
          <cell r="B487" t="str">
            <v>백소켓 (나사식)</v>
          </cell>
          <cell r="C487" t="str">
            <v>40Ø</v>
          </cell>
          <cell r="D487" t="str">
            <v>개</v>
          </cell>
          <cell r="E487">
            <v>748</v>
          </cell>
          <cell r="F487">
            <v>0</v>
          </cell>
          <cell r="H487">
            <v>460</v>
          </cell>
          <cell r="I487">
            <v>748</v>
          </cell>
          <cell r="J487">
            <v>460</v>
          </cell>
          <cell r="L487">
            <v>460</v>
          </cell>
        </row>
        <row r="488">
          <cell r="A488">
            <v>3345</v>
          </cell>
          <cell r="B488" t="str">
            <v>백소켓 (나사식)</v>
          </cell>
          <cell r="C488" t="str">
            <v>32Ø</v>
          </cell>
          <cell r="D488" t="str">
            <v>개</v>
          </cell>
          <cell r="E488">
            <v>627</v>
          </cell>
          <cell r="F488">
            <v>0</v>
          </cell>
          <cell r="H488">
            <v>460</v>
          </cell>
          <cell r="I488">
            <v>627</v>
          </cell>
          <cell r="J488">
            <v>460</v>
          </cell>
          <cell r="L488">
            <v>460</v>
          </cell>
        </row>
        <row r="489">
          <cell r="A489">
            <v>3346</v>
          </cell>
          <cell r="B489" t="str">
            <v>백소켓 (나사식)</v>
          </cell>
          <cell r="C489" t="str">
            <v>25Ø</v>
          </cell>
          <cell r="D489" t="str">
            <v>개</v>
          </cell>
          <cell r="E489">
            <v>490</v>
          </cell>
          <cell r="F489">
            <v>0</v>
          </cell>
          <cell r="H489">
            <v>460</v>
          </cell>
          <cell r="I489">
            <v>490</v>
          </cell>
          <cell r="J489">
            <v>460</v>
          </cell>
          <cell r="L489">
            <v>460</v>
          </cell>
        </row>
        <row r="490">
          <cell r="A490">
            <v>3347</v>
          </cell>
          <cell r="B490" t="str">
            <v>백소켓 (나사식)</v>
          </cell>
          <cell r="C490" t="str">
            <v>20Ø</v>
          </cell>
          <cell r="D490" t="str">
            <v>개</v>
          </cell>
          <cell r="E490">
            <v>303</v>
          </cell>
          <cell r="F490">
            <v>0</v>
          </cell>
          <cell r="H490">
            <v>460</v>
          </cell>
          <cell r="I490">
            <v>303</v>
          </cell>
          <cell r="J490">
            <v>460</v>
          </cell>
          <cell r="L490">
            <v>460</v>
          </cell>
        </row>
        <row r="491">
          <cell r="A491">
            <v>3348</v>
          </cell>
          <cell r="B491" t="str">
            <v>백소켓 (나사식)</v>
          </cell>
          <cell r="C491" t="str">
            <v>15Ø</v>
          </cell>
          <cell r="D491" t="str">
            <v>개</v>
          </cell>
          <cell r="E491">
            <v>249</v>
          </cell>
          <cell r="F491">
            <v>0</v>
          </cell>
          <cell r="H491">
            <v>460</v>
          </cell>
          <cell r="I491">
            <v>249</v>
          </cell>
          <cell r="J491">
            <v>460</v>
          </cell>
          <cell r="L491">
            <v>460</v>
          </cell>
        </row>
        <row r="492">
          <cell r="A492">
            <v>3350</v>
          </cell>
          <cell r="B492" t="str">
            <v>백캡 (용접식)</v>
          </cell>
          <cell r="C492" t="str">
            <v>150Ø</v>
          </cell>
          <cell r="D492" t="str">
            <v>개</v>
          </cell>
          <cell r="E492">
            <v>8120</v>
          </cell>
          <cell r="F492">
            <v>0</v>
          </cell>
          <cell r="H492">
            <v>461</v>
          </cell>
          <cell r="I492">
            <v>8120</v>
          </cell>
          <cell r="J492">
            <v>461</v>
          </cell>
          <cell r="L492">
            <v>461</v>
          </cell>
        </row>
        <row r="493">
          <cell r="A493">
            <v>3351</v>
          </cell>
          <cell r="B493" t="str">
            <v>백캡 (용접식)</v>
          </cell>
          <cell r="C493" t="str">
            <v>100Ø</v>
          </cell>
          <cell r="D493" t="str">
            <v>개</v>
          </cell>
          <cell r="E493">
            <v>5600</v>
          </cell>
          <cell r="F493">
            <v>0</v>
          </cell>
          <cell r="H493">
            <v>461</v>
          </cell>
          <cell r="I493">
            <v>5600</v>
          </cell>
          <cell r="J493">
            <v>461</v>
          </cell>
          <cell r="L493">
            <v>461</v>
          </cell>
        </row>
        <row r="494">
          <cell r="A494">
            <v>3352</v>
          </cell>
          <cell r="B494" t="str">
            <v>백캡 (용접식)</v>
          </cell>
          <cell r="C494" t="str">
            <v>80Ø</v>
          </cell>
          <cell r="D494" t="str">
            <v>개</v>
          </cell>
          <cell r="E494">
            <v>3360</v>
          </cell>
          <cell r="F494">
            <v>0</v>
          </cell>
          <cell r="H494">
            <v>461</v>
          </cell>
          <cell r="I494">
            <v>3360</v>
          </cell>
          <cell r="J494">
            <v>461</v>
          </cell>
          <cell r="L494">
            <v>461</v>
          </cell>
        </row>
        <row r="495">
          <cell r="A495">
            <v>3353</v>
          </cell>
          <cell r="B495" t="str">
            <v>백캡 (용접식)</v>
          </cell>
          <cell r="C495" t="str">
            <v>65Ø</v>
          </cell>
          <cell r="D495" t="str">
            <v>개</v>
          </cell>
          <cell r="E495">
            <v>2450</v>
          </cell>
          <cell r="F495">
            <v>0</v>
          </cell>
          <cell r="H495">
            <v>461</v>
          </cell>
          <cell r="I495">
            <v>2450</v>
          </cell>
          <cell r="J495">
            <v>461</v>
          </cell>
          <cell r="L495">
            <v>461</v>
          </cell>
        </row>
        <row r="496">
          <cell r="A496">
            <v>3354</v>
          </cell>
          <cell r="B496" t="str">
            <v>백캡 (나사식)</v>
          </cell>
          <cell r="C496" t="str">
            <v>50Ø</v>
          </cell>
          <cell r="D496" t="str">
            <v>개</v>
          </cell>
          <cell r="E496">
            <v>1132</v>
          </cell>
          <cell r="F496">
            <v>0</v>
          </cell>
          <cell r="H496">
            <v>460</v>
          </cell>
          <cell r="I496">
            <v>1132</v>
          </cell>
          <cell r="J496">
            <v>460</v>
          </cell>
          <cell r="L496">
            <v>460</v>
          </cell>
        </row>
        <row r="497">
          <cell r="A497">
            <v>3355</v>
          </cell>
          <cell r="B497" t="str">
            <v>백캡 (나사식)</v>
          </cell>
          <cell r="C497" t="str">
            <v>40Ø</v>
          </cell>
          <cell r="D497" t="str">
            <v>개</v>
          </cell>
          <cell r="E497">
            <v>757</v>
          </cell>
          <cell r="F497">
            <v>0</v>
          </cell>
          <cell r="H497">
            <v>460</v>
          </cell>
          <cell r="I497">
            <v>757</v>
          </cell>
          <cell r="J497">
            <v>460</v>
          </cell>
          <cell r="L497">
            <v>460</v>
          </cell>
        </row>
        <row r="498">
          <cell r="A498">
            <v>3356</v>
          </cell>
          <cell r="B498" t="str">
            <v>백캡 (나사식)</v>
          </cell>
          <cell r="C498" t="str">
            <v>32Ø</v>
          </cell>
          <cell r="D498" t="str">
            <v>개</v>
          </cell>
          <cell r="E498">
            <v>571</v>
          </cell>
          <cell r="F498">
            <v>0</v>
          </cell>
          <cell r="H498">
            <v>460</v>
          </cell>
          <cell r="I498">
            <v>571</v>
          </cell>
          <cell r="J498">
            <v>460</v>
          </cell>
          <cell r="L498">
            <v>460</v>
          </cell>
        </row>
        <row r="499">
          <cell r="A499">
            <v>3357</v>
          </cell>
          <cell r="B499" t="str">
            <v>백캡 (나사식)</v>
          </cell>
          <cell r="C499" t="str">
            <v>25Ø</v>
          </cell>
          <cell r="D499" t="str">
            <v>개</v>
          </cell>
          <cell r="E499">
            <v>364</v>
          </cell>
          <cell r="F499">
            <v>0</v>
          </cell>
          <cell r="H499">
            <v>460</v>
          </cell>
          <cell r="I499">
            <v>364</v>
          </cell>
          <cell r="J499">
            <v>460</v>
          </cell>
          <cell r="L499">
            <v>460</v>
          </cell>
        </row>
        <row r="500">
          <cell r="A500">
            <v>3358</v>
          </cell>
          <cell r="B500" t="str">
            <v>백캡 (나사식)</v>
          </cell>
          <cell r="C500" t="str">
            <v>20Ø</v>
          </cell>
          <cell r="D500" t="str">
            <v>개</v>
          </cell>
          <cell r="E500">
            <v>304</v>
          </cell>
          <cell r="F500">
            <v>0</v>
          </cell>
          <cell r="H500">
            <v>460</v>
          </cell>
          <cell r="I500">
            <v>304</v>
          </cell>
          <cell r="J500">
            <v>460</v>
          </cell>
          <cell r="L500">
            <v>460</v>
          </cell>
        </row>
        <row r="501">
          <cell r="A501">
            <v>3359</v>
          </cell>
          <cell r="B501" t="str">
            <v>백캡 (나사식)</v>
          </cell>
          <cell r="C501" t="str">
            <v>15Ø</v>
          </cell>
          <cell r="D501" t="str">
            <v>개</v>
          </cell>
          <cell r="E501">
            <v>198</v>
          </cell>
          <cell r="F501">
            <v>0</v>
          </cell>
          <cell r="H501">
            <v>460</v>
          </cell>
          <cell r="I501">
            <v>198</v>
          </cell>
          <cell r="J501">
            <v>460</v>
          </cell>
          <cell r="L501">
            <v>460</v>
          </cell>
        </row>
        <row r="502">
          <cell r="A502">
            <v>3360</v>
          </cell>
          <cell r="B502" t="str">
            <v>용접 합 후렌지</v>
          </cell>
          <cell r="C502" t="str">
            <v>150Ø</v>
          </cell>
          <cell r="D502" t="str">
            <v>개</v>
          </cell>
          <cell r="E502">
            <v>16559</v>
          </cell>
          <cell r="F502">
            <v>13583</v>
          </cell>
          <cell r="H502">
            <v>0</v>
          </cell>
          <cell r="I502">
            <v>16559</v>
          </cell>
          <cell r="J502">
            <v>0</v>
          </cell>
          <cell r="L502">
            <v>0</v>
          </cell>
        </row>
        <row r="503">
          <cell r="A503">
            <v>3361</v>
          </cell>
          <cell r="B503" t="str">
            <v>용접 합 후렌지</v>
          </cell>
          <cell r="C503" t="str">
            <v>100Ø</v>
          </cell>
          <cell r="D503" t="str">
            <v>개</v>
          </cell>
          <cell r="E503">
            <v>11296</v>
          </cell>
          <cell r="F503">
            <v>10564</v>
          </cell>
          <cell r="H503">
            <v>0</v>
          </cell>
          <cell r="I503">
            <v>11296</v>
          </cell>
          <cell r="J503">
            <v>0</v>
          </cell>
          <cell r="L503">
            <v>0</v>
          </cell>
        </row>
        <row r="504">
          <cell r="A504">
            <v>3362</v>
          </cell>
          <cell r="B504" t="str">
            <v>용접 합 후렌지</v>
          </cell>
          <cell r="C504" t="str">
            <v>80Ø</v>
          </cell>
          <cell r="D504" t="str">
            <v>개</v>
          </cell>
          <cell r="E504">
            <v>10455</v>
          </cell>
          <cell r="F504">
            <v>9055</v>
          </cell>
          <cell r="H504">
            <v>0</v>
          </cell>
          <cell r="I504">
            <v>10455</v>
          </cell>
          <cell r="J504">
            <v>0</v>
          </cell>
          <cell r="L504">
            <v>0</v>
          </cell>
        </row>
        <row r="505">
          <cell r="A505">
            <v>3363</v>
          </cell>
          <cell r="B505" t="str">
            <v>용접 합 후렌지</v>
          </cell>
          <cell r="C505" t="str">
            <v>65Ø</v>
          </cell>
          <cell r="D505" t="str">
            <v>개</v>
          </cell>
          <cell r="E505">
            <v>5909</v>
          </cell>
          <cell r="F505">
            <v>8331</v>
          </cell>
          <cell r="H505">
            <v>0</v>
          </cell>
          <cell r="I505">
            <v>5909</v>
          </cell>
          <cell r="J505">
            <v>0</v>
          </cell>
          <cell r="L505">
            <v>0</v>
          </cell>
        </row>
        <row r="506">
          <cell r="A506">
            <v>3364</v>
          </cell>
          <cell r="B506" t="str">
            <v>백유니온 (나사식)</v>
          </cell>
          <cell r="C506" t="str">
            <v>50Ø</v>
          </cell>
          <cell r="D506" t="str">
            <v>개</v>
          </cell>
          <cell r="E506">
            <v>3701</v>
          </cell>
          <cell r="F506">
            <v>0</v>
          </cell>
          <cell r="H506">
            <v>460</v>
          </cell>
          <cell r="I506">
            <v>3701</v>
          </cell>
          <cell r="J506">
            <v>460</v>
          </cell>
          <cell r="L506">
            <v>460</v>
          </cell>
        </row>
        <row r="507">
          <cell r="A507">
            <v>3365</v>
          </cell>
          <cell r="B507" t="str">
            <v>백유니온 (나사식)</v>
          </cell>
          <cell r="C507" t="str">
            <v>40Ø</v>
          </cell>
          <cell r="D507" t="str">
            <v>개</v>
          </cell>
          <cell r="E507">
            <v>2876</v>
          </cell>
          <cell r="F507">
            <v>0</v>
          </cell>
          <cell r="H507">
            <v>460</v>
          </cell>
          <cell r="I507">
            <v>2876</v>
          </cell>
          <cell r="J507">
            <v>460</v>
          </cell>
          <cell r="L507">
            <v>460</v>
          </cell>
        </row>
        <row r="508">
          <cell r="A508">
            <v>3366</v>
          </cell>
          <cell r="B508" t="str">
            <v>백유니온 (나사식)</v>
          </cell>
          <cell r="C508" t="str">
            <v>32Ø</v>
          </cell>
          <cell r="D508" t="str">
            <v>개</v>
          </cell>
          <cell r="E508">
            <v>2223</v>
          </cell>
          <cell r="F508">
            <v>0</v>
          </cell>
          <cell r="H508">
            <v>460</v>
          </cell>
          <cell r="I508">
            <v>2223</v>
          </cell>
          <cell r="J508">
            <v>460</v>
          </cell>
          <cell r="L508">
            <v>460</v>
          </cell>
        </row>
        <row r="509">
          <cell r="A509">
            <v>3367</v>
          </cell>
          <cell r="B509" t="str">
            <v>백유니온 (나사식)</v>
          </cell>
          <cell r="C509" t="str">
            <v>25Ø</v>
          </cell>
          <cell r="D509" t="str">
            <v>개</v>
          </cell>
          <cell r="E509">
            <v>1754</v>
          </cell>
          <cell r="F509">
            <v>0</v>
          </cell>
          <cell r="H509">
            <v>460</v>
          </cell>
          <cell r="I509">
            <v>1754</v>
          </cell>
          <cell r="J509">
            <v>460</v>
          </cell>
          <cell r="L509">
            <v>460</v>
          </cell>
        </row>
        <row r="510">
          <cell r="A510">
            <v>3368</v>
          </cell>
          <cell r="B510" t="str">
            <v>백유니온 (나사식)</v>
          </cell>
          <cell r="C510" t="str">
            <v>20Ø</v>
          </cell>
          <cell r="D510" t="str">
            <v>개</v>
          </cell>
          <cell r="E510">
            <v>1253</v>
          </cell>
          <cell r="F510">
            <v>0</v>
          </cell>
          <cell r="H510">
            <v>460</v>
          </cell>
          <cell r="I510">
            <v>1253</v>
          </cell>
          <cell r="J510">
            <v>460</v>
          </cell>
          <cell r="L510">
            <v>460</v>
          </cell>
        </row>
        <row r="511">
          <cell r="A511">
            <v>3369</v>
          </cell>
          <cell r="B511" t="str">
            <v>백유니온 (나사식)</v>
          </cell>
          <cell r="C511" t="str">
            <v>15Ø</v>
          </cell>
          <cell r="D511" t="str">
            <v>개</v>
          </cell>
          <cell r="E511">
            <v>1149</v>
          </cell>
          <cell r="F511">
            <v>0</v>
          </cell>
          <cell r="H511">
            <v>460</v>
          </cell>
          <cell r="I511">
            <v>1149</v>
          </cell>
          <cell r="J511">
            <v>460</v>
          </cell>
          <cell r="L511">
            <v>460</v>
          </cell>
        </row>
        <row r="512">
          <cell r="A512">
            <v>3371</v>
          </cell>
          <cell r="B512" t="str">
            <v>백니플 (나사식)</v>
          </cell>
          <cell r="C512" t="str">
            <v>80Ø</v>
          </cell>
          <cell r="D512" t="str">
            <v>개</v>
          </cell>
          <cell r="E512">
            <v>2542</v>
          </cell>
          <cell r="F512">
            <v>0</v>
          </cell>
          <cell r="H512">
            <v>460</v>
          </cell>
          <cell r="I512">
            <v>2542</v>
          </cell>
          <cell r="J512">
            <v>460</v>
          </cell>
          <cell r="L512">
            <v>460</v>
          </cell>
        </row>
        <row r="513">
          <cell r="A513">
            <v>3372</v>
          </cell>
          <cell r="B513" t="str">
            <v>백니플 (나사식)</v>
          </cell>
          <cell r="C513" t="str">
            <v>65Ø</v>
          </cell>
          <cell r="D513" t="str">
            <v>개</v>
          </cell>
          <cell r="E513">
            <v>1699</v>
          </cell>
          <cell r="F513">
            <v>0</v>
          </cell>
          <cell r="H513">
            <v>460</v>
          </cell>
          <cell r="I513">
            <v>1699</v>
          </cell>
          <cell r="J513">
            <v>460</v>
          </cell>
          <cell r="L513">
            <v>460</v>
          </cell>
        </row>
        <row r="514">
          <cell r="A514">
            <v>3373</v>
          </cell>
          <cell r="B514" t="str">
            <v>백니플 (나사식)</v>
          </cell>
          <cell r="C514" t="str">
            <v>50Ø</v>
          </cell>
          <cell r="D514" t="str">
            <v>개</v>
          </cell>
          <cell r="E514">
            <v>1099</v>
          </cell>
          <cell r="F514">
            <v>0</v>
          </cell>
          <cell r="H514">
            <v>460</v>
          </cell>
          <cell r="I514">
            <v>1099</v>
          </cell>
          <cell r="J514">
            <v>460</v>
          </cell>
          <cell r="L514">
            <v>460</v>
          </cell>
        </row>
        <row r="515">
          <cell r="A515">
            <v>3374</v>
          </cell>
          <cell r="B515" t="str">
            <v>백니플 (나사식)</v>
          </cell>
          <cell r="C515" t="str">
            <v>40Ø</v>
          </cell>
          <cell r="D515" t="str">
            <v>개</v>
          </cell>
          <cell r="E515">
            <v>913</v>
          </cell>
          <cell r="F515">
            <v>0</v>
          </cell>
          <cell r="H515">
            <v>460</v>
          </cell>
          <cell r="I515">
            <v>913</v>
          </cell>
          <cell r="J515">
            <v>460</v>
          </cell>
          <cell r="L515">
            <v>460</v>
          </cell>
        </row>
        <row r="516">
          <cell r="A516">
            <v>3375</v>
          </cell>
          <cell r="B516" t="str">
            <v>백니플 (나사식)</v>
          </cell>
          <cell r="C516" t="str">
            <v>32Ø</v>
          </cell>
          <cell r="D516" t="str">
            <v>개</v>
          </cell>
          <cell r="E516">
            <v>644</v>
          </cell>
          <cell r="F516">
            <v>0</v>
          </cell>
          <cell r="H516">
            <v>460</v>
          </cell>
          <cell r="I516">
            <v>644</v>
          </cell>
          <cell r="J516">
            <v>460</v>
          </cell>
          <cell r="L516">
            <v>460</v>
          </cell>
        </row>
        <row r="517">
          <cell r="A517">
            <v>3376</v>
          </cell>
          <cell r="B517" t="str">
            <v>백니플 (나사식)</v>
          </cell>
          <cell r="C517" t="str">
            <v>25Ø</v>
          </cell>
          <cell r="D517" t="str">
            <v>개</v>
          </cell>
          <cell r="E517">
            <v>505</v>
          </cell>
          <cell r="F517">
            <v>0</v>
          </cell>
          <cell r="H517">
            <v>460</v>
          </cell>
          <cell r="I517">
            <v>505</v>
          </cell>
          <cell r="J517">
            <v>460</v>
          </cell>
          <cell r="L517">
            <v>460</v>
          </cell>
        </row>
        <row r="518">
          <cell r="A518">
            <v>3377</v>
          </cell>
          <cell r="B518" t="str">
            <v>백니플 (나사식)</v>
          </cell>
          <cell r="C518" t="str">
            <v>20Ø</v>
          </cell>
          <cell r="D518" t="str">
            <v>개</v>
          </cell>
          <cell r="E518">
            <v>353</v>
          </cell>
          <cell r="F518">
            <v>0</v>
          </cell>
          <cell r="H518">
            <v>460</v>
          </cell>
          <cell r="I518">
            <v>353</v>
          </cell>
          <cell r="J518">
            <v>460</v>
          </cell>
          <cell r="L518">
            <v>460</v>
          </cell>
        </row>
        <row r="519">
          <cell r="A519">
            <v>3378</v>
          </cell>
          <cell r="B519" t="str">
            <v>백니플 (나사식)</v>
          </cell>
          <cell r="C519" t="str">
            <v>15Ø</v>
          </cell>
          <cell r="D519" t="str">
            <v>개</v>
          </cell>
          <cell r="E519">
            <v>305</v>
          </cell>
          <cell r="F519">
            <v>0</v>
          </cell>
          <cell r="H519">
            <v>460</v>
          </cell>
          <cell r="I519">
            <v>305</v>
          </cell>
          <cell r="J519">
            <v>460</v>
          </cell>
          <cell r="L519">
            <v>460</v>
          </cell>
        </row>
        <row r="542">
          <cell r="A542">
            <v>3400</v>
          </cell>
          <cell r="B542" t="str">
            <v>흑강관</v>
          </cell>
          <cell r="C542" t="str">
            <v>150Ø</v>
          </cell>
          <cell r="D542" t="str">
            <v>M</v>
          </cell>
          <cell r="E542">
            <v>9755</v>
          </cell>
          <cell r="F542">
            <v>0</v>
          </cell>
          <cell r="H542">
            <v>458</v>
          </cell>
          <cell r="I542">
            <v>9755</v>
          </cell>
          <cell r="J542">
            <v>458</v>
          </cell>
          <cell r="L542">
            <v>458</v>
          </cell>
        </row>
        <row r="543">
          <cell r="A543">
            <v>3401</v>
          </cell>
          <cell r="B543" t="str">
            <v>흑강관</v>
          </cell>
          <cell r="C543" t="str">
            <v>100Ø</v>
          </cell>
          <cell r="D543" t="str">
            <v>M</v>
          </cell>
          <cell r="E543">
            <v>5962</v>
          </cell>
          <cell r="F543">
            <v>0</v>
          </cell>
          <cell r="H543">
            <v>458</v>
          </cell>
          <cell r="I543">
            <v>5962</v>
          </cell>
          <cell r="J543">
            <v>458</v>
          </cell>
          <cell r="L543">
            <v>458</v>
          </cell>
        </row>
        <row r="544">
          <cell r="A544">
            <v>3402</v>
          </cell>
          <cell r="B544" t="str">
            <v>흑강관</v>
          </cell>
          <cell r="C544" t="str">
            <v>80Ø</v>
          </cell>
          <cell r="D544" t="str">
            <v>M</v>
          </cell>
          <cell r="E544">
            <v>4173</v>
          </cell>
          <cell r="F544">
            <v>0</v>
          </cell>
          <cell r="H544">
            <v>458</v>
          </cell>
          <cell r="I544">
            <v>4173</v>
          </cell>
          <cell r="J544">
            <v>458</v>
          </cell>
          <cell r="L544">
            <v>458</v>
          </cell>
        </row>
        <row r="545">
          <cell r="A545">
            <v>3403</v>
          </cell>
          <cell r="B545" t="str">
            <v>흑강관</v>
          </cell>
          <cell r="C545" t="str">
            <v>65Ø</v>
          </cell>
          <cell r="D545" t="str">
            <v>M</v>
          </cell>
          <cell r="E545">
            <v>3223</v>
          </cell>
          <cell r="F545">
            <v>0</v>
          </cell>
          <cell r="H545">
            <v>458</v>
          </cell>
          <cell r="I545">
            <v>3223</v>
          </cell>
          <cell r="J545">
            <v>458</v>
          </cell>
          <cell r="L545">
            <v>458</v>
          </cell>
        </row>
        <row r="546">
          <cell r="A546">
            <v>3404</v>
          </cell>
          <cell r="B546" t="str">
            <v>흑강관</v>
          </cell>
          <cell r="C546" t="str">
            <v>50Ø</v>
          </cell>
          <cell r="D546" t="str">
            <v>M</v>
          </cell>
          <cell r="E546">
            <v>2530</v>
          </cell>
          <cell r="F546">
            <v>0</v>
          </cell>
          <cell r="H546">
            <v>458</v>
          </cell>
          <cell r="I546">
            <v>2530</v>
          </cell>
          <cell r="J546">
            <v>458</v>
          </cell>
          <cell r="L546">
            <v>458</v>
          </cell>
        </row>
        <row r="547">
          <cell r="A547">
            <v>3405</v>
          </cell>
          <cell r="B547" t="str">
            <v>흑강관</v>
          </cell>
          <cell r="C547" t="str">
            <v>40Ø</v>
          </cell>
          <cell r="D547" t="str">
            <v>M</v>
          </cell>
          <cell r="E547">
            <v>1794</v>
          </cell>
          <cell r="F547">
            <v>0</v>
          </cell>
          <cell r="H547">
            <v>458</v>
          </cell>
          <cell r="I547">
            <v>1794</v>
          </cell>
          <cell r="J547">
            <v>458</v>
          </cell>
          <cell r="L547">
            <v>458</v>
          </cell>
        </row>
        <row r="548">
          <cell r="A548">
            <v>3406</v>
          </cell>
          <cell r="B548" t="str">
            <v>흑강관</v>
          </cell>
          <cell r="C548" t="str">
            <v>32Ø</v>
          </cell>
          <cell r="D548" t="str">
            <v>M</v>
          </cell>
          <cell r="E548">
            <v>1553</v>
          </cell>
          <cell r="F548">
            <v>0</v>
          </cell>
          <cell r="H548">
            <v>458</v>
          </cell>
          <cell r="I548">
            <v>1553</v>
          </cell>
          <cell r="J548">
            <v>458</v>
          </cell>
          <cell r="L548">
            <v>458</v>
          </cell>
        </row>
        <row r="549">
          <cell r="A549">
            <v>3407</v>
          </cell>
          <cell r="B549" t="str">
            <v>흑강관</v>
          </cell>
          <cell r="C549" t="str">
            <v>25Ø</v>
          </cell>
          <cell r="D549" t="str">
            <v>M</v>
          </cell>
          <cell r="E549">
            <v>1233</v>
          </cell>
          <cell r="F549">
            <v>0</v>
          </cell>
          <cell r="H549">
            <v>458</v>
          </cell>
          <cell r="I549">
            <v>1233</v>
          </cell>
          <cell r="J549">
            <v>458</v>
          </cell>
          <cell r="L549">
            <v>458</v>
          </cell>
        </row>
        <row r="550">
          <cell r="A550">
            <v>3408</v>
          </cell>
          <cell r="B550" t="str">
            <v>흑강관</v>
          </cell>
          <cell r="C550" t="str">
            <v>20Ø</v>
          </cell>
          <cell r="D550" t="str">
            <v>M</v>
          </cell>
          <cell r="E550">
            <v>821</v>
          </cell>
          <cell r="F550">
            <v>0</v>
          </cell>
          <cell r="H550">
            <v>458</v>
          </cell>
          <cell r="I550">
            <v>821</v>
          </cell>
          <cell r="J550">
            <v>458</v>
          </cell>
          <cell r="L550">
            <v>458</v>
          </cell>
        </row>
        <row r="551">
          <cell r="A551">
            <v>3409</v>
          </cell>
          <cell r="B551" t="str">
            <v>흑강관</v>
          </cell>
          <cell r="C551" t="str">
            <v>15Ø</v>
          </cell>
          <cell r="D551" t="str">
            <v>M</v>
          </cell>
          <cell r="E551">
            <v>672</v>
          </cell>
          <cell r="F551">
            <v>0</v>
          </cell>
          <cell r="H551">
            <v>458</v>
          </cell>
          <cell r="I551">
            <v>672</v>
          </cell>
          <cell r="J551">
            <v>458</v>
          </cell>
          <cell r="L551">
            <v>458</v>
          </cell>
        </row>
        <row r="552">
          <cell r="A552">
            <v>3410</v>
          </cell>
          <cell r="B552" t="str">
            <v>흑엘보 (용접식)</v>
          </cell>
          <cell r="C552" t="str">
            <v>150Ø</v>
          </cell>
          <cell r="D552" t="str">
            <v>개</v>
          </cell>
          <cell r="E552">
            <v>13300</v>
          </cell>
          <cell r="F552">
            <v>0</v>
          </cell>
          <cell r="H552">
            <v>465</v>
          </cell>
          <cell r="I552">
            <v>13300</v>
          </cell>
          <cell r="J552">
            <v>465</v>
          </cell>
          <cell r="L552">
            <v>465</v>
          </cell>
        </row>
        <row r="553">
          <cell r="A553">
            <v>3411</v>
          </cell>
          <cell r="B553" t="str">
            <v>흑엘보 (용접식)</v>
          </cell>
          <cell r="C553" t="str">
            <v>100Ø</v>
          </cell>
          <cell r="D553" t="str">
            <v>개</v>
          </cell>
          <cell r="E553">
            <v>5110</v>
          </cell>
          <cell r="F553">
            <v>0</v>
          </cell>
          <cell r="H553">
            <v>465</v>
          </cell>
          <cell r="I553">
            <v>5110</v>
          </cell>
          <cell r="J553">
            <v>465</v>
          </cell>
          <cell r="L553">
            <v>465</v>
          </cell>
        </row>
        <row r="554">
          <cell r="A554">
            <v>3412</v>
          </cell>
          <cell r="B554" t="str">
            <v>흑엘보 (용접식)</v>
          </cell>
          <cell r="C554" t="str">
            <v>80Ø</v>
          </cell>
          <cell r="D554" t="str">
            <v>개</v>
          </cell>
          <cell r="E554">
            <v>3080</v>
          </cell>
          <cell r="F554">
            <v>0</v>
          </cell>
          <cell r="H554">
            <v>463</v>
          </cell>
          <cell r="I554">
            <v>3080</v>
          </cell>
          <cell r="J554">
            <v>463</v>
          </cell>
          <cell r="L554">
            <v>463</v>
          </cell>
        </row>
        <row r="555">
          <cell r="A555">
            <v>3413</v>
          </cell>
          <cell r="B555" t="str">
            <v>흑엘보 (용접식)</v>
          </cell>
          <cell r="C555" t="str">
            <v>65Ø</v>
          </cell>
          <cell r="D555" t="str">
            <v>개</v>
          </cell>
          <cell r="E555">
            <v>2310</v>
          </cell>
          <cell r="F555">
            <v>0</v>
          </cell>
          <cell r="H555">
            <v>463</v>
          </cell>
          <cell r="I555">
            <v>2310</v>
          </cell>
          <cell r="J555">
            <v>463</v>
          </cell>
          <cell r="L555">
            <v>463</v>
          </cell>
        </row>
        <row r="556">
          <cell r="A556">
            <v>3414</v>
          </cell>
          <cell r="B556" t="str">
            <v>흑엘보 (나사식)</v>
          </cell>
          <cell r="C556" t="str">
            <v>50Ø</v>
          </cell>
          <cell r="D556" t="str">
            <v>개</v>
          </cell>
          <cell r="E556">
            <v>1363</v>
          </cell>
          <cell r="F556">
            <v>0</v>
          </cell>
          <cell r="H556">
            <v>463</v>
          </cell>
          <cell r="I556">
            <v>1363</v>
          </cell>
          <cell r="J556">
            <v>463</v>
          </cell>
          <cell r="L556">
            <v>463</v>
          </cell>
        </row>
        <row r="557">
          <cell r="A557">
            <v>3415</v>
          </cell>
          <cell r="B557" t="str">
            <v>흑엘보 (나사식)</v>
          </cell>
          <cell r="C557" t="str">
            <v>40Ø</v>
          </cell>
          <cell r="D557" t="str">
            <v>개</v>
          </cell>
          <cell r="E557">
            <v>868</v>
          </cell>
          <cell r="F557">
            <v>0</v>
          </cell>
          <cell r="H557">
            <v>463</v>
          </cell>
          <cell r="I557">
            <v>868</v>
          </cell>
          <cell r="J557">
            <v>463</v>
          </cell>
          <cell r="L557">
            <v>463</v>
          </cell>
        </row>
        <row r="558">
          <cell r="A558">
            <v>3416</v>
          </cell>
          <cell r="B558" t="str">
            <v>흑엘보 (나사식)</v>
          </cell>
          <cell r="C558" t="str">
            <v>32Ø</v>
          </cell>
          <cell r="D558" t="str">
            <v>개</v>
          </cell>
          <cell r="E558">
            <v>732</v>
          </cell>
          <cell r="F558">
            <v>0</v>
          </cell>
          <cell r="H558">
            <v>463</v>
          </cell>
          <cell r="I558">
            <v>732</v>
          </cell>
          <cell r="J558">
            <v>463</v>
          </cell>
          <cell r="L558">
            <v>463</v>
          </cell>
        </row>
        <row r="559">
          <cell r="A559">
            <v>3417</v>
          </cell>
          <cell r="B559" t="str">
            <v>흑엘보 (나사식)</v>
          </cell>
          <cell r="C559" t="str">
            <v>25Ø</v>
          </cell>
          <cell r="D559" t="str">
            <v>개</v>
          </cell>
          <cell r="E559">
            <v>475</v>
          </cell>
          <cell r="F559">
            <v>0</v>
          </cell>
          <cell r="H559">
            <v>463</v>
          </cell>
          <cell r="I559">
            <v>475</v>
          </cell>
          <cell r="J559">
            <v>463</v>
          </cell>
          <cell r="L559">
            <v>463</v>
          </cell>
        </row>
        <row r="560">
          <cell r="A560">
            <v>3418</v>
          </cell>
          <cell r="B560" t="str">
            <v>흑엘보 (나사식)</v>
          </cell>
          <cell r="C560" t="str">
            <v>20Ø</v>
          </cell>
          <cell r="D560" t="str">
            <v>개</v>
          </cell>
          <cell r="E560">
            <v>299</v>
          </cell>
          <cell r="F560">
            <v>0</v>
          </cell>
          <cell r="H560">
            <v>463</v>
          </cell>
          <cell r="I560">
            <v>299</v>
          </cell>
          <cell r="J560">
            <v>463</v>
          </cell>
          <cell r="L560">
            <v>463</v>
          </cell>
        </row>
        <row r="561">
          <cell r="A561">
            <v>3419</v>
          </cell>
          <cell r="B561" t="str">
            <v>흑엘보 (나사식)</v>
          </cell>
          <cell r="C561" t="str">
            <v>15Ø</v>
          </cell>
          <cell r="D561" t="str">
            <v>개</v>
          </cell>
          <cell r="E561">
            <v>200</v>
          </cell>
          <cell r="F561">
            <v>0</v>
          </cell>
          <cell r="H561">
            <v>463</v>
          </cell>
          <cell r="I561">
            <v>200</v>
          </cell>
          <cell r="J561">
            <v>463</v>
          </cell>
          <cell r="L561">
            <v>463</v>
          </cell>
        </row>
        <row r="562">
          <cell r="A562">
            <v>3420</v>
          </cell>
          <cell r="B562" t="str">
            <v>흑티 (용접식)</v>
          </cell>
          <cell r="C562" t="str">
            <v>150Ø</v>
          </cell>
          <cell r="D562" t="str">
            <v>개</v>
          </cell>
          <cell r="E562">
            <v>17500</v>
          </cell>
          <cell r="F562">
            <v>0</v>
          </cell>
          <cell r="H562">
            <v>465</v>
          </cell>
          <cell r="I562">
            <v>17500</v>
          </cell>
          <cell r="J562">
            <v>465</v>
          </cell>
          <cell r="L562">
            <v>465</v>
          </cell>
        </row>
        <row r="563">
          <cell r="A563">
            <v>3421</v>
          </cell>
          <cell r="B563" t="str">
            <v>흑티 (용접식)</v>
          </cell>
          <cell r="C563" t="str">
            <v>100Ø</v>
          </cell>
          <cell r="D563" t="str">
            <v>개</v>
          </cell>
          <cell r="E563">
            <v>7280</v>
          </cell>
          <cell r="F563">
            <v>0</v>
          </cell>
          <cell r="H563">
            <v>465</v>
          </cell>
          <cell r="I563">
            <v>7280</v>
          </cell>
          <cell r="J563">
            <v>465</v>
          </cell>
          <cell r="L563">
            <v>465</v>
          </cell>
        </row>
        <row r="564">
          <cell r="A564">
            <v>3422</v>
          </cell>
          <cell r="B564" t="str">
            <v>흑티 (용접식)</v>
          </cell>
          <cell r="C564" t="str">
            <v>80Ø</v>
          </cell>
          <cell r="D564" t="str">
            <v>개</v>
          </cell>
          <cell r="E564">
            <v>4620</v>
          </cell>
          <cell r="F564">
            <v>0</v>
          </cell>
          <cell r="H564">
            <v>463</v>
          </cell>
          <cell r="I564">
            <v>4620</v>
          </cell>
          <cell r="J564">
            <v>463</v>
          </cell>
          <cell r="L564">
            <v>463</v>
          </cell>
        </row>
        <row r="565">
          <cell r="A565">
            <v>3423</v>
          </cell>
          <cell r="B565" t="str">
            <v>흑티 (용접식)</v>
          </cell>
          <cell r="C565" t="str">
            <v>65Ø</v>
          </cell>
          <cell r="D565" t="str">
            <v>개</v>
          </cell>
          <cell r="E565">
            <v>3360</v>
          </cell>
          <cell r="F565">
            <v>0</v>
          </cell>
          <cell r="H565">
            <v>463</v>
          </cell>
          <cell r="I565">
            <v>3360</v>
          </cell>
          <cell r="J565">
            <v>463</v>
          </cell>
          <cell r="L565">
            <v>463</v>
          </cell>
        </row>
        <row r="566">
          <cell r="A566">
            <v>3424</v>
          </cell>
          <cell r="B566" t="str">
            <v>흑티 (나사식)</v>
          </cell>
          <cell r="C566" t="str">
            <v>50Ø</v>
          </cell>
          <cell r="D566" t="str">
            <v>개</v>
          </cell>
          <cell r="E566">
            <v>1778</v>
          </cell>
          <cell r="F566">
            <v>0</v>
          </cell>
          <cell r="H566">
            <v>463</v>
          </cell>
          <cell r="I566">
            <v>1778</v>
          </cell>
          <cell r="J566">
            <v>463</v>
          </cell>
          <cell r="L566">
            <v>463</v>
          </cell>
        </row>
        <row r="567">
          <cell r="A567">
            <v>3437</v>
          </cell>
          <cell r="B567" t="str">
            <v>흑티 (나사식)</v>
          </cell>
          <cell r="C567" t="str">
            <v>40Ø</v>
          </cell>
          <cell r="D567" t="str">
            <v>개</v>
          </cell>
          <cell r="E567">
            <v>1218</v>
          </cell>
          <cell r="F567">
            <v>0</v>
          </cell>
          <cell r="H567">
            <v>463</v>
          </cell>
          <cell r="I567">
            <v>1218</v>
          </cell>
          <cell r="J567">
            <v>463</v>
          </cell>
          <cell r="L567">
            <v>463</v>
          </cell>
        </row>
        <row r="568">
          <cell r="A568">
            <v>3426</v>
          </cell>
          <cell r="B568" t="str">
            <v>흑티 (나사식)</v>
          </cell>
          <cell r="C568" t="str">
            <v>32Ø</v>
          </cell>
          <cell r="D568" t="str">
            <v>개</v>
          </cell>
          <cell r="E568">
            <v>911</v>
          </cell>
          <cell r="F568">
            <v>0</v>
          </cell>
          <cell r="H568">
            <v>463</v>
          </cell>
          <cell r="I568">
            <v>911</v>
          </cell>
          <cell r="J568">
            <v>463</v>
          </cell>
          <cell r="L568">
            <v>463</v>
          </cell>
        </row>
        <row r="569">
          <cell r="A569">
            <v>3427</v>
          </cell>
          <cell r="B569" t="str">
            <v>흑티 (나사식)</v>
          </cell>
          <cell r="C569" t="str">
            <v>25Ø</v>
          </cell>
          <cell r="D569" t="str">
            <v>개</v>
          </cell>
          <cell r="E569">
            <v>661</v>
          </cell>
          <cell r="F569">
            <v>0</v>
          </cell>
          <cell r="H569">
            <v>463</v>
          </cell>
          <cell r="I569">
            <v>661</v>
          </cell>
          <cell r="J569">
            <v>463</v>
          </cell>
          <cell r="L569">
            <v>463</v>
          </cell>
        </row>
        <row r="570">
          <cell r="A570">
            <v>3428</v>
          </cell>
          <cell r="B570" t="str">
            <v>흑티 (나사식)</v>
          </cell>
          <cell r="C570" t="str">
            <v>20Ø</v>
          </cell>
          <cell r="D570" t="str">
            <v>개</v>
          </cell>
          <cell r="E570">
            <v>440</v>
          </cell>
          <cell r="F570">
            <v>0</v>
          </cell>
          <cell r="H570">
            <v>463</v>
          </cell>
          <cell r="I570">
            <v>440</v>
          </cell>
          <cell r="J570">
            <v>463</v>
          </cell>
          <cell r="L570">
            <v>463</v>
          </cell>
        </row>
        <row r="571">
          <cell r="A571">
            <v>3429</v>
          </cell>
          <cell r="B571" t="str">
            <v>흑티 (나사식)</v>
          </cell>
          <cell r="C571" t="str">
            <v>15Ø</v>
          </cell>
          <cell r="D571" t="str">
            <v>개</v>
          </cell>
          <cell r="E571">
            <v>302</v>
          </cell>
          <cell r="F571">
            <v>0</v>
          </cell>
          <cell r="H571">
            <v>463</v>
          </cell>
          <cell r="I571">
            <v>302</v>
          </cell>
          <cell r="J571">
            <v>463</v>
          </cell>
          <cell r="L571">
            <v>463</v>
          </cell>
        </row>
        <row r="572">
          <cell r="A572">
            <v>3430</v>
          </cell>
          <cell r="B572" t="str">
            <v>흑레듀샤 (용접식)</v>
          </cell>
          <cell r="C572" t="str">
            <v>150Ø</v>
          </cell>
          <cell r="D572" t="str">
            <v>개</v>
          </cell>
          <cell r="E572">
            <v>16100</v>
          </cell>
          <cell r="F572">
            <v>0</v>
          </cell>
          <cell r="H572">
            <v>465</v>
          </cell>
          <cell r="I572">
            <v>16100</v>
          </cell>
          <cell r="J572">
            <v>465</v>
          </cell>
          <cell r="L572">
            <v>465</v>
          </cell>
        </row>
        <row r="573">
          <cell r="A573">
            <v>3431</v>
          </cell>
          <cell r="B573" t="str">
            <v>흑레듀샤 (용접식)</v>
          </cell>
          <cell r="C573" t="str">
            <v>100Ø</v>
          </cell>
          <cell r="D573" t="str">
            <v>개</v>
          </cell>
          <cell r="E573">
            <v>6440</v>
          </cell>
          <cell r="F573">
            <v>0</v>
          </cell>
          <cell r="H573">
            <v>465</v>
          </cell>
          <cell r="I573">
            <v>6440</v>
          </cell>
          <cell r="J573">
            <v>465</v>
          </cell>
          <cell r="L573">
            <v>465</v>
          </cell>
        </row>
        <row r="574">
          <cell r="A574">
            <v>3432</v>
          </cell>
          <cell r="B574" t="str">
            <v>흑레듀샤 (용접식)</v>
          </cell>
          <cell r="C574" t="str">
            <v>80Ø</v>
          </cell>
          <cell r="D574" t="str">
            <v>개</v>
          </cell>
          <cell r="E574">
            <v>4200</v>
          </cell>
          <cell r="F574">
            <v>0</v>
          </cell>
          <cell r="H574">
            <v>463</v>
          </cell>
          <cell r="I574">
            <v>4200</v>
          </cell>
          <cell r="J574">
            <v>463</v>
          </cell>
          <cell r="L574">
            <v>463</v>
          </cell>
        </row>
        <row r="575">
          <cell r="A575">
            <v>3433</v>
          </cell>
          <cell r="B575" t="str">
            <v>흑레듀샤 (용접식)</v>
          </cell>
          <cell r="C575" t="str">
            <v>65Ø</v>
          </cell>
          <cell r="D575" t="str">
            <v>개</v>
          </cell>
          <cell r="E575">
            <v>3520</v>
          </cell>
          <cell r="F575">
            <v>0</v>
          </cell>
          <cell r="H575">
            <v>463</v>
          </cell>
          <cell r="I575">
            <v>3520</v>
          </cell>
          <cell r="J575">
            <v>463</v>
          </cell>
          <cell r="L575">
            <v>463</v>
          </cell>
        </row>
        <row r="576">
          <cell r="A576">
            <v>3434</v>
          </cell>
          <cell r="B576" t="str">
            <v>흑레듀샤 (나사식)</v>
          </cell>
          <cell r="C576" t="str">
            <v>50Ø</v>
          </cell>
          <cell r="D576" t="str">
            <v>개</v>
          </cell>
          <cell r="E576">
            <v>884</v>
          </cell>
          <cell r="F576">
            <v>0</v>
          </cell>
          <cell r="H576">
            <v>463</v>
          </cell>
          <cell r="I576">
            <v>884</v>
          </cell>
          <cell r="J576">
            <v>463</v>
          </cell>
          <cell r="L576">
            <v>463</v>
          </cell>
        </row>
        <row r="577">
          <cell r="A577">
            <v>3435</v>
          </cell>
          <cell r="B577" t="str">
            <v>흑레듀샤 (나사식)</v>
          </cell>
          <cell r="C577" t="str">
            <v>40Ø</v>
          </cell>
          <cell r="D577" t="str">
            <v>개</v>
          </cell>
          <cell r="E577">
            <v>685</v>
          </cell>
          <cell r="F577">
            <v>0</v>
          </cell>
          <cell r="H577">
            <v>463</v>
          </cell>
          <cell r="I577">
            <v>685</v>
          </cell>
          <cell r="J577">
            <v>463</v>
          </cell>
          <cell r="L577">
            <v>463</v>
          </cell>
        </row>
        <row r="578">
          <cell r="A578">
            <v>3436</v>
          </cell>
          <cell r="B578" t="str">
            <v>흑레듀샤 (나사식)</v>
          </cell>
          <cell r="C578" t="str">
            <v>32Ø</v>
          </cell>
          <cell r="D578" t="str">
            <v>개</v>
          </cell>
          <cell r="E578">
            <v>530</v>
          </cell>
          <cell r="F578">
            <v>0</v>
          </cell>
          <cell r="H578">
            <v>463</v>
          </cell>
          <cell r="I578">
            <v>530</v>
          </cell>
          <cell r="J578">
            <v>463</v>
          </cell>
          <cell r="L578">
            <v>463</v>
          </cell>
        </row>
        <row r="579">
          <cell r="A579">
            <v>3437</v>
          </cell>
          <cell r="B579" t="str">
            <v>흑레듀샤 (나사식)</v>
          </cell>
          <cell r="C579" t="str">
            <v>25Ø</v>
          </cell>
          <cell r="D579" t="str">
            <v>개</v>
          </cell>
          <cell r="E579">
            <v>400</v>
          </cell>
          <cell r="F579">
            <v>0</v>
          </cell>
          <cell r="H579">
            <v>463</v>
          </cell>
          <cell r="I579">
            <v>400</v>
          </cell>
          <cell r="J579">
            <v>463</v>
          </cell>
          <cell r="L579">
            <v>463</v>
          </cell>
        </row>
        <row r="580">
          <cell r="A580">
            <v>3438</v>
          </cell>
          <cell r="B580" t="str">
            <v>흑레듀샤 (나사식)</v>
          </cell>
          <cell r="C580" t="str">
            <v>20Ø</v>
          </cell>
          <cell r="D580" t="str">
            <v>개</v>
          </cell>
          <cell r="E580">
            <v>277</v>
          </cell>
          <cell r="F580">
            <v>0</v>
          </cell>
          <cell r="H580">
            <v>463</v>
          </cell>
          <cell r="I580">
            <v>277</v>
          </cell>
          <cell r="J580">
            <v>463</v>
          </cell>
          <cell r="L580">
            <v>463</v>
          </cell>
        </row>
        <row r="581">
          <cell r="A581">
            <v>3441</v>
          </cell>
          <cell r="B581" t="str">
            <v>흑소켓 (나사식)</v>
          </cell>
          <cell r="C581" t="str">
            <v>80Ø</v>
          </cell>
          <cell r="D581" t="str">
            <v>개</v>
          </cell>
          <cell r="E581">
            <v>2026</v>
          </cell>
          <cell r="F581">
            <v>0</v>
          </cell>
          <cell r="H581">
            <v>463</v>
          </cell>
          <cell r="I581">
            <v>2026</v>
          </cell>
          <cell r="J581">
            <v>463</v>
          </cell>
          <cell r="L581">
            <v>463</v>
          </cell>
        </row>
        <row r="582">
          <cell r="A582">
            <v>3442</v>
          </cell>
          <cell r="B582" t="str">
            <v>흑소켓 (나사식)</v>
          </cell>
          <cell r="C582" t="str">
            <v>65Ø</v>
          </cell>
          <cell r="D582" t="str">
            <v>개</v>
          </cell>
          <cell r="E582">
            <v>1617</v>
          </cell>
          <cell r="F582">
            <v>0</v>
          </cell>
          <cell r="H582">
            <v>463</v>
          </cell>
          <cell r="I582">
            <v>1617</v>
          </cell>
          <cell r="J582">
            <v>463</v>
          </cell>
          <cell r="L582">
            <v>463</v>
          </cell>
        </row>
        <row r="583">
          <cell r="A583">
            <v>3443</v>
          </cell>
          <cell r="B583" t="str">
            <v>흑소켓 (나사식)</v>
          </cell>
          <cell r="C583" t="str">
            <v>50Ø</v>
          </cell>
          <cell r="D583" t="str">
            <v>개</v>
          </cell>
          <cell r="E583">
            <v>917</v>
          </cell>
          <cell r="F583">
            <v>0</v>
          </cell>
          <cell r="H583">
            <v>463</v>
          </cell>
          <cell r="I583">
            <v>917</v>
          </cell>
          <cell r="J583">
            <v>463</v>
          </cell>
          <cell r="L583">
            <v>463</v>
          </cell>
        </row>
        <row r="584">
          <cell r="A584">
            <v>3444</v>
          </cell>
          <cell r="B584" t="str">
            <v>흑소켓 (나사식)</v>
          </cell>
          <cell r="C584" t="str">
            <v>40Ø</v>
          </cell>
          <cell r="D584" t="str">
            <v>개</v>
          </cell>
          <cell r="E584">
            <v>576</v>
          </cell>
          <cell r="F584">
            <v>0</v>
          </cell>
          <cell r="H584">
            <v>463</v>
          </cell>
          <cell r="I584">
            <v>576</v>
          </cell>
          <cell r="J584">
            <v>463</v>
          </cell>
          <cell r="L584">
            <v>463</v>
          </cell>
        </row>
        <row r="585">
          <cell r="A585">
            <v>3445</v>
          </cell>
          <cell r="B585" t="str">
            <v>흑소켓 (나사식)</v>
          </cell>
          <cell r="C585" t="str">
            <v>32Ø</v>
          </cell>
          <cell r="D585" t="str">
            <v>개</v>
          </cell>
          <cell r="E585">
            <v>483</v>
          </cell>
          <cell r="F585">
            <v>0</v>
          </cell>
          <cell r="H585">
            <v>463</v>
          </cell>
          <cell r="I585">
            <v>483</v>
          </cell>
          <cell r="J585">
            <v>463</v>
          </cell>
          <cell r="L585">
            <v>463</v>
          </cell>
        </row>
        <row r="586">
          <cell r="A586">
            <v>3446</v>
          </cell>
          <cell r="B586" t="str">
            <v>흑소켓 (나사식)</v>
          </cell>
          <cell r="C586" t="str">
            <v>25Ø</v>
          </cell>
          <cell r="D586" t="str">
            <v>개</v>
          </cell>
          <cell r="E586">
            <v>377</v>
          </cell>
          <cell r="F586">
            <v>0</v>
          </cell>
          <cell r="H586">
            <v>463</v>
          </cell>
          <cell r="I586">
            <v>377</v>
          </cell>
          <cell r="J586">
            <v>463</v>
          </cell>
          <cell r="L586">
            <v>463</v>
          </cell>
        </row>
        <row r="587">
          <cell r="A587">
            <v>3447</v>
          </cell>
          <cell r="B587" t="str">
            <v>흑소켓 (나사식)</v>
          </cell>
          <cell r="C587" t="str">
            <v>20Ø</v>
          </cell>
          <cell r="D587" t="str">
            <v>개</v>
          </cell>
          <cell r="E587">
            <v>232</v>
          </cell>
          <cell r="F587">
            <v>0</v>
          </cell>
          <cell r="H587">
            <v>463</v>
          </cell>
          <cell r="I587">
            <v>232</v>
          </cell>
          <cell r="J587">
            <v>463</v>
          </cell>
          <cell r="L587">
            <v>463</v>
          </cell>
        </row>
        <row r="588">
          <cell r="A588">
            <v>3448</v>
          </cell>
          <cell r="B588" t="str">
            <v>흑소켓 (나사식)</v>
          </cell>
          <cell r="C588" t="str">
            <v>15Ø</v>
          </cell>
          <cell r="D588" t="str">
            <v>개</v>
          </cell>
          <cell r="E588">
            <v>193</v>
          </cell>
          <cell r="F588">
            <v>0</v>
          </cell>
          <cell r="H588">
            <v>463</v>
          </cell>
          <cell r="I588">
            <v>193</v>
          </cell>
          <cell r="J588">
            <v>463</v>
          </cell>
          <cell r="L588">
            <v>463</v>
          </cell>
        </row>
        <row r="589">
          <cell r="A589">
            <v>3450</v>
          </cell>
          <cell r="B589" t="str">
            <v>흑캡 (용접식)</v>
          </cell>
          <cell r="C589" t="str">
            <v>150Ø</v>
          </cell>
          <cell r="D589" t="str">
            <v>개</v>
          </cell>
          <cell r="E589">
            <v>7000</v>
          </cell>
          <cell r="F589">
            <v>0</v>
          </cell>
          <cell r="H589">
            <v>465</v>
          </cell>
          <cell r="I589">
            <v>7000</v>
          </cell>
          <cell r="J589">
            <v>465</v>
          </cell>
          <cell r="L589">
            <v>465</v>
          </cell>
        </row>
        <row r="590">
          <cell r="A590">
            <v>3451</v>
          </cell>
          <cell r="B590" t="str">
            <v>흑캡 (용접식)</v>
          </cell>
          <cell r="C590" t="str">
            <v>100Ø</v>
          </cell>
          <cell r="D590" t="str">
            <v>개</v>
          </cell>
          <cell r="E590">
            <v>2940</v>
          </cell>
          <cell r="F590">
            <v>0</v>
          </cell>
          <cell r="H590">
            <v>465</v>
          </cell>
          <cell r="I590">
            <v>2940</v>
          </cell>
          <cell r="J590">
            <v>465</v>
          </cell>
          <cell r="L590">
            <v>465</v>
          </cell>
        </row>
        <row r="591">
          <cell r="A591">
            <v>3452</v>
          </cell>
          <cell r="B591" t="str">
            <v>흑캡 (용접식)</v>
          </cell>
          <cell r="C591" t="str">
            <v>80Ø</v>
          </cell>
          <cell r="D591" t="str">
            <v>개</v>
          </cell>
          <cell r="E591">
            <v>2070</v>
          </cell>
          <cell r="F591">
            <v>0</v>
          </cell>
          <cell r="H591">
            <v>463</v>
          </cell>
          <cell r="I591">
            <v>2070</v>
          </cell>
          <cell r="J591">
            <v>463</v>
          </cell>
          <cell r="L591">
            <v>463</v>
          </cell>
        </row>
        <row r="592">
          <cell r="A592">
            <v>3453</v>
          </cell>
          <cell r="B592" t="str">
            <v>흑캡 (용접식)</v>
          </cell>
          <cell r="C592" t="str">
            <v>65Ø</v>
          </cell>
          <cell r="D592" t="str">
            <v>개</v>
          </cell>
          <cell r="E592">
            <v>1490</v>
          </cell>
          <cell r="F592">
            <v>0</v>
          </cell>
          <cell r="H592">
            <v>463</v>
          </cell>
          <cell r="I592">
            <v>1490</v>
          </cell>
          <cell r="J592">
            <v>463</v>
          </cell>
          <cell r="L592">
            <v>463</v>
          </cell>
        </row>
        <row r="593">
          <cell r="A593">
            <v>3454</v>
          </cell>
          <cell r="B593" t="str">
            <v>흑캡 (나사식)</v>
          </cell>
          <cell r="C593" t="str">
            <v>50Ø</v>
          </cell>
          <cell r="D593" t="str">
            <v>개</v>
          </cell>
          <cell r="E593">
            <v>872</v>
          </cell>
          <cell r="F593">
            <v>0</v>
          </cell>
          <cell r="H593">
            <v>463</v>
          </cell>
          <cell r="I593">
            <v>872</v>
          </cell>
          <cell r="J593">
            <v>463</v>
          </cell>
          <cell r="L593">
            <v>463</v>
          </cell>
        </row>
        <row r="594">
          <cell r="A594">
            <v>3455</v>
          </cell>
          <cell r="B594" t="str">
            <v>흑캡 (나사식)</v>
          </cell>
          <cell r="C594" t="str">
            <v>40Ø</v>
          </cell>
          <cell r="D594" t="str">
            <v>개</v>
          </cell>
          <cell r="E594">
            <v>583</v>
          </cell>
          <cell r="F594">
            <v>0</v>
          </cell>
          <cell r="H594">
            <v>463</v>
          </cell>
          <cell r="I594">
            <v>583</v>
          </cell>
          <cell r="J594">
            <v>463</v>
          </cell>
          <cell r="L594">
            <v>463</v>
          </cell>
        </row>
        <row r="595">
          <cell r="A595">
            <v>3456</v>
          </cell>
          <cell r="B595" t="str">
            <v>흑캡 (나사식)</v>
          </cell>
          <cell r="C595" t="str">
            <v>32Ø</v>
          </cell>
          <cell r="D595" t="str">
            <v>개</v>
          </cell>
          <cell r="E595">
            <v>440</v>
          </cell>
          <cell r="F595">
            <v>0</v>
          </cell>
          <cell r="H595">
            <v>463</v>
          </cell>
          <cell r="I595">
            <v>440</v>
          </cell>
          <cell r="J595">
            <v>463</v>
          </cell>
          <cell r="L595">
            <v>463</v>
          </cell>
        </row>
        <row r="596">
          <cell r="A596">
            <v>3457</v>
          </cell>
          <cell r="B596" t="str">
            <v>흑캡 (나사식)</v>
          </cell>
          <cell r="C596" t="str">
            <v>25Ø</v>
          </cell>
          <cell r="D596" t="str">
            <v>개</v>
          </cell>
          <cell r="E596">
            <v>278</v>
          </cell>
          <cell r="F596">
            <v>0</v>
          </cell>
          <cell r="H596">
            <v>463</v>
          </cell>
          <cell r="I596">
            <v>278</v>
          </cell>
          <cell r="J596">
            <v>463</v>
          </cell>
          <cell r="L596">
            <v>463</v>
          </cell>
        </row>
        <row r="597">
          <cell r="A597">
            <v>3458</v>
          </cell>
          <cell r="B597" t="str">
            <v>흑캡 (나사식)</v>
          </cell>
          <cell r="C597" t="str">
            <v>20Ø</v>
          </cell>
          <cell r="D597" t="str">
            <v>개</v>
          </cell>
          <cell r="E597">
            <v>234</v>
          </cell>
          <cell r="F597">
            <v>0</v>
          </cell>
          <cell r="H597">
            <v>463</v>
          </cell>
          <cell r="I597">
            <v>234</v>
          </cell>
          <cell r="J597">
            <v>463</v>
          </cell>
          <cell r="L597">
            <v>463</v>
          </cell>
        </row>
        <row r="598">
          <cell r="A598">
            <v>3459</v>
          </cell>
          <cell r="B598" t="str">
            <v>흑캡 (나사식)</v>
          </cell>
          <cell r="C598" t="str">
            <v>15Ø</v>
          </cell>
          <cell r="D598" t="str">
            <v>개</v>
          </cell>
          <cell r="E598">
            <v>151</v>
          </cell>
          <cell r="F598">
            <v>0</v>
          </cell>
          <cell r="H598">
            <v>463</v>
          </cell>
          <cell r="I598">
            <v>151</v>
          </cell>
          <cell r="J598">
            <v>463</v>
          </cell>
          <cell r="L598">
            <v>463</v>
          </cell>
        </row>
        <row r="599">
          <cell r="A599">
            <v>3461</v>
          </cell>
          <cell r="B599" t="str">
            <v>흑유니온 (나사식)</v>
          </cell>
          <cell r="C599" t="str">
            <v>80Ø</v>
          </cell>
          <cell r="D599" t="str">
            <v>개</v>
          </cell>
          <cell r="E599">
            <v>6843</v>
          </cell>
          <cell r="F599">
            <v>0</v>
          </cell>
          <cell r="H599">
            <v>463</v>
          </cell>
          <cell r="I599">
            <v>6843</v>
          </cell>
          <cell r="J599">
            <v>463</v>
          </cell>
          <cell r="L599">
            <v>463</v>
          </cell>
        </row>
        <row r="600">
          <cell r="A600">
            <v>3462</v>
          </cell>
          <cell r="B600" t="str">
            <v>흑유니온 (나사식)</v>
          </cell>
          <cell r="C600" t="str">
            <v>65Ø</v>
          </cell>
          <cell r="D600" t="str">
            <v>개</v>
          </cell>
          <cell r="E600">
            <v>5353</v>
          </cell>
          <cell r="F600">
            <v>0</v>
          </cell>
          <cell r="H600">
            <v>463</v>
          </cell>
          <cell r="I600">
            <v>5353</v>
          </cell>
          <cell r="J600">
            <v>463</v>
          </cell>
          <cell r="L600">
            <v>463</v>
          </cell>
        </row>
        <row r="601">
          <cell r="A601">
            <v>3463</v>
          </cell>
          <cell r="B601" t="str">
            <v>흑유니온 (나사식)</v>
          </cell>
          <cell r="C601" t="str">
            <v>50Ø</v>
          </cell>
          <cell r="D601" t="str">
            <v>개</v>
          </cell>
          <cell r="E601">
            <v>2848</v>
          </cell>
          <cell r="F601">
            <v>0</v>
          </cell>
          <cell r="H601">
            <v>463</v>
          </cell>
          <cell r="I601">
            <v>2848</v>
          </cell>
          <cell r="J601">
            <v>463</v>
          </cell>
          <cell r="L601">
            <v>463</v>
          </cell>
        </row>
        <row r="602">
          <cell r="A602">
            <v>3464</v>
          </cell>
          <cell r="B602" t="str">
            <v>흑유니온 (나사식)</v>
          </cell>
          <cell r="C602" t="str">
            <v>40Ø</v>
          </cell>
          <cell r="D602" t="str">
            <v>개</v>
          </cell>
          <cell r="E602">
            <v>2213</v>
          </cell>
          <cell r="F602">
            <v>0</v>
          </cell>
          <cell r="H602">
            <v>463</v>
          </cell>
          <cell r="I602">
            <v>2213</v>
          </cell>
          <cell r="J602">
            <v>463</v>
          </cell>
          <cell r="L602">
            <v>463</v>
          </cell>
        </row>
        <row r="603">
          <cell r="A603">
            <v>3465</v>
          </cell>
          <cell r="B603" t="str">
            <v>흑유니온 (나사식)</v>
          </cell>
          <cell r="C603" t="str">
            <v>32Ø</v>
          </cell>
          <cell r="D603" t="str">
            <v>개</v>
          </cell>
          <cell r="E603">
            <v>1712</v>
          </cell>
          <cell r="F603">
            <v>0</v>
          </cell>
          <cell r="H603">
            <v>463</v>
          </cell>
          <cell r="I603">
            <v>1712</v>
          </cell>
          <cell r="J603">
            <v>463</v>
          </cell>
          <cell r="L603">
            <v>463</v>
          </cell>
        </row>
        <row r="604">
          <cell r="A604">
            <v>3466</v>
          </cell>
          <cell r="B604" t="str">
            <v>흑유니온 (나사식)</v>
          </cell>
          <cell r="C604" t="str">
            <v>25Ø</v>
          </cell>
          <cell r="D604" t="str">
            <v>개</v>
          </cell>
          <cell r="E604">
            <v>1351</v>
          </cell>
          <cell r="F604">
            <v>0</v>
          </cell>
          <cell r="H604">
            <v>463</v>
          </cell>
          <cell r="I604">
            <v>1351</v>
          </cell>
          <cell r="J604">
            <v>463</v>
          </cell>
          <cell r="L604">
            <v>463</v>
          </cell>
        </row>
        <row r="605">
          <cell r="A605">
            <v>3467</v>
          </cell>
          <cell r="B605" t="str">
            <v>흑유니온 (나사식)</v>
          </cell>
          <cell r="C605" t="str">
            <v>20Ø</v>
          </cell>
          <cell r="D605" t="str">
            <v>개</v>
          </cell>
          <cell r="E605">
            <v>963</v>
          </cell>
          <cell r="F605">
            <v>0</v>
          </cell>
          <cell r="H605">
            <v>463</v>
          </cell>
          <cell r="I605">
            <v>963</v>
          </cell>
          <cell r="J605">
            <v>463</v>
          </cell>
          <cell r="L605">
            <v>463</v>
          </cell>
        </row>
        <row r="606">
          <cell r="A606">
            <v>3467</v>
          </cell>
          <cell r="B606" t="str">
            <v>흑유니온 (나사식)</v>
          </cell>
          <cell r="C606" t="str">
            <v>15Ø</v>
          </cell>
          <cell r="D606" t="str">
            <v>개</v>
          </cell>
          <cell r="E606">
            <v>883</v>
          </cell>
          <cell r="F606">
            <v>0</v>
          </cell>
          <cell r="H606">
            <v>463</v>
          </cell>
          <cell r="I606">
            <v>883</v>
          </cell>
          <cell r="J606">
            <v>463</v>
          </cell>
          <cell r="L606">
            <v>463</v>
          </cell>
        </row>
        <row r="607">
          <cell r="A607">
            <v>3471</v>
          </cell>
          <cell r="B607" t="str">
            <v>흑니플 (나사식)</v>
          </cell>
          <cell r="C607" t="str">
            <v>80Ø</v>
          </cell>
          <cell r="D607" t="str">
            <v>개</v>
          </cell>
          <cell r="E607">
            <v>1955</v>
          </cell>
          <cell r="F607">
            <v>0</v>
          </cell>
          <cell r="H607">
            <v>463</v>
          </cell>
          <cell r="I607">
            <v>1955</v>
          </cell>
          <cell r="J607">
            <v>463</v>
          </cell>
          <cell r="L607">
            <v>463</v>
          </cell>
        </row>
        <row r="608">
          <cell r="A608">
            <v>3472</v>
          </cell>
          <cell r="B608" t="str">
            <v>흑니플 (나사식)</v>
          </cell>
          <cell r="C608" t="str">
            <v>65Ø</v>
          </cell>
          <cell r="D608" t="str">
            <v>개</v>
          </cell>
          <cell r="E608">
            <v>1308</v>
          </cell>
          <cell r="F608">
            <v>0</v>
          </cell>
          <cell r="H608">
            <v>463</v>
          </cell>
          <cell r="I608">
            <v>1308</v>
          </cell>
          <cell r="J608">
            <v>463</v>
          </cell>
          <cell r="L608">
            <v>463</v>
          </cell>
        </row>
        <row r="609">
          <cell r="A609">
            <v>3473</v>
          </cell>
          <cell r="B609" t="str">
            <v>흑니플 (나사식)</v>
          </cell>
          <cell r="C609" t="str">
            <v>50Ø</v>
          </cell>
          <cell r="D609" t="str">
            <v>개</v>
          </cell>
          <cell r="E609">
            <v>845</v>
          </cell>
          <cell r="F609">
            <v>0</v>
          </cell>
          <cell r="H609">
            <v>463</v>
          </cell>
          <cell r="I609">
            <v>845</v>
          </cell>
          <cell r="J609">
            <v>463</v>
          </cell>
          <cell r="L609">
            <v>463</v>
          </cell>
        </row>
        <row r="610">
          <cell r="A610">
            <v>3474</v>
          </cell>
          <cell r="B610" t="str">
            <v>흑니플 (나사식)</v>
          </cell>
          <cell r="C610" t="str">
            <v>40Ø</v>
          </cell>
          <cell r="D610" t="str">
            <v>개</v>
          </cell>
          <cell r="E610">
            <v>706</v>
          </cell>
          <cell r="F610">
            <v>0</v>
          </cell>
          <cell r="H610">
            <v>463</v>
          </cell>
          <cell r="I610">
            <v>706</v>
          </cell>
          <cell r="J610">
            <v>463</v>
          </cell>
          <cell r="L610">
            <v>463</v>
          </cell>
        </row>
        <row r="611">
          <cell r="A611">
            <v>3475</v>
          </cell>
          <cell r="B611" t="str">
            <v>흑니플 (나사식)</v>
          </cell>
          <cell r="C611" t="str">
            <v>32Ø</v>
          </cell>
          <cell r="D611" t="str">
            <v>개</v>
          </cell>
          <cell r="E611">
            <v>495</v>
          </cell>
          <cell r="F611">
            <v>0</v>
          </cell>
          <cell r="H611">
            <v>463</v>
          </cell>
          <cell r="I611">
            <v>495</v>
          </cell>
          <cell r="J611">
            <v>463</v>
          </cell>
          <cell r="L611">
            <v>463</v>
          </cell>
        </row>
        <row r="612">
          <cell r="A612">
            <v>3476</v>
          </cell>
          <cell r="B612" t="str">
            <v>흑니플 (나사식)</v>
          </cell>
          <cell r="C612" t="str">
            <v>25Ø</v>
          </cell>
          <cell r="D612" t="str">
            <v>개</v>
          </cell>
          <cell r="E612">
            <v>390</v>
          </cell>
          <cell r="F612">
            <v>0</v>
          </cell>
          <cell r="H612">
            <v>463</v>
          </cell>
          <cell r="I612">
            <v>390</v>
          </cell>
          <cell r="J612">
            <v>463</v>
          </cell>
          <cell r="L612">
            <v>463</v>
          </cell>
        </row>
        <row r="613">
          <cell r="A613">
            <v>3477</v>
          </cell>
          <cell r="B613" t="str">
            <v>흑니플 (나사식)</v>
          </cell>
          <cell r="C613" t="str">
            <v>20Ø</v>
          </cell>
          <cell r="D613" t="str">
            <v>개</v>
          </cell>
          <cell r="E613">
            <v>273</v>
          </cell>
          <cell r="F613">
            <v>0</v>
          </cell>
          <cell r="H613">
            <v>463</v>
          </cell>
          <cell r="I613">
            <v>273</v>
          </cell>
          <cell r="J613">
            <v>463</v>
          </cell>
          <cell r="L613">
            <v>463</v>
          </cell>
        </row>
        <row r="614">
          <cell r="A614">
            <v>3478</v>
          </cell>
          <cell r="B614" t="str">
            <v>흑니플 (나사식)</v>
          </cell>
          <cell r="C614" t="str">
            <v>15Ø</v>
          </cell>
          <cell r="D614" t="str">
            <v>개</v>
          </cell>
          <cell r="E614">
            <v>234</v>
          </cell>
          <cell r="F614">
            <v>0</v>
          </cell>
          <cell r="H614">
            <v>463</v>
          </cell>
          <cell r="I614">
            <v>234</v>
          </cell>
          <cell r="J614">
            <v>463</v>
          </cell>
          <cell r="L614">
            <v>463</v>
          </cell>
        </row>
        <row r="615">
          <cell r="E615">
            <v>0</v>
          </cell>
        </row>
        <row r="616">
          <cell r="E616">
            <v>0</v>
          </cell>
        </row>
        <row r="617">
          <cell r="E617">
            <v>0</v>
          </cell>
        </row>
        <row r="640">
          <cell r="A640">
            <v>3501</v>
          </cell>
          <cell r="B640" t="str">
            <v>PFP관 (D형)</v>
          </cell>
          <cell r="C640" t="str">
            <v>100Ø</v>
          </cell>
          <cell r="D640" t="str">
            <v>M</v>
          </cell>
          <cell r="E640">
            <v>16237</v>
          </cell>
          <cell r="F640">
            <v>0</v>
          </cell>
          <cell r="H640">
            <v>520</v>
          </cell>
          <cell r="I640">
            <v>16237</v>
          </cell>
          <cell r="J640">
            <v>466</v>
          </cell>
          <cell r="L640">
            <v>366</v>
          </cell>
        </row>
        <row r="641">
          <cell r="A641">
            <v>3502</v>
          </cell>
          <cell r="B641" t="str">
            <v>PFP관 (D형)</v>
          </cell>
          <cell r="C641" t="str">
            <v>80Ø</v>
          </cell>
          <cell r="D641" t="str">
            <v>M</v>
          </cell>
          <cell r="E641">
            <v>11953</v>
          </cell>
          <cell r="F641">
            <v>0</v>
          </cell>
          <cell r="H641">
            <v>520</v>
          </cell>
          <cell r="I641">
            <v>11953</v>
          </cell>
          <cell r="J641">
            <v>466</v>
          </cell>
          <cell r="L641">
            <v>366</v>
          </cell>
        </row>
        <row r="642">
          <cell r="A642">
            <v>3503</v>
          </cell>
          <cell r="B642" t="str">
            <v>PFP관 (D형)</v>
          </cell>
          <cell r="C642" t="str">
            <v>65Ø</v>
          </cell>
          <cell r="D642" t="str">
            <v>M</v>
          </cell>
          <cell r="E642">
            <v>9179</v>
          </cell>
          <cell r="F642">
            <v>0</v>
          </cell>
          <cell r="H642">
            <v>520</v>
          </cell>
          <cell r="I642">
            <v>9179</v>
          </cell>
          <cell r="J642">
            <v>466</v>
          </cell>
          <cell r="L642">
            <v>366</v>
          </cell>
        </row>
        <row r="643">
          <cell r="A643">
            <v>3504</v>
          </cell>
          <cell r="B643" t="str">
            <v>PFP관 (D형)</v>
          </cell>
          <cell r="C643" t="str">
            <v>50Ø</v>
          </cell>
          <cell r="D643" t="str">
            <v>M</v>
          </cell>
          <cell r="E643">
            <v>7096</v>
          </cell>
          <cell r="F643">
            <v>0</v>
          </cell>
          <cell r="H643">
            <v>520</v>
          </cell>
          <cell r="I643">
            <v>7096</v>
          </cell>
          <cell r="J643">
            <v>466</v>
          </cell>
          <cell r="L643">
            <v>366</v>
          </cell>
        </row>
        <row r="644">
          <cell r="A644">
            <v>3505</v>
          </cell>
          <cell r="B644" t="str">
            <v>PFP관 (D형)</v>
          </cell>
          <cell r="C644" t="str">
            <v>40Ø</v>
          </cell>
          <cell r="D644" t="str">
            <v>M</v>
          </cell>
          <cell r="E644">
            <v>5201</v>
          </cell>
          <cell r="F644">
            <v>0</v>
          </cell>
          <cell r="H644">
            <v>520</v>
          </cell>
          <cell r="I644">
            <v>5201</v>
          </cell>
          <cell r="J644">
            <v>466</v>
          </cell>
          <cell r="L644">
            <v>366</v>
          </cell>
        </row>
        <row r="645">
          <cell r="A645">
            <v>3506</v>
          </cell>
          <cell r="B645" t="str">
            <v>PFP관 (D형)</v>
          </cell>
          <cell r="C645" t="str">
            <v>32Ø</v>
          </cell>
          <cell r="D645" t="str">
            <v>M</v>
          </cell>
          <cell r="E645">
            <v>4763</v>
          </cell>
          <cell r="F645">
            <v>0</v>
          </cell>
          <cell r="H645">
            <v>520</v>
          </cell>
          <cell r="I645">
            <v>4763</v>
          </cell>
          <cell r="J645">
            <v>466</v>
          </cell>
          <cell r="L645">
            <v>366</v>
          </cell>
        </row>
        <row r="646">
          <cell r="A646">
            <v>3507</v>
          </cell>
          <cell r="B646" t="str">
            <v>PFP관 (D형)</v>
          </cell>
          <cell r="C646" t="str">
            <v>25Ø</v>
          </cell>
          <cell r="D646" t="str">
            <v>M</v>
          </cell>
          <cell r="E646">
            <v>3640</v>
          </cell>
          <cell r="F646">
            <v>0</v>
          </cell>
          <cell r="H646">
            <v>520</v>
          </cell>
          <cell r="I646">
            <v>3640</v>
          </cell>
          <cell r="J646">
            <v>466</v>
          </cell>
          <cell r="L646">
            <v>366</v>
          </cell>
        </row>
        <row r="647">
          <cell r="A647">
            <v>3508</v>
          </cell>
          <cell r="B647" t="str">
            <v>PFP관 (D형)</v>
          </cell>
          <cell r="C647" t="str">
            <v>20Ø</v>
          </cell>
          <cell r="D647" t="str">
            <v>M</v>
          </cell>
          <cell r="E647">
            <v>2625</v>
          </cell>
          <cell r="F647">
            <v>0</v>
          </cell>
          <cell r="H647">
            <v>520</v>
          </cell>
          <cell r="I647">
            <v>2625</v>
          </cell>
          <cell r="J647">
            <v>466</v>
          </cell>
          <cell r="L647">
            <v>366</v>
          </cell>
        </row>
        <row r="648">
          <cell r="A648">
            <v>3509</v>
          </cell>
          <cell r="B648" t="str">
            <v>PFP관 (D형)</v>
          </cell>
          <cell r="C648" t="str">
            <v>15Ø</v>
          </cell>
          <cell r="D648" t="str">
            <v>M</v>
          </cell>
          <cell r="E648">
            <v>2177</v>
          </cell>
          <cell r="F648">
            <v>0</v>
          </cell>
          <cell r="H648">
            <v>520</v>
          </cell>
          <cell r="I648">
            <v>2177</v>
          </cell>
          <cell r="J648">
            <v>466</v>
          </cell>
          <cell r="L648">
            <v>366</v>
          </cell>
        </row>
        <row r="649">
          <cell r="A649">
            <v>3511</v>
          </cell>
          <cell r="B649" t="str">
            <v>PM엘보 (무나사)</v>
          </cell>
          <cell r="C649" t="str">
            <v>100Ø</v>
          </cell>
          <cell r="D649" t="str">
            <v>개</v>
          </cell>
          <cell r="E649">
            <v>25589</v>
          </cell>
          <cell r="F649">
            <v>0</v>
          </cell>
          <cell r="H649">
            <v>520</v>
          </cell>
          <cell r="I649">
            <v>25589</v>
          </cell>
          <cell r="J649">
            <v>466</v>
          </cell>
          <cell r="L649">
            <v>366</v>
          </cell>
        </row>
        <row r="650">
          <cell r="A650">
            <v>3512</v>
          </cell>
          <cell r="B650" t="str">
            <v>PM엘보 (무나사)</v>
          </cell>
          <cell r="C650" t="str">
            <v>80Ø</v>
          </cell>
          <cell r="D650" t="str">
            <v>개</v>
          </cell>
          <cell r="E650">
            <v>17868</v>
          </cell>
          <cell r="F650">
            <v>0</v>
          </cell>
          <cell r="H650">
            <v>520</v>
          </cell>
          <cell r="I650">
            <v>17868</v>
          </cell>
          <cell r="J650">
            <v>466</v>
          </cell>
          <cell r="L650">
            <v>366</v>
          </cell>
        </row>
        <row r="651">
          <cell r="A651">
            <v>3513</v>
          </cell>
          <cell r="B651" t="str">
            <v>PM엘보 (무나사)</v>
          </cell>
          <cell r="C651" t="str">
            <v>65Ø</v>
          </cell>
          <cell r="D651" t="str">
            <v>개</v>
          </cell>
          <cell r="E651">
            <v>12223</v>
          </cell>
          <cell r="F651">
            <v>0</v>
          </cell>
          <cell r="H651">
            <v>520</v>
          </cell>
          <cell r="I651">
            <v>12223</v>
          </cell>
          <cell r="J651">
            <v>466</v>
          </cell>
          <cell r="L651">
            <v>366</v>
          </cell>
        </row>
        <row r="652">
          <cell r="A652">
            <v>3514</v>
          </cell>
          <cell r="B652" t="str">
            <v>PM엘보 (무나사)</v>
          </cell>
          <cell r="C652" t="str">
            <v>50Ø</v>
          </cell>
          <cell r="D652" t="str">
            <v>개</v>
          </cell>
          <cell r="E652">
            <v>7606</v>
          </cell>
          <cell r="F652">
            <v>0</v>
          </cell>
          <cell r="H652">
            <v>520</v>
          </cell>
          <cell r="I652">
            <v>7606</v>
          </cell>
          <cell r="J652">
            <v>466</v>
          </cell>
          <cell r="L652">
            <v>366</v>
          </cell>
        </row>
        <row r="653">
          <cell r="A653">
            <v>3515</v>
          </cell>
          <cell r="B653" t="str">
            <v>PM엘보 (무나사)</v>
          </cell>
          <cell r="C653" t="str">
            <v>40Ø</v>
          </cell>
          <cell r="D653" t="str">
            <v>개</v>
          </cell>
          <cell r="E653">
            <v>5767</v>
          </cell>
          <cell r="F653">
            <v>0</v>
          </cell>
          <cell r="H653">
            <v>520</v>
          </cell>
          <cell r="I653">
            <v>5767</v>
          </cell>
          <cell r="J653">
            <v>466</v>
          </cell>
          <cell r="L653">
            <v>366</v>
          </cell>
        </row>
        <row r="654">
          <cell r="A654">
            <v>3516</v>
          </cell>
          <cell r="B654" t="str">
            <v>PM엘보 (무나사)</v>
          </cell>
          <cell r="C654" t="str">
            <v>32Ø</v>
          </cell>
          <cell r="D654" t="str">
            <v>개</v>
          </cell>
          <cell r="E654">
            <v>4676</v>
          </cell>
          <cell r="F654">
            <v>0</v>
          </cell>
          <cell r="H654">
            <v>520</v>
          </cell>
          <cell r="I654">
            <v>4676</v>
          </cell>
          <cell r="J654">
            <v>466</v>
          </cell>
          <cell r="L654">
            <v>366</v>
          </cell>
        </row>
        <row r="655">
          <cell r="A655">
            <v>3517</v>
          </cell>
          <cell r="B655" t="str">
            <v>PM엘보 (무나사)</v>
          </cell>
          <cell r="C655" t="str">
            <v>25Ø</v>
          </cell>
          <cell r="D655" t="str">
            <v>개</v>
          </cell>
          <cell r="E655">
            <v>3593</v>
          </cell>
          <cell r="F655">
            <v>0</v>
          </cell>
          <cell r="H655">
            <v>520</v>
          </cell>
          <cell r="I655">
            <v>3593</v>
          </cell>
          <cell r="J655">
            <v>466</v>
          </cell>
          <cell r="L655">
            <v>366</v>
          </cell>
        </row>
        <row r="656">
          <cell r="A656">
            <v>3518</v>
          </cell>
          <cell r="B656" t="str">
            <v>PM엘보 (무나사)</v>
          </cell>
          <cell r="C656" t="str">
            <v>20Ø</v>
          </cell>
          <cell r="D656" t="str">
            <v>개</v>
          </cell>
          <cell r="E656">
            <v>2639</v>
          </cell>
          <cell r="F656">
            <v>0</v>
          </cell>
          <cell r="H656">
            <v>520</v>
          </cell>
          <cell r="I656">
            <v>2639</v>
          </cell>
          <cell r="J656">
            <v>466</v>
          </cell>
          <cell r="L656">
            <v>366</v>
          </cell>
        </row>
        <row r="657">
          <cell r="A657">
            <v>3519</v>
          </cell>
          <cell r="B657" t="str">
            <v>PM엘보 (무나사)</v>
          </cell>
          <cell r="C657" t="str">
            <v>15Ø</v>
          </cell>
          <cell r="D657" t="str">
            <v>개</v>
          </cell>
          <cell r="E657">
            <v>2397</v>
          </cell>
          <cell r="F657">
            <v>0</v>
          </cell>
          <cell r="H657">
            <v>520</v>
          </cell>
          <cell r="I657">
            <v>2397</v>
          </cell>
          <cell r="J657">
            <v>466</v>
          </cell>
          <cell r="L657">
            <v>366</v>
          </cell>
        </row>
        <row r="658">
          <cell r="A658">
            <v>3521</v>
          </cell>
          <cell r="B658" t="str">
            <v>PM티 (무나사)</v>
          </cell>
          <cell r="C658" t="str">
            <v>100Ø</v>
          </cell>
          <cell r="D658" t="str">
            <v>개</v>
          </cell>
          <cell r="E658">
            <v>35353</v>
          </cell>
          <cell r="F658">
            <v>0</v>
          </cell>
          <cell r="H658">
            <v>520</v>
          </cell>
          <cell r="I658">
            <v>35353</v>
          </cell>
          <cell r="J658">
            <v>466</v>
          </cell>
          <cell r="L658">
            <v>366</v>
          </cell>
        </row>
        <row r="659">
          <cell r="A659">
            <v>3522</v>
          </cell>
          <cell r="B659" t="str">
            <v>PM티 (무나사)</v>
          </cell>
          <cell r="C659" t="str">
            <v>80Ø</v>
          </cell>
          <cell r="D659" t="str">
            <v>개</v>
          </cell>
          <cell r="E659">
            <v>25893</v>
          </cell>
          <cell r="F659">
            <v>0</v>
          </cell>
          <cell r="H659">
            <v>520</v>
          </cell>
          <cell r="I659">
            <v>25893</v>
          </cell>
          <cell r="J659">
            <v>466</v>
          </cell>
          <cell r="L659">
            <v>366</v>
          </cell>
        </row>
        <row r="660">
          <cell r="A660">
            <v>3523</v>
          </cell>
          <cell r="B660" t="str">
            <v>PM티 (무나사)</v>
          </cell>
          <cell r="C660" t="str">
            <v>65Ø</v>
          </cell>
          <cell r="D660" t="str">
            <v>개</v>
          </cell>
          <cell r="E660">
            <v>16967</v>
          </cell>
          <cell r="F660">
            <v>0</v>
          </cell>
          <cell r="H660">
            <v>520</v>
          </cell>
          <cell r="I660">
            <v>16967</v>
          </cell>
          <cell r="J660">
            <v>466</v>
          </cell>
          <cell r="L660">
            <v>366</v>
          </cell>
        </row>
        <row r="661">
          <cell r="A661">
            <v>3524</v>
          </cell>
          <cell r="B661" t="str">
            <v>PM티 (무나사)</v>
          </cell>
          <cell r="C661" t="str">
            <v>50Ø</v>
          </cell>
          <cell r="D661" t="str">
            <v>개</v>
          </cell>
          <cell r="E661">
            <v>8620</v>
          </cell>
          <cell r="F661">
            <v>0</v>
          </cell>
          <cell r="H661">
            <v>520</v>
          </cell>
          <cell r="I661">
            <v>8620</v>
          </cell>
          <cell r="J661">
            <v>466</v>
          </cell>
          <cell r="L661">
            <v>366</v>
          </cell>
        </row>
        <row r="662">
          <cell r="A662">
            <v>3525</v>
          </cell>
          <cell r="B662" t="str">
            <v>PM티 (무나사)</v>
          </cell>
          <cell r="C662" t="str">
            <v>40Ø</v>
          </cell>
          <cell r="D662" t="str">
            <v>개</v>
          </cell>
          <cell r="E662">
            <v>6707</v>
          </cell>
          <cell r="F662">
            <v>0</v>
          </cell>
          <cell r="H662">
            <v>520</v>
          </cell>
          <cell r="I662">
            <v>6707</v>
          </cell>
          <cell r="J662">
            <v>466</v>
          </cell>
          <cell r="L662">
            <v>366</v>
          </cell>
        </row>
        <row r="663">
          <cell r="A663">
            <v>3526</v>
          </cell>
          <cell r="B663" t="str">
            <v>PM티 (무나사)</v>
          </cell>
          <cell r="C663" t="str">
            <v>32Ø</v>
          </cell>
          <cell r="D663" t="str">
            <v>개</v>
          </cell>
          <cell r="E663">
            <v>5572</v>
          </cell>
          <cell r="F663">
            <v>0</v>
          </cell>
          <cell r="H663">
            <v>520</v>
          </cell>
          <cell r="I663">
            <v>5572</v>
          </cell>
          <cell r="J663">
            <v>466</v>
          </cell>
          <cell r="L663">
            <v>366</v>
          </cell>
        </row>
        <row r="664">
          <cell r="A664">
            <v>3527</v>
          </cell>
          <cell r="B664" t="str">
            <v>PM티 (무나사)</v>
          </cell>
          <cell r="C664" t="str">
            <v>25Ø</v>
          </cell>
          <cell r="D664" t="str">
            <v>개</v>
          </cell>
          <cell r="E664">
            <v>4180</v>
          </cell>
          <cell r="F664">
            <v>0</v>
          </cell>
          <cell r="H664">
            <v>520</v>
          </cell>
          <cell r="I664">
            <v>4180</v>
          </cell>
          <cell r="J664">
            <v>466</v>
          </cell>
          <cell r="L664">
            <v>366</v>
          </cell>
        </row>
        <row r="665">
          <cell r="A665">
            <v>3528</v>
          </cell>
          <cell r="B665" t="str">
            <v>PM티 (무나사)</v>
          </cell>
          <cell r="C665" t="str">
            <v>20Ø</v>
          </cell>
          <cell r="D665" t="str">
            <v>개</v>
          </cell>
          <cell r="E665">
            <v>3227</v>
          </cell>
          <cell r="F665">
            <v>0</v>
          </cell>
          <cell r="H665">
            <v>520</v>
          </cell>
          <cell r="I665">
            <v>3227</v>
          </cell>
          <cell r="J665">
            <v>466</v>
          </cell>
          <cell r="L665">
            <v>366</v>
          </cell>
        </row>
        <row r="666">
          <cell r="A666">
            <v>3529</v>
          </cell>
          <cell r="B666" t="str">
            <v>PM티 (무나사)</v>
          </cell>
          <cell r="C666" t="str">
            <v>15Ø</v>
          </cell>
          <cell r="D666" t="str">
            <v>개</v>
          </cell>
          <cell r="E666">
            <v>2930</v>
          </cell>
          <cell r="F666">
            <v>0</v>
          </cell>
          <cell r="H666">
            <v>520</v>
          </cell>
          <cell r="I666">
            <v>2930</v>
          </cell>
          <cell r="J666">
            <v>466</v>
          </cell>
          <cell r="L666">
            <v>366</v>
          </cell>
        </row>
        <row r="667">
          <cell r="A667">
            <v>3531</v>
          </cell>
          <cell r="B667" t="str">
            <v>PM소켓 (무나사)</v>
          </cell>
          <cell r="C667" t="str">
            <v>100Ø</v>
          </cell>
          <cell r="D667" t="str">
            <v>개</v>
          </cell>
          <cell r="E667">
            <v>23875</v>
          </cell>
          <cell r="F667">
            <v>0</v>
          </cell>
          <cell r="H667">
            <v>520</v>
          </cell>
          <cell r="I667">
            <v>23875</v>
          </cell>
          <cell r="J667">
            <v>466</v>
          </cell>
          <cell r="L667">
            <v>366</v>
          </cell>
        </row>
        <row r="668">
          <cell r="A668">
            <v>3532</v>
          </cell>
          <cell r="B668" t="str">
            <v>PM소켓 (무나사)</v>
          </cell>
          <cell r="C668" t="str">
            <v>80Ø</v>
          </cell>
          <cell r="D668" t="str">
            <v>개</v>
          </cell>
          <cell r="E668">
            <v>17504</v>
          </cell>
          <cell r="F668">
            <v>0</v>
          </cell>
          <cell r="H668">
            <v>520</v>
          </cell>
          <cell r="I668">
            <v>17504</v>
          </cell>
          <cell r="J668">
            <v>466</v>
          </cell>
          <cell r="L668">
            <v>366</v>
          </cell>
        </row>
        <row r="669">
          <cell r="A669">
            <v>3533</v>
          </cell>
          <cell r="B669" t="str">
            <v>PM소켓 (무나사)</v>
          </cell>
          <cell r="C669" t="str">
            <v>65Ø</v>
          </cell>
          <cell r="D669" t="str">
            <v>개</v>
          </cell>
          <cell r="E669">
            <v>12900</v>
          </cell>
          <cell r="F669">
            <v>0</v>
          </cell>
          <cell r="H669">
            <v>520</v>
          </cell>
          <cell r="I669">
            <v>12900</v>
          </cell>
          <cell r="J669">
            <v>466</v>
          </cell>
          <cell r="L669">
            <v>366</v>
          </cell>
        </row>
        <row r="670">
          <cell r="A670">
            <v>3534</v>
          </cell>
          <cell r="B670" t="str">
            <v>PM소켓 (무나사)</v>
          </cell>
          <cell r="C670" t="str">
            <v>50Ø</v>
          </cell>
          <cell r="D670" t="str">
            <v>개</v>
          </cell>
          <cell r="E670">
            <v>5819</v>
          </cell>
          <cell r="F670">
            <v>0</v>
          </cell>
          <cell r="H670">
            <v>520</v>
          </cell>
          <cell r="I670">
            <v>5819</v>
          </cell>
          <cell r="J670">
            <v>466</v>
          </cell>
          <cell r="L670">
            <v>366</v>
          </cell>
        </row>
        <row r="671">
          <cell r="A671">
            <v>3535</v>
          </cell>
          <cell r="B671" t="str">
            <v>PM소켓 (무나사)</v>
          </cell>
          <cell r="C671" t="str">
            <v>40Ø</v>
          </cell>
          <cell r="D671" t="str">
            <v>개</v>
          </cell>
          <cell r="E671">
            <v>4526</v>
          </cell>
          <cell r="F671">
            <v>0</v>
          </cell>
          <cell r="H671">
            <v>520</v>
          </cell>
          <cell r="I671">
            <v>4526</v>
          </cell>
          <cell r="J671">
            <v>466</v>
          </cell>
          <cell r="L671">
            <v>366</v>
          </cell>
        </row>
        <row r="672">
          <cell r="A672">
            <v>3536</v>
          </cell>
          <cell r="B672" t="str">
            <v>PM소켓 (무나사)</v>
          </cell>
          <cell r="C672" t="str">
            <v>32Ø</v>
          </cell>
          <cell r="D672" t="str">
            <v>개</v>
          </cell>
          <cell r="E672">
            <v>3761</v>
          </cell>
          <cell r="F672">
            <v>0</v>
          </cell>
          <cell r="H672">
            <v>520</v>
          </cell>
          <cell r="I672">
            <v>3761</v>
          </cell>
          <cell r="J672">
            <v>466</v>
          </cell>
          <cell r="L672">
            <v>366</v>
          </cell>
        </row>
        <row r="673">
          <cell r="A673">
            <v>3537</v>
          </cell>
          <cell r="B673" t="str">
            <v>PM소켓 (무나사)</v>
          </cell>
          <cell r="C673" t="str">
            <v>25Ø</v>
          </cell>
          <cell r="D673" t="str">
            <v>개</v>
          </cell>
          <cell r="E673">
            <v>3013</v>
          </cell>
          <cell r="F673">
            <v>0</v>
          </cell>
          <cell r="H673">
            <v>520</v>
          </cell>
          <cell r="I673">
            <v>3013</v>
          </cell>
          <cell r="J673">
            <v>466</v>
          </cell>
          <cell r="L673">
            <v>366</v>
          </cell>
        </row>
        <row r="674">
          <cell r="A674">
            <v>3538</v>
          </cell>
          <cell r="B674" t="str">
            <v>PM소켓 (무나사)</v>
          </cell>
          <cell r="C674" t="str">
            <v>20Ø</v>
          </cell>
          <cell r="D674" t="str">
            <v>개</v>
          </cell>
          <cell r="E674">
            <v>2320</v>
          </cell>
          <cell r="F674">
            <v>0</v>
          </cell>
          <cell r="H674">
            <v>520</v>
          </cell>
          <cell r="I674">
            <v>2320</v>
          </cell>
          <cell r="J674">
            <v>466</v>
          </cell>
          <cell r="L674">
            <v>366</v>
          </cell>
        </row>
        <row r="675">
          <cell r="A675">
            <v>3539</v>
          </cell>
          <cell r="B675" t="str">
            <v>PM소켓 (무나사)</v>
          </cell>
          <cell r="C675" t="str">
            <v>15Ø</v>
          </cell>
          <cell r="D675" t="str">
            <v>개</v>
          </cell>
          <cell r="E675">
            <v>1999</v>
          </cell>
          <cell r="F675">
            <v>0</v>
          </cell>
          <cell r="H675">
            <v>520</v>
          </cell>
          <cell r="I675">
            <v>1999</v>
          </cell>
          <cell r="J675">
            <v>466</v>
          </cell>
          <cell r="L675">
            <v>366</v>
          </cell>
        </row>
        <row r="676">
          <cell r="A676">
            <v>3541</v>
          </cell>
          <cell r="B676" t="str">
            <v>PM계 (플렌지)</v>
          </cell>
          <cell r="C676" t="str">
            <v>100Ø</v>
          </cell>
          <cell r="D676" t="str">
            <v>개</v>
          </cell>
          <cell r="E676">
            <v>14435</v>
          </cell>
          <cell r="F676">
            <v>0</v>
          </cell>
          <cell r="H676">
            <v>520</v>
          </cell>
          <cell r="I676">
            <v>14435</v>
          </cell>
          <cell r="J676">
            <v>466</v>
          </cell>
          <cell r="L676">
            <v>366</v>
          </cell>
        </row>
        <row r="677">
          <cell r="A677">
            <v>3542</v>
          </cell>
          <cell r="B677" t="str">
            <v>PM계 (플렌지)</v>
          </cell>
          <cell r="C677" t="str">
            <v>80Ø</v>
          </cell>
          <cell r="D677" t="str">
            <v>개</v>
          </cell>
          <cell r="E677">
            <v>12326</v>
          </cell>
          <cell r="F677">
            <v>0</v>
          </cell>
          <cell r="H677">
            <v>520</v>
          </cell>
          <cell r="I677">
            <v>12326</v>
          </cell>
          <cell r="J677">
            <v>466</v>
          </cell>
          <cell r="L677">
            <v>366</v>
          </cell>
        </row>
        <row r="678">
          <cell r="A678">
            <v>3543</v>
          </cell>
          <cell r="B678" t="str">
            <v>PM계 (플렌지)</v>
          </cell>
          <cell r="C678" t="str">
            <v>65Ø</v>
          </cell>
          <cell r="D678" t="str">
            <v>개</v>
          </cell>
          <cell r="E678">
            <v>10534</v>
          </cell>
          <cell r="F678">
            <v>0</v>
          </cell>
          <cell r="H678">
            <v>520</v>
          </cell>
          <cell r="I678">
            <v>10534</v>
          </cell>
          <cell r="J678">
            <v>466</v>
          </cell>
          <cell r="L678">
            <v>366</v>
          </cell>
        </row>
        <row r="679">
          <cell r="A679">
            <v>3544</v>
          </cell>
          <cell r="B679" t="str">
            <v>PM계 (니플)</v>
          </cell>
          <cell r="C679" t="str">
            <v>50Ø</v>
          </cell>
          <cell r="D679" t="str">
            <v>개</v>
          </cell>
          <cell r="E679">
            <v>2807</v>
          </cell>
          <cell r="F679">
            <v>0</v>
          </cell>
          <cell r="H679">
            <v>520</v>
          </cell>
          <cell r="I679">
            <v>2807</v>
          </cell>
          <cell r="J679">
            <v>466</v>
          </cell>
          <cell r="L679">
            <v>366</v>
          </cell>
        </row>
        <row r="680">
          <cell r="A680">
            <v>3545</v>
          </cell>
          <cell r="B680" t="str">
            <v>PM계 (니플)</v>
          </cell>
          <cell r="C680" t="str">
            <v>40Ø</v>
          </cell>
          <cell r="D680" t="str">
            <v>개</v>
          </cell>
          <cell r="E680">
            <v>2121</v>
          </cell>
          <cell r="F680">
            <v>0</v>
          </cell>
          <cell r="H680">
            <v>520</v>
          </cell>
          <cell r="I680">
            <v>2121</v>
          </cell>
          <cell r="J680">
            <v>466</v>
          </cell>
          <cell r="L680">
            <v>366</v>
          </cell>
        </row>
        <row r="681">
          <cell r="A681">
            <v>3546</v>
          </cell>
          <cell r="B681" t="str">
            <v>PM계 (니플)</v>
          </cell>
          <cell r="C681" t="str">
            <v>32Ø</v>
          </cell>
          <cell r="D681" t="str">
            <v>개</v>
          </cell>
          <cell r="E681">
            <v>1755</v>
          </cell>
          <cell r="F681">
            <v>0</v>
          </cell>
          <cell r="H681">
            <v>520</v>
          </cell>
          <cell r="I681">
            <v>1755</v>
          </cell>
          <cell r="J681">
            <v>466</v>
          </cell>
          <cell r="L681">
            <v>366</v>
          </cell>
        </row>
        <row r="682">
          <cell r="A682">
            <v>3547</v>
          </cell>
          <cell r="B682" t="str">
            <v>PM계 (니플)</v>
          </cell>
          <cell r="C682" t="str">
            <v>25Ø</v>
          </cell>
          <cell r="D682" t="str">
            <v>개</v>
          </cell>
          <cell r="E682">
            <v>1434</v>
          </cell>
          <cell r="F682">
            <v>0</v>
          </cell>
          <cell r="H682">
            <v>520</v>
          </cell>
          <cell r="I682">
            <v>1434</v>
          </cell>
          <cell r="J682">
            <v>466</v>
          </cell>
          <cell r="L682">
            <v>366</v>
          </cell>
        </row>
        <row r="683">
          <cell r="A683">
            <v>3548</v>
          </cell>
          <cell r="B683" t="str">
            <v>PM계 (니플)</v>
          </cell>
          <cell r="C683" t="str">
            <v>20Ø</v>
          </cell>
          <cell r="D683" t="str">
            <v>개</v>
          </cell>
          <cell r="E683">
            <v>1022</v>
          </cell>
          <cell r="F683">
            <v>0</v>
          </cell>
          <cell r="H683">
            <v>520</v>
          </cell>
          <cell r="I683">
            <v>1022</v>
          </cell>
          <cell r="J683">
            <v>466</v>
          </cell>
          <cell r="L683">
            <v>366</v>
          </cell>
        </row>
        <row r="684">
          <cell r="A684">
            <v>3549</v>
          </cell>
          <cell r="B684" t="str">
            <v>PM계 (니플)</v>
          </cell>
          <cell r="C684" t="str">
            <v>15Ø</v>
          </cell>
          <cell r="D684" t="str">
            <v>개</v>
          </cell>
          <cell r="E684">
            <v>808</v>
          </cell>
          <cell r="F684">
            <v>0</v>
          </cell>
          <cell r="H684">
            <v>520</v>
          </cell>
          <cell r="I684">
            <v>808</v>
          </cell>
          <cell r="J684">
            <v>466</v>
          </cell>
          <cell r="L684">
            <v>366</v>
          </cell>
        </row>
        <row r="685">
          <cell r="E685">
            <v>0</v>
          </cell>
        </row>
        <row r="689">
          <cell r="A689">
            <v>3600</v>
          </cell>
          <cell r="B689" t="str">
            <v>PVC관 (VG1)</v>
          </cell>
          <cell r="C689" t="str">
            <v>200Ø</v>
          </cell>
          <cell r="D689" t="str">
            <v>M</v>
          </cell>
          <cell r="E689">
            <v>14685</v>
          </cell>
          <cell r="F689">
            <v>0</v>
          </cell>
          <cell r="G689">
            <v>14685</v>
          </cell>
          <cell r="H689">
            <v>542</v>
          </cell>
          <cell r="I689">
            <v>18433</v>
          </cell>
          <cell r="J689">
            <v>485</v>
          </cell>
          <cell r="L689">
            <v>485</v>
          </cell>
        </row>
        <row r="690">
          <cell r="A690">
            <v>3601</v>
          </cell>
          <cell r="B690" t="str">
            <v>PVC관 (VG1)</v>
          </cell>
          <cell r="C690" t="str">
            <v>150Ø</v>
          </cell>
          <cell r="D690" t="str">
            <v>M</v>
          </cell>
          <cell r="E690">
            <v>9715</v>
          </cell>
          <cell r="F690">
            <v>0</v>
          </cell>
          <cell r="G690">
            <v>9715</v>
          </cell>
          <cell r="H690">
            <v>542</v>
          </cell>
          <cell r="I690">
            <v>12195</v>
          </cell>
          <cell r="J690">
            <v>485</v>
          </cell>
          <cell r="L690">
            <v>385</v>
          </cell>
        </row>
        <row r="691">
          <cell r="A691">
            <v>3602</v>
          </cell>
          <cell r="B691" t="str">
            <v>PVC관 (VG1)</v>
          </cell>
          <cell r="C691" t="str">
            <v>125Ø</v>
          </cell>
          <cell r="D691" t="str">
            <v>M</v>
          </cell>
          <cell r="E691">
            <v>6472</v>
          </cell>
          <cell r="F691">
            <v>0</v>
          </cell>
          <cell r="G691">
            <v>6472</v>
          </cell>
          <cell r="H691">
            <v>542</v>
          </cell>
          <cell r="I691">
            <v>8123</v>
          </cell>
          <cell r="J691">
            <v>485</v>
          </cell>
          <cell r="L691">
            <v>385</v>
          </cell>
        </row>
        <row r="692">
          <cell r="A692">
            <v>3603</v>
          </cell>
          <cell r="B692" t="str">
            <v>PVC관 (VG1)</v>
          </cell>
          <cell r="C692" t="str">
            <v>100Ø</v>
          </cell>
          <cell r="D692" t="str">
            <v>M</v>
          </cell>
          <cell r="E692">
            <v>4942</v>
          </cell>
          <cell r="F692">
            <v>0</v>
          </cell>
          <cell r="G692">
            <v>4942</v>
          </cell>
          <cell r="H692">
            <v>542</v>
          </cell>
          <cell r="I692">
            <v>6203</v>
          </cell>
          <cell r="J692">
            <v>485</v>
          </cell>
          <cell r="L692">
            <v>385</v>
          </cell>
        </row>
        <row r="693">
          <cell r="A693">
            <v>3604</v>
          </cell>
          <cell r="B693" t="str">
            <v>PVC관 (VG1)</v>
          </cell>
          <cell r="C693" t="str">
            <v>75Ø</v>
          </cell>
          <cell r="D693" t="str">
            <v>M</v>
          </cell>
          <cell r="E693">
            <v>3192</v>
          </cell>
          <cell r="F693">
            <v>0</v>
          </cell>
          <cell r="G693">
            <v>3192</v>
          </cell>
          <cell r="H693">
            <v>542</v>
          </cell>
          <cell r="I693">
            <v>4008</v>
          </cell>
          <cell r="J693">
            <v>485</v>
          </cell>
          <cell r="L693">
            <v>385</v>
          </cell>
        </row>
        <row r="694">
          <cell r="A694">
            <v>3605</v>
          </cell>
          <cell r="B694" t="str">
            <v>PVC관 (VG1)</v>
          </cell>
          <cell r="C694" t="str">
            <v>50Ø</v>
          </cell>
          <cell r="D694" t="str">
            <v>M</v>
          </cell>
          <cell r="E694">
            <v>1625</v>
          </cell>
          <cell r="F694">
            <v>0</v>
          </cell>
          <cell r="G694">
            <v>1625</v>
          </cell>
          <cell r="H694">
            <v>542</v>
          </cell>
          <cell r="I694">
            <v>2040</v>
          </cell>
          <cell r="J694">
            <v>485</v>
          </cell>
          <cell r="L694">
            <v>385</v>
          </cell>
        </row>
        <row r="695">
          <cell r="A695">
            <v>3610</v>
          </cell>
          <cell r="B695" t="str">
            <v>90˚곡관(접착재접합)</v>
          </cell>
          <cell r="C695" t="str">
            <v>150Ø</v>
          </cell>
          <cell r="D695" t="str">
            <v>개</v>
          </cell>
          <cell r="E695">
            <v>4500</v>
          </cell>
          <cell r="F695">
            <v>0</v>
          </cell>
          <cell r="G695">
            <v>4500</v>
          </cell>
          <cell r="H695">
            <v>544</v>
          </cell>
          <cell r="I695">
            <v>4610</v>
          </cell>
          <cell r="J695">
            <v>486</v>
          </cell>
          <cell r="L695">
            <v>0</v>
          </cell>
        </row>
        <row r="696">
          <cell r="A696">
            <v>3611</v>
          </cell>
          <cell r="B696" t="str">
            <v>90˚곡관(접착재접합)</v>
          </cell>
          <cell r="C696" t="str">
            <v>125Ø</v>
          </cell>
          <cell r="D696" t="str">
            <v>개</v>
          </cell>
          <cell r="E696">
            <v>2540</v>
          </cell>
          <cell r="F696">
            <v>0</v>
          </cell>
          <cell r="G696">
            <v>2540</v>
          </cell>
          <cell r="H696">
            <v>544</v>
          </cell>
          <cell r="I696">
            <v>2610</v>
          </cell>
          <cell r="J696">
            <v>486</v>
          </cell>
          <cell r="L696">
            <v>0</v>
          </cell>
        </row>
        <row r="697">
          <cell r="A697">
            <v>3612</v>
          </cell>
          <cell r="B697" t="str">
            <v>90˚곡관(접착재접합)</v>
          </cell>
          <cell r="C697" t="str">
            <v>100Ø</v>
          </cell>
          <cell r="D697" t="str">
            <v>개</v>
          </cell>
          <cell r="E697">
            <v>1550</v>
          </cell>
          <cell r="F697">
            <v>0</v>
          </cell>
          <cell r="G697">
            <v>1550</v>
          </cell>
          <cell r="H697">
            <v>544</v>
          </cell>
          <cell r="I697">
            <v>1600</v>
          </cell>
          <cell r="J697">
            <v>486</v>
          </cell>
          <cell r="L697">
            <v>0</v>
          </cell>
        </row>
        <row r="698">
          <cell r="A698">
            <v>3613</v>
          </cell>
          <cell r="B698" t="str">
            <v>90˚곡관(접착재접합)</v>
          </cell>
          <cell r="C698" t="str">
            <v>75Ø</v>
          </cell>
          <cell r="D698" t="str">
            <v>개</v>
          </cell>
          <cell r="E698">
            <v>780</v>
          </cell>
          <cell r="F698">
            <v>0</v>
          </cell>
          <cell r="G698">
            <v>780</v>
          </cell>
          <cell r="H698">
            <v>544</v>
          </cell>
          <cell r="I698">
            <v>810</v>
          </cell>
          <cell r="J698">
            <v>486</v>
          </cell>
          <cell r="L698">
            <v>0</v>
          </cell>
        </row>
        <row r="699">
          <cell r="A699">
            <v>3614</v>
          </cell>
          <cell r="B699" t="str">
            <v>90˚곡관(접착재접합)</v>
          </cell>
          <cell r="C699" t="str">
            <v>50Ø</v>
          </cell>
          <cell r="D699" t="str">
            <v>개</v>
          </cell>
          <cell r="E699">
            <v>310</v>
          </cell>
          <cell r="F699">
            <v>0</v>
          </cell>
          <cell r="G699">
            <v>310</v>
          </cell>
          <cell r="H699">
            <v>544</v>
          </cell>
          <cell r="I699">
            <v>350</v>
          </cell>
          <cell r="J699">
            <v>486</v>
          </cell>
          <cell r="L699">
            <v>0</v>
          </cell>
        </row>
        <row r="700">
          <cell r="A700">
            <v>3615</v>
          </cell>
          <cell r="B700" t="str">
            <v>45˚곡관(접착재접합)</v>
          </cell>
          <cell r="C700" t="str">
            <v>150Ø</v>
          </cell>
          <cell r="D700" t="str">
            <v>개</v>
          </cell>
          <cell r="E700">
            <v>4500</v>
          </cell>
          <cell r="F700">
            <v>0</v>
          </cell>
          <cell r="G700">
            <v>4500</v>
          </cell>
          <cell r="H700">
            <v>544</v>
          </cell>
          <cell r="I700">
            <v>4610</v>
          </cell>
          <cell r="J700">
            <v>486</v>
          </cell>
          <cell r="L700">
            <v>0</v>
          </cell>
        </row>
        <row r="701">
          <cell r="A701">
            <v>3616</v>
          </cell>
          <cell r="B701" t="str">
            <v>45˚곡관(접착재접합)</v>
          </cell>
          <cell r="C701" t="str">
            <v>125Ø</v>
          </cell>
          <cell r="D701" t="str">
            <v>개</v>
          </cell>
          <cell r="E701">
            <v>2540</v>
          </cell>
          <cell r="F701">
            <v>0</v>
          </cell>
          <cell r="G701">
            <v>2540</v>
          </cell>
          <cell r="H701">
            <v>544</v>
          </cell>
          <cell r="I701">
            <v>2610</v>
          </cell>
          <cell r="J701">
            <v>486</v>
          </cell>
          <cell r="L701">
            <v>0</v>
          </cell>
        </row>
        <row r="702">
          <cell r="A702">
            <v>3617</v>
          </cell>
          <cell r="B702" t="str">
            <v>45˚곡관(접착재접합)</v>
          </cell>
          <cell r="C702" t="str">
            <v>100Ø</v>
          </cell>
          <cell r="D702" t="str">
            <v>개</v>
          </cell>
          <cell r="E702">
            <v>1560</v>
          </cell>
          <cell r="F702">
            <v>0</v>
          </cell>
          <cell r="G702">
            <v>1560</v>
          </cell>
          <cell r="H702">
            <v>544</v>
          </cell>
          <cell r="I702">
            <v>1600</v>
          </cell>
          <cell r="J702">
            <v>486</v>
          </cell>
          <cell r="L702">
            <v>0</v>
          </cell>
        </row>
        <row r="703">
          <cell r="A703">
            <v>3618</v>
          </cell>
          <cell r="B703" t="str">
            <v>45˚곡관(접착재접합)</v>
          </cell>
          <cell r="C703" t="str">
            <v>75Ø</v>
          </cell>
          <cell r="D703" t="str">
            <v>개</v>
          </cell>
          <cell r="E703">
            <v>850</v>
          </cell>
          <cell r="F703">
            <v>0</v>
          </cell>
          <cell r="G703">
            <v>850</v>
          </cell>
          <cell r="H703">
            <v>544</v>
          </cell>
          <cell r="I703">
            <v>870</v>
          </cell>
          <cell r="J703">
            <v>486</v>
          </cell>
          <cell r="L703">
            <v>0</v>
          </cell>
        </row>
        <row r="704">
          <cell r="A704">
            <v>3619</v>
          </cell>
          <cell r="B704" t="str">
            <v>45˚곡관(접착재접합)</v>
          </cell>
          <cell r="C704" t="str">
            <v>50Ø</v>
          </cell>
          <cell r="D704" t="str">
            <v>개</v>
          </cell>
          <cell r="E704">
            <v>360</v>
          </cell>
          <cell r="F704">
            <v>0</v>
          </cell>
          <cell r="G704">
            <v>360</v>
          </cell>
          <cell r="H704">
            <v>544</v>
          </cell>
          <cell r="I704">
            <v>400</v>
          </cell>
          <cell r="J704">
            <v>486</v>
          </cell>
          <cell r="L704">
            <v>0</v>
          </cell>
        </row>
        <row r="705">
          <cell r="A705">
            <v>3620</v>
          </cell>
          <cell r="B705" t="str">
            <v>LT관(접착재접합)</v>
          </cell>
          <cell r="C705" t="str">
            <v>150Øx150Ø</v>
          </cell>
          <cell r="D705" t="str">
            <v>개</v>
          </cell>
          <cell r="E705">
            <v>11560</v>
          </cell>
          <cell r="F705">
            <v>0</v>
          </cell>
          <cell r="G705">
            <v>11560</v>
          </cell>
          <cell r="H705">
            <v>544</v>
          </cell>
          <cell r="I705">
            <v>11870</v>
          </cell>
          <cell r="J705">
            <v>486</v>
          </cell>
          <cell r="L705">
            <v>0</v>
          </cell>
        </row>
        <row r="706">
          <cell r="A706">
            <v>3621</v>
          </cell>
          <cell r="B706" t="str">
            <v>LT관(접착재접합)</v>
          </cell>
          <cell r="C706" t="str">
            <v>150Øx125Ø</v>
          </cell>
          <cell r="D706" t="str">
            <v>개</v>
          </cell>
          <cell r="E706">
            <v>7180</v>
          </cell>
          <cell r="F706">
            <v>0</v>
          </cell>
          <cell r="G706">
            <v>7180</v>
          </cell>
          <cell r="H706">
            <v>544</v>
          </cell>
          <cell r="I706">
            <v>7980</v>
          </cell>
          <cell r="J706">
            <v>486</v>
          </cell>
          <cell r="L706">
            <v>0</v>
          </cell>
        </row>
        <row r="707">
          <cell r="A707">
            <v>3622</v>
          </cell>
          <cell r="B707" t="str">
            <v>LT관(접착재접합)</v>
          </cell>
          <cell r="C707" t="str">
            <v>150Øx100Ø</v>
          </cell>
          <cell r="D707" t="str">
            <v>개</v>
          </cell>
          <cell r="E707">
            <v>6300</v>
          </cell>
          <cell r="F707">
            <v>0</v>
          </cell>
          <cell r="G707">
            <v>6300</v>
          </cell>
          <cell r="H707">
            <v>544</v>
          </cell>
          <cell r="I707">
            <v>7010</v>
          </cell>
          <cell r="J707">
            <v>486</v>
          </cell>
          <cell r="L707">
            <v>0</v>
          </cell>
        </row>
        <row r="708">
          <cell r="A708">
            <v>3623</v>
          </cell>
          <cell r="B708" t="str">
            <v>LT관(접착재접합)</v>
          </cell>
          <cell r="C708" t="str">
            <v>150Øx 75Ø</v>
          </cell>
          <cell r="D708" t="str">
            <v>개</v>
          </cell>
          <cell r="E708">
            <v>5090</v>
          </cell>
          <cell r="F708">
            <v>0</v>
          </cell>
          <cell r="G708">
            <v>5090</v>
          </cell>
          <cell r="H708">
            <v>544</v>
          </cell>
          <cell r="I708">
            <v>5660</v>
          </cell>
          <cell r="J708">
            <v>486</v>
          </cell>
          <cell r="L708">
            <v>0</v>
          </cell>
        </row>
        <row r="709">
          <cell r="A709">
            <v>3624</v>
          </cell>
          <cell r="B709" t="str">
            <v>LT관(접착재접합)</v>
          </cell>
          <cell r="C709" t="str">
            <v>125Øx125Ø</v>
          </cell>
          <cell r="D709" t="str">
            <v>개</v>
          </cell>
          <cell r="E709">
            <v>5100</v>
          </cell>
          <cell r="F709">
            <v>0</v>
          </cell>
          <cell r="G709">
            <v>5100</v>
          </cell>
          <cell r="H709">
            <v>544</v>
          </cell>
          <cell r="I709">
            <v>5240</v>
          </cell>
          <cell r="J709">
            <v>486</v>
          </cell>
          <cell r="L709">
            <v>0</v>
          </cell>
        </row>
        <row r="710">
          <cell r="A710">
            <v>3625</v>
          </cell>
          <cell r="B710" t="str">
            <v>LT관(접착재접합)</v>
          </cell>
          <cell r="C710" t="str">
            <v>125Øx100Ø</v>
          </cell>
          <cell r="D710" t="str">
            <v>개</v>
          </cell>
          <cell r="E710">
            <v>4340</v>
          </cell>
          <cell r="F710">
            <v>0</v>
          </cell>
          <cell r="G710">
            <v>4340</v>
          </cell>
          <cell r="H710">
            <v>544</v>
          </cell>
          <cell r="I710">
            <v>4820</v>
          </cell>
          <cell r="J710">
            <v>486</v>
          </cell>
          <cell r="L710">
            <v>0</v>
          </cell>
        </row>
        <row r="711">
          <cell r="A711">
            <v>3626</v>
          </cell>
          <cell r="B711" t="str">
            <v>LT관(접착재접합)</v>
          </cell>
          <cell r="C711" t="str">
            <v>125Øx 75Ø</v>
          </cell>
          <cell r="D711" t="str">
            <v>개</v>
          </cell>
          <cell r="E711">
            <v>4000</v>
          </cell>
          <cell r="F711">
            <v>0</v>
          </cell>
          <cell r="G711">
            <v>4000</v>
          </cell>
          <cell r="H711">
            <v>544</v>
          </cell>
          <cell r="I711">
            <v>4440</v>
          </cell>
          <cell r="J711">
            <v>486</v>
          </cell>
          <cell r="L711">
            <v>0</v>
          </cell>
        </row>
        <row r="712">
          <cell r="A712">
            <v>3627</v>
          </cell>
          <cell r="B712" t="str">
            <v>Y관(접착재접합)</v>
          </cell>
          <cell r="C712" t="str">
            <v>100Øx100Ø</v>
          </cell>
          <cell r="D712" t="str">
            <v>개</v>
          </cell>
          <cell r="E712">
            <v>2910</v>
          </cell>
          <cell r="F712">
            <v>0</v>
          </cell>
          <cell r="G712">
            <v>2910</v>
          </cell>
          <cell r="H712">
            <v>544</v>
          </cell>
          <cell r="I712">
            <v>3240</v>
          </cell>
          <cell r="J712">
            <v>486</v>
          </cell>
          <cell r="L712">
            <v>0</v>
          </cell>
        </row>
        <row r="713">
          <cell r="A713">
            <v>3628</v>
          </cell>
          <cell r="B713" t="str">
            <v>Y관(접착재접합)</v>
          </cell>
          <cell r="C713" t="str">
            <v>100Øx 75Ø</v>
          </cell>
          <cell r="D713" t="str">
            <v>개</v>
          </cell>
          <cell r="E713">
            <v>3700</v>
          </cell>
          <cell r="F713">
            <v>0</v>
          </cell>
          <cell r="G713">
            <v>3700</v>
          </cell>
          <cell r="H713">
            <v>544</v>
          </cell>
          <cell r="I713">
            <v>4110</v>
          </cell>
          <cell r="J713">
            <v>486</v>
          </cell>
          <cell r="L713">
            <v>0</v>
          </cell>
        </row>
        <row r="714">
          <cell r="A714">
            <v>3629</v>
          </cell>
          <cell r="B714" t="str">
            <v>Y관(접착재접합)</v>
          </cell>
          <cell r="C714" t="str">
            <v>100Øx 50Ø</v>
          </cell>
          <cell r="D714" t="str">
            <v>개</v>
          </cell>
          <cell r="E714">
            <v>3010</v>
          </cell>
          <cell r="F714">
            <v>0</v>
          </cell>
          <cell r="G714">
            <v>3010</v>
          </cell>
          <cell r="H714">
            <v>544</v>
          </cell>
          <cell r="I714">
            <v>3350</v>
          </cell>
          <cell r="J714">
            <v>486</v>
          </cell>
          <cell r="L714">
            <v>0</v>
          </cell>
        </row>
        <row r="715">
          <cell r="A715">
            <v>3630</v>
          </cell>
          <cell r="B715" t="str">
            <v>Y관(접착재접합)</v>
          </cell>
          <cell r="C715" t="str">
            <v xml:space="preserve"> 75Øx 75Ø</v>
          </cell>
          <cell r="D715" t="str">
            <v>개</v>
          </cell>
          <cell r="E715">
            <v>1480</v>
          </cell>
          <cell r="F715">
            <v>0</v>
          </cell>
          <cell r="G715">
            <v>1480</v>
          </cell>
          <cell r="H715">
            <v>544</v>
          </cell>
          <cell r="I715">
            <v>1650</v>
          </cell>
          <cell r="J715">
            <v>486</v>
          </cell>
          <cell r="L715">
            <v>0</v>
          </cell>
        </row>
        <row r="716">
          <cell r="A716">
            <v>3631</v>
          </cell>
          <cell r="B716" t="str">
            <v>Y관(접착재접합)</v>
          </cell>
          <cell r="C716" t="str">
            <v xml:space="preserve"> 75Øx 50Ø</v>
          </cell>
          <cell r="D716" t="str">
            <v>개</v>
          </cell>
          <cell r="E716">
            <v>1370</v>
          </cell>
          <cell r="F716">
            <v>0</v>
          </cell>
          <cell r="G716">
            <v>1370</v>
          </cell>
          <cell r="H716">
            <v>544</v>
          </cell>
          <cell r="I716">
            <v>1520</v>
          </cell>
          <cell r="J716">
            <v>486</v>
          </cell>
          <cell r="L716">
            <v>0</v>
          </cell>
        </row>
        <row r="717">
          <cell r="A717">
            <v>3632</v>
          </cell>
          <cell r="B717" t="str">
            <v>Y관(접착재접합)</v>
          </cell>
          <cell r="C717" t="str">
            <v xml:space="preserve"> 50Øx 50Ø</v>
          </cell>
          <cell r="D717" t="str">
            <v>개</v>
          </cell>
          <cell r="E717">
            <v>640</v>
          </cell>
          <cell r="F717">
            <v>0</v>
          </cell>
          <cell r="G717">
            <v>640</v>
          </cell>
          <cell r="H717">
            <v>544</v>
          </cell>
          <cell r="I717">
            <v>710</v>
          </cell>
          <cell r="J717">
            <v>486</v>
          </cell>
          <cell r="L717">
            <v>0</v>
          </cell>
        </row>
        <row r="718">
          <cell r="A718">
            <v>3633</v>
          </cell>
          <cell r="B718" t="str">
            <v>인크리져(접착재접합)</v>
          </cell>
          <cell r="C718" t="str">
            <v>100Øx 75Ø</v>
          </cell>
          <cell r="D718" t="str">
            <v>개</v>
          </cell>
          <cell r="E718">
            <v>870</v>
          </cell>
          <cell r="F718">
            <v>0</v>
          </cell>
          <cell r="G718">
            <v>870</v>
          </cell>
          <cell r="H718">
            <v>544</v>
          </cell>
          <cell r="I718">
            <v>900</v>
          </cell>
          <cell r="J718">
            <v>486</v>
          </cell>
          <cell r="L718">
            <v>0</v>
          </cell>
        </row>
        <row r="719">
          <cell r="A719">
            <v>3634</v>
          </cell>
          <cell r="B719" t="str">
            <v>인크리져(접착재접합)</v>
          </cell>
          <cell r="C719" t="str">
            <v>100Øx 50Ø</v>
          </cell>
          <cell r="D719" t="str">
            <v>개</v>
          </cell>
          <cell r="E719">
            <v>730</v>
          </cell>
          <cell r="F719">
            <v>0</v>
          </cell>
          <cell r="G719">
            <v>730</v>
          </cell>
          <cell r="H719">
            <v>544</v>
          </cell>
          <cell r="I719">
            <v>750</v>
          </cell>
          <cell r="J719">
            <v>486</v>
          </cell>
          <cell r="L719">
            <v>0</v>
          </cell>
        </row>
        <row r="720">
          <cell r="A720">
            <v>3635</v>
          </cell>
          <cell r="B720" t="str">
            <v>소켓</v>
          </cell>
          <cell r="C720" t="str">
            <v>150Ø</v>
          </cell>
          <cell r="D720" t="str">
            <v>개</v>
          </cell>
          <cell r="E720">
            <v>2470</v>
          </cell>
          <cell r="F720">
            <v>0</v>
          </cell>
          <cell r="G720">
            <v>2470</v>
          </cell>
          <cell r="H720">
            <v>544</v>
          </cell>
          <cell r="I720">
            <v>2540</v>
          </cell>
          <cell r="J720">
            <v>486</v>
          </cell>
          <cell r="L720">
            <v>0</v>
          </cell>
        </row>
        <row r="721">
          <cell r="A721">
            <v>3636</v>
          </cell>
          <cell r="B721" t="str">
            <v>소켓</v>
          </cell>
          <cell r="C721" t="str">
            <v>125Ø</v>
          </cell>
          <cell r="D721" t="str">
            <v>개</v>
          </cell>
          <cell r="E721">
            <v>1500</v>
          </cell>
          <cell r="F721">
            <v>0</v>
          </cell>
          <cell r="G721">
            <v>1500</v>
          </cell>
          <cell r="H721">
            <v>544</v>
          </cell>
          <cell r="I721">
            <v>1540</v>
          </cell>
          <cell r="J721">
            <v>486</v>
          </cell>
          <cell r="L721">
            <v>0</v>
          </cell>
        </row>
        <row r="722">
          <cell r="A722">
            <v>3637</v>
          </cell>
          <cell r="B722" t="str">
            <v>소켓</v>
          </cell>
          <cell r="C722" t="str">
            <v>100Ø</v>
          </cell>
          <cell r="D722" t="str">
            <v>개</v>
          </cell>
          <cell r="E722">
            <v>850</v>
          </cell>
          <cell r="F722">
            <v>0</v>
          </cell>
          <cell r="G722">
            <v>850</v>
          </cell>
          <cell r="H722">
            <v>544</v>
          </cell>
          <cell r="I722">
            <v>880</v>
          </cell>
          <cell r="J722">
            <v>486</v>
          </cell>
          <cell r="L722">
            <v>0</v>
          </cell>
        </row>
        <row r="723">
          <cell r="A723">
            <v>3638</v>
          </cell>
          <cell r="B723" t="str">
            <v>소켓</v>
          </cell>
          <cell r="C723" t="str">
            <v>75Ø</v>
          </cell>
          <cell r="D723" t="str">
            <v>개</v>
          </cell>
          <cell r="E723">
            <v>470</v>
          </cell>
          <cell r="F723">
            <v>0</v>
          </cell>
          <cell r="G723">
            <v>470</v>
          </cell>
          <cell r="H723">
            <v>544</v>
          </cell>
          <cell r="I723">
            <v>480</v>
          </cell>
          <cell r="J723">
            <v>486</v>
          </cell>
          <cell r="L723">
            <v>0</v>
          </cell>
        </row>
        <row r="724">
          <cell r="A724">
            <v>3639</v>
          </cell>
          <cell r="B724" t="str">
            <v>소켓</v>
          </cell>
          <cell r="C724" t="str">
            <v>50Ø</v>
          </cell>
          <cell r="D724" t="str">
            <v>개</v>
          </cell>
          <cell r="E724">
            <v>180</v>
          </cell>
          <cell r="F724">
            <v>0</v>
          </cell>
          <cell r="G724">
            <v>180</v>
          </cell>
          <cell r="H724">
            <v>544</v>
          </cell>
          <cell r="I724">
            <v>200</v>
          </cell>
          <cell r="J724">
            <v>486</v>
          </cell>
          <cell r="L724">
            <v>0</v>
          </cell>
        </row>
        <row r="725">
          <cell r="A725">
            <v>3641</v>
          </cell>
          <cell r="B725" t="str">
            <v>90˚곡관(고무링접합)</v>
          </cell>
          <cell r="C725" t="str">
            <v>125Ø</v>
          </cell>
          <cell r="D725" t="str">
            <v>개</v>
          </cell>
          <cell r="E725">
            <v>7471</v>
          </cell>
          <cell r="F725">
            <v>0</v>
          </cell>
          <cell r="G725">
            <v>8121</v>
          </cell>
          <cell r="H725">
            <v>546</v>
          </cell>
          <cell r="I725">
            <v>7471</v>
          </cell>
          <cell r="J725">
            <v>487</v>
          </cell>
          <cell r="L725">
            <v>487</v>
          </cell>
        </row>
        <row r="726">
          <cell r="A726">
            <v>3642</v>
          </cell>
          <cell r="B726" t="str">
            <v>90˚곡관(고무링접합)</v>
          </cell>
          <cell r="C726" t="str">
            <v>100Ø</v>
          </cell>
          <cell r="D726" t="str">
            <v>개</v>
          </cell>
          <cell r="E726">
            <v>4016</v>
          </cell>
          <cell r="F726">
            <v>0</v>
          </cell>
          <cell r="G726">
            <v>4366</v>
          </cell>
          <cell r="H726">
            <v>546</v>
          </cell>
          <cell r="I726">
            <v>4016</v>
          </cell>
          <cell r="J726">
            <v>487</v>
          </cell>
          <cell r="L726">
            <v>487</v>
          </cell>
        </row>
        <row r="727">
          <cell r="A727">
            <v>3643</v>
          </cell>
          <cell r="B727" t="str">
            <v>90˚곡관(고무링접합)</v>
          </cell>
          <cell r="C727" t="str">
            <v>75Ø</v>
          </cell>
          <cell r="D727" t="str">
            <v>개</v>
          </cell>
          <cell r="E727">
            <v>2222</v>
          </cell>
          <cell r="F727">
            <v>0</v>
          </cell>
          <cell r="G727">
            <v>2416</v>
          </cell>
          <cell r="H727">
            <v>546</v>
          </cell>
          <cell r="I727">
            <v>2222</v>
          </cell>
          <cell r="J727">
            <v>487</v>
          </cell>
          <cell r="L727">
            <v>487</v>
          </cell>
        </row>
        <row r="728">
          <cell r="A728">
            <v>3644</v>
          </cell>
          <cell r="B728" t="str">
            <v>90˚곡관(고무링접합)</v>
          </cell>
          <cell r="C728" t="str">
            <v>50Ø</v>
          </cell>
          <cell r="D728" t="str">
            <v>개</v>
          </cell>
          <cell r="E728">
            <v>1114</v>
          </cell>
          <cell r="F728">
            <v>0</v>
          </cell>
          <cell r="G728">
            <v>1211</v>
          </cell>
          <cell r="H728">
            <v>546</v>
          </cell>
          <cell r="I728">
            <v>1114</v>
          </cell>
          <cell r="J728">
            <v>487</v>
          </cell>
          <cell r="L728">
            <v>487</v>
          </cell>
        </row>
        <row r="729">
          <cell r="A729">
            <v>3646</v>
          </cell>
          <cell r="B729" t="str">
            <v>45˚곡관(고무링접합)</v>
          </cell>
          <cell r="C729" t="str">
            <v>125Ø</v>
          </cell>
          <cell r="D729" t="str">
            <v>개</v>
          </cell>
          <cell r="E729">
            <v>5323</v>
          </cell>
          <cell r="F729">
            <v>0</v>
          </cell>
          <cell r="G729">
            <v>5786</v>
          </cell>
          <cell r="H729">
            <v>546</v>
          </cell>
          <cell r="I729">
            <v>5323</v>
          </cell>
          <cell r="J729">
            <v>487</v>
          </cell>
          <cell r="L729">
            <v>487</v>
          </cell>
        </row>
        <row r="730">
          <cell r="A730">
            <v>3647</v>
          </cell>
          <cell r="B730" t="str">
            <v>45˚곡관(고무링접합)</v>
          </cell>
          <cell r="C730" t="str">
            <v>100Ø</v>
          </cell>
          <cell r="D730" t="str">
            <v>개</v>
          </cell>
          <cell r="E730">
            <v>2940</v>
          </cell>
          <cell r="F730">
            <v>0</v>
          </cell>
          <cell r="G730">
            <v>3196</v>
          </cell>
          <cell r="H730">
            <v>546</v>
          </cell>
          <cell r="I730">
            <v>2940</v>
          </cell>
          <cell r="J730">
            <v>487</v>
          </cell>
          <cell r="L730">
            <v>487</v>
          </cell>
        </row>
        <row r="731">
          <cell r="A731">
            <v>3648</v>
          </cell>
          <cell r="B731" t="str">
            <v>45˚곡관(고무링접합)</v>
          </cell>
          <cell r="C731" t="str">
            <v>75Ø</v>
          </cell>
          <cell r="D731" t="str">
            <v>개</v>
          </cell>
          <cell r="E731">
            <v>1796</v>
          </cell>
          <cell r="F731">
            <v>0</v>
          </cell>
          <cell r="G731">
            <v>1953</v>
          </cell>
          <cell r="H731">
            <v>546</v>
          </cell>
          <cell r="I731">
            <v>1796</v>
          </cell>
          <cell r="J731">
            <v>487</v>
          </cell>
          <cell r="L731">
            <v>487</v>
          </cell>
        </row>
        <row r="732">
          <cell r="A732">
            <v>3649</v>
          </cell>
          <cell r="B732" t="str">
            <v>45˚곡관(고무링접합)</v>
          </cell>
          <cell r="C732" t="str">
            <v>50Ø</v>
          </cell>
          <cell r="D732" t="str">
            <v>개</v>
          </cell>
          <cell r="E732">
            <v>984</v>
          </cell>
          <cell r="F732">
            <v>0</v>
          </cell>
          <cell r="G732">
            <v>1070</v>
          </cell>
          <cell r="H732">
            <v>546</v>
          </cell>
          <cell r="I732">
            <v>984</v>
          </cell>
          <cell r="J732">
            <v>487</v>
          </cell>
          <cell r="L732">
            <v>487</v>
          </cell>
        </row>
        <row r="733">
          <cell r="A733">
            <v>3650</v>
          </cell>
          <cell r="B733" t="str">
            <v>LT관(고무링접합)</v>
          </cell>
          <cell r="C733" t="str">
            <v>125Øx125Ø</v>
          </cell>
          <cell r="D733" t="str">
            <v>개</v>
          </cell>
          <cell r="E733">
            <v>10384</v>
          </cell>
          <cell r="F733">
            <v>0</v>
          </cell>
          <cell r="G733">
            <v>11287</v>
          </cell>
          <cell r="H733">
            <v>546</v>
          </cell>
          <cell r="I733">
            <v>10384</v>
          </cell>
          <cell r="J733">
            <v>487</v>
          </cell>
          <cell r="L733">
            <v>487</v>
          </cell>
        </row>
        <row r="734">
          <cell r="A734">
            <v>3651</v>
          </cell>
          <cell r="B734" t="str">
            <v>LT관(고무링접합)</v>
          </cell>
          <cell r="C734" t="str">
            <v>125Øx100Ø</v>
          </cell>
          <cell r="D734" t="str">
            <v>개</v>
          </cell>
          <cell r="E734">
            <v>8271</v>
          </cell>
          <cell r="F734">
            <v>0</v>
          </cell>
          <cell r="G734">
            <v>8991</v>
          </cell>
          <cell r="H734">
            <v>546</v>
          </cell>
          <cell r="I734">
            <v>8271</v>
          </cell>
          <cell r="J734">
            <v>487</v>
          </cell>
          <cell r="L734">
            <v>487</v>
          </cell>
        </row>
        <row r="735">
          <cell r="A735">
            <v>3652</v>
          </cell>
          <cell r="B735" t="str">
            <v>Y관(고무링접합)</v>
          </cell>
          <cell r="C735" t="str">
            <v>100Øx100Ø</v>
          </cell>
          <cell r="D735" t="str">
            <v>개</v>
          </cell>
          <cell r="E735">
            <v>5062</v>
          </cell>
          <cell r="F735">
            <v>0</v>
          </cell>
          <cell r="G735">
            <v>5544</v>
          </cell>
          <cell r="H735">
            <v>546</v>
          </cell>
          <cell r="I735">
            <v>5062</v>
          </cell>
          <cell r="J735">
            <v>487</v>
          </cell>
          <cell r="L735">
            <v>487</v>
          </cell>
        </row>
        <row r="736">
          <cell r="A736">
            <v>3653</v>
          </cell>
          <cell r="B736" t="str">
            <v>Y관(고무링접합)</v>
          </cell>
          <cell r="C736" t="str">
            <v>100Øx 75Ø</v>
          </cell>
          <cell r="D736" t="str">
            <v>개</v>
          </cell>
          <cell r="E736">
            <v>4292</v>
          </cell>
          <cell r="F736">
            <v>0</v>
          </cell>
          <cell r="G736">
            <v>4638</v>
          </cell>
          <cell r="H736">
            <v>546</v>
          </cell>
          <cell r="I736">
            <v>4292</v>
          </cell>
          <cell r="J736">
            <v>487</v>
          </cell>
          <cell r="L736">
            <v>487</v>
          </cell>
        </row>
        <row r="737">
          <cell r="A737">
            <v>3654</v>
          </cell>
          <cell r="B737" t="str">
            <v>Y관(고무링접합)</v>
          </cell>
          <cell r="C737" t="str">
            <v>100Øx 50Ø</v>
          </cell>
          <cell r="D737" t="str">
            <v>개</v>
          </cell>
          <cell r="E737">
            <v>3796</v>
          </cell>
          <cell r="F737">
            <v>0</v>
          </cell>
          <cell r="G737">
            <v>3796</v>
          </cell>
          <cell r="H737">
            <v>546</v>
          </cell>
          <cell r="I737">
            <v>3800</v>
          </cell>
          <cell r="J737">
            <v>487</v>
          </cell>
          <cell r="L737">
            <v>487</v>
          </cell>
        </row>
        <row r="738">
          <cell r="A738">
            <v>3655</v>
          </cell>
          <cell r="B738" t="str">
            <v>Y관(고무링접합)</v>
          </cell>
          <cell r="C738" t="str">
            <v xml:space="preserve"> 75Øx 75Ø</v>
          </cell>
          <cell r="D738" t="str">
            <v>개</v>
          </cell>
          <cell r="E738">
            <v>2985</v>
          </cell>
          <cell r="F738">
            <v>0</v>
          </cell>
          <cell r="G738">
            <v>4414</v>
          </cell>
          <cell r="H738">
            <v>546</v>
          </cell>
          <cell r="I738">
            <v>2985</v>
          </cell>
          <cell r="J738">
            <v>487</v>
          </cell>
          <cell r="L738">
            <v>487</v>
          </cell>
        </row>
        <row r="739">
          <cell r="A739">
            <v>3656</v>
          </cell>
          <cell r="B739" t="str">
            <v>Y관(고무링접합)</v>
          </cell>
          <cell r="C739" t="str">
            <v xml:space="preserve"> 75Øx 50Ø</v>
          </cell>
          <cell r="D739" t="str">
            <v>개</v>
          </cell>
          <cell r="E739">
            <v>3216</v>
          </cell>
          <cell r="F739">
            <v>0</v>
          </cell>
          <cell r="G739">
            <v>3496</v>
          </cell>
          <cell r="H739">
            <v>546</v>
          </cell>
          <cell r="I739">
            <v>3216</v>
          </cell>
          <cell r="J739">
            <v>487</v>
          </cell>
          <cell r="L739">
            <v>487</v>
          </cell>
        </row>
        <row r="740">
          <cell r="A740">
            <v>3657</v>
          </cell>
          <cell r="B740" t="str">
            <v>Y관(고무링접합)</v>
          </cell>
          <cell r="C740" t="str">
            <v xml:space="preserve"> 50Øx 50Ø</v>
          </cell>
          <cell r="D740" t="str">
            <v>개</v>
          </cell>
          <cell r="E740">
            <v>1774</v>
          </cell>
          <cell r="F740">
            <v>0</v>
          </cell>
          <cell r="G740">
            <v>2129</v>
          </cell>
          <cell r="H740">
            <v>546</v>
          </cell>
          <cell r="I740">
            <v>1774</v>
          </cell>
          <cell r="J740">
            <v>487</v>
          </cell>
          <cell r="L740">
            <v>487</v>
          </cell>
        </row>
        <row r="741">
          <cell r="A741">
            <v>3658</v>
          </cell>
          <cell r="B741" t="str">
            <v>인크리져(고무링접합)</v>
          </cell>
          <cell r="C741" t="str">
            <v>100Øx 75Ø</v>
          </cell>
          <cell r="D741" t="str">
            <v>개</v>
          </cell>
          <cell r="E741">
            <v>2290</v>
          </cell>
          <cell r="F741">
            <v>0</v>
          </cell>
          <cell r="G741">
            <v>2490</v>
          </cell>
          <cell r="H741">
            <v>546</v>
          </cell>
          <cell r="I741">
            <v>2290</v>
          </cell>
          <cell r="J741">
            <v>487</v>
          </cell>
          <cell r="L741">
            <v>487</v>
          </cell>
        </row>
        <row r="742">
          <cell r="A742">
            <v>3659</v>
          </cell>
          <cell r="B742" t="str">
            <v>인크리져(고무링접합)</v>
          </cell>
          <cell r="C742" t="str">
            <v>100Øx 50Ø</v>
          </cell>
          <cell r="D742" t="str">
            <v>개</v>
          </cell>
          <cell r="E742">
            <v>2239</v>
          </cell>
          <cell r="F742">
            <v>0</v>
          </cell>
          <cell r="G742">
            <v>2434</v>
          </cell>
          <cell r="H742">
            <v>546</v>
          </cell>
          <cell r="I742">
            <v>2239</v>
          </cell>
          <cell r="J742">
            <v>487</v>
          </cell>
          <cell r="L742">
            <v>487</v>
          </cell>
        </row>
        <row r="743">
          <cell r="A743">
            <v>3661</v>
          </cell>
          <cell r="B743" t="str">
            <v>소제구</v>
          </cell>
          <cell r="C743" t="str">
            <v>150Ø</v>
          </cell>
          <cell r="D743" t="str">
            <v>개</v>
          </cell>
          <cell r="E743">
            <v>4330</v>
          </cell>
          <cell r="F743">
            <v>0</v>
          </cell>
          <cell r="G743">
            <v>4330</v>
          </cell>
          <cell r="H743">
            <v>544</v>
          </cell>
          <cell r="I743">
            <v>4450</v>
          </cell>
          <cell r="J743">
            <v>486</v>
          </cell>
          <cell r="L743">
            <v>0</v>
          </cell>
        </row>
        <row r="744">
          <cell r="A744">
            <v>3662</v>
          </cell>
          <cell r="B744" t="str">
            <v>소제구</v>
          </cell>
          <cell r="C744" t="str">
            <v>125Ø</v>
          </cell>
          <cell r="D744" t="str">
            <v>개</v>
          </cell>
          <cell r="E744">
            <v>2500</v>
          </cell>
          <cell r="F744">
            <v>0</v>
          </cell>
          <cell r="G744">
            <v>2500</v>
          </cell>
          <cell r="H744">
            <v>544</v>
          </cell>
          <cell r="I744">
            <v>2570</v>
          </cell>
          <cell r="J744">
            <v>486</v>
          </cell>
          <cell r="L744">
            <v>0</v>
          </cell>
        </row>
        <row r="745">
          <cell r="A745">
            <v>3663</v>
          </cell>
          <cell r="B745" t="str">
            <v>소제구</v>
          </cell>
          <cell r="C745" t="str">
            <v>100Ø</v>
          </cell>
          <cell r="D745" t="str">
            <v>개</v>
          </cell>
          <cell r="E745">
            <v>1450</v>
          </cell>
          <cell r="F745">
            <v>0</v>
          </cell>
          <cell r="G745">
            <v>1450</v>
          </cell>
          <cell r="H745">
            <v>544</v>
          </cell>
          <cell r="I745">
            <v>1490</v>
          </cell>
          <cell r="J745">
            <v>486</v>
          </cell>
          <cell r="L745">
            <v>0</v>
          </cell>
        </row>
        <row r="746">
          <cell r="A746">
            <v>3664</v>
          </cell>
          <cell r="B746" t="str">
            <v>소제구</v>
          </cell>
          <cell r="C746" t="str">
            <v>75Ø</v>
          </cell>
          <cell r="D746" t="str">
            <v>개</v>
          </cell>
          <cell r="E746">
            <v>1040</v>
          </cell>
          <cell r="F746">
            <v>0</v>
          </cell>
          <cell r="G746">
            <v>1040</v>
          </cell>
          <cell r="H746">
            <v>544</v>
          </cell>
          <cell r="I746">
            <v>1070</v>
          </cell>
          <cell r="J746">
            <v>486</v>
          </cell>
          <cell r="L746">
            <v>0</v>
          </cell>
        </row>
        <row r="747">
          <cell r="A747">
            <v>3665</v>
          </cell>
          <cell r="B747" t="str">
            <v>소제구</v>
          </cell>
          <cell r="C747" t="str">
            <v>50Ø</v>
          </cell>
          <cell r="D747" t="str">
            <v>개</v>
          </cell>
          <cell r="E747">
            <v>470</v>
          </cell>
          <cell r="F747">
            <v>0</v>
          </cell>
          <cell r="G747">
            <v>470</v>
          </cell>
          <cell r="H747">
            <v>544</v>
          </cell>
          <cell r="I747">
            <v>520</v>
          </cell>
          <cell r="J747">
            <v>486</v>
          </cell>
          <cell r="L747">
            <v>0</v>
          </cell>
        </row>
        <row r="748">
          <cell r="A748">
            <v>3666</v>
          </cell>
          <cell r="B748" t="str">
            <v>바닥소제구</v>
          </cell>
          <cell r="C748" t="str">
            <v>150Ø</v>
          </cell>
          <cell r="D748" t="str">
            <v>개</v>
          </cell>
          <cell r="E748">
            <v>24500</v>
          </cell>
          <cell r="F748">
            <v>0</v>
          </cell>
          <cell r="H748">
            <v>0</v>
          </cell>
          <cell r="I748">
            <v>24500</v>
          </cell>
          <cell r="J748">
            <v>0</v>
          </cell>
          <cell r="L748">
            <v>0</v>
          </cell>
        </row>
        <row r="749">
          <cell r="A749">
            <v>3667</v>
          </cell>
          <cell r="B749" t="str">
            <v>바닥소제구</v>
          </cell>
          <cell r="C749" t="str">
            <v>125Ø</v>
          </cell>
          <cell r="D749" t="str">
            <v>개</v>
          </cell>
          <cell r="E749">
            <v>19800</v>
          </cell>
          <cell r="F749">
            <v>0</v>
          </cell>
          <cell r="H749">
            <v>0</v>
          </cell>
          <cell r="I749">
            <v>19800</v>
          </cell>
          <cell r="J749">
            <v>0</v>
          </cell>
          <cell r="L749">
            <v>0</v>
          </cell>
        </row>
        <row r="750">
          <cell r="A750">
            <v>3668</v>
          </cell>
          <cell r="B750" t="str">
            <v>바닥소제구</v>
          </cell>
          <cell r="C750" t="str">
            <v>100Ø</v>
          </cell>
          <cell r="D750" t="str">
            <v>개</v>
          </cell>
          <cell r="E750">
            <v>7000</v>
          </cell>
          <cell r="F750">
            <v>0</v>
          </cell>
          <cell r="H750">
            <v>0</v>
          </cell>
          <cell r="I750">
            <v>7000</v>
          </cell>
          <cell r="J750">
            <v>0</v>
          </cell>
          <cell r="L750">
            <v>0</v>
          </cell>
        </row>
        <row r="751">
          <cell r="A751">
            <v>3671</v>
          </cell>
          <cell r="B751" t="str">
            <v>바닥배수구</v>
          </cell>
          <cell r="C751" t="str">
            <v>100Ø</v>
          </cell>
          <cell r="D751" t="str">
            <v>개</v>
          </cell>
          <cell r="E751">
            <v>13120</v>
          </cell>
          <cell r="F751">
            <v>0</v>
          </cell>
          <cell r="H751">
            <v>0</v>
          </cell>
          <cell r="I751">
            <v>13120</v>
          </cell>
          <cell r="J751">
            <v>534</v>
          </cell>
          <cell r="L751">
            <v>0</v>
          </cell>
        </row>
        <row r="752">
          <cell r="A752">
            <v>3672</v>
          </cell>
          <cell r="B752" t="str">
            <v>바닥배수구</v>
          </cell>
          <cell r="C752" t="str">
            <v>75Ø</v>
          </cell>
          <cell r="D752" t="str">
            <v>개</v>
          </cell>
          <cell r="E752">
            <v>10500</v>
          </cell>
          <cell r="F752">
            <v>0</v>
          </cell>
          <cell r="H752">
            <v>0</v>
          </cell>
          <cell r="I752">
            <v>10500</v>
          </cell>
          <cell r="J752">
            <v>534</v>
          </cell>
          <cell r="L752">
            <v>0</v>
          </cell>
        </row>
        <row r="753">
          <cell r="A753">
            <v>3673</v>
          </cell>
          <cell r="B753" t="str">
            <v>바닥배수구</v>
          </cell>
          <cell r="C753" t="str">
            <v>50Ø</v>
          </cell>
          <cell r="D753" t="str">
            <v>개</v>
          </cell>
          <cell r="E753">
            <v>4950</v>
          </cell>
          <cell r="F753">
            <v>0</v>
          </cell>
          <cell r="H753">
            <v>0</v>
          </cell>
          <cell r="I753">
            <v>4950</v>
          </cell>
          <cell r="J753">
            <v>534</v>
          </cell>
          <cell r="L753">
            <v>0</v>
          </cell>
        </row>
        <row r="754">
          <cell r="A754">
            <v>3674</v>
          </cell>
          <cell r="B754" t="str">
            <v>세탁기용바닥배수구</v>
          </cell>
          <cell r="C754" t="str">
            <v>50Ø</v>
          </cell>
          <cell r="D754" t="str">
            <v>개</v>
          </cell>
          <cell r="E754">
            <v>6480</v>
          </cell>
          <cell r="F754">
            <v>0</v>
          </cell>
          <cell r="H754">
            <v>0</v>
          </cell>
          <cell r="I754">
            <v>6480</v>
          </cell>
          <cell r="J754">
            <v>534</v>
          </cell>
          <cell r="L754">
            <v>0</v>
          </cell>
        </row>
        <row r="755">
          <cell r="A755">
            <v>3681</v>
          </cell>
          <cell r="B755" t="str">
            <v>P-TRAP</v>
          </cell>
          <cell r="C755" t="str">
            <v>100Ø</v>
          </cell>
          <cell r="D755" t="str">
            <v>개</v>
          </cell>
          <cell r="E755">
            <v>6900</v>
          </cell>
          <cell r="F755">
            <v>0</v>
          </cell>
          <cell r="G755">
            <v>6900</v>
          </cell>
          <cell r="H755">
            <v>544</v>
          </cell>
          <cell r="I755">
            <v>7670</v>
          </cell>
          <cell r="J755">
            <v>486</v>
          </cell>
          <cell r="L755">
            <v>0</v>
          </cell>
        </row>
        <row r="756">
          <cell r="A756">
            <v>3682</v>
          </cell>
          <cell r="B756" t="str">
            <v>P-TRAP</v>
          </cell>
          <cell r="C756" t="str">
            <v>75Ø</v>
          </cell>
          <cell r="D756" t="str">
            <v>개</v>
          </cell>
          <cell r="E756">
            <v>3450</v>
          </cell>
          <cell r="F756">
            <v>0</v>
          </cell>
          <cell r="G756">
            <v>3450</v>
          </cell>
          <cell r="H756">
            <v>544</v>
          </cell>
          <cell r="I756">
            <v>3840</v>
          </cell>
          <cell r="J756">
            <v>486</v>
          </cell>
          <cell r="L756">
            <v>0</v>
          </cell>
        </row>
        <row r="757">
          <cell r="A757">
            <v>3683</v>
          </cell>
          <cell r="B757" t="str">
            <v>P-TRAP</v>
          </cell>
          <cell r="C757" t="str">
            <v>50Ø</v>
          </cell>
          <cell r="D757" t="str">
            <v>개</v>
          </cell>
          <cell r="E757">
            <v>1650</v>
          </cell>
          <cell r="F757">
            <v>0</v>
          </cell>
          <cell r="G757">
            <v>1650</v>
          </cell>
          <cell r="H757">
            <v>544</v>
          </cell>
          <cell r="I757">
            <v>1830</v>
          </cell>
          <cell r="J757">
            <v>486</v>
          </cell>
          <cell r="L757">
            <v>0</v>
          </cell>
        </row>
        <row r="758">
          <cell r="A758">
            <v>3691</v>
          </cell>
          <cell r="B758" t="str">
            <v>PVC 스리브</v>
          </cell>
          <cell r="C758" t="str">
            <v>150Ø</v>
          </cell>
          <cell r="D758" t="str">
            <v>개</v>
          </cell>
          <cell r="E758">
            <v>1500</v>
          </cell>
          <cell r="F758">
            <v>0</v>
          </cell>
          <cell r="H758">
            <v>0</v>
          </cell>
          <cell r="I758">
            <v>1500</v>
          </cell>
          <cell r="J758">
            <v>534</v>
          </cell>
          <cell r="L758">
            <v>0</v>
          </cell>
        </row>
        <row r="759">
          <cell r="A759">
            <v>3692</v>
          </cell>
          <cell r="B759" t="str">
            <v>PVC 스리브</v>
          </cell>
          <cell r="C759" t="str">
            <v>125Ø</v>
          </cell>
          <cell r="D759" t="str">
            <v>개</v>
          </cell>
          <cell r="E759">
            <v>1400</v>
          </cell>
          <cell r="F759">
            <v>0</v>
          </cell>
          <cell r="H759">
            <v>0</v>
          </cell>
          <cell r="I759">
            <v>1400</v>
          </cell>
          <cell r="J759">
            <v>534</v>
          </cell>
          <cell r="L759">
            <v>0</v>
          </cell>
        </row>
        <row r="760">
          <cell r="A760">
            <v>3693</v>
          </cell>
          <cell r="B760" t="str">
            <v>PVC 스리브</v>
          </cell>
          <cell r="C760" t="str">
            <v>100Ø</v>
          </cell>
          <cell r="D760" t="str">
            <v>개</v>
          </cell>
          <cell r="E760">
            <v>1300</v>
          </cell>
          <cell r="F760">
            <v>0</v>
          </cell>
          <cell r="H760">
            <v>0</v>
          </cell>
          <cell r="I760">
            <v>1300</v>
          </cell>
          <cell r="J760">
            <v>534</v>
          </cell>
          <cell r="L760">
            <v>0</v>
          </cell>
        </row>
        <row r="761">
          <cell r="A761">
            <v>3694</v>
          </cell>
          <cell r="B761" t="str">
            <v>PVC 스리브</v>
          </cell>
          <cell r="C761" t="str">
            <v>75Ø</v>
          </cell>
          <cell r="D761" t="str">
            <v>개</v>
          </cell>
          <cell r="E761">
            <v>1100</v>
          </cell>
          <cell r="F761">
            <v>0</v>
          </cell>
          <cell r="H761">
            <v>0</v>
          </cell>
          <cell r="I761">
            <v>1100</v>
          </cell>
          <cell r="J761">
            <v>534</v>
          </cell>
          <cell r="L761">
            <v>0</v>
          </cell>
        </row>
        <row r="762">
          <cell r="A762">
            <v>3695</v>
          </cell>
          <cell r="B762" t="str">
            <v>PVC 스리브</v>
          </cell>
          <cell r="C762" t="str">
            <v>50Ø</v>
          </cell>
          <cell r="D762" t="str">
            <v>개</v>
          </cell>
          <cell r="E762">
            <v>800</v>
          </cell>
          <cell r="F762">
            <v>0</v>
          </cell>
          <cell r="H762">
            <v>0</v>
          </cell>
          <cell r="I762">
            <v>800</v>
          </cell>
          <cell r="J762">
            <v>534</v>
          </cell>
          <cell r="L762">
            <v>0</v>
          </cell>
        </row>
        <row r="787">
          <cell r="A787">
            <v>3710</v>
          </cell>
          <cell r="B787" t="str">
            <v>주철 G/V(10kg/㎠)</v>
          </cell>
          <cell r="C787" t="str">
            <v>150Ø</v>
          </cell>
          <cell r="D787" t="str">
            <v>개</v>
          </cell>
          <cell r="E787">
            <v>148000</v>
          </cell>
          <cell r="F787">
            <v>0</v>
          </cell>
          <cell r="G787">
            <v>148000</v>
          </cell>
          <cell r="H787">
            <v>596</v>
          </cell>
          <cell r="I787">
            <v>160000</v>
          </cell>
          <cell r="J787">
            <v>529</v>
          </cell>
          <cell r="L787">
            <v>529</v>
          </cell>
        </row>
        <row r="788">
          <cell r="A788">
            <v>3711</v>
          </cell>
          <cell r="B788" t="str">
            <v>주철 G/V(10kg/㎠)</v>
          </cell>
          <cell r="C788" t="str">
            <v>100Ø</v>
          </cell>
          <cell r="D788" t="str">
            <v>개</v>
          </cell>
          <cell r="E788">
            <v>77700</v>
          </cell>
          <cell r="F788">
            <v>0</v>
          </cell>
          <cell r="G788">
            <v>77700</v>
          </cell>
          <cell r="H788">
            <v>596</v>
          </cell>
          <cell r="I788">
            <v>84000</v>
          </cell>
          <cell r="J788">
            <v>529</v>
          </cell>
          <cell r="L788">
            <v>529</v>
          </cell>
        </row>
        <row r="789">
          <cell r="A789">
            <v>3712</v>
          </cell>
          <cell r="B789" t="str">
            <v>주철 G/V(10kg/㎠)</v>
          </cell>
          <cell r="C789" t="str">
            <v>80Ø</v>
          </cell>
          <cell r="D789" t="str">
            <v>개</v>
          </cell>
          <cell r="E789">
            <v>55500</v>
          </cell>
          <cell r="F789">
            <v>0</v>
          </cell>
          <cell r="G789">
            <v>55500</v>
          </cell>
          <cell r="H789">
            <v>596</v>
          </cell>
          <cell r="I789">
            <v>60000</v>
          </cell>
          <cell r="J789">
            <v>529</v>
          </cell>
          <cell r="L789">
            <v>529</v>
          </cell>
        </row>
        <row r="790">
          <cell r="A790">
            <v>3713</v>
          </cell>
          <cell r="B790" t="str">
            <v>주철 G/V(10kg/㎠)</v>
          </cell>
          <cell r="C790" t="str">
            <v>65Ø</v>
          </cell>
          <cell r="D790" t="str">
            <v>개</v>
          </cell>
          <cell r="E790">
            <v>45880</v>
          </cell>
          <cell r="F790">
            <v>0</v>
          </cell>
          <cell r="G790">
            <v>45880</v>
          </cell>
          <cell r="H790">
            <v>596</v>
          </cell>
          <cell r="I790">
            <v>49600</v>
          </cell>
          <cell r="J790">
            <v>529</v>
          </cell>
          <cell r="L790">
            <v>529</v>
          </cell>
        </row>
        <row r="791">
          <cell r="A791">
            <v>3714</v>
          </cell>
          <cell r="B791" t="str">
            <v>청동 G/V(10kg/㎠)</v>
          </cell>
          <cell r="C791" t="str">
            <v>50Ø</v>
          </cell>
          <cell r="D791" t="str">
            <v>개</v>
          </cell>
          <cell r="E791">
            <v>29690</v>
          </cell>
          <cell r="F791">
            <v>0</v>
          </cell>
          <cell r="G791">
            <v>29690</v>
          </cell>
          <cell r="H791">
            <v>595</v>
          </cell>
          <cell r="I791">
            <v>30120</v>
          </cell>
          <cell r="J791">
            <v>511</v>
          </cell>
          <cell r="L791">
            <v>414</v>
          </cell>
        </row>
        <row r="792">
          <cell r="A792">
            <v>3715</v>
          </cell>
          <cell r="B792" t="str">
            <v>청동 G/V(10kg/㎠)</v>
          </cell>
          <cell r="C792" t="str">
            <v>40Ø</v>
          </cell>
          <cell r="D792" t="str">
            <v>개</v>
          </cell>
          <cell r="E792">
            <v>19260</v>
          </cell>
          <cell r="F792">
            <v>0</v>
          </cell>
          <cell r="G792">
            <v>19260</v>
          </cell>
          <cell r="H792">
            <v>595</v>
          </cell>
          <cell r="I792">
            <v>19540</v>
          </cell>
          <cell r="J792">
            <v>511</v>
          </cell>
          <cell r="L792">
            <v>414</v>
          </cell>
        </row>
        <row r="793">
          <cell r="A793">
            <v>3716</v>
          </cell>
          <cell r="B793" t="str">
            <v>청동 G/V(10kg/㎠)</v>
          </cell>
          <cell r="C793" t="str">
            <v>32Ø</v>
          </cell>
          <cell r="D793" t="str">
            <v>개</v>
          </cell>
          <cell r="E793">
            <v>14370</v>
          </cell>
          <cell r="F793">
            <v>0</v>
          </cell>
          <cell r="G793">
            <v>14370</v>
          </cell>
          <cell r="H793">
            <v>595</v>
          </cell>
          <cell r="I793">
            <v>14580</v>
          </cell>
          <cell r="J793">
            <v>511</v>
          </cell>
          <cell r="L793">
            <v>414</v>
          </cell>
        </row>
        <row r="794">
          <cell r="A794">
            <v>3717</v>
          </cell>
          <cell r="B794" t="str">
            <v>청동 G/V(10kg/㎠)</v>
          </cell>
          <cell r="C794" t="str">
            <v>25Ø</v>
          </cell>
          <cell r="D794" t="str">
            <v>개</v>
          </cell>
          <cell r="E794">
            <v>10100</v>
          </cell>
          <cell r="F794">
            <v>0</v>
          </cell>
          <cell r="G794">
            <v>10100</v>
          </cell>
          <cell r="H794">
            <v>595</v>
          </cell>
          <cell r="I794">
            <v>10250</v>
          </cell>
          <cell r="J794">
            <v>511</v>
          </cell>
          <cell r="L794">
            <v>414</v>
          </cell>
        </row>
        <row r="795">
          <cell r="A795">
            <v>3718</v>
          </cell>
          <cell r="B795" t="str">
            <v>청동 G/V(10kg/㎠)</v>
          </cell>
          <cell r="C795" t="str">
            <v>20Ø</v>
          </cell>
          <cell r="D795" t="str">
            <v>개</v>
          </cell>
          <cell r="E795">
            <v>6620</v>
          </cell>
          <cell r="F795">
            <v>0</v>
          </cell>
          <cell r="G795">
            <v>6620</v>
          </cell>
          <cell r="H795">
            <v>595</v>
          </cell>
          <cell r="I795">
            <v>6710</v>
          </cell>
          <cell r="J795">
            <v>511</v>
          </cell>
          <cell r="L795">
            <v>414</v>
          </cell>
        </row>
        <row r="796">
          <cell r="A796">
            <v>3719</v>
          </cell>
          <cell r="B796" t="str">
            <v>청동 G/V(10kg/㎠)</v>
          </cell>
          <cell r="C796" t="str">
            <v>15Ø</v>
          </cell>
          <cell r="D796" t="str">
            <v>개</v>
          </cell>
          <cell r="E796">
            <v>4610</v>
          </cell>
          <cell r="F796">
            <v>0</v>
          </cell>
          <cell r="G796">
            <v>4610</v>
          </cell>
          <cell r="H796">
            <v>595</v>
          </cell>
          <cell r="I796">
            <v>4680</v>
          </cell>
          <cell r="J796">
            <v>511</v>
          </cell>
          <cell r="L796">
            <v>414</v>
          </cell>
        </row>
        <row r="797">
          <cell r="A797">
            <v>3720</v>
          </cell>
          <cell r="B797" t="str">
            <v>주철볼밸브(10kg/㎠)</v>
          </cell>
          <cell r="C797" t="str">
            <v>150Ø</v>
          </cell>
          <cell r="D797" t="str">
            <v>개</v>
          </cell>
          <cell r="E797">
            <v>197100</v>
          </cell>
          <cell r="F797">
            <v>0</v>
          </cell>
          <cell r="G797">
            <v>197100</v>
          </cell>
          <cell r="H797">
            <v>597</v>
          </cell>
          <cell r="I797">
            <v>580000</v>
          </cell>
          <cell r="J797">
            <v>529</v>
          </cell>
          <cell r="L797">
            <v>529</v>
          </cell>
        </row>
        <row r="798">
          <cell r="A798">
            <v>3721</v>
          </cell>
          <cell r="B798" t="str">
            <v>주철볼밸브(10kg/㎠)</v>
          </cell>
          <cell r="C798" t="str">
            <v>100Ø</v>
          </cell>
          <cell r="D798" t="str">
            <v>개</v>
          </cell>
          <cell r="E798">
            <v>97820</v>
          </cell>
          <cell r="F798">
            <v>0</v>
          </cell>
          <cell r="G798">
            <v>97820</v>
          </cell>
          <cell r="H798">
            <v>597</v>
          </cell>
          <cell r="I798">
            <v>200000</v>
          </cell>
          <cell r="J798">
            <v>529</v>
          </cell>
          <cell r="L798">
            <v>529</v>
          </cell>
        </row>
        <row r="799">
          <cell r="A799">
            <v>3722</v>
          </cell>
          <cell r="B799" t="str">
            <v>주철볼밸브(10kg/㎠)</v>
          </cell>
          <cell r="C799" t="str">
            <v>80Ø</v>
          </cell>
          <cell r="D799" t="str">
            <v>개</v>
          </cell>
          <cell r="E799">
            <v>65700</v>
          </cell>
          <cell r="F799">
            <v>0</v>
          </cell>
          <cell r="G799">
            <v>65700</v>
          </cell>
          <cell r="H799">
            <v>597</v>
          </cell>
          <cell r="I799">
            <v>140800</v>
          </cell>
          <cell r="J799">
            <v>529</v>
          </cell>
          <cell r="L799">
            <v>529</v>
          </cell>
        </row>
        <row r="800">
          <cell r="A800">
            <v>3723</v>
          </cell>
          <cell r="B800" t="str">
            <v>주철볼밸브(10kg/㎠)</v>
          </cell>
          <cell r="C800" t="str">
            <v>65Ø</v>
          </cell>
          <cell r="D800" t="str">
            <v>개</v>
          </cell>
          <cell r="E800">
            <v>52560</v>
          </cell>
          <cell r="F800">
            <v>0</v>
          </cell>
          <cell r="G800">
            <v>52560</v>
          </cell>
          <cell r="H800">
            <v>597</v>
          </cell>
          <cell r="I800">
            <v>107200</v>
          </cell>
          <cell r="J800">
            <v>529</v>
          </cell>
          <cell r="L800">
            <v>529</v>
          </cell>
        </row>
        <row r="801">
          <cell r="A801">
            <v>3724</v>
          </cell>
          <cell r="B801" t="str">
            <v>황동볼밸브(10kg/㎠)</v>
          </cell>
          <cell r="C801" t="str">
            <v>50Ø</v>
          </cell>
          <cell r="D801" t="str">
            <v>개</v>
          </cell>
          <cell r="E801">
            <v>13300</v>
          </cell>
          <cell r="F801">
            <v>0</v>
          </cell>
          <cell r="G801">
            <v>15390</v>
          </cell>
          <cell r="H801">
            <v>597</v>
          </cell>
          <cell r="I801">
            <v>13300</v>
          </cell>
          <cell r="J801">
            <v>529</v>
          </cell>
          <cell r="L801">
            <v>529</v>
          </cell>
        </row>
        <row r="802">
          <cell r="A802">
            <v>3725</v>
          </cell>
          <cell r="B802" t="str">
            <v>황동볼밸브(10kg/㎠)</v>
          </cell>
          <cell r="C802" t="str">
            <v>40Ø</v>
          </cell>
          <cell r="D802" t="str">
            <v>개</v>
          </cell>
          <cell r="E802">
            <v>8750</v>
          </cell>
          <cell r="F802">
            <v>0</v>
          </cell>
          <cell r="G802">
            <v>10120</v>
          </cell>
          <cell r="H802">
            <v>597</v>
          </cell>
          <cell r="I802">
            <v>8750</v>
          </cell>
          <cell r="J802">
            <v>529</v>
          </cell>
          <cell r="L802">
            <v>529</v>
          </cell>
        </row>
        <row r="803">
          <cell r="A803">
            <v>3726</v>
          </cell>
          <cell r="B803" t="str">
            <v>황동볼밸브(10kg/㎠)</v>
          </cell>
          <cell r="C803" t="str">
            <v>32Ø</v>
          </cell>
          <cell r="D803" t="str">
            <v>개</v>
          </cell>
          <cell r="E803">
            <v>6300</v>
          </cell>
          <cell r="F803">
            <v>0</v>
          </cell>
          <cell r="G803">
            <v>7290</v>
          </cell>
          <cell r="H803">
            <v>597</v>
          </cell>
          <cell r="I803">
            <v>6300</v>
          </cell>
          <cell r="J803">
            <v>529</v>
          </cell>
          <cell r="L803">
            <v>529</v>
          </cell>
        </row>
        <row r="804">
          <cell r="A804">
            <v>3727</v>
          </cell>
          <cell r="B804" t="str">
            <v>황동볼밸브(10kg/㎠)</v>
          </cell>
          <cell r="C804" t="str">
            <v>25Ø</v>
          </cell>
          <cell r="D804" t="str">
            <v>개</v>
          </cell>
          <cell r="E804">
            <v>4340</v>
          </cell>
          <cell r="F804">
            <v>0</v>
          </cell>
          <cell r="G804">
            <v>5020</v>
          </cell>
          <cell r="H804">
            <v>597</v>
          </cell>
          <cell r="I804">
            <v>4340</v>
          </cell>
          <cell r="J804">
            <v>529</v>
          </cell>
          <cell r="L804">
            <v>529</v>
          </cell>
        </row>
        <row r="805">
          <cell r="A805">
            <v>3728</v>
          </cell>
          <cell r="B805" t="str">
            <v>황동볼밸브(10kg/㎠)</v>
          </cell>
          <cell r="C805" t="str">
            <v>20Ø</v>
          </cell>
          <cell r="D805" t="str">
            <v>개</v>
          </cell>
          <cell r="E805">
            <v>2450</v>
          </cell>
          <cell r="F805">
            <v>0</v>
          </cell>
          <cell r="G805">
            <v>2830</v>
          </cell>
          <cell r="H805">
            <v>597</v>
          </cell>
          <cell r="I805">
            <v>2450</v>
          </cell>
          <cell r="J805">
            <v>529</v>
          </cell>
          <cell r="L805">
            <v>529</v>
          </cell>
        </row>
        <row r="806">
          <cell r="A806">
            <v>3729</v>
          </cell>
          <cell r="B806" t="str">
            <v>황동볼밸브(10kg/㎠)</v>
          </cell>
          <cell r="C806" t="str">
            <v>15Ø</v>
          </cell>
          <cell r="D806" t="str">
            <v>개</v>
          </cell>
          <cell r="E806">
            <v>1890</v>
          </cell>
          <cell r="F806">
            <v>0</v>
          </cell>
          <cell r="G806">
            <v>2180</v>
          </cell>
          <cell r="H806">
            <v>597</v>
          </cell>
          <cell r="I806">
            <v>1890</v>
          </cell>
          <cell r="J806">
            <v>529</v>
          </cell>
          <cell r="L806">
            <v>529</v>
          </cell>
        </row>
        <row r="807">
          <cell r="A807">
            <v>3730</v>
          </cell>
          <cell r="B807" t="str">
            <v>주강첵크밸브(10kg/㎠)</v>
          </cell>
          <cell r="C807" t="str">
            <v>150Ø</v>
          </cell>
          <cell r="D807" t="str">
            <v>개</v>
          </cell>
          <cell r="E807">
            <v>330750</v>
          </cell>
          <cell r="F807">
            <v>0</v>
          </cell>
          <cell r="G807">
            <v>330750</v>
          </cell>
          <cell r="H807">
            <v>596</v>
          </cell>
          <cell r="I807">
            <v>352800</v>
          </cell>
          <cell r="J807">
            <v>670</v>
          </cell>
          <cell r="L807">
            <v>670</v>
          </cell>
        </row>
        <row r="808">
          <cell r="A808">
            <v>3731</v>
          </cell>
          <cell r="B808" t="str">
            <v>주강첵크밸브(10kg/㎠)</v>
          </cell>
          <cell r="C808" t="str">
            <v>125Ø</v>
          </cell>
          <cell r="D808" t="str">
            <v>개</v>
          </cell>
          <cell r="E808">
            <v>266250</v>
          </cell>
          <cell r="F808">
            <v>0</v>
          </cell>
          <cell r="G808">
            <v>266250</v>
          </cell>
          <cell r="H808">
            <v>596</v>
          </cell>
          <cell r="I808">
            <v>284000</v>
          </cell>
          <cell r="J808">
            <v>670</v>
          </cell>
          <cell r="L808">
            <v>670</v>
          </cell>
        </row>
        <row r="809">
          <cell r="A809">
            <v>3732</v>
          </cell>
          <cell r="B809" t="str">
            <v>주강첵크밸브(10kg/㎠)</v>
          </cell>
          <cell r="C809" t="str">
            <v>100Ø</v>
          </cell>
          <cell r="D809" t="str">
            <v>개</v>
          </cell>
          <cell r="E809">
            <v>189750</v>
          </cell>
          <cell r="F809">
            <v>0</v>
          </cell>
          <cell r="G809">
            <v>189750</v>
          </cell>
          <cell r="H809">
            <v>596</v>
          </cell>
          <cell r="I809">
            <v>202400</v>
          </cell>
          <cell r="J809">
            <v>670</v>
          </cell>
          <cell r="L809">
            <v>670</v>
          </cell>
        </row>
        <row r="810">
          <cell r="A810">
            <v>3733</v>
          </cell>
          <cell r="B810" t="str">
            <v>주강첵크밸브(10kg/㎠)</v>
          </cell>
          <cell r="C810" t="str">
            <v>80Ø</v>
          </cell>
          <cell r="D810" t="str">
            <v>개</v>
          </cell>
          <cell r="E810">
            <v>132600</v>
          </cell>
          <cell r="F810">
            <v>0</v>
          </cell>
          <cell r="G810">
            <v>132600</v>
          </cell>
          <cell r="H810">
            <v>596</v>
          </cell>
          <cell r="I810">
            <v>141400</v>
          </cell>
          <cell r="J810">
            <v>670</v>
          </cell>
          <cell r="L810">
            <v>670</v>
          </cell>
        </row>
        <row r="811">
          <cell r="A811">
            <v>3734</v>
          </cell>
          <cell r="B811" t="str">
            <v>주강첵크밸브(10kg/㎠)</v>
          </cell>
          <cell r="C811" t="str">
            <v>65Ø</v>
          </cell>
          <cell r="D811" t="str">
            <v>개</v>
          </cell>
          <cell r="E811">
            <v>115650</v>
          </cell>
          <cell r="F811">
            <v>0</v>
          </cell>
          <cell r="G811">
            <v>115650</v>
          </cell>
          <cell r="H811">
            <v>596</v>
          </cell>
          <cell r="I811">
            <v>123300</v>
          </cell>
          <cell r="J811">
            <v>670</v>
          </cell>
          <cell r="L811">
            <v>670</v>
          </cell>
        </row>
        <row r="812">
          <cell r="A812">
            <v>3735</v>
          </cell>
          <cell r="B812" t="str">
            <v>청동첵크밸브(10kg/㎠)</v>
          </cell>
          <cell r="C812" t="str">
            <v>50Ø</v>
          </cell>
          <cell r="D812" t="str">
            <v>개</v>
          </cell>
          <cell r="E812">
            <v>19440</v>
          </cell>
          <cell r="F812">
            <v>0</v>
          </cell>
          <cell r="G812">
            <v>19440</v>
          </cell>
          <cell r="H812">
            <v>596</v>
          </cell>
          <cell r="I812">
            <v>19450</v>
          </cell>
          <cell r="J812">
            <v>513</v>
          </cell>
          <cell r="L812">
            <v>416</v>
          </cell>
        </row>
        <row r="813">
          <cell r="A813">
            <v>3736</v>
          </cell>
          <cell r="B813" t="str">
            <v>청동첵크밸브(10kg/㎠)</v>
          </cell>
          <cell r="C813" t="str">
            <v>40Ø</v>
          </cell>
          <cell r="D813" t="str">
            <v>개</v>
          </cell>
          <cell r="E813">
            <v>12850</v>
          </cell>
          <cell r="F813">
            <v>0</v>
          </cell>
          <cell r="G813">
            <v>12850</v>
          </cell>
          <cell r="H813">
            <v>596</v>
          </cell>
          <cell r="I813">
            <v>12850</v>
          </cell>
          <cell r="J813">
            <v>670</v>
          </cell>
          <cell r="L813">
            <v>670</v>
          </cell>
        </row>
        <row r="814">
          <cell r="A814">
            <v>3737</v>
          </cell>
          <cell r="B814" t="str">
            <v>청동첵크밸브(10kg/㎠)</v>
          </cell>
          <cell r="C814" t="str">
            <v>32Ø</v>
          </cell>
          <cell r="D814" t="str">
            <v>개</v>
          </cell>
          <cell r="E814">
            <v>10330</v>
          </cell>
          <cell r="F814">
            <v>0</v>
          </cell>
          <cell r="G814">
            <v>10330</v>
          </cell>
          <cell r="H814">
            <v>596</v>
          </cell>
          <cell r="I814">
            <v>10340</v>
          </cell>
          <cell r="J814">
            <v>531</v>
          </cell>
          <cell r="L814">
            <v>531</v>
          </cell>
        </row>
        <row r="815">
          <cell r="A815">
            <v>3738</v>
          </cell>
          <cell r="B815" t="str">
            <v>청동첵크밸브(10kg/㎠)</v>
          </cell>
          <cell r="C815" t="str">
            <v>25Ø</v>
          </cell>
          <cell r="D815" t="str">
            <v>개</v>
          </cell>
          <cell r="E815">
            <v>6920</v>
          </cell>
          <cell r="F815">
            <v>0</v>
          </cell>
          <cell r="G815">
            <v>6920</v>
          </cell>
          <cell r="H815">
            <v>596</v>
          </cell>
          <cell r="I815">
            <v>6930</v>
          </cell>
          <cell r="J815">
            <v>531</v>
          </cell>
          <cell r="L815">
            <v>531</v>
          </cell>
        </row>
        <row r="816">
          <cell r="A816">
            <v>3739</v>
          </cell>
          <cell r="B816" t="str">
            <v>청동첵크밸브(10kg/㎠)</v>
          </cell>
          <cell r="C816" t="str">
            <v>20Ø</v>
          </cell>
          <cell r="D816" t="str">
            <v>개</v>
          </cell>
          <cell r="E816">
            <v>4600</v>
          </cell>
          <cell r="F816">
            <v>0</v>
          </cell>
          <cell r="G816">
            <v>4600</v>
          </cell>
          <cell r="H816">
            <v>596</v>
          </cell>
          <cell r="I816">
            <v>4600</v>
          </cell>
          <cell r="J816">
            <v>531</v>
          </cell>
          <cell r="L816">
            <v>531</v>
          </cell>
        </row>
        <row r="817">
          <cell r="A817">
            <v>3740</v>
          </cell>
          <cell r="B817" t="str">
            <v>청동앵글밸브(10kg/㎠)</v>
          </cell>
          <cell r="C817" t="str">
            <v>25Ø</v>
          </cell>
          <cell r="D817" t="str">
            <v>개</v>
          </cell>
          <cell r="E817">
            <v>8120</v>
          </cell>
          <cell r="F817">
            <v>0</v>
          </cell>
          <cell r="G817">
            <v>8810</v>
          </cell>
          <cell r="H817">
            <v>600</v>
          </cell>
          <cell r="I817">
            <v>8120</v>
          </cell>
          <cell r="J817">
            <v>532</v>
          </cell>
          <cell r="L817">
            <v>532</v>
          </cell>
        </row>
        <row r="818">
          <cell r="A818">
            <v>3741</v>
          </cell>
          <cell r="B818" t="str">
            <v>청동앵글밸브(10kg/㎠)</v>
          </cell>
          <cell r="C818" t="str">
            <v>20Ø</v>
          </cell>
          <cell r="D818" t="str">
            <v>개</v>
          </cell>
          <cell r="E818">
            <v>5390</v>
          </cell>
          <cell r="F818">
            <v>0</v>
          </cell>
          <cell r="G818">
            <v>5850</v>
          </cell>
          <cell r="H818">
            <v>600</v>
          </cell>
          <cell r="I818">
            <v>5390</v>
          </cell>
          <cell r="J818">
            <v>532</v>
          </cell>
          <cell r="L818">
            <v>532</v>
          </cell>
        </row>
        <row r="819">
          <cell r="A819">
            <v>3742</v>
          </cell>
          <cell r="B819" t="str">
            <v>청동앵글밸브(10kg/㎠)</v>
          </cell>
          <cell r="C819" t="str">
            <v>15Ø</v>
          </cell>
          <cell r="D819" t="str">
            <v>개</v>
          </cell>
          <cell r="E819">
            <v>3590</v>
          </cell>
          <cell r="F819">
            <v>0</v>
          </cell>
          <cell r="G819">
            <v>3900</v>
          </cell>
          <cell r="H819">
            <v>600</v>
          </cell>
          <cell r="I819">
            <v>3590</v>
          </cell>
          <cell r="J819">
            <v>532</v>
          </cell>
          <cell r="L819">
            <v>532</v>
          </cell>
        </row>
        <row r="820">
          <cell r="A820">
            <v>3743</v>
          </cell>
          <cell r="B820" t="str">
            <v>안전밸브</v>
          </cell>
          <cell r="C820" t="str">
            <v>80Ø</v>
          </cell>
          <cell r="D820" t="str">
            <v>개</v>
          </cell>
          <cell r="E820">
            <v>712000</v>
          </cell>
          <cell r="F820">
            <v>0</v>
          </cell>
          <cell r="H820">
            <v>537</v>
          </cell>
          <cell r="I820">
            <v>712000</v>
          </cell>
          <cell r="J820">
            <v>537</v>
          </cell>
          <cell r="L820">
            <v>537</v>
          </cell>
        </row>
        <row r="821">
          <cell r="A821">
            <v>3744</v>
          </cell>
          <cell r="B821" t="str">
            <v>안전밸브</v>
          </cell>
          <cell r="C821" t="str">
            <v>65Ø</v>
          </cell>
          <cell r="D821" t="str">
            <v>개</v>
          </cell>
          <cell r="E821">
            <v>540000</v>
          </cell>
          <cell r="F821">
            <v>0</v>
          </cell>
          <cell r="H821">
            <v>537</v>
          </cell>
          <cell r="I821">
            <v>540000</v>
          </cell>
          <cell r="J821">
            <v>537</v>
          </cell>
          <cell r="L821">
            <v>537</v>
          </cell>
        </row>
        <row r="822">
          <cell r="A822">
            <v>3745</v>
          </cell>
          <cell r="B822" t="str">
            <v>안전밸브</v>
          </cell>
          <cell r="C822" t="str">
            <v>40Ø</v>
          </cell>
          <cell r="D822" t="str">
            <v>개</v>
          </cell>
          <cell r="E822">
            <v>398000</v>
          </cell>
          <cell r="F822">
            <v>0</v>
          </cell>
          <cell r="H822">
            <v>537</v>
          </cell>
          <cell r="I822">
            <v>398000</v>
          </cell>
          <cell r="J822">
            <v>537</v>
          </cell>
          <cell r="L822">
            <v>537</v>
          </cell>
        </row>
        <row r="823">
          <cell r="A823">
            <v>3746</v>
          </cell>
          <cell r="B823" t="str">
            <v>안전밸브</v>
          </cell>
          <cell r="C823" t="str">
            <v>32Ø</v>
          </cell>
          <cell r="D823" t="str">
            <v>개</v>
          </cell>
          <cell r="E823">
            <v>0</v>
          </cell>
          <cell r="F823">
            <v>0</v>
          </cell>
          <cell r="H823">
            <v>537</v>
          </cell>
          <cell r="J823">
            <v>537</v>
          </cell>
          <cell r="L823">
            <v>537</v>
          </cell>
        </row>
        <row r="824">
          <cell r="A824">
            <v>3747</v>
          </cell>
          <cell r="B824" t="str">
            <v>안전밸브(저양정)</v>
          </cell>
          <cell r="C824" t="str">
            <v>25Ø</v>
          </cell>
          <cell r="D824" t="str">
            <v>개</v>
          </cell>
          <cell r="E824">
            <v>44100</v>
          </cell>
          <cell r="F824">
            <v>0</v>
          </cell>
          <cell r="H824">
            <v>537</v>
          </cell>
          <cell r="I824">
            <v>44100</v>
          </cell>
          <cell r="J824">
            <v>537</v>
          </cell>
          <cell r="L824">
            <v>537</v>
          </cell>
        </row>
        <row r="825">
          <cell r="A825">
            <v>3748</v>
          </cell>
          <cell r="B825" t="str">
            <v>안전밸브(저양정)</v>
          </cell>
          <cell r="C825" t="str">
            <v>20Ø</v>
          </cell>
          <cell r="D825" t="str">
            <v>개</v>
          </cell>
          <cell r="E825">
            <v>39600</v>
          </cell>
          <cell r="F825">
            <v>0</v>
          </cell>
          <cell r="H825">
            <v>537</v>
          </cell>
          <cell r="I825">
            <v>39600</v>
          </cell>
          <cell r="J825">
            <v>537</v>
          </cell>
          <cell r="L825">
            <v>537</v>
          </cell>
        </row>
        <row r="826">
          <cell r="A826">
            <v>3749</v>
          </cell>
          <cell r="B826" t="str">
            <v>릴리프밸브</v>
          </cell>
          <cell r="C826" t="str">
            <v>25Ø</v>
          </cell>
          <cell r="D826" t="str">
            <v>개</v>
          </cell>
          <cell r="E826">
            <v>216000</v>
          </cell>
          <cell r="F826">
            <v>0</v>
          </cell>
          <cell r="H826">
            <v>670</v>
          </cell>
          <cell r="I826">
            <v>216000</v>
          </cell>
          <cell r="J826">
            <v>670</v>
          </cell>
          <cell r="L826">
            <v>670</v>
          </cell>
        </row>
        <row r="827">
          <cell r="A827">
            <v>3750</v>
          </cell>
          <cell r="B827" t="str">
            <v>판넬밸브</v>
          </cell>
          <cell r="C827" t="str">
            <v>15Ø</v>
          </cell>
          <cell r="D827" t="str">
            <v>개</v>
          </cell>
          <cell r="E827">
            <v>6800</v>
          </cell>
          <cell r="F827">
            <v>0</v>
          </cell>
          <cell r="H827">
            <v>531</v>
          </cell>
          <cell r="I827">
            <v>6800</v>
          </cell>
          <cell r="J827">
            <v>531</v>
          </cell>
          <cell r="L827">
            <v>531</v>
          </cell>
        </row>
        <row r="828">
          <cell r="A828">
            <v>3751</v>
          </cell>
          <cell r="B828" t="str">
            <v>부력식 정수위밸브</v>
          </cell>
          <cell r="C828" t="str">
            <v>80Ø</v>
          </cell>
          <cell r="D828" t="str">
            <v>개</v>
          </cell>
          <cell r="E828">
            <v>317500</v>
          </cell>
          <cell r="F828">
            <v>0</v>
          </cell>
          <cell r="H828">
            <v>551</v>
          </cell>
          <cell r="I828">
            <v>317500</v>
          </cell>
          <cell r="J828">
            <v>551</v>
          </cell>
          <cell r="L828">
            <v>551</v>
          </cell>
        </row>
        <row r="829">
          <cell r="A829">
            <v>3752</v>
          </cell>
          <cell r="B829" t="str">
            <v>부력식 정수위밸브</v>
          </cell>
          <cell r="C829" t="str">
            <v>65Ø</v>
          </cell>
          <cell r="D829" t="str">
            <v>개</v>
          </cell>
          <cell r="E829">
            <v>325000</v>
          </cell>
          <cell r="F829">
            <v>0</v>
          </cell>
          <cell r="G829">
            <v>325000</v>
          </cell>
          <cell r="H829">
            <v>618</v>
          </cell>
          <cell r="J829">
            <v>551</v>
          </cell>
          <cell r="L829">
            <v>551</v>
          </cell>
        </row>
        <row r="830">
          <cell r="A830">
            <v>3753</v>
          </cell>
          <cell r="B830" t="str">
            <v>부력식 정수위밸브</v>
          </cell>
          <cell r="C830" t="str">
            <v>50Ø</v>
          </cell>
          <cell r="D830" t="str">
            <v>개</v>
          </cell>
          <cell r="E830">
            <v>253000</v>
          </cell>
          <cell r="F830">
            <v>0</v>
          </cell>
          <cell r="G830">
            <v>253000</v>
          </cell>
          <cell r="H830">
            <v>618</v>
          </cell>
          <cell r="J830">
            <v>551</v>
          </cell>
          <cell r="L830">
            <v>551</v>
          </cell>
        </row>
        <row r="831">
          <cell r="A831">
            <v>3754</v>
          </cell>
          <cell r="B831" t="str">
            <v>부력식 정수위밸브</v>
          </cell>
          <cell r="C831" t="str">
            <v>40Ø</v>
          </cell>
          <cell r="D831" t="str">
            <v>개</v>
          </cell>
          <cell r="E831">
            <v>168700</v>
          </cell>
          <cell r="F831">
            <v>0</v>
          </cell>
          <cell r="G831">
            <v>168700</v>
          </cell>
          <cell r="H831">
            <v>618</v>
          </cell>
          <cell r="J831">
            <v>551</v>
          </cell>
          <cell r="L831">
            <v>551</v>
          </cell>
        </row>
        <row r="832">
          <cell r="A832">
            <v>3755</v>
          </cell>
          <cell r="B832" t="str">
            <v>부력식 정수위밸브</v>
          </cell>
          <cell r="C832" t="str">
            <v>32Ø</v>
          </cell>
          <cell r="D832" t="str">
            <v>개</v>
          </cell>
          <cell r="E832">
            <v>139000</v>
          </cell>
          <cell r="F832">
            <v>0</v>
          </cell>
          <cell r="G832">
            <v>139000</v>
          </cell>
          <cell r="H832">
            <v>618</v>
          </cell>
          <cell r="J832">
            <v>551</v>
          </cell>
          <cell r="L832">
            <v>551</v>
          </cell>
        </row>
        <row r="833">
          <cell r="A833">
            <v>3756</v>
          </cell>
          <cell r="B833" t="str">
            <v>부력식 정수위밸브</v>
          </cell>
          <cell r="C833" t="str">
            <v>25Ø</v>
          </cell>
          <cell r="D833" t="str">
            <v>개</v>
          </cell>
          <cell r="E833">
            <v>114500</v>
          </cell>
          <cell r="F833">
            <v>0</v>
          </cell>
          <cell r="G833">
            <v>114500</v>
          </cell>
          <cell r="H833">
            <v>618</v>
          </cell>
          <cell r="J833">
            <v>551</v>
          </cell>
          <cell r="L833">
            <v>551</v>
          </cell>
        </row>
        <row r="834">
          <cell r="A834">
            <v>3757</v>
          </cell>
          <cell r="B834" t="str">
            <v>부력식 정수위밸브</v>
          </cell>
          <cell r="C834" t="str">
            <v>20Ø</v>
          </cell>
          <cell r="D834" t="str">
            <v>개</v>
          </cell>
          <cell r="E834">
            <v>81500</v>
          </cell>
          <cell r="F834">
            <v>0</v>
          </cell>
          <cell r="G834">
            <v>81500</v>
          </cell>
          <cell r="H834">
            <v>618</v>
          </cell>
          <cell r="J834">
            <v>551</v>
          </cell>
          <cell r="L834">
            <v>551</v>
          </cell>
        </row>
        <row r="835">
          <cell r="A835">
            <v>3758</v>
          </cell>
          <cell r="B835" t="str">
            <v>부력식 정수위밸브</v>
          </cell>
          <cell r="C835" t="str">
            <v>15Ø</v>
          </cell>
          <cell r="D835" t="str">
            <v>개</v>
          </cell>
          <cell r="E835">
            <v>63200</v>
          </cell>
          <cell r="F835">
            <v>0</v>
          </cell>
          <cell r="G835">
            <v>63200</v>
          </cell>
          <cell r="H835">
            <v>618</v>
          </cell>
          <cell r="J835">
            <v>551</v>
          </cell>
          <cell r="L835">
            <v>551</v>
          </cell>
        </row>
        <row r="836">
          <cell r="A836">
            <v>3759</v>
          </cell>
          <cell r="B836" t="str">
            <v>공기빼기밸브</v>
          </cell>
          <cell r="C836" t="str">
            <v>20Ø</v>
          </cell>
          <cell r="D836" t="str">
            <v>개</v>
          </cell>
          <cell r="E836">
            <v>22000</v>
          </cell>
          <cell r="F836">
            <v>0</v>
          </cell>
          <cell r="H836">
            <v>541</v>
          </cell>
          <cell r="I836">
            <v>22000</v>
          </cell>
          <cell r="J836">
            <v>541</v>
          </cell>
          <cell r="L836">
            <v>541</v>
          </cell>
        </row>
        <row r="837">
          <cell r="A837">
            <v>3761</v>
          </cell>
          <cell r="B837" t="str">
            <v>알람밸브</v>
          </cell>
          <cell r="C837" t="str">
            <v>150Ø</v>
          </cell>
          <cell r="D837" t="str">
            <v>개</v>
          </cell>
          <cell r="E837">
            <v>450000</v>
          </cell>
          <cell r="F837">
            <v>0</v>
          </cell>
          <cell r="H837">
            <v>670</v>
          </cell>
          <cell r="I837">
            <v>450000</v>
          </cell>
          <cell r="J837">
            <v>670</v>
          </cell>
          <cell r="L837">
            <v>670</v>
          </cell>
        </row>
        <row r="838">
          <cell r="A838">
            <v>3762</v>
          </cell>
          <cell r="B838" t="str">
            <v>알람밸브</v>
          </cell>
          <cell r="C838" t="str">
            <v>125Ø</v>
          </cell>
          <cell r="D838" t="str">
            <v>개</v>
          </cell>
          <cell r="E838">
            <v>400000</v>
          </cell>
          <cell r="F838">
            <v>0</v>
          </cell>
          <cell r="H838">
            <v>670</v>
          </cell>
          <cell r="I838">
            <v>400000</v>
          </cell>
          <cell r="J838">
            <v>670</v>
          </cell>
          <cell r="L838">
            <v>670</v>
          </cell>
        </row>
        <row r="839">
          <cell r="A839">
            <v>3763</v>
          </cell>
          <cell r="B839" t="str">
            <v>알람밸브</v>
          </cell>
          <cell r="C839" t="str">
            <v>100Ø</v>
          </cell>
          <cell r="D839" t="str">
            <v>개</v>
          </cell>
          <cell r="E839">
            <v>350000</v>
          </cell>
          <cell r="F839">
            <v>0</v>
          </cell>
          <cell r="H839">
            <v>670</v>
          </cell>
          <cell r="I839">
            <v>350000</v>
          </cell>
          <cell r="J839">
            <v>670</v>
          </cell>
          <cell r="L839">
            <v>670</v>
          </cell>
        </row>
        <row r="840">
          <cell r="A840">
            <v>3764</v>
          </cell>
          <cell r="B840" t="str">
            <v>프리엑션밸브</v>
          </cell>
          <cell r="C840" t="str">
            <v>150Ø</v>
          </cell>
          <cell r="D840" t="str">
            <v>개</v>
          </cell>
          <cell r="E840">
            <v>1188000</v>
          </cell>
          <cell r="F840">
            <v>0</v>
          </cell>
          <cell r="H840">
            <v>670</v>
          </cell>
          <cell r="I840">
            <v>1188000</v>
          </cell>
          <cell r="J840">
            <v>670</v>
          </cell>
          <cell r="L840">
            <v>670</v>
          </cell>
        </row>
        <row r="841">
          <cell r="A841">
            <v>3765</v>
          </cell>
          <cell r="B841" t="str">
            <v>프리엑션밸브</v>
          </cell>
          <cell r="C841" t="str">
            <v>125Ø</v>
          </cell>
          <cell r="D841" t="str">
            <v>개</v>
          </cell>
          <cell r="E841">
            <v>1028000</v>
          </cell>
          <cell r="F841">
            <v>0</v>
          </cell>
          <cell r="H841">
            <v>670</v>
          </cell>
          <cell r="I841">
            <v>1028000</v>
          </cell>
          <cell r="J841">
            <v>670</v>
          </cell>
          <cell r="L841">
            <v>670</v>
          </cell>
        </row>
        <row r="842">
          <cell r="A842">
            <v>3766</v>
          </cell>
          <cell r="B842" t="str">
            <v>프리엑션밸브</v>
          </cell>
          <cell r="C842" t="str">
            <v>100Ø</v>
          </cell>
          <cell r="D842" t="str">
            <v>개</v>
          </cell>
          <cell r="E842">
            <v>869000</v>
          </cell>
          <cell r="F842">
            <v>0</v>
          </cell>
          <cell r="H842">
            <v>670</v>
          </cell>
          <cell r="I842">
            <v>869000</v>
          </cell>
          <cell r="J842">
            <v>670</v>
          </cell>
          <cell r="L842">
            <v>670</v>
          </cell>
        </row>
        <row r="843">
          <cell r="A843">
            <v>3767</v>
          </cell>
          <cell r="B843" t="str">
            <v>자동배수밸브장치</v>
          </cell>
          <cell r="C843" t="str">
            <v>20Ø</v>
          </cell>
          <cell r="D843" t="str">
            <v>개</v>
          </cell>
          <cell r="E843">
            <v>13000</v>
          </cell>
          <cell r="F843">
            <v>0</v>
          </cell>
          <cell r="H843">
            <v>668</v>
          </cell>
          <cell r="I843">
            <v>13000</v>
          </cell>
          <cell r="J843">
            <v>668</v>
          </cell>
          <cell r="L843">
            <v>668</v>
          </cell>
        </row>
        <row r="844">
          <cell r="A844">
            <v>3768</v>
          </cell>
          <cell r="B844" t="str">
            <v>자동제한밸브장치</v>
          </cell>
          <cell r="C844" t="str">
            <v>40Ø</v>
          </cell>
          <cell r="D844" t="str">
            <v>개</v>
          </cell>
          <cell r="E844">
            <v>15000</v>
          </cell>
          <cell r="F844">
            <v>0</v>
          </cell>
          <cell r="H844">
            <v>668</v>
          </cell>
          <cell r="I844">
            <v>15000</v>
          </cell>
          <cell r="J844">
            <v>668</v>
          </cell>
          <cell r="L844">
            <v>668</v>
          </cell>
        </row>
        <row r="845">
          <cell r="A845">
            <v>3771</v>
          </cell>
          <cell r="B845" t="str">
            <v>수격방지기(10kg/㎠)</v>
          </cell>
          <cell r="C845" t="str">
            <v>150Ø</v>
          </cell>
          <cell r="D845" t="str">
            <v>개</v>
          </cell>
          <cell r="E845">
            <v>60000</v>
          </cell>
          <cell r="F845">
            <v>0</v>
          </cell>
          <cell r="H845">
            <v>670</v>
          </cell>
          <cell r="I845">
            <v>60000</v>
          </cell>
          <cell r="J845">
            <v>670</v>
          </cell>
          <cell r="L845">
            <v>670</v>
          </cell>
        </row>
        <row r="846">
          <cell r="A846">
            <v>3772</v>
          </cell>
          <cell r="B846" t="str">
            <v>수격방지기(10kg/㎠)</v>
          </cell>
          <cell r="C846" t="str">
            <v>125Ø</v>
          </cell>
          <cell r="D846" t="str">
            <v>개</v>
          </cell>
          <cell r="E846">
            <v>56000</v>
          </cell>
          <cell r="F846">
            <v>0</v>
          </cell>
          <cell r="H846">
            <v>670</v>
          </cell>
          <cell r="I846">
            <v>56000</v>
          </cell>
          <cell r="J846">
            <v>670</v>
          </cell>
          <cell r="L846">
            <v>670</v>
          </cell>
        </row>
        <row r="847">
          <cell r="A847">
            <v>3773</v>
          </cell>
          <cell r="B847" t="str">
            <v>수격방지기(10kg/㎠)</v>
          </cell>
          <cell r="C847" t="str">
            <v>100Ø</v>
          </cell>
          <cell r="D847" t="str">
            <v>개</v>
          </cell>
          <cell r="E847">
            <v>52000</v>
          </cell>
          <cell r="F847">
            <v>0</v>
          </cell>
          <cell r="H847">
            <v>670</v>
          </cell>
          <cell r="I847">
            <v>52000</v>
          </cell>
          <cell r="J847">
            <v>670</v>
          </cell>
          <cell r="L847">
            <v>670</v>
          </cell>
        </row>
        <row r="848">
          <cell r="A848">
            <v>3774</v>
          </cell>
          <cell r="B848" t="str">
            <v>수격방지기(10kg/㎠)</v>
          </cell>
          <cell r="C848" t="str">
            <v>80Ø</v>
          </cell>
          <cell r="D848" t="str">
            <v>개</v>
          </cell>
          <cell r="E848">
            <v>44000</v>
          </cell>
          <cell r="F848">
            <v>0</v>
          </cell>
          <cell r="H848">
            <v>670</v>
          </cell>
          <cell r="I848">
            <v>44000</v>
          </cell>
          <cell r="J848">
            <v>670</v>
          </cell>
          <cell r="L848">
            <v>670</v>
          </cell>
        </row>
        <row r="849">
          <cell r="A849">
            <v>3775</v>
          </cell>
          <cell r="B849" t="str">
            <v>수격방지기(10kg/㎠)</v>
          </cell>
          <cell r="C849" t="str">
            <v>65Ø</v>
          </cell>
          <cell r="D849" t="str">
            <v>개</v>
          </cell>
          <cell r="E849">
            <v>40000</v>
          </cell>
          <cell r="F849">
            <v>0</v>
          </cell>
          <cell r="H849">
            <v>670</v>
          </cell>
          <cell r="I849">
            <v>40000</v>
          </cell>
          <cell r="J849">
            <v>670</v>
          </cell>
          <cell r="L849">
            <v>670</v>
          </cell>
        </row>
        <row r="850">
          <cell r="A850">
            <v>3776</v>
          </cell>
          <cell r="B850" t="str">
            <v>수격방지기(10kg/㎠)</v>
          </cell>
          <cell r="C850" t="str">
            <v>50Ø</v>
          </cell>
          <cell r="D850" t="str">
            <v>개</v>
          </cell>
          <cell r="E850">
            <v>36000</v>
          </cell>
          <cell r="F850">
            <v>0</v>
          </cell>
          <cell r="H850">
            <v>670</v>
          </cell>
          <cell r="I850">
            <v>36000</v>
          </cell>
          <cell r="J850">
            <v>670</v>
          </cell>
          <cell r="L850">
            <v>670</v>
          </cell>
        </row>
        <row r="851">
          <cell r="A851">
            <v>3777</v>
          </cell>
          <cell r="B851" t="str">
            <v>수격방지기(10kg/㎠)</v>
          </cell>
          <cell r="C851" t="str">
            <v>40Ø</v>
          </cell>
          <cell r="D851" t="str">
            <v>개</v>
          </cell>
          <cell r="E851">
            <v>32000</v>
          </cell>
          <cell r="F851">
            <v>0</v>
          </cell>
          <cell r="H851">
            <v>670</v>
          </cell>
          <cell r="I851">
            <v>32000</v>
          </cell>
          <cell r="J851">
            <v>670</v>
          </cell>
          <cell r="L851">
            <v>670</v>
          </cell>
        </row>
        <row r="852">
          <cell r="A852">
            <v>3780</v>
          </cell>
          <cell r="B852" t="str">
            <v>스트레이너(후렌지)</v>
          </cell>
          <cell r="C852" t="str">
            <v>150Ø</v>
          </cell>
          <cell r="D852" t="str">
            <v>개</v>
          </cell>
          <cell r="E852">
            <v>180000</v>
          </cell>
          <cell r="F852">
            <v>0</v>
          </cell>
          <cell r="G852">
            <v>180000</v>
          </cell>
          <cell r="H852">
            <v>598</v>
          </cell>
          <cell r="J852">
            <v>533</v>
          </cell>
          <cell r="L852">
            <v>533</v>
          </cell>
        </row>
        <row r="853">
          <cell r="A853">
            <v>3781</v>
          </cell>
          <cell r="B853" t="str">
            <v>스트레이너(후렌지)</v>
          </cell>
          <cell r="C853" t="str">
            <v>100Ø</v>
          </cell>
          <cell r="D853" t="str">
            <v>개</v>
          </cell>
          <cell r="E853">
            <v>85000</v>
          </cell>
          <cell r="F853">
            <v>0</v>
          </cell>
          <cell r="G853">
            <v>85000</v>
          </cell>
          <cell r="H853">
            <v>598</v>
          </cell>
          <cell r="J853">
            <v>533</v>
          </cell>
          <cell r="L853">
            <v>533</v>
          </cell>
        </row>
        <row r="854">
          <cell r="A854">
            <v>3782</v>
          </cell>
          <cell r="B854" t="str">
            <v>스트레이너(후렌지)</v>
          </cell>
          <cell r="C854" t="str">
            <v>80Ø</v>
          </cell>
          <cell r="D854" t="str">
            <v>개</v>
          </cell>
          <cell r="E854">
            <v>56000</v>
          </cell>
          <cell r="F854">
            <v>0</v>
          </cell>
          <cell r="G854">
            <v>56000</v>
          </cell>
          <cell r="H854">
            <v>598</v>
          </cell>
          <cell r="J854">
            <v>533</v>
          </cell>
          <cell r="L854">
            <v>533</v>
          </cell>
        </row>
        <row r="855">
          <cell r="A855">
            <v>3783</v>
          </cell>
          <cell r="B855" t="str">
            <v>스트레이너(후렌지)</v>
          </cell>
          <cell r="C855" t="str">
            <v>65Ø</v>
          </cell>
          <cell r="D855" t="str">
            <v>개</v>
          </cell>
          <cell r="E855">
            <v>41000</v>
          </cell>
          <cell r="F855">
            <v>0</v>
          </cell>
          <cell r="G855">
            <v>41000</v>
          </cell>
          <cell r="H855">
            <v>598</v>
          </cell>
          <cell r="J855">
            <v>533</v>
          </cell>
          <cell r="L855">
            <v>533</v>
          </cell>
        </row>
        <row r="856">
          <cell r="A856">
            <v>3784</v>
          </cell>
          <cell r="B856" t="str">
            <v>스트레이너(나사식)</v>
          </cell>
          <cell r="C856" t="str">
            <v>50Ø</v>
          </cell>
          <cell r="D856" t="str">
            <v>개</v>
          </cell>
          <cell r="E856">
            <v>25000</v>
          </cell>
          <cell r="F856">
            <v>0</v>
          </cell>
          <cell r="G856">
            <v>25000</v>
          </cell>
          <cell r="H856">
            <v>598</v>
          </cell>
          <cell r="J856">
            <v>533</v>
          </cell>
          <cell r="L856">
            <v>533</v>
          </cell>
        </row>
        <row r="857">
          <cell r="A857">
            <v>3785</v>
          </cell>
          <cell r="B857" t="str">
            <v>스트레이너(나사식)</v>
          </cell>
          <cell r="C857" t="str">
            <v>40Ø</v>
          </cell>
          <cell r="D857" t="str">
            <v>개</v>
          </cell>
          <cell r="E857">
            <v>17000</v>
          </cell>
          <cell r="F857">
            <v>0</v>
          </cell>
          <cell r="G857">
            <v>17000</v>
          </cell>
          <cell r="H857">
            <v>598</v>
          </cell>
          <cell r="J857">
            <v>533</v>
          </cell>
          <cell r="L857">
            <v>533</v>
          </cell>
        </row>
        <row r="858">
          <cell r="A858">
            <v>3786</v>
          </cell>
          <cell r="B858" t="str">
            <v>스트레이너(나사식)</v>
          </cell>
          <cell r="C858" t="str">
            <v>32Ø</v>
          </cell>
          <cell r="D858" t="str">
            <v>개</v>
          </cell>
          <cell r="E858">
            <v>13000</v>
          </cell>
          <cell r="F858">
            <v>0</v>
          </cell>
          <cell r="G858">
            <v>13000</v>
          </cell>
          <cell r="H858">
            <v>598</v>
          </cell>
          <cell r="J858">
            <v>533</v>
          </cell>
          <cell r="L858">
            <v>533</v>
          </cell>
        </row>
        <row r="859">
          <cell r="A859">
            <v>3787</v>
          </cell>
          <cell r="B859" t="str">
            <v>스트레이너(나사식)</v>
          </cell>
          <cell r="C859" t="str">
            <v>25Ø</v>
          </cell>
          <cell r="D859" t="str">
            <v>개</v>
          </cell>
          <cell r="E859">
            <v>7900</v>
          </cell>
          <cell r="F859">
            <v>0</v>
          </cell>
          <cell r="G859">
            <v>7900</v>
          </cell>
          <cell r="H859">
            <v>598</v>
          </cell>
          <cell r="J859">
            <v>533</v>
          </cell>
          <cell r="L859">
            <v>533</v>
          </cell>
        </row>
        <row r="860">
          <cell r="A860">
            <v>3788</v>
          </cell>
          <cell r="B860" t="str">
            <v>스트레이너(나사식)</v>
          </cell>
          <cell r="C860" t="str">
            <v>20Ø</v>
          </cell>
          <cell r="D860" t="str">
            <v>개</v>
          </cell>
          <cell r="E860">
            <v>5600</v>
          </cell>
          <cell r="F860">
            <v>0</v>
          </cell>
          <cell r="G860">
            <v>5600</v>
          </cell>
          <cell r="H860">
            <v>598</v>
          </cell>
          <cell r="J860">
            <v>533</v>
          </cell>
          <cell r="L860">
            <v>533</v>
          </cell>
        </row>
        <row r="861">
          <cell r="A861">
            <v>3789</v>
          </cell>
          <cell r="B861" t="str">
            <v>스트레이너(나사식)</v>
          </cell>
          <cell r="C861" t="str">
            <v>15Ø</v>
          </cell>
          <cell r="D861" t="str">
            <v>개</v>
          </cell>
          <cell r="E861">
            <v>4800</v>
          </cell>
          <cell r="F861">
            <v>0</v>
          </cell>
          <cell r="G861">
            <v>4800</v>
          </cell>
          <cell r="H861">
            <v>598</v>
          </cell>
          <cell r="J861">
            <v>533</v>
          </cell>
          <cell r="L861">
            <v>533</v>
          </cell>
        </row>
        <row r="862">
          <cell r="A862">
            <v>3791</v>
          </cell>
          <cell r="B862" t="str">
            <v>옥외수도메타기</v>
          </cell>
          <cell r="C862" t="str">
            <v>40Øx1,100</v>
          </cell>
          <cell r="D862" t="str">
            <v>개</v>
          </cell>
          <cell r="E862">
            <v>231840</v>
          </cell>
          <cell r="F862">
            <v>0</v>
          </cell>
          <cell r="H862">
            <v>552</v>
          </cell>
          <cell r="I862">
            <v>231840</v>
          </cell>
          <cell r="J862">
            <v>552</v>
          </cell>
          <cell r="L862">
            <v>552</v>
          </cell>
        </row>
        <row r="863">
          <cell r="A863">
            <v>3792</v>
          </cell>
          <cell r="B863" t="str">
            <v>옥외수도메타기</v>
          </cell>
          <cell r="C863" t="str">
            <v>32Øx1,100</v>
          </cell>
          <cell r="D863" t="str">
            <v>개</v>
          </cell>
          <cell r="E863">
            <v>126800</v>
          </cell>
          <cell r="F863">
            <v>0</v>
          </cell>
          <cell r="H863">
            <v>552</v>
          </cell>
          <cell r="I863">
            <v>126800</v>
          </cell>
          <cell r="J863">
            <v>552</v>
          </cell>
          <cell r="L863">
            <v>552</v>
          </cell>
        </row>
        <row r="864">
          <cell r="A864">
            <v>3793</v>
          </cell>
          <cell r="B864" t="str">
            <v>옥외수도메타기</v>
          </cell>
          <cell r="C864" t="str">
            <v>25Øx1,100</v>
          </cell>
          <cell r="D864" t="str">
            <v>개</v>
          </cell>
          <cell r="E864">
            <v>97450</v>
          </cell>
          <cell r="F864">
            <v>0</v>
          </cell>
          <cell r="H864">
            <v>552</v>
          </cell>
          <cell r="I864">
            <v>97450</v>
          </cell>
          <cell r="J864">
            <v>552</v>
          </cell>
          <cell r="L864">
            <v>552</v>
          </cell>
        </row>
        <row r="865">
          <cell r="A865">
            <v>3794</v>
          </cell>
          <cell r="B865" t="str">
            <v>옥외수도메타기</v>
          </cell>
          <cell r="C865" t="str">
            <v>20Øx1,100</v>
          </cell>
          <cell r="D865" t="str">
            <v>개</v>
          </cell>
          <cell r="E865">
            <v>89760</v>
          </cell>
          <cell r="F865">
            <v>0</v>
          </cell>
          <cell r="H865">
            <v>552</v>
          </cell>
          <cell r="I865">
            <v>89760</v>
          </cell>
          <cell r="J865">
            <v>552</v>
          </cell>
          <cell r="L865">
            <v>552</v>
          </cell>
        </row>
        <row r="866">
          <cell r="A866">
            <v>3795</v>
          </cell>
          <cell r="B866" t="str">
            <v>옥외수도메타기</v>
          </cell>
          <cell r="C866" t="str">
            <v>13Øx1,100</v>
          </cell>
          <cell r="D866" t="str">
            <v>개</v>
          </cell>
          <cell r="E866">
            <v>61730</v>
          </cell>
          <cell r="F866">
            <v>0</v>
          </cell>
          <cell r="H866">
            <v>552</v>
          </cell>
          <cell r="I866">
            <v>61730</v>
          </cell>
          <cell r="J866">
            <v>552</v>
          </cell>
          <cell r="L866">
            <v>552</v>
          </cell>
        </row>
        <row r="867">
          <cell r="A867">
            <v>3796</v>
          </cell>
          <cell r="B867" t="str">
            <v>퇴수밸브맨홀</v>
          </cell>
          <cell r="C867" t="str">
            <v>900Øx1,500L</v>
          </cell>
          <cell r="D867" t="str">
            <v>개</v>
          </cell>
          <cell r="E867">
            <v>149500</v>
          </cell>
          <cell r="F867">
            <v>0</v>
          </cell>
          <cell r="H867">
            <v>170</v>
          </cell>
          <cell r="I867">
            <v>149500</v>
          </cell>
          <cell r="J867">
            <v>170</v>
          </cell>
          <cell r="L867">
            <v>170</v>
          </cell>
        </row>
        <row r="868">
          <cell r="A868">
            <v>3797</v>
          </cell>
          <cell r="B868" t="str">
            <v>주철맨홀덮개</v>
          </cell>
          <cell r="C868" t="str">
            <v>648Ø</v>
          </cell>
          <cell r="D868" t="str">
            <v>개</v>
          </cell>
          <cell r="E868">
            <v>95000</v>
          </cell>
          <cell r="F868">
            <v>0</v>
          </cell>
          <cell r="H868">
            <v>171</v>
          </cell>
          <cell r="I868">
            <v>95000</v>
          </cell>
          <cell r="J868">
            <v>171</v>
          </cell>
          <cell r="L868">
            <v>171</v>
          </cell>
        </row>
        <row r="869">
          <cell r="A869">
            <v>3798</v>
          </cell>
          <cell r="B869" t="str">
            <v>강판맨홀덮개</v>
          </cell>
          <cell r="C869" t="str">
            <v>1.0t</v>
          </cell>
          <cell r="D869" t="str">
            <v>개</v>
          </cell>
          <cell r="E869">
            <v>95000</v>
          </cell>
          <cell r="F869">
            <v>0</v>
          </cell>
          <cell r="H869">
            <v>0</v>
          </cell>
          <cell r="I869">
            <v>95000</v>
          </cell>
          <cell r="J869">
            <v>0</v>
          </cell>
          <cell r="L869">
            <v>0</v>
          </cell>
        </row>
        <row r="870">
          <cell r="A870">
            <v>3799</v>
          </cell>
          <cell r="B870" t="str">
            <v>퇴수맨홀설치(THP)</v>
          </cell>
          <cell r="C870" t="str">
            <v>400Ø</v>
          </cell>
          <cell r="D870" t="str">
            <v>조</v>
          </cell>
          <cell r="E870">
            <v>17011</v>
          </cell>
          <cell r="F870">
            <v>72355</v>
          </cell>
          <cell r="H870">
            <v>0</v>
          </cell>
          <cell r="I870">
            <v>17011</v>
          </cell>
          <cell r="J870">
            <v>0</v>
          </cell>
          <cell r="L870">
            <v>0</v>
          </cell>
        </row>
        <row r="871">
          <cell r="A871">
            <v>3810</v>
          </cell>
          <cell r="B871" t="str">
            <v>후렉시블죠인트</v>
          </cell>
          <cell r="C871" t="str">
            <v>150Ø</v>
          </cell>
          <cell r="D871" t="str">
            <v>개</v>
          </cell>
          <cell r="E871">
            <v>144000</v>
          </cell>
          <cell r="F871">
            <v>0</v>
          </cell>
          <cell r="H871">
            <v>525</v>
          </cell>
          <cell r="I871">
            <v>144000</v>
          </cell>
          <cell r="J871">
            <v>525</v>
          </cell>
          <cell r="L871">
            <v>525</v>
          </cell>
        </row>
        <row r="872">
          <cell r="A872">
            <v>3811</v>
          </cell>
          <cell r="B872" t="str">
            <v>후렉시블죠인트</v>
          </cell>
          <cell r="C872" t="str">
            <v>125Ø</v>
          </cell>
          <cell r="D872" t="str">
            <v>개</v>
          </cell>
          <cell r="E872">
            <v>116400</v>
          </cell>
          <cell r="F872">
            <v>0</v>
          </cell>
          <cell r="H872">
            <v>525</v>
          </cell>
          <cell r="I872">
            <v>116400</v>
          </cell>
          <cell r="J872">
            <v>525</v>
          </cell>
          <cell r="L872">
            <v>525</v>
          </cell>
        </row>
        <row r="873">
          <cell r="A873">
            <v>3812</v>
          </cell>
          <cell r="B873" t="str">
            <v>후렉시블죠인트</v>
          </cell>
          <cell r="C873" t="str">
            <v>100Ø</v>
          </cell>
          <cell r="D873" t="str">
            <v>개</v>
          </cell>
          <cell r="E873">
            <v>70800</v>
          </cell>
          <cell r="F873">
            <v>0</v>
          </cell>
          <cell r="H873">
            <v>525</v>
          </cell>
          <cell r="I873">
            <v>70800</v>
          </cell>
          <cell r="J873">
            <v>525</v>
          </cell>
          <cell r="L873">
            <v>525</v>
          </cell>
        </row>
        <row r="874">
          <cell r="A874">
            <v>3813</v>
          </cell>
          <cell r="B874" t="str">
            <v>후렉시블죠인트</v>
          </cell>
          <cell r="C874" t="str">
            <v>80Ø</v>
          </cell>
          <cell r="D874" t="str">
            <v>개</v>
          </cell>
          <cell r="E874">
            <v>52800</v>
          </cell>
          <cell r="F874">
            <v>0</v>
          </cell>
          <cell r="H874">
            <v>525</v>
          </cell>
          <cell r="I874">
            <v>52800</v>
          </cell>
          <cell r="J874">
            <v>525</v>
          </cell>
          <cell r="L874">
            <v>525</v>
          </cell>
        </row>
        <row r="875">
          <cell r="A875">
            <v>3814</v>
          </cell>
          <cell r="B875" t="str">
            <v>후렉시블죠인트</v>
          </cell>
          <cell r="C875" t="str">
            <v>65Ø</v>
          </cell>
          <cell r="D875" t="str">
            <v>개</v>
          </cell>
          <cell r="E875">
            <v>42000</v>
          </cell>
          <cell r="F875">
            <v>0</v>
          </cell>
          <cell r="H875">
            <v>525</v>
          </cell>
          <cell r="I875">
            <v>42000</v>
          </cell>
          <cell r="J875">
            <v>525</v>
          </cell>
          <cell r="L875">
            <v>525</v>
          </cell>
        </row>
        <row r="876">
          <cell r="A876">
            <v>3815</v>
          </cell>
          <cell r="B876" t="str">
            <v>후렉시블죠인트</v>
          </cell>
          <cell r="C876" t="str">
            <v>50Ø</v>
          </cell>
          <cell r="D876" t="str">
            <v>개</v>
          </cell>
          <cell r="E876">
            <v>33600</v>
          </cell>
          <cell r="F876">
            <v>0</v>
          </cell>
          <cell r="H876">
            <v>525</v>
          </cell>
          <cell r="I876">
            <v>33600</v>
          </cell>
          <cell r="J876">
            <v>525</v>
          </cell>
          <cell r="L876">
            <v>525</v>
          </cell>
        </row>
        <row r="877">
          <cell r="A877">
            <v>3816</v>
          </cell>
          <cell r="B877" t="str">
            <v>후렉시블죠인트</v>
          </cell>
          <cell r="C877" t="str">
            <v>40Ø</v>
          </cell>
          <cell r="D877" t="str">
            <v>개</v>
          </cell>
          <cell r="E877">
            <v>28200</v>
          </cell>
          <cell r="F877">
            <v>0</v>
          </cell>
          <cell r="H877">
            <v>525</v>
          </cell>
          <cell r="I877">
            <v>28200</v>
          </cell>
          <cell r="J877">
            <v>525</v>
          </cell>
          <cell r="L877">
            <v>525</v>
          </cell>
        </row>
        <row r="878">
          <cell r="A878">
            <v>3817</v>
          </cell>
          <cell r="B878" t="str">
            <v>후렉시블죠인트</v>
          </cell>
          <cell r="C878" t="str">
            <v>32Ø</v>
          </cell>
          <cell r="D878" t="str">
            <v>개</v>
          </cell>
          <cell r="E878">
            <v>24600</v>
          </cell>
          <cell r="F878">
            <v>0</v>
          </cell>
          <cell r="H878">
            <v>525</v>
          </cell>
          <cell r="I878">
            <v>24600</v>
          </cell>
          <cell r="J878">
            <v>525</v>
          </cell>
          <cell r="L878">
            <v>525</v>
          </cell>
        </row>
        <row r="879">
          <cell r="A879">
            <v>3818</v>
          </cell>
          <cell r="B879" t="str">
            <v>후렉시블죠인트</v>
          </cell>
          <cell r="C879" t="str">
            <v>25Ø</v>
          </cell>
          <cell r="D879" t="str">
            <v>개</v>
          </cell>
          <cell r="E879">
            <v>22200</v>
          </cell>
          <cell r="F879">
            <v>0</v>
          </cell>
          <cell r="H879">
            <v>525</v>
          </cell>
          <cell r="I879">
            <v>22200</v>
          </cell>
          <cell r="J879">
            <v>525</v>
          </cell>
          <cell r="L879">
            <v>525</v>
          </cell>
        </row>
        <row r="880">
          <cell r="A880">
            <v>3820</v>
          </cell>
          <cell r="B880" t="str">
            <v>신축접수(단식)</v>
          </cell>
          <cell r="C880" t="str">
            <v>150Ø</v>
          </cell>
          <cell r="D880" t="str">
            <v>개</v>
          </cell>
          <cell r="E880">
            <v>157500</v>
          </cell>
          <cell r="F880">
            <v>0</v>
          </cell>
          <cell r="H880">
            <v>525</v>
          </cell>
          <cell r="I880">
            <v>157500</v>
          </cell>
          <cell r="J880">
            <v>525</v>
          </cell>
          <cell r="L880">
            <v>525</v>
          </cell>
        </row>
        <row r="881">
          <cell r="A881">
            <v>3821</v>
          </cell>
          <cell r="B881" t="str">
            <v>신축접수(단식)</v>
          </cell>
          <cell r="C881" t="str">
            <v>125Ø</v>
          </cell>
          <cell r="D881" t="str">
            <v>개</v>
          </cell>
          <cell r="E881">
            <v>126900</v>
          </cell>
          <cell r="F881">
            <v>0</v>
          </cell>
          <cell r="H881">
            <v>525</v>
          </cell>
          <cell r="I881">
            <v>126900</v>
          </cell>
          <cell r="J881">
            <v>525</v>
          </cell>
          <cell r="L881">
            <v>525</v>
          </cell>
        </row>
        <row r="882">
          <cell r="A882">
            <v>3822</v>
          </cell>
          <cell r="B882" t="str">
            <v>신축접수(단식)</v>
          </cell>
          <cell r="C882" t="str">
            <v>100Ø</v>
          </cell>
          <cell r="D882" t="str">
            <v>개</v>
          </cell>
          <cell r="E882">
            <v>152634</v>
          </cell>
          <cell r="F882">
            <v>163547</v>
          </cell>
          <cell r="H882">
            <v>0</v>
          </cell>
          <cell r="I882">
            <v>152634</v>
          </cell>
          <cell r="J882">
            <v>0</v>
          </cell>
          <cell r="L882">
            <v>0</v>
          </cell>
        </row>
        <row r="883">
          <cell r="A883">
            <v>3823</v>
          </cell>
          <cell r="B883" t="str">
            <v>신축접수(단식)</v>
          </cell>
          <cell r="C883" t="str">
            <v>80Ø</v>
          </cell>
          <cell r="D883" t="str">
            <v>개</v>
          </cell>
          <cell r="E883">
            <v>116192</v>
          </cell>
          <cell r="F883">
            <v>111716</v>
          </cell>
          <cell r="H883">
            <v>0</v>
          </cell>
          <cell r="I883">
            <v>116192</v>
          </cell>
          <cell r="J883">
            <v>0</v>
          </cell>
          <cell r="L883">
            <v>0</v>
          </cell>
        </row>
        <row r="884">
          <cell r="A884">
            <v>3824</v>
          </cell>
          <cell r="B884" t="str">
            <v>신축접수(단식)</v>
          </cell>
          <cell r="C884" t="str">
            <v>65Ø</v>
          </cell>
          <cell r="D884" t="str">
            <v>개</v>
          </cell>
          <cell r="E884">
            <v>85384</v>
          </cell>
          <cell r="F884">
            <v>87027</v>
          </cell>
          <cell r="H884">
            <v>0</v>
          </cell>
          <cell r="I884">
            <v>85384</v>
          </cell>
          <cell r="J884">
            <v>0</v>
          </cell>
          <cell r="L884">
            <v>0</v>
          </cell>
        </row>
        <row r="885">
          <cell r="A885">
            <v>3825</v>
          </cell>
          <cell r="B885" t="str">
            <v>신축접수(단식)</v>
          </cell>
          <cell r="C885" t="str">
            <v>50Ø</v>
          </cell>
          <cell r="D885" t="str">
            <v>개</v>
          </cell>
          <cell r="E885">
            <v>45808</v>
          </cell>
          <cell r="F885">
            <v>56952</v>
          </cell>
          <cell r="H885">
            <v>0</v>
          </cell>
          <cell r="I885">
            <v>45808</v>
          </cell>
          <cell r="J885">
            <v>0</v>
          </cell>
          <cell r="L885">
            <v>0</v>
          </cell>
        </row>
        <row r="886">
          <cell r="A886">
            <v>3826</v>
          </cell>
          <cell r="B886" t="str">
            <v>신축접수(단식)</v>
          </cell>
          <cell r="C886" t="str">
            <v>40Ø</v>
          </cell>
          <cell r="D886" t="str">
            <v>개</v>
          </cell>
          <cell r="E886">
            <v>41948</v>
          </cell>
          <cell r="F886">
            <v>48293</v>
          </cell>
          <cell r="H886">
            <v>0</v>
          </cell>
          <cell r="I886">
            <v>41948</v>
          </cell>
          <cell r="J886">
            <v>0</v>
          </cell>
          <cell r="L886">
            <v>0</v>
          </cell>
        </row>
        <row r="887">
          <cell r="A887">
            <v>3827</v>
          </cell>
          <cell r="B887" t="str">
            <v>신축접수(단식)</v>
          </cell>
          <cell r="C887" t="str">
            <v>32Ø</v>
          </cell>
          <cell r="D887" t="str">
            <v>개</v>
          </cell>
          <cell r="E887">
            <v>41948</v>
          </cell>
          <cell r="F887">
            <v>48293</v>
          </cell>
          <cell r="H887">
            <v>0</v>
          </cell>
          <cell r="I887">
            <v>41948</v>
          </cell>
          <cell r="J887">
            <v>0</v>
          </cell>
          <cell r="L887">
            <v>0</v>
          </cell>
        </row>
        <row r="888">
          <cell r="A888">
            <v>3828</v>
          </cell>
          <cell r="B888" t="str">
            <v>신축접수(단식)</v>
          </cell>
          <cell r="C888" t="str">
            <v>25Ø</v>
          </cell>
          <cell r="D888" t="str">
            <v>개</v>
          </cell>
          <cell r="E888">
            <v>32048</v>
          </cell>
          <cell r="F888">
            <v>48293</v>
          </cell>
          <cell r="H888">
            <v>0</v>
          </cell>
          <cell r="I888">
            <v>32048</v>
          </cell>
          <cell r="J888">
            <v>0</v>
          </cell>
          <cell r="L888">
            <v>0</v>
          </cell>
        </row>
        <row r="889">
          <cell r="A889">
            <v>3829</v>
          </cell>
          <cell r="B889" t="str">
            <v>신축접수(단식)</v>
          </cell>
          <cell r="C889" t="str">
            <v>20Ø</v>
          </cell>
          <cell r="D889" t="str">
            <v>개</v>
          </cell>
          <cell r="E889">
            <v>31751</v>
          </cell>
          <cell r="F889">
            <v>38384</v>
          </cell>
          <cell r="H889">
            <v>0</v>
          </cell>
          <cell r="I889">
            <v>31751</v>
          </cell>
          <cell r="J889">
            <v>0</v>
          </cell>
          <cell r="L889">
            <v>0</v>
          </cell>
        </row>
        <row r="890">
          <cell r="A890">
            <v>3830</v>
          </cell>
          <cell r="B890" t="str">
            <v>신축접수(복식)</v>
          </cell>
          <cell r="C890" t="str">
            <v>150Ø</v>
          </cell>
          <cell r="D890" t="str">
            <v>개</v>
          </cell>
          <cell r="E890">
            <v>324000</v>
          </cell>
          <cell r="F890">
            <v>0</v>
          </cell>
          <cell r="H890">
            <v>525</v>
          </cell>
          <cell r="I890">
            <v>324000</v>
          </cell>
          <cell r="J890">
            <v>525</v>
          </cell>
          <cell r="L890">
            <v>525</v>
          </cell>
        </row>
        <row r="891">
          <cell r="A891">
            <v>3831</v>
          </cell>
          <cell r="B891" t="str">
            <v>신축접수(복식)</v>
          </cell>
          <cell r="C891" t="str">
            <v>125Ø</v>
          </cell>
          <cell r="D891" t="str">
            <v>개</v>
          </cell>
          <cell r="E891">
            <v>255600</v>
          </cell>
          <cell r="F891">
            <v>0</v>
          </cell>
          <cell r="H891">
            <v>525</v>
          </cell>
          <cell r="I891">
            <v>255600</v>
          </cell>
          <cell r="J891">
            <v>525</v>
          </cell>
          <cell r="L891">
            <v>525</v>
          </cell>
        </row>
        <row r="892">
          <cell r="A892">
            <v>3832</v>
          </cell>
          <cell r="B892" t="str">
            <v>신축접수(복식)</v>
          </cell>
          <cell r="C892" t="str">
            <v>100Ø</v>
          </cell>
          <cell r="D892" t="str">
            <v>개</v>
          </cell>
          <cell r="E892">
            <v>270534</v>
          </cell>
          <cell r="F892">
            <v>163547</v>
          </cell>
          <cell r="H892">
            <v>0</v>
          </cell>
          <cell r="I892">
            <v>270534</v>
          </cell>
          <cell r="J892">
            <v>0</v>
          </cell>
          <cell r="L892">
            <v>0</v>
          </cell>
        </row>
        <row r="893">
          <cell r="A893">
            <v>3833</v>
          </cell>
          <cell r="B893" t="str">
            <v>신축접수(복식)</v>
          </cell>
          <cell r="C893" t="str">
            <v>80Ø</v>
          </cell>
          <cell r="D893" t="str">
            <v>개</v>
          </cell>
          <cell r="E893">
            <v>116192</v>
          </cell>
          <cell r="F893">
            <v>111716</v>
          </cell>
          <cell r="H893">
            <v>0</v>
          </cell>
          <cell r="I893">
            <v>116192</v>
          </cell>
          <cell r="J893">
            <v>0</v>
          </cell>
          <cell r="L893">
            <v>0</v>
          </cell>
        </row>
        <row r="894">
          <cell r="A894">
            <v>3834</v>
          </cell>
          <cell r="B894" t="str">
            <v>신축접수(복식)</v>
          </cell>
          <cell r="C894" t="str">
            <v>65Ø</v>
          </cell>
          <cell r="D894" t="str">
            <v>개</v>
          </cell>
          <cell r="E894">
            <v>146584</v>
          </cell>
          <cell r="F894">
            <v>87027</v>
          </cell>
          <cell r="H894">
            <v>0</v>
          </cell>
          <cell r="I894">
            <v>146584</v>
          </cell>
          <cell r="J894">
            <v>0</v>
          </cell>
          <cell r="L894">
            <v>0</v>
          </cell>
        </row>
        <row r="895">
          <cell r="A895">
            <v>3835</v>
          </cell>
          <cell r="B895" t="str">
            <v>신축접수(복식)</v>
          </cell>
          <cell r="C895" t="str">
            <v>50Ø</v>
          </cell>
          <cell r="D895" t="str">
            <v>개</v>
          </cell>
          <cell r="E895">
            <v>94408</v>
          </cell>
          <cell r="F895">
            <v>56952</v>
          </cell>
          <cell r="H895">
            <v>0</v>
          </cell>
          <cell r="I895">
            <v>94408</v>
          </cell>
          <cell r="J895">
            <v>0</v>
          </cell>
          <cell r="L895">
            <v>0</v>
          </cell>
        </row>
        <row r="896">
          <cell r="A896">
            <v>3836</v>
          </cell>
          <cell r="B896" t="str">
            <v>신축접수(복식)</v>
          </cell>
          <cell r="C896" t="str">
            <v>40Ø</v>
          </cell>
          <cell r="D896" t="str">
            <v>개</v>
          </cell>
          <cell r="E896">
            <v>41948</v>
          </cell>
          <cell r="F896">
            <v>48293</v>
          </cell>
          <cell r="H896">
            <v>0</v>
          </cell>
          <cell r="I896">
            <v>41948</v>
          </cell>
          <cell r="J896">
            <v>0</v>
          </cell>
          <cell r="L896">
            <v>0</v>
          </cell>
        </row>
        <row r="897">
          <cell r="A897">
            <v>3837</v>
          </cell>
          <cell r="B897" t="str">
            <v>신축접수(복식)</v>
          </cell>
          <cell r="C897" t="str">
            <v>32Ø</v>
          </cell>
          <cell r="D897" t="str">
            <v>개</v>
          </cell>
          <cell r="E897">
            <v>41948</v>
          </cell>
          <cell r="F897">
            <v>48293</v>
          </cell>
          <cell r="H897">
            <v>0</v>
          </cell>
          <cell r="I897">
            <v>41948</v>
          </cell>
          <cell r="J897">
            <v>0</v>
          </cell>
          <cell r="L897">
            <v>0</v>
          </cell>
        </row>
        <row r="898">
          <cell r="A898">
            <v>3838</v>
          </cell>
          <cell r="B898" t="str">
            <v>신축접수(복식)</v>
          </cell>
          <cell r="C898" t="str">
            <v>25Ø</v>
          </cell>
          <cell r="D898" t="str">
            <v>개</v>
          </cell>
          <cell r="E898">
            <v>32048</v>
          </cell>
          <cell r="F898">
            <v>48293</v>
          </cell>
          <cell r="H898">
            <v>0</v>
          </cell>
          <cell r="I898">
            <v>32048</v>
          </cell>
          <cell r="J898">
            <v>0</v>
          </cell>
          <cell r="L898">
            <v>0</v>
          </cell>
        </row>
        <row r="899">
          <cell r="A899">
            <v>3839</v>
          </cell>
          <cell r="B899" t="str">
            <v>신축접수(복식)</v>
          </cell>
          <cell r="C899" t="str">
            <v>20Ø</v>
          </cell>
          <cell r="D899" t="str">
            <v>개</v>
          </cell>
          <cell r="E899">
            <v>66851</v>
          </cell>
          <cell r="F899">
            <v>38384</v>
          </cell>
          <cell r="H899">
            <v>0</v>
          </cell>
          <cell r="I899">
            <v>66851</v>
          </cell>
          <cell r="J899">
            <v>0</v>
          </cell>
          <cell r="L899">
            <v>0</v>
          </cell>
        </row>
        <row r="900">
          <cell r="A900">
            <v>3841</v>
          </cell>
          <cell r="B900" t="str">
            <v>유량계</v>
          </cell>
          <cell r="C900" t="str">
            <v>50Ø</v>
          </cell>
          <cell r="D900" t="str">
            <v>대</v>
          </cell>
          <cell r="E900">
            <v>510000</v>
          </cell>
          <cell r="F900">
            <v>0</v>
          </cell>
          <cell r="H900">
            <v>556</v>
          </cell>
          <cell r="I900">
            <v>510000</v>
          </cell>
          <cell r="J900">
            <v>556</v>
          </cell>
          <cell r="L900">
            <v>556</v>
          </cell>
        </row>
        <row r="901">
          <cell r="A901">
            <v>3842</v>
          </cell>
          <cell r="B901" t="str">
            <v>유량계</v>
          </cell>
          <cell r="C901" t="str">
            <v>40Ø</v>
          </cell>
          <cell r="D901" t="str">
            <v>대</v>
          </cell>
          <cell r="E901">
            <v>310000</v>
          </cell>
          <cell r="F901">
            <v>0</v>
          </cell>
          <cell r="H901">
            <v>556</v>
          </cell>
          <cell r="I901">
            <v>310000</v>
          </cell>
          <cell r="J901">
            <v>556</v>
          </cell>
          <cell r="L901">
            <v>556</v>
          </cell>
        </row>
        <row r="902">
          <cell r="A902">
            <v>3843</v>
          </cell>
          <cell r="B902" t="str">
            <v>유량계</v>
          </cell>
          <cell r="C902" t="str">
            <v>25Ø</v>
          </cell>
          <cell r="D902" t="str">
            <v>대</v>
          </cell>
          <cell r="E902">
            <v>190000</v>
          </cell>
          <cell r="F902">
            <v>0</v>
          </cell>
          <cell r="H902">
            <v>556</v>
          </cell>
          <cell r="I902">
            <v>190000</v>
          </cell>
          <cell r="J902">
            <v>556</v>
          </cell>
          <cell r="L902">
            <v>556</v>
          </cell>
        </row>
        <row r="903">
          <cell r="A903">
            <v>3844</v>
          </cell>
          <cell r="B903" t="str">
            <v>유량계</v>
          </cell>
          <cell r="C903" t="str">
            <v>20Ø</v>
          </cell>
          <cell r="D903" t="str">
            <v>대</v>
          </cell>
          <cell r="E903">
            <v>180000</v>
          </cell>
          <cell r="F903">
            <v>0</v>
          </cell>
          <cell r="H903">
            <v>556</v>
          </cell>
          <cell r="I903">
            <v>180000</v>
          </cell>
          <cell r="J903">
            <v>556</v>
          </cell>
          <cell r="L903">
            <v>556</v>
          </cell>
        </row>
        <row r="904">
          <cell r="A904">
            <v>3845</v>
          </cell>
          <cell r="B904" t="str">
            <v>유량계</v>
          </cell>
          <cell r="C904" t="str">
            <v>15Ø</v>
          </cell>
          <cell r="D904" t="str">
            <v>대</v>
          </cell>
          <cell r="E904">
            <v>100000</v>
          </cell>
          <cell r="F904">
            <v>0</v>
          </cell>
          <cell r="H904">
            <v>556</v>
          </cell>
          <cell r="I904">
            <v>100000</v>
          </cell>
          <cell r="J904">
            <v>556</v>
          </cell>
          <cell r="L904">
            <v>556</v>
          </cell>
        </row>
        <row r="905">
          <cell r="A905">
            <v>3850</v>
          </cell>
          <cell r="B905" t="str">
            <v>주철글로우브밸브</v>
          </cell>
          <cell r="C905" t="str">
            <v>150Ø</v>
          </cell>
          <cell r="D905" t="str">
            <v>개</v>
          </cell>
          <cell r="E905">
            <v>264000</v>
          </cell>
          <cell r="F905">
            <v>0</v>
          </cell>
          <cell r="H905">
            <v>529</v>
          </cell>
          <cell r="I905">
            <v>264000</v>
          </cell>
          <cell r="J905">
            <v>529</v>
          </cell>
          <cell r="L905">
            <v>529</v>
          </cell>
        </row>
        <row r="906">
          <cell r="A906">
            <v>3851</v>
          </cell>
          <cell r="B906" t="str">
            <v>주철글로우브밸브</v>
          </cell>
          <cell r="C906" t="str">
            <v>100Ø</v>
          </cell>
          <cell r="D906" t="str">
            <v>개</v>
          </cell>
          <cell r="E906">
            <v>128000</v>
          </cell>
          <cell r="F906">
            <v>0</v>
          </cell>
          <cell r="H906">
            <v>529</v>
          </cell>
          <cell r="I906">
            <v>128000</v>
          </cell>
          <cell r="J906">
            <v>529</v>
          </cell>
          <cell r="L906">
            <v>529</v>
          </cell>
        </row>
        <row r="907">
          <cell r="A907">
            <v>3852</v>
          </cell>
          <cell r="B907" t="str">
            <v>주철글로우브밸브</v>
          </cell>
          <cell r="C907" t="str">
            <v>80Ø</v>
          </cell>
          <cell r="D907" t="str">
            <v>개</v>
          </cell>
          <cell r="E907">
            <v>96000</v>
          </cell>
          <cell r="F907">
            <v>0</v>
          </cell>
          <cell r="H907">
            <v>529</v>
          </cell>
          <cell r="I907">
            <v>96000</v>
          </cell>
          <cell r="J907">
            <v>529</v>
          </cell>
          <cell r="L907">
            <v>529</v>
          </cell>
        </row>
        <row r="908">
          <cell r="A908">
            <v>3853</v>
          </cell>
          <cell r="B908" t="str">
            <v>주철글로우브밸브</v>
          </cell>
          <cell r="C908" t="str">
            <v>65Ø</v>
          </cell>
          <cell r="D908" t="str">
            <v>개</v>
          </cell>
          <cell r="E908">
            <v>77600</v>
          </cell>
          <cell r="F908">
            <v>0</v>
          </cell>
          <cell r="H908">
            <v>529</v>
          </cell>
          <cell r="I908">
            <v>77600</v>
          </cell>
          <cell r="J908">
            <v>529</v>
          </cell>
          <cell r="L908">
            <v>529</v>
          </cell>
        </row>
        <row r="909">
          <cell r="A909">
            <v>3854</v>
          </cell>
          <cell r="B909" t="str">
            <v>청동글로우브밸브</v>
          </cell>
          <cell r="C909" t="str">
            <v>50Ø</v>
          </cell>
          <cell r="D909" t="str">
            <v>개</v>
          </cell>
          <cell r="E909">
            <v>26650</v>
          </cell>
          <cell r="F909">
            <v>0</v>
          </cell>
          <cell r="H909">
            <v>528</v>
          </cell>
          <cell r="I909">
            <v>26650</v>
          </cell>
          <cell r="J909">
            <v>528</v>
          </cell>
          <cell r="L909">
            <v>528</v>
          </cell>
        </row>
        <row r="910">
          <cell r="A910">
            <v>3855</v>
          </cell>
          <cell r="B910" t="str">
            <v>청동글로우브밸브</v>
          </cell>
          <cell r="C910" t="str">
            <v>40Ø</v>
          </cell>
          <cell r="D910" t="str">
            <v>개</v>
          </cell>
          <cell r="E910">
            <v>17600</v>
          </cell>
          <cell r="F910">
            <v>0</v>
          </cell>
          <cell r="H910">
            <v>528</v>
          </cell>
          <cell r="I910">
            <v>17600</v>
          </cell>
          <cell r="J910">
            <v>528</v>
          </cell>
          <cell r="L910">
            <v>528</v>
          </cell>
        </row>
        <row r="911">
          <cell r="A911">
            <v>3856</v>
          </cell>
          <cell r="B911" t="str">
            <v>청동글로우브밸브</v>
          </cell>
          <cell r="C911" t="str">
            <v>32Ø</v>
          </cell>
          <cell r="D911" t="str">
            <v>개</v>
          </cell>
          <cell r="E911">
            <v>14230</v>
          </cell>
          <cell r="F911">
            <v>0</v>
          </cell>
          <cell r="H911">
            <v>528</v>
          </cell>
          <cell r="I911">
            <v>14230</v>
          </cell>
          <cell r="J911">
            <v>528</v>
          </cell>
          <cell r="L911">
            <v>528</v>
          </cell>
        </row>
        <row r="912">
          <cell r="A912">
            <v>3857</v>
          </cell>
          <cell r="B912" t="str">
            <v>청동글로우브밸브</v>
          </cell>
          <cell r="C912" t="str">
            <v>25Ø</v>
          </cell>
          <cell r="D912" t="str">
            <v>개</v>
          </cell>
          <cell r="E912">
            <v>9570</v>
          </cell>
          <cell r="F912">
            <v>0</v>
          </cell>
          <cell r="H912">
            <v>528</v>
          </cell>
          <cell r="I912">
            <v>9570</v>
          </cell>
          <cell r="J912">
            <v>528</v>
          </cell>
          <cell r="L912">
            <v>528</v>
          </cell>
        </row>
        <row r="913">
          <cell r="A913">
            <v>3858</v>
          </cell>
          <cell r="B913" t="str">
            <v>청동글로우브밸브</v>
          </cell>
          <cell r="C913" t="str">
            <v>20Ø</v>
          </cell>
          <cell r="D913" t="str">
            <v>개</v>
          </cell>
          <cell r="E913">
            <v>6590</v>
          </cell>
          <cell r="F913">
            <v>0</v>
          </cell>
          <cell r="H913">
            <v>528</v>
          </cell>
          <cell r="I913">
            <v>6590</v>
          </cell>
          <cell r="J913">
            <v>528</v>
          </cell>
          <cell r="L913">
            <v>528</v>
          </cell>
        </row>
        <row r="914">
          <cell r="A914">
            <v>3859</v>
          </cell>
          <cell r="B914" t="str">
            <v>청동글로우브밸브</v>
          </cell>
          <cell r="C914" t="str">
            <v>15Ø</v>
          </cell>
          <cell r="D914" t="str">
            <v>개</v>
          </cell>
          <cell r="E914">
            <v>4170</v>
          </cell>
          <cell r="F914">
            <v>0</v>
          </cell>
          <cell r="H914">
            <v>528</v>
          </cell>
          <cell r="I914">
            <v>4170</v>
          </cell>
          <cell r="J914">
            <v>528</v>
          </cell>
          <cell r="L914">
            <v>528</v>
          </cell>
        </row>
        <row r="915">
          <cell r="E915">
            <v>0</v>
          </cell>
        </row>
        <row r="916">
          <cell r="E916">
            <v>0</v>
          </cell>
        </row>
        <row r="917">
          <cell r="E917">
            <v>0</v>
          </cell>
        </row>
        <row r="918">
          <cell r="E918">
            <v>0</v>
          </cell>
        </row>
        <row r="919">
          <cell r="E919">
            <v>0</v>
          </cell>
        </row>
        <row r="920">
          <cell r="E920">
            <v>0</v>
          </cell>
        </row>
        <row r="921">
          <cell r="E921">
            <v>0</v>
          </cell>
        </row>
        <row r="922">
          <cell r="E922">
            <v>0</v>
          </cell>
        </row>
        <row r="923">
          <cell r="E923">
            <v>0</v>
          </cell>
        </row>
        <row r="924">
          <cell r="E924">
            <v>0</v>
          </cell>
        </row>
        <row r="934">
          <cell r="A934">
            <v>4101</v>
          </cell>
          <cell r="B934" t="str">
            <v>소방호스(단일피)</v>
          </cell>
          <cell r="C934" t="str">
            <v>40Ø x 15m</v>
          </cell>
          <cell r="D934" t="str">
            <v>개</v>
          </cell>
          <cell r="E934">
            <v>33000</v>
          </cell>
          <cell r="F934">
            <v>0</v>
          </cell>
          <cell r="H934">
            <v>665</v>
          </cell>
          <cell r="I934">
            <v>33000</v>
          </cell>
          <cell r="J934">
            <v>665</v>
          </cell>
          <cell r="L934">
            <v>665</v>
          </cell>
        </row>
        <row r="935">
          <cell r="A935">
            <v>4102</v>
          </cell>
          <cell r="B935" t="str">
            <v>앵글밸브</v>
          </cell>
          <cell r="C935" t="str">
            <v>65Ø</v>
          </cell>
          <cell r="D935" t="str">
            <v>개</v>
          </cell>
          <cell r="E935">
            <v>24000</v>
          </cell>
          <cell r="F935">
            <v>0</v>
          </cell>
          <cell r="H935">
            <v>665</v>
          </cell>
          <cell r="I935">
            <v>24000</v>
          </cell>
          <cell r="J935">
            <v>665</v>
          </cell>
          <cell r="L935">
            <v>665</v>
          </cell>
        </row>
        <row r="936">
          <cell r="A936">
            <v>4103</v>
          </cell>
          <cell r="B936" t="str">
            <v>앵글밸브</v>
          </cell>
          <cell r="C936" t="str">
            <v>40Ø</v>
          </cell>
          <cell r="D936" t="str">
            <v>개</v>
          </cell>
          <cell r="E936">
            <v>14000</v>
          </cell>
          <cell r="F936">
            <v>0</v>
          </cell>
          <cell r="H936">
            <v>665</v>
          </cell>
          <cell r="I936">
            <v>14000</v>
          </cell>
          <cell r="J936">
            <v>665</v>
          </cell>
          <cell r="L936">
            <v>665</v>
          </cell>
        </row>
        <row r="937">
          <cell r="A937">
            <v>4104</v>
          </cell>
          <cell r="B937" t="str">
            <v>노즐(직,분사형)</v>
          </cell>
          <cell r="C937" t="str">
            <v>65Ø</v>
          </cell>
          <cell r="D937" t="str">
            <v>개</v>
          </cell>
          <cell r="E937">
            <v>34000</v>
          </cell>
          <cell r="F937">
            <v>0</v>
          </cell>
          <cell r="H937">
            <v>665</v>
          </cell>
          <cell r="I937">
            <v>34000</v>
          </cell>
          <cell r="J937">
            <v>665</v>
          </cell>
          <cell r="L937">
            <v>665</v>
          </cell>
        </row>
        <row r="938">
          <cell r="A938">
            <v>4105</v>
          </cell>
          <cell r="B938" t="str">
            <v>노즐(직,분사형)</v>
          </cell>
          <cell r="C938" t="str">
            <v>40Ø</v>
          </cell>
          <cell r="D938" t="str">
            <v>개</v>
          </cell>
          <cell r="E938">
            <v>25000</v>
          </cell>
          <cell r="F938">
            <v>0</v>
          </cell>
          <cell r="H938">
            <v>665</v>
          </cell>
          <cell r="I938">
            <v>25000</v>
          </cell>
          <cell r="J938">
            <v>665</v>
          </cell>
          <cell r="L938">
            <v>665</v>
          </cell>
        </row>
        <row r="939">
          <cell r="A939">
            <v>4106</v>
          </cell>
          <cell r="B939" t="str">
            <v>ABC분말소화기</v>
          </cell>
          <cell r="C939" t="str">
            <v>3.3kg</v>
          </cell>
          <cell r="D939" t="str">
            <v>개</v>
          </cell>
          <cell r="E939">
            <v>20000</v>
          </cell>
          <cell r="F939">
            <v>0</v>
          </cell>
          <cell r="H939">
            <v>665</v>
          </cell>
          <cell r="I939">
            <v>20000</v>
          </cell>
          <cell r="J939">
            <v>665</v>
          </cell>
          <cell r="L939">
            <v>665</v>
          </cell>
        </row>
        <row r="940">
          <cell r="A940">
            <v>4107</v>
          </cell>
          <cell r="B940" t="str">
            <v>자동확산소화기</v>
          </cell>
          <cell r="C940" t="str">
            <v>3kg</v>
          </cell>
          <cell r="D940" t="str">
            <v>개</v>
          </cell>
          <cell r="E940">
            <v>24000</v>
          </cell>
          <cell r="F940">
            <v>0</v>
          </cell>
          <cell r="H940">
            <v>665</v>
          </cell>
          <cell r="I940">
            <v>24000</v>
          </cell>
          <cell r="J940">
            <v>665</v>
          </cell>
          <cell r="L940">
            <v>665</v>
          </cell>
        </row>
        <row r="941">
          <cell r="A941">
            <v>4108</v>
          </cell>
          <cell r="B941" t="str">
            <v>하론가스소화기</v>
          </cell>
          <cell r="C941" t="str">
            <v>3kg</v>
          </cell>
          <cell r="D941" t="str">
            <v>개</v>
          </cell>
          <cell r="E941">
            <v>140000</v>
          </cell>
          <cell r="F941">
            <v>0</v>
          </cell>
          <cell r="H941">
            <v>665</v>
          </cell>
          <cell r="I941">
            <v>140000</v>
          </cell>
          <cell r="J941">
            <v>665</v>
          </cell>
          <cell r="L941">
            <v>665</v>
          </cell>
        </row>
        <row r="942">
          <cell r="A942">
            <v>4109</v>
          </cell>
          <cell r="B942" t="str">
            <v>ABC중형소화기</v>
          </cell>
          <cell r="C942" t="str">
            <v>20kg</v>
          </cell>
          <cell r="D942" t="str">
            <v>개</v>
          </cell>
          <cell r="E942">
            <v>160000</v>
          </cell>
          <cell r="F942">
            <v>0</v>
          </cell>
          <cell r="H942">
            <v>665</v>
          </cell>
          <cell r="I942">
            <v>160000</v>
          </cell>
          <cell r="J942">
            <v>665</v>
          </cell>
          <cell r="L942">
            <v>665</v>
          </cell>
        </row>
        <row r="943">
          <cell r="A943">
            <v>4110</v>
          </cell>
          <cell r="B943" t="str">
            <v>옥내소화전</v>
          </cell>
          <cell r="C943" t="str">
            <v>내:STE,외:SUS</v>
          </cell>
          <cell r="D943" t="str">
            <v>조</v>
          </cell>
          <cell r="E943">
            <v>292307</v>
          </cell>
          <cell r="F943">
            <v>76908</v>
          </cell>
          <cell r="H943">
            <v>0</v>
          </cell>
          <cell r="I943">
            <v>292307</v>
          </cell>
          <cell r="J943">
            <v>0</v>
          </cell>
          <cell r="L943">
            <v>0</v>
          </cell>
        </row>
        <row r="944">
          <cell r="A944">
            <v>4111</v>
          </cell>
          <cell r="B944" t="str">
            <v>옥내소화전함</v>
          </cell>
          <cell r="C944" t="str">
            <v>내:STE,외:SUS</v>
          </cell>
          <cell r="D944" t="str">
            <v>개</v>
          </cell>
          <cell r="E944">
            <v>120000</v>
          </cell>
          <cell r="F944">
            <v>0</v>
          </cell>
          <cell r="H944">
            <v>0</v>
          </cell>
          <cell r="I944">
            <v>120000</v>
          </cell>
          <cell r="J944">
            <v>0</v>
          </cell>
          <cell r="L944">
            <v>0</v>
          </cell>
        </row>
        <row r="945">
          <cell r="A945">
            <v>4110</v>
          </cell>
          <cell r="B945" t="str">
            <v>옥내소화전</v>
          </cell>
          <cell r="C945" t="str">
            <v>내,외:SUS</v>
          </cell>
          <cell r="D945" t="str">
            <v>조</v>
          </cell>
          <cell r="E945">
            <v>482307</v>
          </cell>
          <cell r="F945">
            <v>76908</v>
          </cell>
          <cell r="H945">
            <v>0</v>
          </cell>
          <cell r="I945">
            <v>482307</v>
          </cell>
          <cell r="J945">
            <v>0</v>
          </cell>
          <cell r="L945">
            <v>0</v>
          </cell>
        </row>
        <row r="946">
          <cell r="A946">
            <v>4113</v>
          </cell>
          <cell r="B946" t="str">
            <v>옥외지상식소화전</v>
          </cell>
          <cell r="C946" t="str">
            <v>100x65x65</v>
          </cell>
          <cell r="D946" t="str">
            <v>개</v>
          </cell>
          <cell r="E946">
            <v>260000</v>
          </cell>
          <cell r="F946">
            <v>0</v>
          </cell>
          <cell r="H946">
            <v>665</v>
          </cell>
          <cell r="I946">
            <v>260000</v>
          </cell>
          <cell r="J946">
            <v>665</v>
          </cell>
          <cell r="L946">
            <v>665</v>
          </cell>
        </row>
        <row r="947">
          <cell r="A947">
            <v>4114</v>
          </cell>
          <cell r="B947" t="str">
            <v>옥외지하식소화전</v>
          </cell>
          <cell r="C947" t="str">
            <v>100x65x65</v>
          </cell>
          <cell r="D947" t="str">
            <v>개</v>
          </cell>
          <cell r="E947">
            <v>0</v>
          </cell>
          <cell r="F947">
            <v>0</v>
          </cell>
          <cell r="H947">
            <v>665</v>
          </cell>
          <cell r="I947">
            <v>0</v>
          </cell>
          <cell r="J947">
            <v>665</v>
          </cell>
          <cell r="L947">
            <v>665</v>
          </cell>
        </row>
        <row r="948">
          <cell r="A948">
            <v>4115</v>
          </cell>
          <cell r="B948" t="str">
            <v>방수구함</v>
          </cell>
          <cell r="C948" t="str">
            <v>400x500x200</v>
          </cell>
          <cell r="D948" t="str">
            <v>개</v>
          </cell>
          <cell r="E948">
            <v>90000</v>
          </cell>
          <cell r="F948">
            <v>0</v>
          </cell>
          <cell r="H948">
            <v>665</v>
          </cell>
          <cell r="I948">
            <v>90000</v>
          </cell>
          <cell r="J948">
            <v>665</v>
          </cell>
          <cell r="L948">
            <v>665</v>
          </cell>
        </row>
        <row r="949">
          <cell r="A949">
            <v>4116</v>
          </cell>
          <cell r="B949" t="str">
            <v>시험밸브함</v>
          </cell>
          <cell r="C949" t="str">
            <v>300x500x180</v>
          </cell>
          <cell r="D949" t="str">
            <v>개</v>
          </cell>
          <cell r="E949">
            <v>80000</v>
          </cell>
          <cell r="F949">
            <v>0</v>
          </cell>
          <cell r="H949">
            <v>665</v>
          </cell>
          <cell r="I949">
            <v>80000</v>
          </cell>
          <cell r="J949">
            <v>665</v>
          </cell>
          <cell r="L949">
            <v>665</v>
          </cell>
        </row>
        <row r="950">
          <cell r="A950">
            <v>4117</v>
          </cell>
          <cell r="B950" t="str">
            <v>쌍구형송수구(매립형)</v>
          </cell>
          <cell r="C950" t="str">
            <v>100x65x65</v>
          </cell>
          <cell r="D950" t="str">
            <v>개</v>
          </cell>
          <cell r="E950">
            <v>170000</v>
          </cell>
          <cell r="F950">
            <v>0</v>
          </cell>
          <cell r="H950">
            <v>665</v>
          </cell>
          <cell r="I950">
            <v>170000</v>
          </cell>
          <cell r="J950">
            <v>665</v>
          </cell>
          <cell r="L950">
            <v>665</v>
          </cell>
        </row>
        <row r="951">
          <cell r="A951">
            <v>4118</v>
          </cell>
          <cell r="B951" t="str">
            <v>쌍구형송수구(노출형)</v>
          </cell>
          <cell r="C951" t="str">
            <v>100x65x65</v>
          </cell>
          <cell r="D951" t="str">
            <v>개</v>
          </cell>
          <cell r="E951">
            <v>130000</v>
          </cell>
          <cell r="F951">
            <v>0</v>
          </cell>
          <cell r="H951">
            <v>665</v>
          </cell>
          <cell r="I951">
            <v>130000</v>
          </cell>
          <cell r="J951">
            <v>665</v>
          </cell>
          <cell r="L951">
            <v>665</v>
          </cell>
        </row>
        <row r="952">
          <cell r="A952">
            <v>4121</v>
          </cell>
          <cell r="B952" t="str">
            <v>순간소방유량계</v>
          </cell>
          <cell r="C952" t="str">
            <v>3,900 LPM</v>
          </cell>
          <cell r="D952" t="str">
            <v>개</v>
          </cell>
          <cell r="E952">
            <v>80000</v>
          </cell>
          <cell r="F952">
            <v>0</v>
          </cell>
          <cell r="H952">
            <v>668</v>
          </cell>
          <cell r="I952">
            <v>80000</v>
          </cell>
          <cell r="J952">
            <v>668</v>
          </cell>
          <cell r="L952">
            <v>668</v>
          </cell>
        </row>
        <row r="953">
          <cell r="A953">
            <v>4122</v>
          </cell>
          <cell r="B953" t="str">
            <v>순간소방유량계</v>
          </cell>
          <cell r="C953" t="str">
            <v>2,800 LPM</v>
          </cell>
          <cell r="D953" t="str">
            <v>개</v>
          </cell>
          <cell r="E953">
            <v>70000</v>
          </cell>
          <cell r="F953">
            <v>0</v>
          </cell>
          <cell r="H953">
            <v>668</v>
          </cell>
          <cell r="I953">
            <v>70000</v>
          </cell>
          <cell r="J953">
            <v>668</v>
          </cell>
          <cell r="L953">
            <v>668</v>
          </cell>
        </row>
        <row r="954">
          <cell r="A954">
            <v>4123</v>
          </cell>
          <cell r="B954" t="str">
            <v>순간소방유량계</v>
          </cell>
          <cell r="C954" t="str">
            <v>2,000 LPM</v>
          </cell>
          <cell r="D954" t="str">
            <v>개</v>
          </cell>
          <cell r="E954">
            <v>60000</v>
          </cell>
          <cell r="F954">
            <v>0</v>
          </cell>
          <cell r="H954">
            <v>668</v>
          </cell>
          <cell r="I954">
            <v>60000</v>
          </cell>
          <cell r="J954">
            <v>668</v>
          </cell>
          <cell r="L954">
            <v>668</v>
          </cell>
        </row>
        <row r="955">
          <cell r="A955">
            <v>4124</v>
          </cell>
          <cell r="B955" t="str">
            <v>순간소방유량계</v>
          </cell>
          <cell r="C955" t="str">
            <v>1,125 LPM</v>
          </cell>
          <cell r="D955" t="str">
            <v>개</v>
          </cell>
          <cell r="E955">
            <v>55000</v>
          </cell>
          <cell r="F955">
            <v>0</v>
          </cell>
          <cell r="H955">
            <v>668</v>
          </cell>
          <cell r="I955">
            <v>55000</v>
          </cell>
          <cell r="J955">
            <v>668</v>
          </cell>
          <cell r="L955">
            <v>668</v>
          </cell>
        </row>
        <row r="956">
          <cell r="A956">
            <v>4125</v>
          </cell>
          <cell r="B956" t="str">
            <v>순간소방유량계</v>
          </cell>
          <cell r="C956" t="str">
            <v>900 LPM</v>
          </cell>
          <cell r="D956" t="str">
            <v>개</v>
          </cell>
          <cell r="E956">
            <v>50000</v>
          </cell>
          <cell r="F956">
            <v>0</v>
          </cell>
          <cell r="H956">
            <v>668</v>
          </cell>
          <cell r="I956">
            <v>50000</v>
          </cell>
          <cell r="J956">
            <v>668</v>
          </cell>
          <cell r="L956">
            <v>668</v>
          </cell>
        </row>
        <row r="957">
          <cell r="A957">
            <v>4126</v>
          </cell>
          <cell r="B957" t="str">
            <v>순간소방유량계</v>
          </cell>
          <cell r="C957" t="str">
            <v>550 LPM</v>
          </cell>
          <cell r="D957" t="str">
            <v>개</v>
          </cell>
          <cell r="E957">
            <v>45000</v>
          </cell>
          <cell r="F957">
            <v>0</v>
          </cell>
          <cell r="H957">
            <v>668</v>
          </cell>
          <cell r="I957">
            <v>45000</v>
          </cell>
          <cell r="J957">
            <v>668</v>
          </cell>
          <cell r="L957">
            <v>668</v>
          </cell>
        </row>
        <row r="958">
          <cell r="A958">
            <v>4127</v>
          </cell>
          <cell r="B958" t="str">
            <v>순간소방유량계</v>
          </cell>
          <cell r="C958" t="str">
            <v>375 LPM</v>
          </cell>
          <cell r="D958" t="str">
            <v>개</v>
          </cell>
          <cell r="E958">
            <v>40000</v>
          </cell>
          <cell r="F958">
            <v>0</v>
          </cell>
          <cell r="H958">
            <v>668</v>
          </cell>
          <cell r="I958">
            <v>40000</v>
          </cell>
          <cell r="J958">
            <v>668</v>
          </cell>
          <cell r="L958">
            <v>668</v>
          </cell>
        </row>
        <row r="959">
          <cell r="A959">
            <v>4131</v>
          </cell>
          <cell r="B959" t="str">
            <v>압력탱크</v>
          </cell>
          <cell r="C959" t="str">
            <v>200 Lit</v>
          </cell>
          <cell r="D959" t="str">
            <v>개</v>
          </cell>
          <cell r="E959">
            <v>600000</v>
          </cell>
          <cell r="F959">
            <v>0</v>
          </cell>
          <cell r="H959">
            <v>668</v>
          </cell>
          <cell r="I959">
            <v>600000</v>
          </cell>
          <cell r="J959">
            <v>668</v>
          </cell>
          <cell r="L959">
            <v>668</v>
          </cell>
        </row>
        <row r="960">
          <cell r="A960">
            <v>4132</v>
          </cell>
          <cell r="B960" t="str">
            <v>압력탱크</v>
          </cell>
          <cell r="C960" t="str">
            <v>100 Lit</v>
          </cell>
          <cell r="D960" t="str">
            <v>개</v>
          </cell>
          <cell r="E960">
            <v>400000</v>
          </cell>
          <cell r="F960">
            <v>0</v>
          </cell>
          <cell r="H960">
            <v>668</v>
          </cell>
          <cell r="I960">
            <v>400000</v>
          </cell>
          <cell r="J960">
            <v>668</v>
          </cell>
          <cell r="L960">
            <v>668</v>
          </cell>
        </row>
        <row r="961">
          <cell r="A961">
            <v>4133</v>
          </cell>
          <cell r="B961" t="str">
            <v>호수조(벽부형)</v>
          </cell>
          <cell r="C961" t="str">
            <v>100 Lit</v>
          </cell>
          <cell r="D961" t="str">
            <v>개</v>
          </cell>
          <cell r="E961">
            <v>200000</v>
          </cell>
          <cell r="F961">
            <v>0</v>
          </cell>
          <cell r="H961">
            <v>668</v>
          </cell>
          <cell r="I961">
            <v>200000</v>
          </cell>
          <cell r="J961">
            <v>668</v>
          </cell>
          <cell r="L961">
            <v>668</v>
          </cell>
        </row>
        <row r="962">
          <cell r="A962">
            <v>4140</v>
          </cell>
          <cell r="B962" t="str">
            <v>연결살수헤드</v>
          </cell>
          <cell r="C962" t="str">
            <v>20Ø</v>
          </cell>
          <cell r="D962" t="str">
            <v>개</v>
          </cell>
          <cell r="E962">
            <v>9000</v>
          </cell>
          <cell r="F962">
            <v>0</v>
          </cell>
          <cell r="H962">
            <v>670</v>
          </cell>
          <cell r="I962">
            <v>9000</v>
          </cell>
          <cell r="J962">
            <v>670</v>
          </cell>
          <cell r="L962">
            <v>670</v>
          </cell>
        </row>
        <row r="963">
          <cell r="A963">
            <v>4141</v>
          </cell>
          <cell r="B963" t="str">
            <v>개방형스프링클러헤드</v>
          </cell>
          <cell r="C963" t="str">
            <v>20Ø</v>
          </cell>
          <cell r="D963" t="str">
            <v>개</v>
          </cell>
          <cell r="E963">
            <v>4100</v>
          </cell>
          <cell r="F963">
            <v>0</v>
          </cell>
          <cell r="H963">
            <v>670</v>
          </cell>
          <cell r="I963">
            <v>4100</v>
          </cell>
          <cell r="J963">
            <v>670</v>
          </cell>
          <cell r="L963">
            <v>670</v>
          </cell>
        </row>
        <row r="964">
          <cell r="A964">
            <v>4142</v>
          </cell>
          <cell r="B964" t="str">
            <v>개방형스프링클러헤드</v>
          </cell>
          <cell r="C964" t="str">
            <v>15Ø</v>
          </cell>
          <cell r="D964" t="str">
            <v>개</v>
          </cell>
          <cell r="E964">
            <v>3000</v>
          </cell>
          <cell r="F964">
            <v>0</v>
          </cell>
          <cell r="H964">
            <v>670</v>
          </cell>
          <cell r="I964">
            <v>3000</v>
          </cell>
          <cell r="J964">
            <v>670</v>
          </cell>
          <cell r="L964">
            <v>670</v>
          </cell>
        </row>
        <row r="965">
          <cell r="A965">
            <v>4143</v>
          </cell>
          <cell r="B965" t="str">
            <v>폐쇄형스프링클러헤드</v>
          </cell>
          <cell r="C965" t="str">
            <v>15Øx143℃</v>
          </cell>
          <cell r="D965" t="str">
            <v>개</v>
          </cell>
          <cell r="E965">
            <v>8800</v>
          </cell>
          <cell r="F965">
            <v>0</v>
          </cell>
          <cell r="H965">
            <v>670</v>
          </cell>
          <cell r="I965">
            <v>8800</v>
          </cell>
          <cell r="J965">
            <v>670</v>
          </cell>
          <cell r="L965">
            <v>670</v>
          </cell>
        </row>
        <row r="966">
          <cell r="A966">
            <v>4144</v>
          </cell>
          <cell r="B966" t="str">
            <v>폐쇄형스프링클러헤드</v>
          </cell>
          <cell r="C966" t="str">
            <v>15Øx105℃</v>
          </cell>
          <cell r="D966" t="str">
            <v>개</v>
          </cell>
          <cell r="E966">
            <v>4500</v>
          </cell>
          <cell r="F966">
            <v>0</v>
          </cell>
          <cell r="H966">
            <v>670</v>
          </cell>
          <cell r="I966">
            <v>4500</v>
          </cell>
          <cell r="J966">
            <v>670</v>
          </cell>
          <cell r="L966">
            <v>670</v>
          </cell>
        </row>
        <row r="967">
          <cell r="A967">
            <v>4145</v>
          </cell>
          <cell r="B967" t="str">
            <v>폐쇄형스프링클러헤드</v>
          </cell>
          <cell r="C967" t="str">
            <v>15Øx 72℃</v>
          </cell>
          <cell r="D967" t="str">
            <v>개</v>
          </cell>
          <cell r="E967">
            <v>3700</v>
          </cell>
          <cell r="F967">
            <v>0</v>
          </cell>
          <cell r="H967">
            <v>670</v>
          </cell>
          <cell r="I967">
            <v>3700</v>
          </cell>
          <cell r="J967">
            <v>670</v>
          </cell>
          <cell r="L967">
            <v>670</v>
          </cell>
        </row>
        <row r="968">
          <cell r="A968">
            <v>4146</v>
          </cell>
          <cell r="B968" t="str">
            <v>측벽형스프링클러헤드</v>
          </cell>
          <cell r="C968" t="str">
            <v>15Øx105℃</v>
          </cell>
          <cell r="D968" t="str">
            <v>개</v>
          </cell>
          <cell r="E968">
            <v>6900</v>
          </cell>
          <cell r="F968">
            <v>0</v>
          </cell>
          <cell r="H968">
            <v>670</v>
          </cell>
          <cell r="I968">
            <v>6900</v>
          </cell>
          <cell r="J968">
            <v>670</v>
          </cell>
          <cell r="L968">
            <v>670</v>
          </cell>
        </row>
        <row r="969">
          <cell r="A969">
            <v>4147</v>
          </cell>
          <cell r="B969" t="str">
            <v>측벽형스프링클러헤드</v>
          </cell>
          <cell r="C969" t="str">
            <v>15Øx 72℃</v>
          </cell>
          <cell r="D969" t="str">
            <v>개</v>
          </cell>
          <cell r="E969">
            <v>6000</v>
          </cell>
          <cell r="F969">
            <v>0</v>
          </cell>
          <cell r="H969">
            <v>670</v>
          </cell>
          <cell r="I969">
            <v>6000</v>
          </cell>
          <cell r="J969">
            <v>670</v>
          </cell>
          <cell r="L969">
            <v>670</v>
          </cell>
        </row>
        <row r="970">
          <cell r="A970">
            <v>4148</v>
          </cell>
          <cell r="B970" t="str">
            <v>원형스프링클러헤드</v>
          </cell>
          <cell r="C970" t="str">
            <v>15Øx105℃</v>
          </cell>
          <cell r="D970" t="str">
            <v>개</v>
          </cell>
          <cell r="E970">
            <v>6500</v>
          </cell>
          <cell r="F970">
            <v>0</v>
          </cell>
          <cell r="H970">
            <v>670</v>
          </cell>
          <cell r="I970">
            <v>6500</v>
          </cell>
          <cell r="J970">
            <v>670</v>
          </cell>
          <cell r="L970">
            <v>670</v>
          </cell>
        </row>
        <row r="971">
          <cell r="A971">
            <v>4149</v>
          </cell>
          <cell r="B971" t="str">
            <v>원형스프링클러헤드</v>
          </cell>
          <cell r="C971" t="str">
            <v>15Øx 72℃</v>
          </cell>
          <cell r="D971" t="str">
            <v>개</v>
          </cell>
          <cell r="E971">
            <v>5500</v>
          </cell>
          <cell r="F971">
            <v>0</v>
          </cell>
          <cell r="H971">
            <v>670</v>
          </cell>
          <cell r="I971">
            <v>5500</v>
          </cell>
          <cell r="J971">
            <v>670</v>
          </cell>
          <cell r="L971">
            <v>670</v>
          </cell>
        </row>
        <row r="972">
          <cell r="A972">
            <v>5001</v>
          </cell>
          <cell r="B972" t="str">
            <v>가교폴리에틸렌관(XL)</v>
          </cell>
          <cell r="C972" t="str">
            <v>15Ø</v>
          </cell>
          <cell r="D972" t="str">
            <v>M</v>
          </cell>
          <cell r="E972">
            <v>270</v>
          </cell>
          <cell r="F972">
            <v>0</v>
          </cell>
          <cell r="H972" t="str">
            <v>-</v>
          </cell>
          <cell r="I972">
            <v>270</v>
          </cell>
          <cell r="J972" t="str">
            <v>-</v>
          </cell>
          <cell r="L972" t="str">
            <v>-</v>
          </cell>
        </row>
        <row r="973">
          <cell r="A973">
            <v>5002</v>
          </cell>
          <cell r="B973" t="str">
            <v>가교폴리에틸렌관(XL)</v>
          </cell>
          <cell r="C973" t="str">
            <v>20Ø</v>
          </cell>
          <cell r="D973" t="str">
            <v>M</v>
          </cell>
          <cell r="E973">
            <v>450</v>
          </cell>
          <cell r="F973">
            <v>0</v>
          </cell>
          <cell r="H973" t="str">
            <v>-</v>
          </cell>
          <cell r="I973">
            <v>450</v>
          </cell>
          <cell r="J973" t="str">
            <v>-</v>
          </cell>
          <cell r="L973" t="str">
            <v>-</v>
          </cell>
        </row>
        <row r="974">
          <cell r="A974">
            <v>5111</v>
          </cell>
          <cell r="B974" t="str">
            <v>전기온돌판넬</v>
          </cell>
          <cell r="C974" t="str">
            <v>850x1,700</v>
          </cell>
          <cell r="D974" t="str">
            <v>조</v>
          </cell>
          <cell r="E974">
            <v>60000</v>
          </cell>
          <cell r="F974">
            <v>0</v>
          </cell>
          <cell r="H974">
            <v>611</v>
          </cell>
          <cell r="I974">
            <v>60000</v>
          </cell>
          <cell r="J974">
            <v>611</v>
          </cell>
          <cell r="L974">
            <v>611</v>
          </cell>
        </row>
        <row r="975">
          <cell r="A975">
            <v>5112</v>
          </cell>
          <cell r="B975" t="str">
            <v>전기온돌판넬</v>
          </cell>
          <cell r="C975" t="str">
            <v>400x1,700</v>
          </cell>
          <cell r="D975" t="str">
            <v>조</v>
          </cell>
          <cell r="E975">
            <v>40000</v>
          </cell>
          <cell r="F975">
            <v>0</v>
          </cell>
          <cell r="H975">
            <v>611</v>
          </cell>
          <cell r="I975">
            <v>40000</v>
          </cell>
          <cell r="J975">
            <v>611</v>
          </cell>
          <cell r="L975">
            <v>611</v>
          </cell>
        </row>
        <row r="976">
          <cell r="A976">
            <v>5113</v>
          </cell>
          <cell r="B976" t="str">
            <v>전기온돌판넬</v>
          </cell>
          <cell r="C976" t="str">
            <v>850 x 850</v>
          </cell>
          <cell r="D976" t="str">
            <v>조</v>
          </cell>
          <cell r="E976">
            <v>40000</v>
          </cell>
          <cell r="F976">
            <v>0</v>
          </cell>
          <cell r="H976">
            <v>611</v>
          </cell>
          <cell r="I976">
            <v>40000</v>
          </cell>
          <cell r="J976">
            <v>611</v>
          </cell>
          <cell r="L976">
            <v>611</v>
          </cell>
        </row>
        <row r="977">
          <cell r="A977">
            <v>5114</v>
          </cell>
          <cell r="B977" t="str">
            <v>자동온도조절기</v>
          </cell>
          <cell r="C977" t="str">
            <v>전자식(대형)</v>
          </cell>
          <cell r="D977" t="str">
            <v>개</v>
          </cell>
          <cell r="E977">
            <v>55000</v>
          </cell>
          <cell r="F977">
            <v>0</v>
          </cell>
          <cell r="H977">
            <v>611</v>
          </cell>
          <cell r="I977">
            <v>55000</v>
          </cell>
          <cell r="J977">
            <v>611</v>
          </cell>
          <cell r="L977">
            <v>611</v>
          </cell>
        </row>
        <row r="978">
          <cell r="A978">
            <v>5115</v>
          </cell>
          <cell r="B978" t="str">
            <v>자동온도조절기</v>
          </cell>
          <cell r="C978" t="str">
            <v>전자식(중형)</v>
          </cell>
          <cell r="D978" t="str">
            <v>개</v>
          </cell>
          <cell r="E978">
            <v>40000</v>
          </cell>
          <cell r="F978">
            <v>0</v>
          </cell>
          <cell r="H978">
            <v>611</v>
          </cell>
          <cell r="I978">
            <v>40000</v>
          </cell>
          <cell r="J978">
            <v>611</v>
          </cell>
          <cell r="L978">
            <v>611</v>
          </cell>
        </row>
        <row r="979">
          <cell r="A979">
            <v>5121</v>
          </cell>
          <cell r="B979" t="str">
            <v>분배기(청동밸브포함)</v>
          </cell>
          <cell r="C979" t="str">
            <v>15Øx2구</v>
          </cell>
          <cell r="D979" t="str">
            <v>조</v>
          </cell>
          <cell r="E979">
            <v>11000</v>
          </cell>
          <cell r="F979">
            <v>0</v>
          </cell>
          <cell r="H979">
            <v>613</v>
          </cell>
          <cell r="I979">
            <v>11000</v>
          </cell>
          <cell r="J979">
            <v>613</v>
          </cell>
          <cell r="L979">
            <v>613</v>
          </cell>
        </row>
        <row r="980">
          <cell r="A980">
            <v>5122</v>
          </cell>
          <cell r="B980" t="str">
            <v>분배기(청동밸브포함)</v>
          </cell>
          <cell r="C980" t="str">
            <v>15Øx3구</v>
          </cell>
          <cell r="D980" t="str">
            <v>조</v>
          </cell>
          <cell r="E980">
            <v>20800</v>
          </cell>
          <cell r="F980">
            <v>0</v>
          </cell>
          <cell r="H980">
            <v>613</v>
          </cell>
          <cell r="I980">
            <v>20800</v>
          </cell>
          <cell r="J980">
            <v>613</v>
          </cell>
          <cell r="L980">
            <v>613</v>
          </cell>
        </row>
        <row r="981">
          <cell r="A981">
            <v>5123</v>
          </cell>
          <cell r="B981" t="str">
            <v>분배기(청동밸브포함)</v>
          </cell>
          <cell r="C981" t="str">
            <v>15Øx4구</v>
          </cell>
          <cell r="D981" t="str">
            <v>조</v>
          </cell>
          <cell r="E981">
            <v>30600</v>
          </cell>
          <cell r="F981">
            <v>0</v>
          </cell>
          <cell r="H981">
            <v>613</v>
          </cell>
          <cell r="I981">
            <v>30600</v>
          </cell>
          <cell r="J981">
            <v>613</v>
          </cell>
          <cell r="L981">
            <v>613</v>
          </cell>
        </row>
        <row r="982">
          <cell r="A982">
            <v>5124</v>
          </cell>
          <cell r="B982" t="str">
            <v>분배기(청동밸브포함)</v>
          </cell>
          <cell r="C982" t="str">
            <v>15Øx5구</v>
          </cell>
          <cell r="D982" t="str">
            <v>조</v>
          </cell>
          <cell r="E982">
            <v>40400</v>
          </cell>
          <cell r="F982">
            <v>0</v>
          </cell>
          <cell r="H982">
            <v>613</v>
          </cell>
          <cell r="I982">
            <v>40400</v>
          </cell>
          <cell r="J982">
            <v>613</v>
          </cell>
          <cell r="L982">
            <v>613</v>
          </cell>
        </row>
        <row r="983">
          <cell r="A983">
            <v>5125</v>
          </cell>
          <cell r="B983" t="str">
            <v>분배기(청동밸브포함)</v>
          </cell>
          <cell r="C983" t="str">
            <v>15Øx6구</v>
          </cell>
          <cell r="D983" t="str">
            <v>조</v>
          </cell>
          <cell r="E983">
            <v>50200</v>
          </cell>
          <cell r="F983">
            <v>0</v>
          </cell>
          <cell r="H983">
            <v>613</v>
          </cell>
          <cell r="I983">
            <v>50200</v>
          </cell>
          <cell r="J983">
            <v>613</v>
          </cell>
          <cell r="L983">
            <v>613</v>
          </cell>
        </row>
        <row r="984">
          <cell r="A984">
            <v>5126</v>
          </cell>
          <cell r="B984" t="str">
            <v>분배기(청동밸브포함)</v>
          </cell>
          <cell r="C984" t="str">
            <v>15Øx7구</v>
          </cell>
          <cell r="D984" t="str">
            <v>조</v>
          </cell>
          <cell r="E984">
            <v>60000</v>
          </cell>
          <cell r="F984">
            <v>0</v>
          </cell>
          <cell r="H984">
            <v>613</v>
          </cell>
          <cell r="I984">
            <v>60000</v>
          </cell>
          <cell r="J984">
            <v>613</v>
          </cell>
          <cell r="L984">
            <v>613</v>
          </cell>
        </row>
        <row r="985">
          <cell r="A985">
            <v>5130</v>
          </cell>
          <cell r="B985" t="str">
            <v>강판제방열기</v>
          </cell>
          <cell r="C985" t="str">
            <v>CR-600</v>
          </cell>
          <cell r="D985" t="str">
            <v>쪽</v>
          </cell>
          <cell r="E985">
            <v>9600</v>
          </cell>
          <cell r="F985">
            <v>0</v>
          </cell>
          <cell r="I985">
            <v>9600</v>
          </cell>
        </row>
        <row r="986">
          <cell r="A986">
            <v>5131</v>
          </cell>
          <cell r="B986" t="str">
            <v>주철제방열기</v>
          </cell>
          <cell r="C986" t="str">
            <v>5C-650</v>
          </cell>
          <cell r="D986" t="str">
            <v>쪽</v>
          </cell>
          <cell r="E986">
            <v>10000</v>
          </cell>
          <cell r="F986">
            <v>0</v>
          </cell>
          <cell r="I986">
            <v>10000</v>
          </cell>
        </row>
        <row r="987">
          <cell r="A987">
            <v>5132</v>
          </cell>
          <cell r="B987" t="str">
            <v>알루미늄방열기</v>
          </cell>
          <cell r="C987" t="str">
            <v>AR-600</v>
          </cell>
          <cell r="D987" t="str">
            <v>쪽</v>
          </cell>
          <cell r="E987">
            <v>3500</v>
          </cell>
          <cell r="F987">
            <v>0</v>
          </cell>
          <cell r="H987">
            <v>614</v>
          </cell>
          <cell r="I987">
            <v>3500</v>
          </cell>
          <cell r="J987">
            <v>614</v>
          </cell>
          <cell r="L987">
            <v>614</v>
          </cell>
        </row>
        <row r="988">
          <cell r="A988">
            <v>5133</v>
          </cell>
          <cell r="B988" t="str">
            <v>전기온풍기(심야전력)</v>
          </cell>
          <cell r="C988" t="str">
            <v>6.0kW</v>
          </cell>
          <cell r="D988" t="str">
            <v>대</v>
          </cell>
          <cell r="E988">
            <v>1130000</v>
          </cell>
          <cell r="F988">
            <v>0</v>
          </cell>
          <cell r="G988">
            <v>1130000</v>
          </cell>
          <cell r="H988">
            <v>619</v>
          </cell>
          <cell r="I988">
            <v>1199000</v>
          </cell>
          <cell r="J988">
            <v>619</v>
          </cell>
          <cell r="L988">
            <v>619</v>
          </cell>
        </row>
        <row r="989">
          <cell r="A989">
            <v>5134</v>
          </cell>
          <cell r="B989" t="str">
            <v>전기온풍기(심야전력)</v>
          </cell>
          <cell r="C989" t="str">
            <v>4.8kW</v>
          </cell>
          <cell r="D989" t="str">
            <v>대</v>
          </cell>
          <cell r="E989">
            <v>800000</v>
          </cell>
          <cell r="F989">
            <v>0</v>
          </cell>
          <cell r="G989">
            <v>800000</v>
          </cell>
          <cell r="H989">
            <v>619</v>
          </cell>
          <cell r="I989">
            <v>880000</v>
          </cell>
          <cell r="J989">
            <v>619</v>
          </cell>
          <cell r="L989">
            <v>619</v>
          </cell>
        </row>
        <row r="990">
          <cell r="A990">
            <v>5135</v>
          </cell>
          <cell r="B990" t="str">
            <v>전기온풍기(심야전력)</v>
          </cell>
          <cell r="C990" t="str">
            <v>3.2kW</v>
          </cell>
          <cell r="D990" t="str">
            <v>대</v>
          </cell>
          <cell r="E990">
            <v>610000</v>
          </cell>
          <cell r="F990">
            <v>0</v>
          </cell>
          <cell r="G990">
            <v>610000</v>
          </cell>
          <cell r="H990">
            <v>619</v>
          </cell>
          <cell r="I990">
            <v>699600</v>
          </cell>
          <cell r="J990">
            <v>619</v>
          </cell>
          <cell r="L990">
            <v>619</v>
          </cell>
        </row>
        <row r="991">
          <cell r="A991">
            <v>5136</v>
          </cell>
          <cell r="B991" t="str">
            <v>전기온풍기(심야전력)</v>
          </cell>
          <cell r="C991" t="str">
            <v>2.4kW</v>
          </cell>
          <cell r="D991" t="str">
            <v>대</v>
          </cell>
          <cell r="E991">
            <v>540000</v>
          </cell>
          <cell r="F991">
            <v>0</v>
          </cell>
          <cell r="G991">
            <v>540000</v>
          </cell>
          <cell r="H991">
            <v>619</v>
          </cell>
          <cell r="I991">
            <v>610000</v>
          </cell>
          <cell r="J991">
            <v>619</v>
          </cell>
          <cell r="L991">
            <v>619</v>
          </cell>
        </row>
        <row r="992">
          <cell r="A992">
            <v>5137</v>
          </cell>
          <cell r="B992" t="str">
            <v>전기방열기</v>
          </cell>
          <cell r="C992" t="str">
            <v>2.5kW</v>
          </cell>
          <cell r="D992" t="str">
            <v>대</v>
          </cell>
          <cell r="E992">
            <v>260000</v>
          </cell>
          <cell r="F992">
            <v>0</v>
          </cell>
          <cell r="H992">
            <v>614</v>
          </cell>
          <cell r="I992">
            <v>260000</v>
          </cell>
          <cell r="J992">
            <v>614</v>
          </cell>
          <cell r="L992">
            <v>614</v>
          </cell>
        </row>
        <row r="993">
          <cell r="A993">
            <v>5138</v>
          </cell>
          <cell r="B993" t="str">
            <v>전기방열기</v>
          </cell>
          <cell r="C993" t="str">
            <v>2.0kW</v>
          </cell>
          <cell r="D993" t="str">
            <v>대</v>
          </cell>
          <cell r="E993">
            <v>240000</v>
          </cell>
          <cell r="F993">
            <v>0</v>
          </cell>
          <cell r="H993">
            <v>614</v>
          </cell>
          <cell r="I993">
            <v>240000</v>
          </cell>
          <cell r="J993">
            <v>614</v>
          </cell>
          <cell r="L993">
            <v>614</v>
          </cell>
        </row>
        <row r="994">
          <cell r="A994">
            <v>5141</v>
          </cell>
          <cell r="B994" t="str">
            <v>가스순간온수기</v>
          </cell>
          <cell r="C994" t="str">
            <v>13 Lit/min</v>
          </cell>
          <cell r="D994" t="str">
            <v>대</v>
          </cell>
          <cell r="E994">
            <v>470000</v>
          </cell>
          <cell r="F994">
            <v>0</v>
          </cell>
          <cell r="H994">
            <v>587</v>
          </cell>
          <cell r="I994">
            <v>470000</v>
          </cell>
          <cell r="J994">
            <v>587</v>
          </cell>
          <cell r="L994">
            <v>587</v>
          </cell>
        </row>
        <row r="995">
          <cell r="A995">
            <v>5142</v>
          </cell>
          <cell r="B995" t="str">
            <v>가스순간온수기</v>
          </cell>
          <cell r="C995" t="str">
            <v>16 Lit/min</v>
          </cell>
          <cell r="D995" t="str">
            <v>대</v>
          </cell>
          <cell r="E995">
            <v>546000</v>
          </cell>
          <cell r="F995">
            <v>0</v>
          </cell>
          <cell r="H995">
            <v>587</v>
          </cell>
          <cell r="I995">
            <v>546000</v>
          </cell>
          <cell r="J995">
            <v>587</v>
          </cell>
          <cell r="L995">
            <v>587</v>
          </cell>
        </row>
        <row r="996">
          <cell r="A996">
            <v>5143</v>
          </cell>
          <cell r="B996" t="str">
            <v>전기순간온수기</v>
          </cell>
          <cell r="C996" t="str">
            <v>60 Lit/hr</v>
          </cell>
          <cell r="D996" t="str">
            <v>대</v>
          </cell>
          <cell r="E996">
            <v>310000</v>
          </cell>
          <cell r="F996">
            <v>0</v>
          </cell>
          <cell r="H996">
            <v>591</v>
          </cell>
          <cell r="I996">
            <v>310000</v>
          </cell>
          <cell r="J996">
            <v>591</v>
          </cell>
          <cell r="L996">
            <v>591</v>
          </cell>
        </row>
        <row r="997">
          <cell r="A997">
            <v>5144</v>
          </cell>
          <cell r="B997" t="str">
            <v>전기순간온수기</v>
          </cell>
          <cell r="C997" t="str">
            <v>80 Lit/hr</v>
          </cell>
          <cell r="D997" t="str">
            <v>대</v>
          </cell>
          <cell r="E997">
            <v>350000</v>
          </cell>
          <cell r="F997">
            <v>0</v>
          </cell>
          <cell r="H997">
            <v>591</v>
          </cell>
          <cell r="I997">
            <v>350000</v>
          </cell>
          <cell r="J997">
            <v>591</v>
          </cell>
          <cell r="L997">
            <v>591</v>
          </cell>
        </row>
        <row r="998">
          <cell r="A998">
            <v>5145</v>
          </cell>
          <cell r="B998" t="str">
            <v>전기순간온수기</v>
          </cell>
          <cell r="C998" t="str">
            <v>120 Lit/hr</v>
          </cell>
          <cell r="D998" t="str">
            <v>대</v>
          </cell>
          <cell r="E998">
            <v>420000</v>
          </cell>
          <cell r="F998">
            <v>0</v>
          </cell>
          <cell r="H998">
            <v>591</v>
          </cell>
          <cell r="I998">
            <v>420000</v>
          </cell>
          <cell r="J998">
            <v>591</v>
          </cell>
          <cell r="L998">
            <v>591</v>
          </cell>
        </row>
        <row r="999">
          <cell r="A999">
            <v>5146</v>
          </cell>
          <cell r="B999" t="str">
            <v>전기순간온수기</v>
          </cell>
          <cell r="C999" t="str">
            <v>180 Lit/hr</v>
          </cell>
          <cell r="D999" t="str">
            <v>대</v>
          </cell>
          <cell r="E999">
            <v>468000</v>
          </cell>
          <cell r="F999">
            <v>0</v>
          </cell>
          <cell r="H999">
            <v>591</v>
          </cell>
          <cell r="I999">
            <v>468000</v>
          </cell>
          <cell r="J999">
            <v>591</v>
          </cell>
          <cell r="L999">
            <v>591</v>
          </cell>
        </row>
        <row r="1000">
          <cell r="A1000">
            <v>5147</v>
          </cell>
          <cell r="B1000" t="str">
            <v>전기순간온수기</v>
          </cell>
          <cell r="C1000" t="str">
            <v>260 Lit/hr</v>
          </cell>
          <cell r="D1000" t="str">
            <v>대</v>
          </cell>
          <cell r="E1000">
            <v>559000</v>
          </cell>
          <cell r="F1000">
            <v>0</v>
          </cell>
          <cell r="H1000">
            <v>591</v>
          </cell>
          <cell r="I1000">
            <v>559000</v>
          </cell>
          <cell r="J1000">
            <v>591</v>
          </cell>
          <cell r="L1000">
            <v>591</v>
          </cell>
        </row>
        <row r="1001">
          <cell r="A1001">
            <v>5148</v>
          </cell>
          <cell r="B1001" t="str">
            <v>전기순간온수기</v>
          </cell>
          <cell r="C1001" t="str">
            <v>340 Lit/hr</v>
          </cell>
          <cell r="D1001" t="str">
            <v>대</v>
          </cell>
          <cell r="E1001">
            <v>715000</v>
          </cell>
          <cell r="F1001">
            <v>0</v>
          </cell>
          <cell r="H1001">
            <v>591</v>
          </cell>
          <cell r="I1001">
            <v>715000</v>
          </cell>
          <cell r="J1001">
            <v>591</v>
          </cell>
          <cell r="L1001">
            <v>591</v>
          </cell>
        </row>
        <row r="1002">
          <cell r="A1002">
            <v>5149</v>
          </cell>
          <cell r="B1002" t="str">
            <v>전기순간온수기</v>
          </cell>
          <cell r="C1002" t="str">
            <v>450 Lit/hr</v>
          </cell>
          <cell r="D1002" t="str">
            <v>대</v>
          </cell>
          <cell r="E1002">
            <v>910000</v>
          </cell>
          <cell r="F1002">
            <v>0</v>
          </cell>
          <cell r="H1002">
            <v>591</v>
          </cell>
          <cell r="I1002">
            <v>910000</v>
          </cell>
          <cell r="J1002">
            <v>591</v>
          </cell>
          <cell r="L1002">
            <v>591</v>
          </cell>
        </row>
        <row r="1003">
          <cell r="A1003">
            <v>5151</v>
          </cell>
          <cell r="B1003" t="str">
            <v>전기순간온수기</v>
          </cell>
          <cell r="C1003" t="str">
            <v>5.5 kW</v>
          </cell>
          <cell r="D1003" t="str">
            <v>대</v>
          </cell>
          <cell r="E1003">
            <v>275000</v>
          </cell>
          <cell r="F1003">
            <v>0</v>
          </cell>
          <cell r="H1003">
            <v>587</v>
          </cell>
          <cell r="I1003">
            <v>275000</v>
          </cell>
          <cell r="J1003">
            <v>587</v>
          </cell>
          <cell r="L1003">
            <v>587</v>
          </cell>
        </row>
        <row r="1004">
          <cell r="A1004">
            <v>5152</v>
          </cell>
          <cell r="B1004" t="str">
            <v>전기순간온수기</v>
          </cell>
          <cell r="C1004" t="str">
            <v>5.5 kW</v>
          </cell>
          <cell r="D1004" t="str">
            <v>대</v>
          </cell>
          <cell r="E1004">
            <v>310000</v>
          </cell>
          <cell r="F1004">
            <v>0</v>
          </cell>
          <cell r="H1004">
            <v>587</v>
          </cell>
          <cell r="I1004">
            <v>310000</v>
          </cell>
          <cell r="J1004">
            <v>587</v>
          </cell>
          <cell r="L1004">
            <v>587</v>
          </cell>
        </row>
        <row r="1005">
          <cell r="E1005">
            <v>0</v>
          </cell>
        </row>
        <row r="1006">
          <cell r="E1006">
            <v>0</v>
          </cell>
        </row>
        <row r="1007">
          <cell r="E1007">
            <v>0</v>
          </cell>
        </row>
        <row r="1008">
          <cell r="E1008">
            <v>0</v>
          </cell>
        </row>
        <row r="1009">
          <cell r="E1009">
            <v>0</v>
          </cell>
        </row>
        <row r="1032">
          <cell r="A1032">
            <v>7101</v>
          </cell>
          <cell r="B1032" t="str">
            <v>황색페인트</v>
          </cell>
          <cell r="C1032" t="str">
            <v>2회</v>
          </cell>
          <cell r="D1032" t="str">
            <v>M²</v>
          </cell>
          <cell r="E1032">
            <v>1133</v>
          </cell>
          <cell r="F1032">
            <v>2592</v>
          </cell>
          <cell r="H1032">
            <v>0</v>
          </cell>
          <cell r="I1032">
            <v>1133</v>
          </cell>
          <cell r="J1032">
            <v>0</v>
          </cell>
          <cell r="L1032">
            <v>0</v>
          </cell>
        </row>
        <row r="1033">
          <cell r="A1033">
            <v>7102</v>
          </cell>
          <cell r="B1033" t="str">
            <v>LP 가스용기</v>
          </cell>
          <cell r="C1033" t="str">
            <v>20 kg</v>
          </cell>
          <cell r="D1033" t="str">
            <v>병</v>
          </cell>
          <cell r="E1033">
            <v>75000</v>
          </cell>
          <cell r="F1033">
            <v>0</v>
          </cell>
          <cell r="H1033">
            <v>0</v>
          </cell>
          <cell r="I1033">
            <v>75000</v>
          </cell>
          <cell r="J1033">
            <v>0</v>
          </cell>
          <cell r="L1033">
            <v>0</v>
          </cell>
        </row>
        <row r="1034">
          <cell r="A1034">
            <v>7103</v>
          </cell>
          <cell r="B1034" t="str">
            <v>LP 가스용기</v>
          </cell>
          <cell r="C1034" t="str">
            <v>50 kg</v>
          </cell>
          <cell r="D1034" t="str">
            <v>병</v>
          </cell>
          <cell r="E1034">
            <v>100000</v>
          </cell>
          <cell r="F1034">
            <v>0</v>
          </cell>
          <cell r="H1034">
            <v>0</v>
          </cell>
          <cell r="I1034">
            <v>100000</v>
          </cell>
          <cell r="J1034">
            <v>0</v>
          </cell>
          <cell r="L1034">
            <v>0</v>
          </cell>
        </row>
        <row r="1035">
          <cell r="A1035">
            <v>7111</v>
          </cell>
          <cell r="B1035" t="str">
            <v>가스누설 차단기</v>
          </cell>
          <cell r="C1035" t="str">
            <v>15A 1회로</v>
          </cell>
          <cell r="D1035" t="str">
            <v>개</v>
          </cell>
          <cell r="E1035">
            <v>48200</v>
          </cell>
          <cell r="F1035">
            <v>0</v>
          </cell>
          <cell r="H1035">
            <v>1059</v>
          </cell>
          <cell r="I1035">
            <v>48200</v>
          </cell>
          <cell r="J1035">
            <v>1059</v>
          </cell>
          <cell r="L1035">
            <v>1059</v>
          </cell>
        </row>
        <row r="1036">
          <cell r="A1036">
            <v>7112</v>
          </cell>
          <cell r="B1036" t="str">
            <v>가스누설 차단기</v>
          </cell>
          <cell r="C1036" t="str">
            <v>20A 3회로</v>
          </cell>
          <cell r="D1036" t="str">
            <v>개</v>
          </cell>
          <cell r="E1036">
            <v>75500</v>
          </cell>
          <cell r="F1036">
            <v>0</v>
          </cell>
          <cell r="H1036">
            <v>1059</v>
          </cell>
          <cell r="I1036">
            <v>75500</v>
          </cell>
          <cell r="J1036">
            <v>1059</v>
          </cell>
          <cell r="L1036">
            <v>1059</v>
          </cell>
        </row>
        <row r="1037">
          <cell r="A1037">
            <v>7113</v>
          </cell>
          <cell r="B1037" t="str">
            <v>가스누설 차단기</v>
          </cell>
          <cell r="C1037" t="str">
            <v>25A 6회로</v>
          </cell>
          <cell r="D1037" t="str">
            <v>개</v>
          </cell>
          <cell r="E1037">
            <v>100700</v>
          </cell>
          <cell r="F1037">
            <v>0</v>
          </cell>
          <cell r="H1037">
            <v>1059</v>
          </cell>
          <cell r="I1037">
            <v>100700</v>
          </cell>
          <cell r="J1037">
            <v>1059</v>
          </cell>
          <cell r="L1037">
            <v>1059</v>
          </cell>
        </row>
        <row r="1038">
          <cell r="A1038">
            <v>7114</v>
          </cell>
          <cell r="B1038" t="str">
            <v>가스누설 차단기</v>
          </cell>
          <cell r="C1038" t="str">
            <v>32A 3회로</v>
          </cell>
          <cell r="D1038" t="str">
            <v>개</v>
          </cell>
          <cell r="E1038">
            <v>287500</v>
          </cell>
          <cell r="F1038">
            <v>0</v>
          </cell>
          <cell r="H1038">
            <v>1059</v>
          </cell>
          <cell r="I1038">
            <v>287500</v>
          </cell>
          <cell r="J1038">
            <v>1059</v>
          </cell>
          <cell r="L1038">
            <v>1059</v>
          </cell>
        </row>
        <row r="1039">
          <cell r="A1039">
            <v>7115</v>
          </cell>
          <cell r="B1039" t="str">
            <v>가스누설 차단기</v>
          </cell>
          <cell r="C1039" t="str">
            <v>50A 6회로</v>
          </cell>
          <cell r="D1039" t="str">
            <v>개</v>
          </cell>
          <cell r="E1039">
            <v>468100</v>
          </cell>
          <cell r="F1039">
            <v>0</v>
          </cell>
          <cell r="H1039">
            <v>1059</v>
          </cell>
          <cell r="I1039">
            <v>468100</v>
          </cell>
          <cell r="J1039">
            <v>1059</v>
          </cell>
          <cell r="L1039">
            <v>1059</v>
          </cell>
        </row>
        <row r="1040">
          <cell r="A1040">
            <v>7121</v>
          </cell>
          <cell r="B1040" t="str">
            <v>가스누설 감지기</v>
          </cell>
          <cell r="C1040" t="str">
            <v>#800</v>
          </cell>
          <cell r="D1040" t="str">
            <v>조</v>
          </cell>
          <cell r="E1040">
            <v>270000</v>
          </cell>
          <cell r="F1040">
            <v>0</v>
          </cell>
          <cell r="H1040">
            <v>1059</v>
          </cell>
          <cell r="I1040">
            <v>270000</v>
          </cell>
          <cell r="J1040">
            <v>1059</v>
          </cell>
          <cell r="L1040">
            <v>1059</v>
          </cell>
        </row>
        <row r="1041">
          <cell r="A1041">
            <v>7122</v>
          </cell>
          <cell r="B1041" t="str">
            <v>가스누설 경보기</v>
          </cell>
          <cell r="C1041" t="str">
            <v>일체형</v>
          </cell>
          <cell r="D1041" t="str">
            <v>개</v>
          </cell>
          <cell r="E1041">
            <v>23900</v>
          </cell>
          <cell r="F1041">
            <v>0</v>
          </cell>
          <cell r="H1041">
            <v>0</v>
          </cell>
          <cell r="I1041">
            <v>23900</v>
          </cell>
          <cell r="J1041">
            <v>0</v>
          </cell>
          <cell r="L1041">
            <v>0</v>
          </cell>
        </row>
        <row r="1042">
          <cell r="A1042">
            <v>7131</v>
          </cell>
          <cell r="B1042" t="str">
            <v>압력계</v>
          </cell>
          <cell r="D1042" t="str">
            <v>개</v>
          </cell>
          <cell r="E1042">
            <v>4400</v>
          </cell>
          <cell r="F1042">
            <v>0</v>
          </cell>
          <cell r="H1042">
            <v>552</v>
          </cell>
          <cell r="I1042">
            <v>4400</v>
          </cell>
          <cell r="J1042">
            <v>552</v>
          </cell>
          <cell r="L1042">
            <v>552</v>
          </cell>
        </row>
        <row r="1043">
          <cell r="A1043">
            <v>7141</v>
          </cell>
          <cell r="B1043" t="str">
            <v>압력조정기</v>
          </cell>
          <cell r="C1043" t="str">
            <v>저압용</v>
          </cell>
          <cell r="D1043" t="str">
            <v>개</v>
          </cell>
          <cell r="E1043">
            <v>95000</v>
          </cell>
          <cell r="F1043">
            <v>0</v>
          </cell>
          <cell r="H1043">
            <v>0</v>
          </cell>
          <cell r="I1043">
            <v>95000</v>
          </cell>
          <cell r="J1043">
            <v>0</v>
          </cell>
          <cell r="L1043">
            <v>0</v>
          </cell>
        </row>
        <row r="1044">
          <cell r="A1044">
            <v>7142</v>
          </cell>
          <cell r="B1044" t="str">
            <v>연결가스관</v>
          </cell>
          <cell r="C1044" t="str">
            <v>15Ø</v>
          </cell>
          <cell r="D1044" t="str">
            <v>M</v>
          </cell>
          <cell r="E1044">
            <v>3959</v>
          </cell>
          <cell r="F1044">
            <v>0</v>
          </cell>
          <cell r="H1044">
            <v>0</v>
          </cell>
          <cell r="I1044">
            <v>3959</v>
          </cell>
          <cell r="J1044">
            <v>0</v>
          </cell>
          <cell r="L1044">
            <v>0</v>
          </cell>
        </row>
        <row r="1045">
          <cell r="A1045">
            <v>7151</v>
          </cell>
          <cell r="B1045" t="str">
            <v>가스용볼밸브(나사식)</v>
          </cell>
          <cell r="C1045" t="str">
            <v>15Ø</v>
          </cell>
          <cell r="D1045" t="str">
            <v>개</v>
          </cell>
          <cell r="E1045">
            <v>30900</v>
          </cell>
          <cell r="F1045">
            <v>0</v>
          </cell>
          <cell r="H1045">
            <v>543</v>
          </cell>
          <cell r="I1045">
            <v>30900</v>
          </cell>
          <cell r="J1045">
            <v>543</v>
          </cell>
          <cell r="L1045">
            <v>543</v>
          </cell>
        </row>
        <row r="1046">
          <cell r="A1046">
            <v>7152</v>
          </cell>
          <cell r="B1046" t="str">
            <v>가스용볼밸브(나사식)</v>
          </cell>
          <cell r="C1046" t="str">
            <v>20Ø</v>
          </cell>
          <cell r="D1046" t="str">
            <v>개</v>
          </cell>
          <cell r="E1046">
            <v>33900</v>
          </cell>
          <cell r="F1046">
            <v>0</v>
          </cell>
          <cell r="H1046">
            <v>543</v>
          </cell>
          <cell r="I1046">
            <v>33900</v>
          </cell>
          <cell r="J1046">
            <v>543</v>
          </cell>
          <cell r="L1046">
            <v>543</v>
          </cell>
        </row>
        <row r="1047">
          <cell r="A1047">
            <v>7153</v>
          </cell>
          <cell r="B1047" t="str">
            <v>글로우브밸브(10kg)</v>
          </cell>
          <cell r="C1047" t="str">
            <v>25Ø</v>
          </cell>
          <cell r="D1047" t="str">
            <v>개</v>
          </cell>
          <cell r="E1047">
            <v>47800</v>
          </cell>
          <cell r="F1047">
            <v>0</v>
          </cell>
          <cell r="H1047">
            <v>543</v>
          </cell>
          <cell r="I1047">
            <v>47800</v>
          </cell>
          <cell r="J1047">
            <v>543</v>
          </cell>
          <cell r="L1047">
            <v>543</v>
          </cell>
        </row>
        <row r="1048">
          <cell r="A1048">
            <v>7154</v>
          </cell>
          <cell r="B1048" t="str">
            <v>글로우브밸브(10kg)</v>
          </cell>
          <cell r="C1048" t="str">
            <v>15Ø</v>
          </cell>
          <cell r="D1048" t="str">
            <v>개</v>
          </cell>
          <cell r="E1048">
            <v>33400</v>
          </cell>
          <cell r="F1048">
            <v>0</v>
          </cell>
          <cell r="H1048">
            <v>543</v>
          </cell>
          <cell r="I1048">
            <v>33400</v>
          </cell>
          <cell r="J1048">
            <v>543</v>
          </cell>
          <cell r="L1048">
            <v>543</v>
          </cell>
        </row>
        <row r="1049">
          <cell r="A1049">
            <v>7161</v>
          </cell>
          <cell r="B1049" t="str">
            <v>가스메타기</v>
          </cell>
          <cell r="C1049" t="str">
            <v>2등</v>
          </cell>
          <cell r="D1049" t="str">
            <v>대</v>
          </cell>
          <cell r="E1049">
            <v>25000</v>
          </cell>
          <cell r="F1049">
            <v>0</v>
          </cell>
          <cell r="H1049">
            <v>557</v>
          </cell>
          <cell r="I1049">
            <v>25000</v>
          </cell>
          <cell r="J1049">
            <v>557</v>
          </cell>
          <cell r="L1049">
            <v>557</v>
          </cell>
        </row>
        <row r="1050">
          <cell r="A1050">
            <v>7162</v>
          </cell>
          <cell r="B1050" t="str">
            <v>가스메타기</v>
          </cell>
          <cell r="C1050" t="str">
            <v>3등</v>
          </cell>
          <cell r="D1050" t="str">
            <v>대</v>
          </cell>
          <cell r="E1050">
            <v>26000</v>
          </cell>
          <cell r="F1050">
            <v>0</v>
          </cell>
          <cell r="H1050">
            <v>557</v>
          </cell>
          <cell r="I1050">
            <v>26000</v>
          </cell>
          <cell r="J1050">
            <v>557</v>
          </cell>
          <cell r="L1050">
            <v>557</v>
          </cell>
        </row>
        <row r="1051">
          <cell r="A1051">
            <v>7163</v>
          </cell>
          <cell r="B1051" t="str">
            <v>가스메타기</v>
          </cell>
          <cell r="C1051" t="str">
            <v>5등</v>
          </cell>
          <cell r="D1051" t="str">
            <v>대</v>
          </cell>
          <cell r="E1051">
            <v>60000</v>
          </cell>
          <cell r="F1051">
            <v>0</v>
          </cell>
          <cell r="H1051">
            <v>557</v>
          </cell>
          <cell r="I1051">
            <v>60000</v>
          </cell>
          <cell r="J1051">
            <v>557</v>
          </cell>
          <cell r="L1051">
            <v>557</v>
          </cell>
        </row>
        <row r="1052">
          <cell r="A1052">
            <v>7164</v>
          </cell>
          <cell r="B1052" t="str">
            <v>가스메타기</v>
          </cell>
          <cell r="C1052" t="str">
            <v>6등</v>
          </cell>
          <cell r="D1052" t="str">
            <v>대</v>
          </cell>
          <cell r="E1052">
            <v>70000</v>
          </cell>
          <cell r="F1052">
            <v>0</v>
          </cell>
          <cell r="H1052">
            <v>557</v>
          </cell>
          <cell r="I1052">
            <v>70000</v>
          </cell>
          <cell r="J1052">
            <v>557</v>
          </cell>
          <cell r="L1052">
            <v>557</v>
          </cell>
        </row>
        <row r="1053">
          <cell r="A1053">
            <v>7165</v>
          </cell>
          <cell r="B1053" t="str">
            <v>가스메타기</v>
          </cell>
          <cell r="C1053" t="str">
            <v>7등</v>
          </cell>
          <cell r="D1053" t="str">
            <v>대</v>
          </cell>
          <cell r="E1053">
            <v>70000</v>
          </cell>
          <cell r="F1053">
            <v>0</v>
          </cell>
          <cell r="H1053">
            <v>557</v>
          </cell>
          <cell r="I1053">
            <v>70000</v>
          </cell>
          <cell r="J1053">
            <v>557</v>
          </cell>
          <cell r="L1053">
            <v>557</v>
          </cell>
        </row>
        <row r="1054">
          <cell r="A1054">
            <v>7171</v>
          </cell>
          <cell r="B1054" t="str">
            <v>후렉시블덕트(난연용)</v>
          </cell>
          <cell r="C1054" t="str">
            <v>100Ø</v>
          </cell>
          <cell r="D1054" t="str">
            <v>M</v>
          </cell>
          <cell r="E1054">
            <v>7400</v>
          </cell>
          <cell r="F1054">
            <v>0</v>
          </cell>
          <cell r="H1054">
            <v>557</v>
          </cell>
          <cell r="I1054">
            <v>7400</v>
          </cell>
          <cell r="J1054">
            <v>557</v>
          </cell>
          <cell r="L1054">
            <v>557</v>
          </cell>
        </row>
        <row r="1055">
          <cell r="E1055">
            <v>0</v>
          </cell>
        </row>
        <row r="1056">
          <cell r="A1056">
            <v>7181</v>
          </cell>
          <cell r="B1056" t="str">
            <v>구형 후드캡</v>
          </cell>
          <cell r="C1056" t="str">
            <v>100Ø</v>
          </cell>
          <cell r="D1056" t="str">
            <v>M</v>
          </cell>
          <cell r="E1056">
            <v>10000</v>
          </cell>
          <cell r="F1056">
            <v>0</v>
          </cell>
          <cell r="H1056">
            <v>0</v>
          </cell>
          <cell r="I1056">
            <v>10000</v>
          </cell>
          <cell r="J1056">
            <v>0</v>
          </cell>
          <cell r="L1056">
            <v>0</v>
          </cell>
        </row>
        <row r="1057">
          <cell r="E1057">
            <v>0</v>
          </cell>
        </row>
        <row r="1058">
          <cell r="E1058">
            <v>0</v>
          </cell>
        </row>
        <row r="1059">
          <cell r="E1059">
            <v>0</v>
          </cell>
        </row>
        <row r="1060">
          <cell r="E1060">
            <v>0</v>
          </cell>
        </row>
        <row r="1061">
          <cell r="E1061">
            <v>0</v>
          </cell>
        </row>
        <row r="1062">
          <cell r="E1062">
            <v>0</v>
          </cell>
        </row>
        <row r="1063">
          <cell r="E1063">
            <v>0</v>
          </cell>
        </row>
        <row r="1064">
          <cell r="E1064">
            <v>0</v>
          </cell>
        </row>
        <row r="1065">
          <cell r="E1065">
            <v>0</v>
          </cell>
        </row>
        <row r="1066">
          <cell r="E1066">
            <v>0</v>
          </cell>
        </row>
        <row r="1067">
          <cell r="E1067">
            <v>0</v>
          </cell>
        </row>
        <row r="1068">
          <cell r="E1068">
            <v>0</v>
          </cell>
        </row>
        <row r="1069">
          <cell r="E1069">
            <v>0</v>
          </cell>
        </row>
        <row r="1081">
          <cell r="A1081">
            <v>8101</v>
          </cell>
          <cell r="B1081" t="str">
            <v>스파이럴연도(SUS)</v>
          </cell>
          <cell r="C1081" t="str">
            <v>300Ø</v>
          </cell>
          <cell r="D1081" t="str">
            <v>M</v>
          </cell>
          <cell r="E1081">
            <v>66000</v>
          </cell>
          <cell r="F1081">
            <v>0</v>
          </cell>
          <cell r="H1081">
            <v>658</v>
          </cell>
          <cell r="I1081">
            <v>66000</v>
          </cell>
          <cell r="J1081">
            <v>658</v>
          </cell>
          <cell r="L1081">
            <v>658</v>
          </cell>
        </row>
        <row r="1082">
          <cell r="A1082">
            <v>8102</v>
          </cell>
          <cell r="B1082" t="str">
            <v>스파이럴연도(SUS)</v>
          </cell>
          <cell r="C1082" t="str">
            <v>250Ø</v>
          </cell>
          <cell r="D1082" t="str">
            <v>M</v>
          </cell>
          <cell r="E1082">
            <v>50000</v>
          </cell>
          <cell r="F1082">
            <v>0</v>
          </cell>
          <cell r="H1082">
            <v>658</v>
          </cell>
          <cell r="I1082">
            <v>50000</v>
          </cell>
          <cell r="J1082">
            <v>658</v>
          </cell>
          <cell r="L1082">
            <v>658</v>
          </cell>
        </row>
        <row r="1083">
          <cell r="A1083">
            <v>8103</v>
          </cell>
          <cell r="B1083" t="str">
            <v>스파이럴연도(SUS)</v>
          </cell>
          <cell r="C1083" t="str">
            <v>225Ø</v>
          </cell>
          <cell r="D1083" t="str">
            <v>M</v>
          </cell>
          <cell r="E1083">
            <v>45000</v>
          </cell>
          <cell r="F1083">
            <v>0</v>
          </cell>
          <cell r="H1083">
            <v>658</v>
          </cell>
          <cell r="I1083">
            <v>45000</v>
          </cell>
          <cell r="J1083">
            <v>658</v>
          </cell>
          <cell r="L1083">
            <v>658</v>
          </cell>
        </row>
        <row r="1084">
          <cell r="A1084">
            <v>8104</v>
          </cell>
          <cell r="B1084" t="str">
            <v>스파이럴연도(SUS)</v>
          </cell>
          <cell r="C1084" t="str">
            <v>200Ø</v>
          </cell>
          <cell r="D1084" t="str">
            <v>M</v>
          </cell>
          <cell r="E1084">
            <v>40000</v>
          </cell>
          <cell r="F1084">
            <v>0</v>
          </cell>
          <cell r="H1084">
            <v>658</v>
          </cell>
          <cell r="I1084">
            <v>40000</v>
          </cell>
          <cell r="J1084">
            <v>658</v>
          </cell>
          <cell r="L1084">
            <v>658</v>
          </cell>
        </row>
        <row r="1085">
          <cell r="A1085">
            <v>8105</v>
          </cell>
          <cell r="B1085" t="str">
            <v>스파이럴연도(SUS)</v>
          </cell>
          <cell r="C1085" t="str">
            <v>175Ø</v>
          </cell>
          <cell r="D1085" t="str">
            <v>M</v>
          </cell>
          <cell r="E1085">
            <v>35000</v>
          </cell>
          <cell r="F1085">
            <v>0</v>
          </cell>
          <cell r="H1085">
            <v>658</v>
          </cell>
          <cell r="I1085">
            <v>35000</v>
          </cell>
          <cell r="J1085">
            <v>658</v>
          </cell>
          <cell r="L1085">
            <v>658</v>
          </cell>
        </row>
        <row r="1086">
          <cell r="A1086">
            <v>8106</v>
          </cell>
          <cell r="B1086" t="str">
            <v>스파이럴연도(SUS)</v>
          </cell>
          <cell r="C1086" t="str">
            <v>150Ø</v>
          </cell>
          <cell r="D1086" t="str">
            <v>M</v>
          </cell>
          <cell r="E1086">
            <v>30000</v>
          </cell>
          <cell r="F1086">
            <v>0</v>
          </cell>
          <cell r="H1086">
            <v>658</v>
          </cell>
          <cell r="I1086">
            <v>30000</v>
          </cell>
          <cell r="J1086">
            <v>658</v>
          </cell>
          <cell r="L1086">
            <v>658</v>
          </cell>
        </row>
        <row r="1087">
          <cell r="A1087">
            <v>8107</v>
          </cell>
          <cell r="B1087" t="str">
            <v>스파이럴연도(SUS)</v>
          </cell>
          <cell r="C1087" t="str">
            <v>125Ø</v>
          </cell>
          <cell r="D1087" t="str">
            <v>M</v>
          </cell>
          <cell r="E1087">
            <v>25000</v>
          </cell>
          <cell r="F1087">
            <v>0</v>
          </cell>
          <cell r="H1087">
            <v>658</v>
          </cell>
          <cell r="I1087">
            <v>25000</v>
          </cell>
          <cell r="J1087">
            <v>658</v>
          </cell>
          <cell r="L1087">
            <v>658</v>
          </cell>
        </row>
        <row r="1088">
          <cell r="A1088">
            <v>8108</v>
          </cell>
          <cell r="B1088" t="str">
            <v>스파이럴연도(SUS)</v>
          </cell>
          <cell r="C1088" t="str">
            <v>100Ø</v>
          </cell>
          <cell r="D1088" t="str">
            <v>M</v>
          </cell>
          <cell r="E1088">
            <v>20000</v>
          </cell>
          <cell r="F1088">
            <v>0</v>
          </cell>
          <cell r="H1088">
            <v>658</v>
          </cell>
          <cell r="I1088">
            <v>20000</v>
          </cell>
          <cell r="J1088">
            <v>658</v>
          </cell>
          <cell r="L1088">
            <v>658</v>
          </cell>
        </row>
        <row r="1089">
          <cell r="A1089">
            <v>8109</v>
          </cell>
          <cell r="B1089" t="str">
            <v>스파이럴연도(SUS)</v>
          </cell>
          <cell r="C1089" t="str">
            <v>75Ø</v>
          </cell>
          <cell r="D1089" t="str">
            <v>M</v>
          </cell>
          <cell r="E1089">
            <v>15000</v>
          </cell>
          <cell r="F1089">
            <v>0</v>
          </cell>
          <cell r="H1089">
            <v>658</v>
          </cell>
          <cell r="I1089">
            <v>15000</v>
          </cell>
          <cell r="J1089">
            <v>658</v>
          </cell>
          <cell r="L1089">
            <v>658</v>
          </cell>
        </row>
        <row r="1090">
          <cell r="A1090">
            <v>8111</v>
          </cell>
          <cell r="B1090" t="str">
            <v>977mm 직관(SUS/AL)</v>
          </cell>
          <cell r="C1090" t="str">
            <v>1,000Ø</v>
          </cell>
          <cell r="D1090" t="str">
            <v>개</v>
          </cell>
          <cell r="E1090">
            <v>420000</v>
          </cell>
          <cell r="F1090">
            <v>0</v>
          </cell>
          <cell r="H1090">
            <v>657</v>
          </cell>
          <cell r="I1090">
            <v>420000</v>
          </cell>
          <cell r="J1090">
            <v>657</v>
          </cell>
          <cell r="L1090">
            <v>657</v>
          </cell>
        </row>
        <row r="1091">
          <cell r="A1091">
            <v>8112</v>
          </cell>
          <cell r="B1091" t="str">
            <v>977mm 직관(SUS/AL)</v>
          </cell>
          <cell r="C1091" t="str">
            <v>900Ø</v>
          </cell>
          <cell r="D1091" t="str">
            <v>개</v>
          </cell>
          <cell r="E1091">
            <v>337000</v>
          </cell>
          <cell r="F1091">
            <v>0</v>
          </cell>
          <cell r="H1091">
            <v>657</v>
          </cell>
          <cell r="I1091">
            <v>337000</v>
          </cell>
          <cell r="J1091">
            <v>657</v>
          </cell>
          <cell r="L1091">
            <v>657</v>
          </cell>
        </row>
        <row r="1092">
          <cell r="A1092">
            <v>8113</v>
          </cell>
          <cell r="B1092" t="str">
            <v>977mm 직관(SUS/AL)</v>
          </cell>
          <cell r="C1092" t="str">
            <v>800Ø</v>
          </cell>
          <cell r="D1092" t="str">
            <v>개</v>
          </cell>
          <cell r="E1092">
            <v>296000</v>
          </cell>
          <cell r="F1092">
            <v>0</v>
          </cell>
          <cell r="H1092">
            <v>657</v>
          </cell>
          <cell r="I1092">
            <v>296000</v>
          </cell>
          <cell r="J1092">
            <v>657</v>
          </cell>
          <cell r="L1092">
            <v>657</v>
          </cell>
        </row>
        <row r="1093">
          <cell r="A1093">
            <v>8114</v>
          </cell>
          <cell r="B1093" t="str">
            <v>977mm 직관(SUS/AL)</v>
          </cell>
          <cell r="C1093" t="str">
            <v>700Ø</v>
          </cell>
          <cell r="D1093" t="str">
            <v>개</v>
          </cell>
          <cell r="E1093">
            <v>263000</v>
          </cell>
          <cell r="F1093">
            <v>0</v>
          </cell>
          <cell r="H1093">
            <v>657</v>
          </cell>
          <cell r="I1093">
            <v>263000</v>
          </cell>
          <cell r="J1093">
            <v>657</v>
          </cell>
          <cell r="L1093">
            <v>657</v>
          </cell>
        </row>
        <row r="1094">
          <cell r="A1094">
            <v>8115</v>
          </cell>
          <cell r="B1094" t="str">
            <v>977mm 직관(SUS/AL)</v>
          </cell>
          <cell r="C1094" t="str">
            <v>600Ø</v>
          </cell>
          <cell r="D1094" t="str">
            <v>개</v>
          </cell>
          <cell r="E1094">
            <v>229000</v>
          </cell>
          <cell r="F1094">
            <v>0</v>
          </cell>
          <cell r="H1094">
            <v>657</v>
          </cell>
          <cell r="I1094">
            <v>229000</v>
          </cell>
          <cell r="J1094">
            <v>657</v>
          </cell>
          <cell r="L1094">
            <v>657</v>
          </cell>
        </row>
        <row r="1095">
          <cell r="A1095">
            <v>8116</v>
          </cell>
          <cell r="B1095" t="str">
            <v>977mm 직관(SUS/AL)</v>
          </cell>
          <cell r="C1095" t="str">
            <v>500Ø</v>
          </cell>
          <cell r="D1095" t="str">
            <v>개</v>
          </cell>
          <cell r="E1095">
            <v>191000</v>
          </cell>
          <cell r="F1095">
            <v>0</v>
          </cell>
          <cell r="H1095">
            <v>657</v>
          </cell>
          <cell r="I1095">
            <v>191000</v>
          </cell>
          <cell r="J1095">
            <v>657</v>
          </cell>
          <cell r="L1095">
            <v>657</v>
          </cell>
        </row>
        <row r="1096">
          <cell r="A1096">
            <v>8117</v>
          </cell>
          <cell r="B1096" t="str">
            <v>977mm 직관(SUS/AL)</v>
          </cell>
          <cell r="C1096" t="str">
            <v>400Ø</v>
          </cell>
          <cell r="D1096" t="str">
            <v>개</v>
          </cell>
          <cell r="E1096">
            <v>148000</v>
          </cell>
          <cell r="F1096">
            <v>0</v>
          </cell>
          <cell r="H1096">
            <v>657</v>
          </cell>
          <cell r="I1096">
            <v>148000</v>
          </cell>
          <cell r="J1096">
            <v>657</v>
          </cell>
          <cell r="L1096">
            <v>657</v>
          </cell>
        </row>
        <row r="1097">
          <cell r="A1097">
            <v>8118</v>
          </cell>
          <cell r="B1097" t="str">
            <v>977mm 직관(SUS/AL)</v>
          </cell>
          <cell r="C1097" t="str">
            <v>300Ø</v>
          </cell>
          <cell r="D1097" t="str">
            <v>개</v>
          </cell>
          <cell r="E1097">
            <v>110000</v>
          </cell>
          <cell r="F1097">
            <v>0</v>
          </cell>
          <cell r="H1097">
            <v>657</v>
          </cell>
          <cell r="I1097">
            <v>110000</v>
          </cell>
          <cell r="J1097">
            <v>657</v>
          </cell>
          <cell r="L1097">
            <v>657</v>
          </cell>
        </row>
        <row r="1098">
          <cell r="A1098">
            <v>8119</v>
          </cell>
          <cell r="B1098" t="str">
            <v>977mm 직관(SUS/AL)</v>
          </cell>
          <cell r="C1098" t="str">
            <v>200Ø</v>
          </cell>
          <cell r="D1098" t="str">
            <v>개</v>
          </cell>
          <cell r="E1098">
            <v>71800</v>
          </cell>
          <cell r="F1098">
            <v>0</v>
          </cell>
          <cell r="H1098">
            <v>657</v>
          </cell>
          <cell r="I1098">
            <v>71800</v>
          </cell>
          <cell r="J1098">
            <v>657</v>
          </cell>
          <cell r="L1098">
            <v>657</v>
          </cell>
        </row>
        <row r="1099">
          <cell r="A1099">
            <v>8121</v>
          </cell>
          <cell r="B1099" t="str">
            <v>477mm 직관(SUS/AL)</v>
          </cell>
          <cell r="C1099" t="str">
            <v>1,000Ø</v>
          </cell>
          <cell r="D1099" t="str">
            <v>개</v>
          </cell>
          <cell r="E1099">
            <v>322000</v>
          </cell>
          <cell r="F1099">
            <v>0</v>
          </cell>
          <cell r="H1099">
            <v>657</v>
          </cell>
          <cell r="I1099">
            <v>322000</v>
          </cell>
          <cell r="J1099">
            <v>657</v>
          </cell>
          <cell r="L1099">
            <v>657</v>
          </cell>
        </row>
        <row r="1100">
          <cell r="A1100">
            <v>8122</v>
          </cell>
          <cell r="B1100" t="str">
            <v>477mm 직관(SUS/AL)</v>
          </cell>
          <cell r="C1100" t="str">
            <v>900Ø</v>
          </cell>
          <cell r="D1100" t="str">
            <v>개</v>
          </cell>
          <cell r="E1100">
            <v>256000</v>
          </cell>
          <cell r="F1100">
            <v>0</v>
          </cell>
          <cell r="H1100">
            <v>657</v>
          </cell>
          <cell r="I1100">
            <v>256000</v>
          </cell>
          <cell r="J1100">
            <v>657</v>
          </cell>
          <cell r="L1100">
            <v>657</v>
          </cell>
        </row>
        <row r="1101">
          <cell r="A1101">
            <v>8123</v>
          </cell>
          <cell r="B1101" t="str">
            <v>477mm 직관(SUS/AL)</v>
          </cell>
          <cell r="C1101" t="str">
            <v>800Ø</v>
          </cell>
          <cell r="D1101" t="str">
            <v>개</v>
          </cell>
          <cell r="E1101">
            <v>229000</v>
          </cell>
          <cell r="F1101">
            <v>0</v>
          </cell>
          <cell r="H1101">
            <v>657</v>
          </cell>
          <cell r="I1101">
            <v>229000</v>
          </cell>
          <cell r="J1101">
            <v>657</v>
          </cell>
          <cell r="L1101">
            <v>657</v>
          </cell>
        </row>
        <row r="1102">
          <cell r="A1102">
            <v>8124</v>
          </cell>
          <cell r="B1102" t="str">
            <v>477mm 직관(SUS/AL)</v>
          </cell>
          <cell r="C1102" t="str">
            <v>700Ø</v>
          </cell>
          <cell r="D1102" t="str">
            <v>개</v>
          </cell>
          <cell r="E1102">
            <v>199000</v>
          </cell>
          <cell r="F1102">
            <v>0</v>
          </cell>
          <cell r="H1102">
            <v>657</v>
          </cell>
          <cell r="I1102">
            <v>199000</v>
          </cell>
          <cell r="J1102">
            <v>657</v>
          </cell>
          <cell r="L1102">
            <v>657</v>
          </cell>
        </row>
        <row r="1103">
          <cell r="A1103">
            <v>8125</v>
          </cell>
          <cell r="B1103" t="str">
            <v>477mm 직관(SUS/AL)</v>
          </cell>
          <cell r="C1103" t="str">
            <v>600Ø</v>
          </cell>
          <cell r="D1103" t="str">
            <v>개</v>
          </cell>
          <cell r="E1103">
            <v>171000</v>
          </cell>
          <cell r="F1103">
            <v>0</v>
          </cell>
          <cell r="H1103">
            <v>657</v>
          </cell>
          <cell r="I1103">
            <v>171000</v>
          </cell>
          <cell r="J1103">
            <v>657</v>
          </cell>
          <cell r="L1103">
            <v>657</v>
          </cell>
        </row>
        <row r="1104">
          <cell r="A1104">
            <v>8126</v>
          </cell>
          <cell r="B1104" t="str">
            <v>477mm 직관(SUS/AL)</v>
          </cell>
          <cell r="C1104" t="str">
            <v>500Ø</v>
          </cell>
          <cell r="D1104" t="str">
            <v>개</v>
          </cell>
          <cell r="E1104">
            <v>143000</v>
          </cell>
          <cell r="F1104">
            <v>0</v>
          </cell>
          <cell r="H1104">
            <v>657</v>
          </cell>
          <cell r="I1104">
            <v>143000</v>
          </cell>
          <cell r="J1104">
            <v>657</v>
          </cell>
          <cell r="L1104">
            <v>657</v>
          </cell>
        </row>
        <row r="1105">
          <cell r="A1105">
            <v>8127</v>
          </cell>
          <cell r="B1105" t="str">
            <v>477mm 직관(SUS/AL)</v>
          </cell>
          <cell r="C1105" t="str">
            <v>400Ø</v>
          </cell>
          <cell r="D1105" t="str">
            <v>개</v>
          </cell>
          <cell r="E1105">
            <v>114000</v>
          </cell>
          <cell r="F1105">
            <v>0</v>
          </cell>
          <cell r="H1105">
            <v>657</v>
          </cell>
          <cell r="I1105">
            <v>114000</v>
          </cell>
          <cell r="J1105">
            <v>657</v>
          </cell>
          <cell r="L1105">
            <v>657</v>
          </cell>
        </row>
        <row r="1106">
          <cell r="A1106">
            <v>8128</v>
          </cell>
          <cell r="B1106" t="str">
            <v>477mm 직관(SUS/AL)</v>
          </cell>
          <cell r="C1106" t="str">
            <v>300Ø</v>
          </cell>
          <cell r="D1106" t="str">
            <v>개</v>
          </cell>
          <cell r="E1106">
            <v>85300</v>
          </cell>
          <cell r="F1106">
            <v>0</v>
          </cell>
          <cell r="H1106">
            <v>657</v>
          </cell>
          <cell r="I1106">
            <v>85300</v>
          </cell>
          <cell r="J1106">
            <v>657</v>
          </cell>
          <cell r="L1106">
            <v>657</v>
          </cell>
        </row>
        <row r="1107">
          <cell r="A1107">
            <v>8129</v>
          </cell>
          <cell r="B1107" t="str">
            <v>477mm 직관(SUS/AL)</v>
          </cell>
          <cell r="C1107" t="str">
            <v>200Ø</v>
          </cell>
          <cell r="D1107" t="str">
            <v>개</v>
          </cell>
          <cell r="E1107">
            <v>57400</v>
          </cell>
          <cell r="F1107">
            <v>0</v>
          </cell>
          <cell r="H1107">
            <v>657</v>
          </cell>
          <cell r="I1107">
            <v>57400</v>
          </cell>
          <cell r="J1107">
            <v>657</v>
          </cell>
          <cell r="L1107">
            <v>657</v>
          </cell>
        </row>
        <row r="1108">
          <cell r="A1108">
            <v>8131</v>
          </cell>
          <cell r="B1108" t="str">
            <v>Damper Valve</v>
          </cell>
          <cell r="C1108" t="str">
            <v>1,000Ø</v>
          </cell>
          <cell r="D1108" t="str">
            <v>개</v>
          </cell>
          <cell r="E1108">
            <v>525000</v>
          </cell>
          <cell r="F1108">
            <v>0</v>
          </cell>
          <cell r="H1108">
            <v>657</v>
          </cell>
          <cell r="I1108">
            <v>525000</v>
          </cell>
          <cell r="J1108">
            <v>657</v>
          </cell>
          <cell r="L1108">
            <v>657</v>
          </cell>
        </row>
        <row r="1109">
          <cell r="A1109">
            <v>8132</v>
          </cell>
          <cell r="B1109" t="str">
            <v>Damper Valve</v>
          </cell>
          <cell r="C1109" t="str">
            <v>900Ø</v>
          </cell>
          <cell r="D1109" t="str">
            <v>개</v>
          </cell>
          <cell r="E1109">
            <v>421000</v>
          </cell>
          <cell r="F1109">
            <v>0</v>
          </cell>
          <cell r="H1109">
            <v>657</v>
          </cell>
          <cell r="I1109">
            <v>421000</v>
          </cell>
          <cell r="J1109">
            <v>657</v>
          </cell>
          <cell r="L1109">
            <v>657</v>
          </cell>
        </row>
        <row r="1110">
          <cell r="A1110">
            <v>8133</v>
          </cell>
          <cell r="B1110" t="str">
            <v>Damper Valve</v>
          </cell>
          <cell r="C1110" t="str">
            <v>800Ø</v>
          </cell>
          <cell r="D1110" t="str">
            <v>개</v>
          </cell>
          <cell r="E1110">
            <v>370000</v>
          </cell>
          <cell r="F1110">
            <v>0</v>
          </cell>
          <cell r="H1110">
            <v>657</v>
          </cell>
          <cell r="I1110">
            <v>370000</v>
          </cell>
          <cell r="J1110">
            <v>657</v>
          </cell>
          <cell r="L1110">
            <v>657</v>
          </cell>
        </row>
        <row r="1111">
          <cell r="A1111">
            <v>8134</v>
          </cell>
          <cell r="B1111" t="str">
            <v>Damper Valve</v>
          </cell>
          <cell r="C1111" t="str">
            <v>700Ø</v>
          </cell>
          <cell r="D1111" t="str">
            <v>개</v>
          </cell>
          <cell r="E1111">
            <v>328000</v>
          </cell>
          <cell r="F1111">
            <v>0</v>
          </cell>
          <cell r="H1111">
            <v>657</v>
          </cell>
          <cell r="I1111">
            <v>328000</v>
          </cell>
          <cell r="J1111">
            <v>657</v>
          </cell>
          <cell r="L1111">
            <v>657</v>
          </cell>
        </row>
        <row r="1112">
          <cell r="A1112">
            <v>8135</v>
          </cell>
          <cell r="B1112" t="str">
            <v>Damper Valve</v>
          </cell>
          <cell r="C1112" t="str">
            <v>600Ø</v>
          </cell>
          <cell r="D1112" t="str">
            <v>개</v>
          </cell>
          <cell r="E1112">
            <v>285000</v>
          </cell>
          <cell r="F1112">
            <v>0</v>
          </cell>
          <cell r="H1112">
            <v>657</v>
          </cell>
          <cell r="I1112">
            <v>285000</v>
          </cell>
          <cell r="J1112">
            <v>657</v>
          </cell>
          <cell r="L1112">
            <v>657</v>
          </cell>
        </row>
        <row r="1113">
          <cell r="A1113">
            <v>8136</v>
          </cell>
          <cell r="B1113" t="str">
            <v>Damper Valve</v>
          </cell>
          <cell r="C1113" t="str">
            <v>500Ø</v>
          </cell>
          <cell r="D1113" t="str">
            <v>개</v>
          </cell>
          <cell r="E1113">
            <v>244000</v>
          </cell>
          <cell r="F1113">
            <v>0</v>
          </cell>
          <cell r="H1113">
            <v>657</v>
          </cell>
          <cell r="I1113">
            <v>244000</v>
          </cell>
          <cell r="J1113">
            <v>657</v>
          </cell>
          <cell r="L1113">
            <v>657</v>
          </cell>
        </row>
        <row r="1114">
          <cell r="A1114">
            <v>8137</v>
          </cell>
          <cell r="B1114" t="str">
            <v>Damper Valve</v>
          </cell>
          <cell r="C1114" t="str">
            <v>400Ø</v>
          </cell>
          <cell r="D1114" t="str">
            <v>개</v>
          </cell>
          <cell r="E1114">
            <v>194000</v>
          </cell>
          <cell r="F1114">
            <v>0</v>
          </cell>
          <cell r="H1114">
            <v>657</v>
          </cell>
          <cell r="I1114">
            <v>194000</v>
          </cell>
          <cell r="J1114">
            <v>657</v>
          </cell>
          <cell r="L1114">
            <v>657</v>
          </cell>
        </row>
        <row r="1115">
          <cell r="A1115">
            <v>8138</v>
          </cell>
          <cell r="B1115" t="str">
            <v>Damper Valve</v>
          </cell>
          <cell r="C1115" t="str">
            <v>300Ø</v>
          </cell>
          <cell r="D1115" t="str">
            <v>개</v>
          </cell>
          <cell r="E1115">
            <v>178000</v>
          </cell>
          <cell r="F1115">
            <v>0</v>
          </cell>
          <cell r="H1115">
            <v>657</v>
          </cell>
          <cell r="I1115">
            <v>178000</v>
          </cell>
          <cell r="J1115">
            <v>657</v>
          </cell>
          <cell r="L1115">
            <v>657</v>
          </cell>
        </row>
        <row r="1116">
          <cell r="A1116">
            <v>8139</v>
          </cell>
          <cell r="B1116" t="str">
            <v>Damper Valve</v>
          </cell>
          <cell r="C1116" t="str">
            <v>200Ø</v>
          </cell>
          <cell r="D1116" t="str">
            <v>개</v>
          </cell>
          <cell r="E1116">
            <v>130000</v>
          </cell>
          <cell r="F1116">
            <v>0</v>
          </cell>
          <cell r="H1116">
            <v>657</v>
          </cell>
          <cell r="I1116">
            <v>130000</v>
          </cell>
          <cell r="J1116">
            <v>657</v>
          </cell>
          <cell r="L1116">
            <v>657</v>
          </cell>
        </row>
        <row r="1117">
          <cell r="A1117">
            <v>8141</v>
          </cell>
          <cell r="B1117" t="str">
            <v>Wall Support</v>
          </cell>
          <cell r="C1117" t="str">
            <v>1,000Ø</v>
          </cell>
          <cell r="D1117" t="str">
            <v>개</v>
          </cell>
          <cell r="E1117">
            <v>331000</v>
          </cell>
          <cell r="F1117">
            <v>0</v>
          </cell>
          <cell r="H1117">
            <v>657</v>
          </cell>
          <cell r="I1117">
            <v>331000</v>
          </cell>
          <cell r="J1117">
            <v>657</v>
          </cell>
          <cell r="L1117">
            <v>657</v>
          </cell>
        </row>
        <row r="1118">
          <cell r="A1118">
            <v>8142</v>
          </cell>
          <cell r="B1118" t="str">
            <v>Wall Support</v>
          </cell>
          <cell r="C1118" t="str">
            <v>900Ø</v>
          </cell>
          <cell r="D1118" t="str">
            <v>개</v>
          </cell>
          <cell r="E1118">
            <v>247000</v>
          </cell>
          <cell r="F1118">
            <v>0</v>
          </cell>
          <cell r="H1118">
            <v>657</v>
          </cell>
          <cell r="I1118">
            <v>247000</v>
          </cell>
          <cell r="J1118">
            <v>657</v>
          </cell>
          <cell r="L1118">
            <v>657</v>
          </cell>
        </row>
        <row r="1119">
          <cell r="A1119">
            <v>8143</v>
          </cell>
          <cell r="B1119" t="str">
            <v>Wall Support</v>
          </cell>
          <cell r="C1119" t="str">
            <v>800Ø</v>
          </cell>
          <cell r="D1119" t="str">
            <v>개</v>
          </cell>
          <cell r="E1119">
            <v>213000</v>
          </cell>
          <cell r="F1119">
            <v>0</v>
          </cell>
          <cell r="H1119">
            <v>657</v>
          </cell>
          <cell r="I1119">
            <v>213000</v>
          </cell>
          <cell r="J1119">
            <v>657</v>
          </cell>
          <cell r="L1119">
            <v>657</v>
          </cell>
        </row>
        <row r="1120">
          <cell r="A1120">
            <v>8144</v>
          </cell>
          <cell r="B1120" t="str">
            <v>Wall Support</v>
          </cell>
          <cell r="C1120" t="str">
            <v>700Ø</v>
          </cell>
          <cell r="D1120" t="str">
            <v>개</v>
          </cell>
          <cell r="E1120">
            <v>182000</v>
          </cell>
          <cell r="F1120">
            <v>0</v>
          </cell>
          <cell r="H1120">
            <v>657</v>
          </cell>
          <cell r="I1120">
            <v>182000</v>
          </cell>
          <cell r="J1120">
            <v>657</v>
          </cell>
          <cell r="L1120">
            <v>657</v>
          </cell>
        </row>
        <row r="1121">
          <cell r="A1121">
            <v>8145</v>
          </cell>
          <cell r="B1121" t="str">
            <v>Wall Support</v>
          </cell>
          <cell r="C1121" t="str">
            <v>600Ø</v>
          </cell>
          <cell r="D1121" t="str">
            <v>개</v>
          </cell>
          <cell r="E1121">
            <v>166000</v>
          </cell>
          <cell r="F1121">
            <v>0</v>
          </cell>
          <cell r="H1121">
            <v>657</v>
          </cell>
          <cell r="I1121">
            <v>166000</v>
          </cell>
          <cell r="J1121">
            <v>657</v>
          </cell>
          <cell r="L1121">
            <v>657</v>
          </cell>
        </row>
        <row r="1122">
          <cell r="A1122">
            <v>8146</v>
          </cell>
          <cell r="B1122" t="str">
            <v>Wall Support</v>
          </cell>
          <cell r="C1122" t="str">
            <v>500Ø</v>
          </cell>
          <cell r="D1122" t="str">
            <v>개</v>
          </cell>
          <cell r="E1122">
            <v>143000</v>
          </cell>
          <cell r="F1122">
            <v>0</v>
          </cell>
          <cell r="H1122">
            <v>657</v>
          </cell>
          <cell r="I1122">
            <v>143000</v>
          </cell>
          <cell r="J1122">
            <v>657</v>
          </cell>
          <cell r="L1122">
            <v>657</v>
          </cell>
        </row>
        <row r="1123">
          <cell r="A1123">
            <v>8147</v>
          </cell>
          <cell r="B1123" t="str">
            <v>Wall Support</v>
          </cell>
          <cell r="C1123" t="str">
            <v>400Ø</v>
          </cell>
          <cell r="D1123" t="str">
            <v>개</v>
          </cell>
          <cell r="E1123">
            <v>133000</v>
          </cell>
          <cell r="F1123">
            <v>0</v>
          </cell>
          <cell r="H1123">
            <v>657</v>
          </cell>
          <cell r="I1123">
            <v>133000</v>
          </cell>
          <cell r="J1123">
            <v>657</v>
          </cell>
          <cell r="L1123">
            <v>657</v>
          </cell>
        </row>
        <row r="1124">
          <cell r="A1124">
            <v>8148</v>
          </cell>
          <cell r="B1124" t="str">
            <v>Wall Support</v>
          </cell>
          <cell r="C1124" t="str">
            <v>300Ø</v>
          </cell>
          <cell r="D1124" t="str">
            <v>개</v>
          </cell>
          <cell r="E1124">
            <v>123000</v>
          </cell>
          <cell r="F1124">
            <v>0</v>
          </cell>
          <cell r="H1124">
            <v>657</v>
          </cell>
          <cell r="I1124">
            <v>123000</v>
          </cell>
          <cell r="J1124">
            <v>657</v>
          </cell>
          <cell r="L1124">
            <v>657</v>
          </cell>
        </row>
        <row r="1125">
          <cell r="A1125">
            <v>8149</v>
          </cell>
          <cell r="B1125" t="str">
            <v>Wall Support</v>
          </cell>
          <cell r="C1125" t="str">
            <v>200Ø</v>
          </cell>
          <cell r="D1125" t="str">
            <v>개</v>
          </cell>
          <cell r="E1125">
            <v>98000</v>
          </cell>
          <cell r="F1125">
            <v>0</v>
          </cell>
          <cell r="H1125">
            <v>657</v>
          </cell>
          <cell r="I1125">
            <v>98000</v>
          </cell>
          <cell r="J1125">
            <v>657</v>
          </cell>
          <cell r="L1125">
            <v>657</v>
          </cell>
        </row>
        <row r="1126">
          <cell r="A1126">
            <v>8151</v>
          </cell>
          <cell r="B1126" t="str">
            <v>Wall Guide Assembly</v>
          </cell>
          <cell r="C1126" t="str">
            <v>1,000Ø</v>
          </cell>
          <cell r="D1126" t="str">
            <v>개</v>
          </cell>
          <cell r="E1126">
            <v>167000</v>
          </cell>
          <cell r="F1126">
            <v>0</v>
          </cell>
          <cell r="H1126">
            <v>657</v>
          </cell>
          <cell r="I1126">
            <v>167000</v>
          </cell>
          <cell r="J1126">
            <v>657</v>
          </cell>
          <cell r="L1126">
            <v>657</v>
          </cell>
        </row>
        <row r="1127">
          <cell r="A1127">
            <v>8152</v>
          </cell>
          <cell r="B1127" t="str">
            <v>Wall Guide Assembly</v>
          </cell>
          <cell r="C1127" t="str">
            <v>900Ø</v>
          </cell>
          <cell r="D1127" t="str">
            <v>개</v>
          </cell>
          <cell r="E1127">
            <v>128000</v>
          </cell>
          <cell r="F1127">
            <v>0</v>
          </cell>
          <cell r="H1127">
            <v>657</v>
          </cell>
          <cell r="I1127">
            <v>128000</v>
          </cell>
          <cell r="J1127">
            <v>657</v>
          </cell>
          <cell r="L1127">
            <v>657</v>
          </cell>
        </row>
        <row r="1128">
          <cell r="A1128">
            <v>8153</v>
          </cell>
          <cell r="B1128" t="str">
            <v>Wall Guide Assembly</v>
          </cell>
          <cell r="C1128" t="str">
            <v>800Ø</v>
          </cell>
          <cell r="D1128" t="str">
            <v>개</v>
          </cell>
          <cell r="E1128">
            <v>114000</v>
          </cell>
          <cell r="F1128">
            <v>0</v>
          </cell>
          <cell r="H1128">
            <v>657</v>
          </cell>
          <cell r="I1128">
            <v>114000</v>
          </cell>
          <cell r="J1128">
            <v>657</v>
          </cell>
          <cell r="L1128">
            <v>657</v>
          </cell>
        </row>
        <row r="1129">
          <cell r="A1129">
            <v>8154</v>
          </cell>
          <cell r="B1129" t="str">
            <v>Wall Guide Assembly</v>
          </cell>
          <cell r="C1129" t="str">
            <v>700Ø</v>
          </cell>
          <cell r="D1129" t="str">
            <v>개</v>
          </cell>
          <cell r="E1129">
            <v>103000</v>
          </cell>
          <cell r="F1129">
            <v>0</v>
          </cell>
          <cell r="H1129">
            <v>657</v>
          </cell>
          <cell r="I1129">
            <v>103000</v>
          </cell>
          <cell r="J1129">
            <v>657</v>
          </cell>
          <cell r="L1129">
            <v>657</v>
          </cell>
        </row>
        <row r="1130">
          <cell r="A1130">
            <v>8155</v>
          </cell>
          <cell r="B1130" t="str">
            <v>Wall Guide Assembly</v>
          </cell>
          <cell r="C1130" t="str">
            <v>600Ø</v>
          </cell>
          <cell r="D1130" t="str">
            <v>개</v>
          </cell>
          <cell r="E1130">
            <v>89000</v>
          </cell>
          <cell r="F1130">
            <v>0</v>
          </cell>
          <cell r="H1130">
            <v>657</v>
          </cell>
          <cell r="I1130">
            <v>89000</v>
          </cell>
          <cell r="J1130">
            <v>657</v>
          </cell>
          <cell r="L1130">
            <v>657</v>
          </cell>
        </row>
        <row r="1131">
          <cell r="A1131">
            <v>8156</v>
          </cell>
          <cell r="B1131" t="str">
            <v>Wall Guide Assembly</v>
          </cell>
          <cell r="C1131" t="str">
            <v>500Ø</v>
          </cell>
          <cell r="D1131" t="str">
            <v>개</v>
          </cell>
          <cell r="E1131">
            <v>77800</v>
          </cell>
          <cell r="F1131">
            <v>0</v>
          </cell>
          <cell r="H1131">
            <v>657</v>
          </cell>
          <cell r="I1131">
            <v>77800</v>
          </cell>
          <cell r="J1131">
            <v>657</v>
          </cell>
          <cell r="L1131">
            <v>657</v>
          </cell>
        </row>
        <row r="1132">
          <cell r="A1132">
            <v>8157</v>
          </cell>
          <cell r="B1132" t="str">
            <v>Wall Guide Assembly</v>
          </cell>
          <cell r="C1132" t="str">
            <v>400Ø</v>
          </cell>
          <cell r="D1132" t="str">
            <v>개</v>
          </cell>
          <cell r="E1132">
            <v>69000</v>
          </cell>
          <cell r="F1132">
            <v>0</v>
          </cell>
          <cell r="H1132">
            <v>657</v>
          </cell>
          <cell r="I1132">
            <v>69000</v>
          </cell>
          <cell r="J1132">
            <v>657</v>
          </cell>
          <cell r="L1132">
            <v>657</v>
          </cell>
        </row>
        <row r="1133">
          <cell r="A1133">
            <v>8158</v>
          </cell>
          <cell r="B1133" t="str">
            <v>Wall Guide Assembly</v>
          </cell>
          <cell r="C1133" t="str">
            <v>300Ø</v>
          </cell>
          <cell r="D1133" t="str">
            <v>개</v>
          </cell>
          <cell r="E1133">
            <v>63000</v>
          </cell>
          <cell r="F1133">
            <v>0</v>
          </cell>
          <cell r="H1133">
            <v>657</v>
          </cell>
          <cell r="I1133">
            <v>63000</v>
          </cell>
          <cell r="J1133">
            <v>657</v>
          </cell>
          <cell r="L1133">
            <v>657</v>
          </cell>
        </row>
        <row r="1134">
          <cell r="A1134">
            <v>8159</v>
          </cell>
          <cell r="B1134" t="str">
            <v>Wall Guide Assembly</v>
          </cell>
          <cell r="C1134" t="str">
            <v>200Ø</v>
          </cell>
          <cell r="D1134" t="str">
            <v>개</v>
          </cell>
          <cell r="E1134">
            <v>49800</v>
          </cell>
          <cell r="F1134">
            <v>0</v>
          </cell>
          <cell r="H1134">
            <v>657</v>
          </cell>
          <cell r="I1134">
            <v>49800</v>
          </cell>
          <cell r="J1134">
            <v>657</v>
          </cell>
          <cell r="L1134">
            <v>657</v>
          </cell>
        </row>
        <row r="1135">
          <cell r="A1135">
            <v>8161</v>
          </cell>
          <cell r="B1135" t="str">
            <v>Bellows Joint</v>
          </cell>
          <cell r="C1135" t="str">
            <v>1,000Ø</v>
          </cell>
          <cell r="D1135" t="str">
            <v>개</v>
          </cell>
          <cell r="E1135">
            <v>1605000</v>
          </cell>
          <cell r="F1135">
            <v>0</v>
          </cell>
          <cell r="H1135">
            <v>657</v>
          </cell>
          <cell r="I1135">
            <v>1605000</v>
          </cell>
          <cell r="J1135">
            <v>657</v>
          </cell>
          <cell r="L1135">
            <v>657</v>
          </cell>
        </row>
        <row r="1136">
          <cell r="A1136">
            <v>8162</v>
          </cell>
          <cell r="B1136" t="str">
            <v>Bellows Joint</v>
          </cell>
          <cell r="C1136" t="str">
            <v>900Ø</v>
          </cell>
          <cell r="D1136" t="str">
            <v>개</v>
          </cell>
          <cell r="E1136">
            <v>1498000</v>
          </cell>
          <cell r="F1136">
            <v>0</v>
          </cell>
          <cell r="H1136">
            <v>657</v>
          </cell>
          <cell r="I1136">
            <v>1498000</v>
          </cell>
          <cell r="J1136">
            <v>657</v>
          </cell>
          <cell r="L1136">
            <v>657</v>
          </cell>
        </row>
        <row r="1137">
          <cell r="A1137">
            <v>8163</v>
          </cell>
          <cell r="B1137" t="str">
            <v>Bellows Joint</v>
          </cell>
          <cell r="C1137" t="str">
            <v>800Ø</v>
          </cell>
          <cell r="D1137" t="str">
            <v>개</v>
          </cell>
          <cell r="E1137">
            <v>1428000</v>
          </cell>
          <cell r="F1137">
            <v>0</v>
          </cell>
          <cell r="H1137">
            <v>657</v>
          </cell>
          <cell r="I1137">
            <v>1428000</v>
          </cell>
          <cell r="J1137">
            <v>657</v>
          </cell>
          <cell r="L1137">
            <v>657</v>
          </cell>
        </row>
        <row r="1138">
          <cell r="A1138">
            <v>8164</v>
          </cell>
          <cell r="B1138" t="str">
            <v>Bellows Joint</v>
          </cell>
          <cell r="C1138" t="str">
            <v>700Ø</v>
          </cell>
          <cell r="D1138" t="str">
            <v>개</v>
          </cell>
          <cell r="E1138">
            <v>1275000</v>
          </cell>
          <cell r="F1138">
            <v>0</v>
          </cell>
          <cell r="H1138">
            <v>657</v>
          </cell>
          <cell r="I1138">
            <v>1275000</v>
          </cell>
          <cell r="J1138">
            <v>657</v>
          </cell>
          <cell r="L1138">
            <v>657</v>
          </cell>
        </row>
        <row r="1139">
          <cell r="A1139">
            <v>8165</v>
          </cell>
          <cell r="B1139" t="str">
            <v>Bellows Joint</v>
          </cell>
          <cell r="C1139" t="str">
            <v>600Ø</v>
          </cell>
          <cell r="D1139" t="str">
            <v>개</v>
          </cell>
          <cell r="E1139">
            <v>1072000</v>
          </cell>
          <cell r="F1139">
            <v>0</v>
          </cell>
          <cell r="H1139">
            <v>657</v>
          </cell>
          <cell r="I1139">
            <v>1072000</v>
          </cell>
          <cell r="J1139">
            <v>657</v>
          </cell>
          <cell r="L1139">
            <v>657</v>
          </cell>
        </row>
        <row r="1140">
          <cell r="A1140">
            <v>8166</v>
          </cell>
          <cell r="B1140" t="str">
            <v>Bellows Joint</v>
          </cell>
          <cell r="C1140" t="str">
            <v>500Ø</v>
          </cell>
          <cell r="D1140" t="str">
            <v>개</v>
          </cell>
          <cell r="E1140">
            <v>658000</v>
          </cell>
          <cell r="F1140">
            <v>0</v>
          </cell>
          <cell r="H1140">
            <v>657</v>
          </cell>
          <cell r="I1140">
            <v>658000</v>
          </cell>
          <cell r="J1140">
            <v>657</v>
          </cell>
          <cell r="L1140">
            <v>657</v>
          </cell>
        </row>
        <row r="1141">
          <cell r="A1141">
            <v>8167</v>
          </cell>
          <cell r="B1141" t="str">
            <v>Bellows Joint</v>
          </cell>
          <cell r="C1141" t="str">
            <v>400Ø</v>
          </cell>
          <cell r="D1141" t="str">
            <v>개</v>
          </cell>
          <cell r="E1141">
            <v>576000</v>
          </cell>
          <cell r="F1141">
            <v>0</v>
          </cell>
          <cell r="H1141">
            <v>657</v>
          </cell>
          <cell r="I1141">
            <v>576000</v>
          </cell>
          <cell r="J1141">
            <v>657</v>
          </cell>
          <cell r="L1141">
            <v>657</v>
          </cell>
        </row>
        <row r="1142">
          <cell r="A1142">
            <v>8168</v>
          </cell>
          <cell r="B1142" t="str">
            <v>Bellows Joint</v>
          </cell>
          <cell r="C1142" t="str">
            <v>300Ø</v>
          </cell>
          <cell r="D1142" t="str">
            <v>개</v>
          </cell>
          <cell r="E1142">
            <v>513000</v>
          </cell>
          <cell r="F1142">
            <v>0</v>
          </cell>
          <cell r="H1142">
            <v>657</v>
          </cell>
          <cell r="I1142">
            <v>513000</v>
          </cell>
          <cell r="J1142">
            <v>657</v>
          </cell>
          <cell r="L1142">
            <v>657</v>
          </cell>
        </row>
        <row r="1143">
          <cell r="A1143">
            <v>8169</v>
          </cell>
          <cell r="B1143" t="str">
            <v>Bellows Joint</v>
          </cell>
          <cell r="C1143" t="str">
            <v>200Ø</v>
          </cell>
          <cell r="D1143" t="str">
            <v>개</v>
          </cell>
          <cell r="E1143">
            <v>400000</v>
          </cell>
          <cell r="F1143">
            <v>0</v>
          </cell>
          <cell r="H1143">
            <v>657</v>
          </cell>
          <cell r="I1143">
            <v>400000</v>
          </cell>
          <cell r="J1143">
            <v>657</v>
          </cell>
          <cell r="L1143">
            <v>657</v>
          </cell>
        </row>
        <row r="1144">
          <cell r="A1144">
            <v>8171</v>
          </cell>
          <cell r="B1144" t="str">
            <v>Ventilated Trimble</v>
          </cell>
          <cell r="C1144" t="str">
            <v>1,000Ø</v>
          </cell>
          <cell r="D1144" t="str">
            <v>개</v>
          </cell>
          <cell r="E1144">
            <v>314000</v>
          </cell>
          <cell r="F1144">
            <v>0</v>
          </cell>
          <cell r="H1144">
            <v>657</v>
          </cell>
          <cell r="I1144">
            <v>314000</v>
          </cell>
          <cell r="J1144">
            <v>657</v>
          </cell>
          <cell r="L1144">
            <v>657</v>
          </cell>
        </row>
        <row r="1145">
          <cell r="A1145">
            <v>8172</v>
          </cell>
          <cell r="B1145" t="str">
            <v>Ventilated Trimble</v>
          </cell>
          <cell r="C1145" t="str">
            <v>900Ø</v>
          </cell>
          <cell r="D1145" t="str">
            <v>개</v>
          </cell>
          <cell r="E1145">
            <v>247000</v>
          </cell>
          <cell r="F1145">
            <v>0</v>
          </cell>
          <cell r="H1145">
            <v>657</v>
          </cell>
          <cell r="I1145">
            <v>247000</v>
          </cell>
          <cell r="J1145">
            <v>657</v>
          </cell>
          <cell r="L1145">
            <v>657</v>
          </cell>
        </row>
        <row r="1146">
          <cell r="A1146">
            <v>8173</v>
          </cell>
          <cell r="B1146" t="str">
            <v>Ventilated Trimble</v>
          </cell>
          <cell r="C1146" t="str">
            <v>800Ø</v>
          </cell>
          <cell r="D1146" t="str">
            <v>개</v>
          </cell>
          <cell r="E1146">
            <v>227000</v>
          </cell>
          <cell r="F1146">
            <v>0</v>
          </cell>
          <cell r="H1146">
            <v>657</v>
          </cell>
          <cell r="I1146">
            <v>227000</v>
          </cell>
          <cell r="J1146">
            <v>657</v>
          </cell>
          <cell r="L1146">
            <v>657</v>
          </cell>
        </row>
        <row r="1147">
          <cell r="A1147">
            <v>8174</v>
          </cell>
          <cell r="B1147" t="str">
            <v>Ventilated Trimble</v>
          </cell>
          <cell r="C1147" t="str">
            <v>700Ø</v>
          </cell>
          <cell r="D1147" t="str">
            <v>개</v>
          </cell>
          <cell r="E1147">
            <v>205000</v>
          </cell>
          <cell r="F1147">
            <v>0</v>
          </cell>
          <cell r="H1147">
            <v>657</v>
          </cell>
          <cell r="I1147">
            <v>205000</v>
          </cell>
          <cell r="J1147">
            <v>657</v>
          </cell>
          <cell r="L1147">
            <v>657</v>
          </cell>
        </row>
        <row r="1148">
          <cell r="A1148">
            <v>8175</v>
          </cell>
          <cell r="B1148" t="str">
            <v>Ventilated Trimble</v>
          </cell>
          <cell r="C1148" t="str">
            <v>600Ø</v>
          </cell>
          <cell r="D1148" t="str">
            <v>개</v>
          </cell>
          <cell r="E1148">
            <v>183000</v>
          </cell>
          <cell r="F1148">
            <v>0</v>
          </cell>
          <cell r="H1148">
            <v>657</v>
          </cell>
          <cell r="I1148">
            <v>183000</v>
          </cell>
          <cell r="J1148">
            <v>657</v>
          </cell>
          <cell r="L1148">
            <v>657</v>
          </cell>
        </row>
        <row r="1149">
          <cell r="A1149">
            <v>8176</v>
          </cell>
          <cell r="B1149" t="str">
            <v>Ventilated Trimble</v>
          </cell>
          <cell r="C1149" t="str">
            <v>500Ø</v>
          </cell>
          <cell r="D1149" t="str">
            <v>개</v>
          </cell>
          <cell r="E1149">
            <v>164000</v>
          </cell>
          <cell r="F1149">
            <v>0</v>
          </cell>
          <cell r="H1149">
            <v>657</v>
          </cell>
          <cell r="I1149">
            <v>164000</v>
          </cell>
          <cell r="J1149">
            <v>657</v>
          </cell>
          <cell r="L1149">
            <v>657</v>
          </cell>
        </row>
        <row r="1150">
          <cell r="A1150">
            <v>8177</v>
          </cell>
          <cell r="B1150" t="str">
            <v>Ventilated Trimble</v>
          </cell>
          <cell r="C1150" t="str">
            <v>400Ø</v>
          </cell>
          <cell r="D1150" t="str">
            <v>개</v>
          </cell>
          <cell r="E1150">
            <v>148000</v>
          </cell>
          <cell r="F1150">
            <v>0</v>
          </cell>
          <cell r="H1150">
            <v>657</v>
          </cell>
          <cell r="I1150">
            <v>148000</v>
          </cell>
          <cell r="J1150">
            <v>657</v>
          </cell>
          <cell r="L1150">
            <v>657</v>
          </cell>
        </row>
        <row r="1151">
          <cell r="A1151">
            <v>8178</v>
          </cell>
          <cell r="B1151" t="str">
            <v>Ventilated Trimble</v>
          </cell>
          <cell r="C1151" t="str">
            <v>300Ø</v>
          </cell>
          <cell r="D1151" t="str">
            <v>개</v>
          </cell>
          <cell r="E1151">
            <v>133000</v>
          </cell>
          <cell r="F1151">
            <v>0</v>
          </cell>
          <cell r="H1151">
            <v>657</v>
          </cell>
          <cell r="I1151">
            <v>133000</v>
          </cell>
          <cell r="J1151">
            <v>657</v>
          </cell>
          <cell r="L1151">
            <v>657</v>
          </cell>
        </row>
        <row r="1152">
          <cell r="A1152">
            <v>8179</v>
          </cell>
          <cell r="B1152" t="str">
            <v>Ventilated Trimble</v>
          </cell>
          <cell r="C1152" t="str">
            <v>200Ø</v>
          </cell>
          <cell r="D1152" t="str">
            <v>개</v>
          </cell>
          <cell r="E1152">
            <v>118000</v>
          </cell>
          <cell r="F1152">
            <v>0</v>
          </cell>
          <cell r="H1152">
            <v>657</v>
          </cell>
          <cell r="I1152">
            <v>118000</v>
          </cell>
          <cell r="J1152">
            <v>657</v>
          </cell>
          <cell r="L1152">
            <v>657</v>
          </cell>
        </row>
        <row r="1153">
          <cell r="A1153">
            <v>8181</v>
          </cell>
          <cell r="B1153" t="str">
            <v>Drain Tee Cap</v>
          </cell>
          <cell r="C1153" t="str">
            <v>1,000Ø</v>
          </cell>
          <cell r="D1153" t="str">
            <v>개</v>
          </cell>
          <cell r="E1153">
            <v>125000</v>
          </cell>
          <cell r="F1153">
            <v>0</v>
          </cell>
          <cell r="H1153">
            <v>657</v>
          </cell>
          <cell r="I1153">
            <v>125000</v>
          </cell>
          <cell r="J1153">
            <v>657</v>
          </cell>
          <cell r="L1153">
            <v>657</v>
          </cell>
        </row>
        <row r="1154">
          <cell r="A1154">
            <v>8182</v>
          </cell>
          <cell r="B1154" t="str">
            <v>Drain Tee Cap</v>
          </cell>
          <cell r="C1154" t="str">
            <v>900Ø</v>
          </cell>
          <cell r="D1154" t="str">
            <v>개</v>
          </cell>
          <cell r="E1154">
            <v>90000</v>
          </cell>
          <cell r="F1154">
            <v>0</v>
          </cell>
          <cell r="H1154">
            <v>657</v>
          </cell>
          <cell r="I1154">
            <v>90000</v>
          </cell>
          <cell r="J1154">
            <v>657</v>
          </cell>
          <cell r="L1154">
            <v>657</v>
          </cell>
        </row>
        <row r="1155">
          <cell r="A1155">
            <v>8183</v>
          </cell>
          <cell r="B1155" t="str">
            <v>Drain Tee Cap</v>
          </cell>
          <cell r="C1155" t="str">
            <v>800Ø</v>
          </cell>
          <cell r="D1155" t="str">
            <v>개</v>
          </cell>
          <cell r="E1155">
            <v>63800</v>
          </cell>
          <cell r="F1155">
            <v>0</v>
          </cell>
          <cell r="H1155">
            <v>657</v>
          </cell>
          <cell r="I1155">
            <v>63800</v>
          </cell>
          <cell r="J1155">
            <v>657</v>
          </cell>
          <cell r="L1155">
            <v>657</v>
          </cell>
        </row>
        <row r="1156">
          <cell r="A1156">
            <v>8184</v>
          </cell>
          <cell r="B1156" t="str">
            <v>Drain Tee Cap</v>
          </cell>
          <cell r="C1156" t="str">
            <v>700Ø</v>
          </cell>
          <cell r="D1156" t="str">
            <v>개</v>
          </cell>
          <cell r="E1156">
            <v>51200</v>
          </cell>
          <cell r="F1156">
            <v>0</v>
          </cell>
          <cell r="H1156">
            <v>657</v>
          </cell>
          <cell r="I1156">
            <v>51200</v>
          </cell>
          <cell r="J1156">
            <v>657</v>
          </cell>
          <cell r="L1156">
            <v>657</v>
          </cell>
        </row>
        <row r="1157">
          <cell r="A1157">
            <v>8185</v>
          </cell>
          <cell r="B1157" t="str">
            <v>Drain Tee Cap</v>
          </cell>
          <cell r="C1157" t="str">
            <v>600Ø</v>
          </cell>
          <cell r="D1157" t="str">
            <v>개</v>
          </cell>
          <cell r="E1157">
            <v>44500</v>
          </cell>
          <cell r="F1157">
            <v>0</v>
          </cell>
          <cell r="H1157">
            <v>657</v>
          </cell>
          <cell r="I1157">
            <v>44500</v>
          </cell>
          <cell r="J1157">
            <v>657</v>
          </cell>
          <cell r="L1157">
            <v>657</v>
          </cell>
        </row>
        <row r="1158">
          <cell r="A1158">
            <v>8186</v>
          </cell>
          <cell r="B1158" t="str">
            <v>Drain Tee Cap</v>
          </cell>
          <cell r="C1158" t="str">
            <v>500Ø</v>
          </cell>
          <cell r="D1158" t="str">
            <v>개</v>
          </cell>
          <cell r="E1158">
            <v>39200</v>
          </cell>
          <cell r="F1158">
            <v>0</v>
          </cell>
          <cell r="H1158">
            <v>657</v>
          </cell>
          <cell r="I1158">
            <v>39200</v>
          </cell>
          <cell r="J1158">
            <v>657</v>
          </cell>
          <cell r="L1158">
            <v>657</v>
          </cell>
        </row>
        <row r="1159">
          <cell r="A1159">
            <v>8187</v>
          </cell>
          <cell r="B1159" t="str">
            <v>Drain Tee Cap</v>
          </cell>
          <cell r="C1159" t="str">
            <v>400Ø</v>
          </cell>
          <cell r="D1159" t="str">
            <v>개</v>
          </cell>
          <cell r="E1159">
            <v>29900</v>
          </cell>
          <cell r="F1159">
            <v>0</v>
          </cell>
          <cell r="H1159">
            <v>657</v>
          </cell>
          <cell r="I1159">
            <v>29900</v>
          </cell>
          <cell r="J1159">
            <v>657</v>
          </cell>
          <cell r="L1159">
            <v>657</v>
          </cell>
        </row>
        <row r="1160">
          <cell r="A1160">
            <v>8188</v>
          </cell>
          <cell r="B1160" t="str">
            <v>Drain Tee Cap</v>
          </cell>
          <cell r="C1160" t="str">
            <v>300Ø</v>
          </cell>
          <cell r="D1160" t="str">
            <v>개</v>
          </cell>
          <cell r="E1160">
            <v>24600</v>
          </cell>
          <cell r="F1160">
            <v>0</v>
          </cell>
          <cell r="H1160">
            <v>657</v>
          </cell>
          <cell r="I1160">
            <v>24600</v>
          </cell>
          <cell r="J1160">
            <v>657</v>
          </cell>
          <cell r="L1160">
            <v>657</v>
          </cell>
        </row>
        <row r="1161">
          <cell r="A1161">
            <v>8189</v>
          </cell>
          <cell r="B1161" t="str">
            <v>Drain Tee Cap</v>
          </cell>
          <cell r="C1161" t="str">
            <v>200Ø</v>
          </cell>
          <cell r="D1161" t="str">
            <v>개</v>
          </cell>
          <cell r="E1161">
            <v>17900</v>
          </cell>
          <cell r="F1161">
            <v>0</v>
          </cell>
          <cell r="H1161">
            <v>657</v>
          </cell>
          <cell r="I1161">
            <v>17900</v>
          </cell>
          <cell r="J1161">
            <v>657</v>
          </cell>
          <cell r="L1161">
            <v>657</v>
          </cell>
        </row>
        <row r="1162">
          <cell r="A1162">
            <v>8191</v>
          </cell>
          <cell r="B1162" t="str">
            <v>Manifold Tee</v>
          </cell>
          <cell r="C1162" t="str">
            <v>1,000Ø</v>
          </cell>
          <cell r="D1162" t="str">
            <v>개</v>
          </cell>
          <cell r="E1162">
            <v>665000</v>
          </cell>
          <cell r="F1162">
            <v>0</v>
          </cell>
          <cell r="H1162">
            <v>657</v>
          </cell>
          <cell r="I1162">
            <v>665000</v>
          </cell>
          <cell r="J1162">
            <v>657</v>
          </cell>
          <cell r="L1162">
            <v>657</v>
          </cell>
        </row>
        <row r="1163">
          <cell r="A1163">
            <v>8192</v>
          </cell>
          <cell r="B1163" t="str">
            <v>Manifold Tee</v>
          </cell>
          <cell r="C1163" t="str">
            <v>900Ø</v>
          </cell>
          <cell r="D1163" t="str">
            <v>개</v>
          </cell>
          <cell r="E1163">
            <v>450000</v>
          </cell>
          <cell r="F1163">
            <v>0</v>
          </cell>
          <cell r="H1163">
            <v>657</v>
          </cell>
          <cell r="I1163">
            <v>450000</v>
          </cell>
          <cell r="J1163">
            <v>657</v>
          </cell>
          <cell r="L1163">
            <v>657</v>
          </cell>
        </row>
        <row r="1164">
          <cell r="A1164">
            <v>8193</v>
          </cell>
          <cell r="B1164" t="str">
            <v>Manifold Tee</v>
          </cell>
          <cell r="C1164" t="str">
            <v>800Ø</v>
          </cell>
          <cell r="D1164" t="str">
            <v>개</v>
          </cell>
          <cell r="E1164">
            <v>409000</v>
          </cell>
          <cell r="F1164">
            <v>0</v>
          </cell>
          <cell r="H1164">
            <v>657</v>
          </cell>
          <cell r="I1164">
            <v>409000</v>
          </cell>
          <cell r="J1164">
            <v>657</v>
          </cell>
          <cell r="L1164">
            <v>657</v>
          </cell>
        </row>
        <row r="1165">
          <cell r="A1165">
            <v>8194</v>
          </cell>
          <cell r="B1165" t="str">
            <v>Manifold Tee</v>
          </cell>
          <cell r="C1165" t="str">
            <v>700Ø</v>
          </cell>
          <cell r="D1165" t="str">
            <v>개</v>
          </cell>
          <cell r="E1165">
            <v>287000</v>
          </cell>
          <cell r="F1165">
            <v>0</v>
          </cell>
          <cell r="H1165">
            <v>657</v>
          </cell>
          <cell r="I1165">
            <v>287000</v>
          </cell>
          <cell r="J1165">
            <v>657</v>
          </cell>
          <cell r="L1165">
            <v>657</v>
          </cell>
        </row>
        <row r="1166">
          <cell r="A1166">
            <v>8195</v>
          </cell>
          <cell r="B1166" t="str">
            <v>Manifold Tee</v>
          </cell>
          <cell r="C1166" t="str">
            <v>600Ø</v>
          </cell>
          <cell r="D1166" t="str">
            <v>개</v>
          </cell>
          <cell r="E1166">
            <v>252000</v>
          </cell>
          <cell r="F1166">
            <v>0</v>
          </cell>
          <cell r="H1166">
            <v>657</v>
          </cell>
          <cell r="I1166">
            <v>252000</v>
          </cell>
          <cell r="J1166">
            <v>657</v>
          </cell>
          <cell r="L1166">
            <v>657</v>
          </cell>
        </row>
        <row r="1167">
          <cell r="A1167">
            <v>8196</v>
          </cell>
          <cell r="B1167" t="str">
            <v>Manifold Tee</v>
          </cell>
          <cell r="C1167" t="str">
            <v>500Ø</v>
          </cell>
          <cell r="D1167" t="str">
            <v>개</v>
          </cell>
          <cell r="E1167">
            <v>194000</v>
          </cell>
          <cell r="F1167">
            <v>0</v>
          </cell>
          <cell r="H1167">
            <v>657</v>
          </cell>
          <cell r="I1167">
            <v>194000</v>
          </cell>
          <cell r="J1167">
            <v>657</v>
          </cell>
          <cell r="L1167">
            <v>657</v>
          </cell>
        </row>
        <row r="1168">
          <cell r="A1168">
            <v>8197</v>
          </cell>
          <cell r="B1168" t="str">
            <v>Manifold Tee</v>
          </cell>
          <cell r="C1168" t="str">
            <v>400Ø</v>
          </cell>
          <cell r="D1168" t="str">
            <v>개</v>
          </cell>
          <cell r="E1168">
            <v>154000</v>
          </cell>
          <cell r="F1168">
            <v>0</v>
          </cell>
          <cell r="H1168">
            <v>657</v>
          </cell>
          <cell r="I1168">
            <v>154000</v>
          </cell>
          <cell r="J1168">
            <v>657</v>
          </cell>
          <cell r="L1168">
            <v>657</v>
          </cell>
        </row>
        <row r="1169">
          <cell r="A1169">
            <v>8198</v>
          </cell>
          <cell r="B1169" t="str">
            <v>Manifold Tee</v>
          </cell>
          <cell r="C1169" t="str">
            <v>300Ø</v>
          </cell>
          <cell r="D1169" t="str">
            <v>개</v>
          </cell>
          <cell r="E1169">
            <v>124000</v>
          </cell>
          <cell r="F1169">
            <v>0</v>
          </cell>
          <cell r="H1169">
            <v>657</v>
          </cell>
          <cell r="I1169">
            <v>124000</v>
          </cell>
          <cell r="J1169">
            <v>657</v>
          </cell>
          <cell r="L1169">
            <v>657</v>
          </cell>
        </row>
        <row r="1170">
          <cell r="A1170">
            <v>8199</v>
          </cell>
          <cell r="B1170" t="str">
            <v>Manifold Tee</v>
          </cell>
          <cell r="C1170" t="str">
            <v>200Ø</v>
          </cell>
          <cell r="D1170" t="str">
            <v>개</v>
          </cell>
          <cell r="E1170">
            <v>81000</v>
          </cell>
          <cell r="F1170">
            <v>0</v>
          </cell>
          <cell r="H1170">
            <v>657</v>
          </cell>
          <cell r="I1170">
            <v>81000</v>
          </cell>
          <cell r="J1170">
            <v>657</v>
          </cell>
          <cell r="L1170">
            <v>657</v>
          </cell>
        </row>
        <row r="1171">
          <cell r="A1171">
            <v>8201</v>
          </cell>
          <cell r="B1171" t="str">
            <v>Insulated Flange</v>
          </cell>
          <cell r="C1171" t="str">
            <v>1,000Ø</v>
          </cell>
          <cell r="D1171" t="str">
            <v>개</v>
          </cell>
          <cell r="E1171">
            <v>571000</v>
          </cell>
          <cell r="F1171">
            <v>0</v>
          </cell>
          <cell r="H1171">
            <v>657</v>
          </cell>
          <cell r="I1171">
            <v>571000</v>
          </cell>
          <cell r="J1171">
            <v>657</v>
          </cell>
          <cell r="L1171">
            <v>657</v>
          </cell>
        </row>
        <row r="1172">
          <cell r="A1172">
            <v>8202</v>
          </cell>
          <cell r="B1172" t="str">
            <v>Insulated Flange</v>
          </cell>
          <cell r="C1172" t="str">
            <v>900Ø</v>
          </cell>
          <cell r="D1172" t="str">
            <v>개</v>
          </cell>
          <cell r="E1172">
            <v>348000</v>
          </cell>
          <cell r="F1172">
            <v>0</v>
          </cell>
          <cell r="H1172">
            <v>657</v>
          </cell>
          <cell r="I1172">
            <v>348000</v>
          </cell>
          <cell r="J1172">
            <v>657</v>
          </cell>
          <cell r="L1172">
            <v>657</v>
          </cell>
        </row>
        <row r="1173">
          <cell r="A1173">
            <v>8203</v>
          </cell>
          <cell r="B1173" t="str">
            <v>Insulated Flange</v>
          </cell>
          <cell r="C1173" t="str">
            <v>800Ø</v>
          </cell>
          <cell r="D1173" t="str">
            <v>개</v>
          </cell>
          <cell r="E1173">
            <v>294000</v>
          </cell>
          <cell r="F1173">
            <v>0</v>
          </cell>
          <cell r="H1173">
            <v>657</v>
          </cell>
          <cell r="I1173">
            <v>294000</v>
          </cell>
          <cell r="J1173">
            <v>657</v>
          </cell>
          <cell r="L1173">
            <v>657</v>
          </cell>
        </row>
        <row r="1174">
          <cell r="A1174">
            <v>8204</v>
          </cell>
          <cell r="B1174" t="str">
            <v>Insulated Flange</v>
          </cell>
          <cell r="C1174" t="str">
            <v>700Ø</v>
          </cell>
          <cell r="D1174" t="str">
            <v>개</v>
          </cell>
          <cell r="E1174">
            <v>209000</v>
          </cell>
          <cell r="F1174">
            <v>0</v>
          </cell>
          <cell r="H1174">
            <v>657</v>
          </cell>
          <cell r="I1174">
            <v>209000</v>
          </cell>
          <cell r="J1174">
            <v>657</v>
          </cell>
          <cell r="L1174">
            <v>657</v>
          </cell>
        </row>
        <row r="1175">
          <cell r="A1175">
            <v>8205</v>
          </cell>
          <cell r="B1175" t="str">
            <v>Insulated Flange</v>
          </cell>
          <cell r="C1175" t="str">
            <v>600Ø</v>
          </cell>
          <cell r="D1175" t="str">
            <v>개</v>
          </cell>
          <cell r="E1175">
            <v>182000</v>
          </cell>
          <cell r="F1175">
            <v>0</v>
          </cell>
          <cell r="H1175">
            <v>657</v>
          </cell>
          <cell r="I1175">
            <v>182000</v>
          </cell>
          <cell r="J1175">
            <v>657</v>
          </cell>
          <cell r="L1175">
            <v>657</v>
          </cell>
        </row>
        <row r="1176">
          <cell r="A1176">
            <v>8206</v>
          </cell>
          <cell r="B1176" t="str">
            <v>Insulated Flange</v>
          </cell>
          <cell r="C1176" t="str">
            <v>500Ø</v>
          </cell>
          <cell r="D1176" t="str">
            <v>개</v>
          </cell>
          <cell r="E1176">
            <v>174000</v>
          </cell>
          <cell r="F1176">
            <v>0</v>
          </cell>
          <cell r="H1176">
            <v>657</v>
          </cell>
          <cell r="I1176">
            <v>174000</v>
          </cell>
          <cell r="J1176">
            <v>657</v>
          </cell>
          <cell r="L1176">
            <v>657</v>
          </cell>
        </row>
        <row r="1177">
          <cell r="A1177">
            <v>8207</v>
          </cell>
          <cell r="B1177" t="str">
            <v>Insulated Flange</v>
          </cell>
          <cell r="C1177" t="str">
            <v>400Ø</v>
          </cell>
          <cell r="D1177" t="str">
            <v>개</v>
          </cell>
          <cell r="E1177">
            <v>138000</v>
          </cell>
          <cell r="F1177">
            <v>0</v>
          </cell>
          <cell r="H1177">
            <v>657</v>
          </cell>
          <cell r="I1177">
            <v>138000</v>
          </cell>
          <cell r="J1177">
            <v>657</v>
          </cell>
          <cell r="L1177">
            <v>657</v>
          </cell>
        </row>
        <row r="1178">
          <cell r="A1178">
            <v>8208</v>
          </cell>
          <cell r="B1178" t="str">
            <v>Insulated Flange</v>
          </cell>
          <cell r="C1178" t="str">
            <v>300Ø</v>
          </cell>
          <cell r="D1178" t="str">
            <v>개</v>
          </cell>
          <cell r="E1178">
            <v>91000</v>
          </cell>
          <cell r="F1178">
            <v>0</v>
          </cell>
          <cell r="H1178">
            <v>657</v>
          </cell>
          <cell r="I1178">
            <v>91000</v>
          </cell>
          <cell r="J1178">
            <v>657</v>
          </cell>
          <cell r="L1178">
            <v>657</v>
          </cell>
        </row>
        <row r="1179">
          <cell r="A1179">
            <v>8209</v>
          </cell>
          <cell r="B1179" t="str">
            <v>Insulated Flange</v>
          </cell>
          <cell r="C1179" t="str">
            <v>200Ø</v>
          </cell>
          <cell r="D1179" t="str">
            <v>개</v>
          </cell>
          <cell r="E1179">
            <v>68000</v>
          </cell>
          <cell r="F1179">
            <v>0</v>
          </cell>
          <cell r="H1179">
            <v>657</v>
          </cell>
          <cell r="I1179">
            <v>68000</v>
          </cell>
          <cell r="J1179">
            <v>657</v>
          </cell>
          <cell r="L1179">
            <v>657</v>
          </cell>
        </row>
        <row r="1180">
          <cell r="A1180">
            <v>8211</v>
          </cell>
          <cell r="B1180" t="str">
            <v>Pt Support Assembly</v>
          </cell>
          <cell r="C1180" t="str">
            <v>1,000Ø</v>
          </cell>
          <cell r="D1180" t="str">
            <v>개</v>
          </cell>
          <cell r="E1180">
            <v>254000</v>
          </cell>
          <cell r="F1180">
            <v>0</v>
          </cell>
          <cell r="H1180">
            <v>657</v>
          </cell>
          <cell r="I1180">
            <v>254000</v>
          </cell>
          <cell r="J1180">
            <v>657</v>
          </cell>
          <cell r="L1180">
            <v>657</v>
          </cell>
        </row>
        <row r="1181">
          <cell r="A1181">
            <v>8212</v>
          </cell>
          <cell r="B1181" t="str">
            <v>Pt Support Assembly</v>
          </cell>
          <cell r="C1181" t="str">
            <v>900Ø</v>
          </cell>
          <cell r="D1181" t="str">
            <v>개</v>
          </cell>
          <cell r="E1181">
            <v>171000</v>
          </cell>
          <cell r="F1181">
            <v>0</v>
          </cell>
          <cell r="H1181">
            <v>657</v>
          </cell>
          <cell r="I1181">
            <v>171000</v>
          </cell>
          <cell r="J1181">
            <v>657</v>
          </cell>
          <cell r="L1181">
            <v>657</v>
          </cell>
        </row>
        <row r="1182">
          <cell r="A1182">
            <v>8213</v>
          </cell>
          <cell r="B1182" t="str">
            <v>Pt Support Assembly</v>
          </cell>
          <cell r="C1182" t="str">
            <v>800Ø</v>
          </cell>
          <cell r="D1182" t="str">
            <v>개</v>
          </cell>
          <cell r="E1182">
            <v>142000</v>
          </cell>
          <cell r="F1182">
            <v>0</v>
          </cell>
          <cell r="H1182">
            <v>657</v>
          </cell>
          <cell r="I1182">
            <v>142000</v>
          </cell>
          <cell r="J1182">
            <v>657</v>
          </cell>
          <cell r="L1182">
            <v>657</v>
          </cell>
        </row>
        <row r="1183">
          <cell r="A1183">
            <v>8214</v>
          </cell>
          <cell r="B1183" t="str">
            <v>Pt Support Assembly</v>
          </cell>
          <cell r="C1183" t="str">
            <v>700Ø</v>
          </cell>
          <cell r="D1183" t="str">
            <v>개</v>
          </cell>
          <cell r="E1183">
            <v>115000</v>
          </cell>
          <cell r="F1183">
            <v>0</v>
          </cell>
          <cell r="H1183">
            <v>657</v>
          </cell>
          <cell r="I1183">
            <v>115000</v>
          </cell>
          <cell r="J1183">
            <v>657</v>
          </cell>
          <cell r="L1183">
            <v>657</v>
          </cell>
        </row>
        <row r="1184">
          <cell r="A1184">
            <v>8215</v>
          </cell>
          <cell r="B1184" t="str">
            <v>Pt Support Assembly</v>
          </cell>
          <cell r="C1184" t="str">
            <v>600Ø</v>
          </cell>
          <cell r="D1184" t="str">
            <v>개</v>
          </cell>
          <cell r="E1184">
            <v>95000</v>
          </cell>
          <cell r="F1184">
            <v>0</v>
          </cell>
          <cell r="H1184">
            <v>657</v>
          </cell>
          <cell r="I1184">
            <v>95000</v>
          </cell>
          <cell r="J1184">
            <v>657</v>
          </cell>
          <cell r="L1184">
            <v>657</v>
          </cell>
        </row>
        <row r="1185">
          <cell r="A1185">
            <v>8216</v>
          </cell>
          <cell r="B1185" t="str">
            <v>Pt Support Assembly</v>
          </cell>
          <cell r="C1185" t="str">
            <v>500Ø</v>
          </cell>
          <cell r="D1185" t="str">
            <v>개</v>
          </cell>
          <cell r="E1185">
            <v>75000</v>
          </cell>
          <cell r="F1185">
            <v>0</v>
          </cell>
          <cell r="H1185">
            <v>657</v>
          </cell>
          <cell r="I1185">
            <v>75000</v>
          </cell>
          <cell r="J1185">
            <v>657</v>
          </cell>
          <cell r="L1185">
            <v>657</v>
          </cell>
        </row>
        <row r="1186">
          <cell r="A1186">
            <v>8217</v>
          </cell>
          <cell r="B1186" t="str">
            <v>Pt Support Assembly</v>
          </cell>
          <cell r="C1186" t="str">
            <v>400Ø</v>
          </cell>
          <cell r="D1186" t="str">
            <v>개</v>
          </cell>
          <cell r="E1186">
            <v>63100</v>
          </cell>
          <cell r="F1186">
            <v>0</v>
          </cell>
          <cell r="H1186">
            <v>657</v>
          </cell>
          <cell r="I1186">
            <v>63100</v>
          </cell>
          <cell r="J1186">
            <v>657</v>
          </cell>
          <cell r="L1186">
            <v>657</v>
          </cell>
        </row>
        <row r="1187">
          <cell r="A1187">
            <v>8218</v>
          </cell>
          <cell r="B1187" t="str">
            <v>Pt Support Assembly</v>
          </cell>
          <cell r="C1187" t="str">
            <v>300Ø</v>
          </cell>
          <cell r="D1187" t="str">
            <v>개</v>
          </cell>
          <cell r="E1187">
            <v>56500</v>
          </cell>
          <cell r="F1187">
            <v>0</v>
          </cell>
          <cell r="H1187">
            <v>657</v>
          </cell>
          <cell r="I1187">
            <v>56500</v>
          </cell>
          <cell r="J1187">
            <v>657</v>
          </cell>
          <cell r="L1187">
            <v>657</v>
          </cell>
        </row>
        <row r="1188">
          <cell r="A1188">
            <v>8219</v>
          </cell>
          <cell r="B1188" t="str">
            <v>Pt Support Assembly</v>
          </cell>
          <cell r="C1188" t="str">
            <v>200Ø</v>
          </cell>
          <cell r="D1188" t="str">
            <v>개</v>
          </cell>
          <cell r="E1188">
            <v>49800</v>
          </cell>
          <cell r="F1188">
            <v>0</v>
          </cell>
          <cell r="H1188">
            <v>657</v>
          </cell>
          <cell r="I1188">
            <v>49800</v>
          </cell>
          <cell r="J1188">
            <v>657</v>
          </cell>
          <cell r="L1188">
            <v>657</v>
          </cell>
        </row>
        <row r="1189">
          <cell r="A1189">
            <v>8221</v>
          </cell>
          <cell r="B1189" t="str">
            <v>Check Hole</v>
          </cell>
          <cell r="C1189" t="str">
            <v>1,000Ø</v>
          </cell>
          <cell r="D1189" t="str">
            <v>개</v>
          </cell>
          <cell r="E1189">
            <v>354000</v>
          </cell>
          <cell r="F1189">
            <v>0</v>
          </cell>
          <cell r="H1189">
            <v>657</v>
          </cell>
          <cell r="I1189">
            <v>354000</v>
          </cell>
          <cell r="J1189">
            <v>657</v>
          </cell>
          <cell r="L1189">
            <v>657</v>
          </cell>
        </row>
        <row r="1190">
          <cell r="A1190">
            <v>8222</v>
          </cell>
          <cell r="B1190" t="str">
            <v>Check Hole</v>
          </cell>
          <cell r="C1190" t="str">
            <v>900Ø</v>
          </cell>
          <cell r="D1190" t="str">
            <v>개</v>
          </cell>
          <cell r="E1190">
            <v>282000</v>
          </cell>
          <cell r="F1190">
            <v>0</v>
          </cell>
          <cell r="H1190">
            <v>657</v>
          </cell>
          <cell r="I1190">
            <v>282000</v>
          </cell>
          <cell r="J1190">
            <v>657</v>
          </cell>
          <cell r="L1190">
            <v>657</v>
          </cell>
        </row>
        <row r="1191">
          <cell r="A1191">
            <v>8223</v>
          </cell>
          <cell r="B1191" t="str">
            <v>Check Hole</v>
          </cell>
          <cell r="C1191" t="str">
            <v>800Ø</v>
          </cell>
          <cell r="D1191" t="str">
            <v>개</v>
          </cell>
          <cell r="E1191">
            <v>252000</v>
          </cell>
          <cell r="F1191">
            <v>0</v>
          </cell>
          <cell r="H1191">
            <v>657</v>
          </cell>
          <cell r="I1191">
            <v>252000</v>
          </cell>
          <cell r="J1191">
            <v>657</v>
          </cell>
          <cell r="L1191">
            <v>657</v>
          </cell>
        </row>
        <row r="1192">
          <cell r="A1192">
            <v>8224</v>
          </cell>
          <cell r="B1192" t="str">
            <v>Check Hole</v>
          </cell>
          <cell r="C1192" t="str">
            <v>700Ø</v>
          </cell>
          <cell r="D1192" t="str">
            <v>개</v>
          </cell>
          <cell r="E1192">
            <v>219000</v>
          </cell>
          <cell r="F1192">
            <v>0</v>
          </cell>
          <cell r="H1192">
            <v>657</v>
          </cell>
          <cell r="I1192">
            <v>219000</v>
          </cell>
          <cell r="J1192">
            <v>657</v>
          </cell>
          <cell r="L1192">
            <v>657</v>
          </cell>
        </row>
        <row r="1193">
          <cell r="A1193">
            <v>8225</v>
          </cell>
          <cell r="B1193" t="str">
            <v>Check Hole</v>
          </cell>
          <cell r="C1193" t="str">
            <v>600Ø</v>
          </cell>
          <cell r="D1193" t="str">
            <v>개</v>
          </cell>
          <cell r="E1193">
            <v>188000</v>
          </cell>
          <cell r="F1193">
            <v>0</v>
          </cell>
          <cell r="H1193">
            <v>657</v>
          </cell>
          <cell r="I1193">
            <v>188000</v>
          </cell>
          <cell r="J1193">
            <v>657</v>
          </cell>
          <cell r="L1193">
            <v>657</v>
          </cell>
        </row>
        <row r="1194">
          <cell r="A1194">
            <v>8226</v>
          </cell>
          <cell r="B1194" t="str">
            <v>Check Hole</v>
          </cell>
          <cell r="C1194" t="str">
            <v>500Ø</v>
          </cell>
          <cell r="D1194" t="str">
            <v>개</v>
          </cell>
          <cell r="E1194">
            <v>157000</v>
          </cell>
          <cell r="F1194">
            <v>0</v>
          </cell>
          <cell r="H1194">
            <v>657</v>
          </cell>
          <cell r="I1194">
            <v>157000</v>
          </cell>
          <cell r="J1194">
            <v>657</v>
          </cell>
          <cell r="L1194">
            <v>657</v>
          </cell>
        </row>
        <row r="1195">
          <cell r="A1195">
            <v>8227</v>
          </cell>
          <cell r="B1195" t="str">
            <v>Check Hole</v>
          </cell>
          <cell r="C1195" t="str">
            <v>400Ø</v>
          </cell>
          <cell r="D1195" t="str">
            <v>개</v>
          </cell>
          <cell r="E1195">
            <v>125000</v>
          </cell>
          <cell r="F1195">
            <v>0</v>
          </cell>
          <cell r="H1195">
            <v>657</v>
          </cell>
          <cell r="I1195">
            <v>125000</v>
          </cell>
          <cell r="J1195">
            <v>657</v>
          </cell>
          <cell r="L1195">
            <v>657</v>
          </cell>
        </row>
        <row r="1196">
          <cell r="A1196">
            <v>8228</v>
          </cell>
          <cell r="B1196" t="str">
            <v>Check Hole</v>
          </cell>
          <cell r="C1196" t="str">
            <v>300Ø</v>
          </cell>
          <cell r="D1196" t="str">
            <v>개</v>
          </cell>
          <cell r="E1196">
            <v>93800</v>
          </cell>
          <cell r="F1196">
            <v>0</v>
          </cell>
          <cell r="H1196">
            <v>657</v>
          </cell>
          <cell r="I1196">
            <v>93800</v>
          </cell>
          <cell r="J1196">
            <v>657</v>
          </cell>
          <cell r="L1196">
            <v>657</v>
          </cell>
        </row>
        <row r="1197">
          <cell r="A1197">
            <v>8229</v>
          </cell>
          <cell r="B1197" t="str">
            <v>Check Hole</v>
          </cell>
          <cell r="C1197" t="str">
            <v>200Ø</v>
          </cell>
          <cell r="D1197" t="str">
            <v>개</v>
          </cell>
          <cell r="E1197">
            <v>63100</v>
          </cell>
          <cell r="F1197">
            <v>0</v>
          </cell>
          <cell r="H1197">
            <v>657</v>
          </cell>
          <cell r="I1197">
            <v>63100</v>
          </cell>
          <cell r="J1197">
            <v>657</v>
          </cell>
          <cell r="L1197">
            <v>657</v>
          </cell>
        </row>
        <row r="1198">
          <cell r="A1198">
            <v>8231</v>
          </cell>
          <cell r="B1198" t="str">
            <v>Full Angle Ring</v>
          </cell>
          <cell r="C1198" t="str">
            <v>1,000Ø</v>
          </cell>
          <cell r="D1198" t="str">
            <v>개</v>
          </cell>
          <cell r="E1198">
            <v>88000</v>
          </cell>
          <cell r="F1198">
            <v>0</v>
          </cell>
          <cell r="H1198">
            <v>657</v>
          </cell>
          <cell r="I1198">
            <v>88000</v>
          </cell>
          <cell r="J1198">
            <v>657</v>
          </cell>
          <cell r="L1198">
            <v>657</v>
          </cell>
        </row>
        <row r="1199">
          <cell r="A1199">
            <v>8232</v>
          </cell>
          <cell r="B1199" t="str">
            <v>Full Angle Ring</v>
          </cell>
          <cell r="C1199" t="str">
            <v>900Ø</v>
          </cell>
          <cell r="D1199" t="str">
            <v>개</v>
          </cell>
          <cell r="E1199">
            <v>69100</v>
          </cell>
          <cell r="F1199">
            <v>0</v>
          </cell>
          <cell r="H1199">
            <v>657</v>
          </cell>
          <cell r="I1199">
            <v>69100</v>
          </cell>
          <cell r="J1199">
            <v>657</v>
          </cell>
          <cell r="L1199">
            <v>657</v>
          </cell>
        </row>
        <row r="1200">
          <cell r="A1200">
            <v>8233</v>
          </cell>
          <cell r="B1200" t="str">
            <v>Full Angle Ring</v>
          </cell>
          <cell r="C1200" t="str">
            <v>800Ø</v>
          </cell>
          <cell r="D1200" t="str">
            <v>개</v>
          </cell>
          <cell r="E1200">
            <v>59800</v>
          </cell>
          <cell r="F1200">
            <v>0</v>
          </cell>
          <cell r="H1200">
            <v>657</v>
          </cell>
          <cell r="I1200">
            <v>59800</v>
          </cell>
          <cell r="J1200">
            <v>657</v>
          </cell>
          <cell r="L1200">
            <v>657</v>
          </cell>
        </row>
        <row r="1201">
          <cell r="A1201">
            <v>8234</v>
          </cell>
          <cell r="B1201" t="str">
            <v>Full Angle Ring</v>
          </cell>
          <cell r="C1201" t="str">
            <v>700Ø</v>
          </cell>
          <cell r="D1201" t="str">
            <v>개</v>
          </cell>
          <cell r="E1201">
            <v>53800</v>
          </cell>
          <cell r="F1201">
            <v>0</v>
          </cell>
          <cell r="H1201">
            <v>657</v>
          </cell>
          <cell r="I1201">
            <v>53800</v>
          </cell>
          <cell r="J1201">
            <v>657</v>
          </cell>
          <cell r="L1201">
            <v>657</v>
          </cell>
        </row>
        <row r="1202">
          <cell r="A1202">
            <v>8235</v>
          </cell>
          <cell r="B1202" t="str">
            <v>Full Angle Ring</v>
          </cell>
          <cell r="C1202" t="str">
            <v>600Ø</v>
          </cell>
          <cell r="D1202" t="str">
            <v>개</v>
          </cell>
          <cell r="E1202">
            <v>47200</v>
          </cell>
          <cell r="F1202">
            <v>0</v>
          </cell>
          <cell r="H1202">
            <v>657</v>
          </cell>
          <cell r="I1202">
            <v>47200</v>
          </cell>
          <cell r="J1202">
            <v>657</v>
          </cell>
          <cell r="L1202">
            <v>657</v>
          </cell>
        </row>
        <row r="1203">
          <cell r="A1203">
            <v>8236</v>
          </cell>
          <cell r="B1203" t="str">
            <v>Full Angle Ring</v>
          </cell>
          <cell r="C1203" t="str">
            <v>500Ø</v>
          </cell>
          <cell r="D1203" t="str">
            <v>개</v>
          </cell>
          <cell r="E1203">
            <v>41200</v>
          </cell>
          <cell r="F1203">
            <v>0</v>
          </cell>
          <cell r="H1203">
            <v>657</v>
          </cell>
          <cell r="I1203">
            <v>41200</v>
          </cell>
          <cell r="J1203">
            <v>657</v>
          </cell>
          <cell r="L1203">
            <v>657</v>
          </cell>
        </row>
        <row r="1204">
          <cell r="A1204">
            <v>8237</v>
          </cell>
          <cell r="B1204" t="str">
            <v>Full Angle Ring</v>
          </cell>
          <cell r="C1204" t="str">
            <v>400Ø</v>
          </cell>
          <cell r="D1204" t="str">
            <v>개</v>
          </cell>
          <cell r="E1204">
            <v>35900</v>
          </cell>
          <cell r="F1204">
            <v>0</v>
          </cell>
          <cell r="H1204">
            <v>657</v>
          </cell>
          <cell r="I1204">
            <v>35900</v>
          </cell>
          <cell r="J1204">
            <v>657</v>
          </cell>
          <cell r="L1204">
            <v>657</v>
          </cell>
        </row>
        <row r="1205">
          <cell r="A1205">
            <v>8238</v>
          </cell>
          <cell r="B1205" t="str">
            <v>Full Angle Ring</v>
          </cell>
          <cell r="C1205" t="str">
            <v>300Ø</v>
          </cell>
          <cell r="D1205" t="str">
            <v>개</v>
          </cell>
          <cell r="E1205">
            <v>29900</v>
          </cell>
          <cell r="F1205">
            <v>0</v>
          </cell>
          <cell r="H1205">
            <v>657</v>
          </cell>
          <cell r="I1205">
            <v>29900</v>
          </cell>
          <cell r="J1205">
            <v>657</v>
          </cell>
          <cell r="L1205">
            <v>657</v>
          </cell>
        </row>
        <row r="1206">
          <cell r="A1206">
            <v>8239</v>
          </cell>
          <cell r="B1206" t="str">
            <v>Full Angle Ring</v>
          </cell>
          <cell r="C1206" t="str">
            <v>200Ø</v>
          </cell>
          <cell r="D1206" t="str">
            <v>개</v>
          </cell>
          <cell r="E1206">
            <v>23200</v>
          </cell>
          <cell r="F1206">
            <v>0</v>
          </cell>
          <cell r="H1206">
            <v>657</v>
          </cell>
          <cell r="I1206">
            <v>23200</v>
          </cell>
          <cell r="J1206">
            <v>657</v>
          </cell>
          <cell r="L1206">
            <v>657</v>
          </cell>
        </row>
        <row r="1207">
          <cell r="A1207">
            <v>8241</v>
          </cell>
          <cell r="B1207" t="str">
            <v>Flange Adapter</v>
          </cell>
          <cell r="C1207" t="str">
            <v>1,000Ø</v>
          </cell>
          <cell r="D1207" t="str">
            <v>개</v>
          </cell>
          <cell r="E1207">
            <v>394000</v>
          </cell>
          <cell r="F1207">
            <v>0</v>
          </cell>
          <cell r="H1207">
            <v>657</v>
          </cell>
          <cell r="I1207">
            <v>394000</v>
          </cell>
          <cell r="J1207">
            <v>657</v>
          </cell>
          <cell r="L1207">
            <v>657</v>
          </cell>
        </row>
        <row r="1208">
          <cell r="A1208">
            <v>8242</v>
          </cell>
          <cell r="B1208" t="str">
            <v>Flange Adapter</v>
          </cell>
          <cell r="C1208" t="str">
            <v>900Ø</v>
          </cell>
          <cell r="D1208" t="str">
            <v>개</v>
          </cell>
          <cell r="E1208">
            <v>272000</v>
          </cell>
          <cell r="F1208">
            <v>0</v>
          </cell>
          <cell r="H1208">
            <v>657</v>
          </cell>
          <cell r="I1208">
            <v>272000</v>
          </cell>
          <cell r="J1208">
            <v>657</v>
          </cell>
          <cell r="L1208">
            <v>657</v>
          </cell>
        </row>
        <row r="1209">
          <cell r="A1209">
            <v>8243</v>
          </cell>
          <cell r="B1209" t="str">
            <v>Flange Adapter</v>
          </cell>
          <cell r="C1209" t="str">
            <v>800Ø</v>
          </cell>
          <cell r="D1209" t="str">
            <v>개</v>
          </cell>
          <cell r="E1209">
            <v>228000</v>
          </cell>
          <cell r="F1209">
            <v>0</v>
          </cell>
          <cell r="H1209">
            <v>657</v>
          </cell>
          <cell r="I1209">
            <v>228000</v>
          </cell>
          <cell r="J1209">
            <v>657</v>
          </cell>
          <cell r="L1209">
            <v>657</v>
          </cell>
        </row>
        <row r="1210">
          <cell r="A1210">
            <v>8244</v>
          </cell>
          <cell r="B1210" t="str">
            <v>Flange Adapter</v>
          </cell>
          <cell r="C1210" t="str">
            <v>700Ø</v>
          </cell>
          <cell r="D1210" t="str">
            <v>개</v>
          </cell>
          <cell r="E1210">
            <v>189000</v>
          </cell>
          <cell r="F1210">
            <v>0</v>
          </cell>
          <cell r="H1210">
            <v>657</v>
          </cell>
          <cell r="I1210">
            <v>189000</v>
          </cell>
          <cell r="J1210">
            <v>657</v>
          </cell>
          <cell r="L1210">
            <v>657</v>
          </cell>
        </row>
        <row r="1211">
          <cell r="A1211">
            <v>8245</v>
          </cell>
          <cell r="B1211" t="str">
            <v>Flange Adapter</v>
          </cell>
          <cell r="C1211" t="str">
            <v>600Ø</v>
          </cell>
          <cell r="D1211" t="str">
            <v>개</v>
          </cell>
          <cell r="E1211">
            <v>150000</v>
          </cell>
          <cell r="F1211">
            <v>0</v>
          </cell>
          <cell r="H1211">
            <v>657</v>
          </cell>
          <cell r="I1211">
            <v>150000</v>
          </cell>
          <cell r="J1211">
            <v>657</v>
          </cell>
          <cell r="L1211">
            <v>657</v>
          </cell>
        </row>
        <row r="1212">
          <cell r="A1212">
            <v>8246</v>
          </cell>
          <cell r="B1212" t="str">
            <v>Flange Adapter</v>
          </cell>
          <cell r="C1212" t="str">
            <v>500Ø</v>
          </cell>
          <cell r="D1212" t="str">
            <v>개</v>
          </cell>
          <cell r="E1212">
            <v>136000</v>
          </cell>
          <cell r="F1212">
            <v>0</v>
          </cell>
          <cell r="H1212">
            <v>657</v>
          </cell>
          <cell r="I1212">
            <v>136000</v>
          </cell>
          <cell r="J1212">
            <v>657</v>
          </cell>
          <cell r="L1212">
            <v>657</v>
          </cell>
        </row>
        <row r="1213">
          <cell r="A1213">
            <v>8247</v>
          </cell>
          <cell r="B1213" t="str">
            <v>Flange Adapter</v>
          </cell>
          <cell r="C1213" t="str">
            <v>400Ø</v>
          </cell>
          <cell r="D1213" t="str">
            <v>개</v>
          </cell>
          <cell r="E1213">
            <v>99000</v>
          </cell>
          <cell r="F1213">
            <v>0</v>
          </cell>
          <cell r="H1213">
            <v>657</v>
          </cell>
          <cell r="I1213">
            <v>99000</v>
          </cell>
          <cell r="J1213">
            <v>657</v>
          </cell>
          <cell r="L1213">
            <v>657</v>
          </cell>
        </row>
        <row r="1214">
          <cell r="A1214">
            <v>8248</v>
          </cell>
          <cell r="B1214" t="str">
            <v>Flange Adapter</v>
          </cell>
          <cell r="C1214" t="str">
            <v>300Ø</v>
          </cell>
          <cell r="D1214" t="str">
            <v>개</v>
          </cell>
          <cell r="E1214">
            <v>72400</v>
          </cell>
          <cell r="F1214">
            <v>0</v>
          </cell>
          <cell r="H1214">
            <v>657</v>
          </cell>
          <cell r="I1214">
            <v>72400</v>
          </cell>
          <cell r="J1214">
            <v>657</v>
          </cell>
          <cell r="L1214">
            <v>657</v>
          </cell>
        </row>
        <row r="1215">
          <cell r="A1215">
            <v>8249</v>
          </cell>
          <cell r="B1215" t="str">
            <v>Flange Adapter</v>
          </cell>
          <cell r="C1215" t="str">
            <v>200Ø</v>
          </cell>
          <cell r="D1215" t="str">
            <v>개</v>
          </cell>
          <cell r="E1215">
            <v>49800</v>
          </cell>
          <cell r="F1215">
            <v>0</v>
          </cell>
          <cell r="H1215">
            <v>657</v>
          </cell>
          <cell r="I1215">
            <v>49800</v>
          </cell>
          <cell r="J1215">
            <v>657</v>
          </cell>
          <cell r="L1215">
            <v>657</v>
          </cell>
        </row>
        <row r="1216">
          <cell r="A1216">
            <v>8251</v>
          </cell>
          <cell r="B1216" t="str">
            <v>Clamp Flange</v>
          </cell>
          <cell r="C1216" t="str">
            <v>1,000Ø</v>
          </cell>
          <cell r="D1216" t="str">
            <v>개</v>
          </cell>
          <cell r="E1216">
            <v>109000</v>
          </cell>
          <cell r="F1216">
            <v>0</v>
          </cell>
          <cell r="H1216">
            <v>657</v>
          </cell>
          <cell r="I1216">
            <v>109000</v>
          </cell>
          <cell r="J1216">
            <v>657</v>
          </cell>
          <cell r="L1216">
            <v>657</v>
          </cell>
        </row>
        <row r="1217">
          <cell r="A1217">
            <v>8252</v>
          </cell>
          <cell r="B1217" t="str">
            <v>Clamp Flange</v>
          </cell>
          <cell r="C1217" t="str">
            <v>900Ø</v>
          </cell>
          <cell r="D1217" t="str">
            <v>개</v>
          </cell>
          <cell r="E1217">
            <v>89000</v>
          </cell>
          <cell r="F1217">
            <v>0</v>
          </cell>
          <cell r="H1217">
            <v>657</v>
          </cell>
          <cell r="I1217">
            <v>89000</v>
          </cell>
          <cell r="J1217">
            <v>657</v>
          </cell>
          <cell r="L1217">
            <v>657</v>
          </cell>
        </row>
        <row r="1218">
          <cell r="A1218">
            <v>8253</v>
          </cell>
          <cell r="B1218" t="str">
            <v>Clamp Flange</v>
          </cell>
          <cell r="C1218" t="str">
            <v>800Ø</v>
          </cell>
          <cell r="D1218" t="str">
            <v>개</v>
          </cell>
          <cell r="E1218">
            <v>81000</v>
          </cell>
          <cell r="F1218">
            <v>0</v>
          </cell>
          <cell r="H1218">
            <v>657</v>
          </cell>
          <cell r="I1218">
            <v>81000</v>
          </cell>
          <cell r="J1218">
            <v>657</v>
          </cell>
          <cell r="L1218">
            <v>657</v>
          </cell>
        </row>
        <row r="1219">
          <cell r="A1219">
            <v>8254</v>
          </cell>
          <cell r="B1219" t="str">
            <v>Clamp Flange</v>
          </cell>
          <cell r="C1219" t="str">
            <v>700Ø</v>
          </cell>
          <cell r="D1219" t="str">
            <v>개</v>
          </cell>
          <cell r="E1219">
            <v>73000</v>
          </cell>
          <cell r="F1219">
            <v>0</v>
          </cell>
          <cell r="H1219">
            <v>657</v>
          </cell>
          <cell r="I1219">
            <v>73000</v>
          </cell>
          <cell r="J1219">
            <v>657</v>
          </cell>
          <cell r="L1219">
            <v>657</v>
          </cell>
        </row>
        <row r="1220">
          <cell r="A1220">
            <v>8255</v>
          </cell>
          <cell r="B1220" t="str">
            <v>Clamp Flange</v>
          </cell>
          <cell r="C1220" t="str">
            <v>600Ø</v>
          </cell>
          <cell r="D1220" t="str">
            <v>개</v>
          </cell>
          <cell r="E1220">
            <v>64500</v>
          </cell>
          <cell r="F1220">
            <v>0</v>
          </cell>
          <cell r="H1220">
            <v>657</v>
          </cell>
          <cell r="I1220">
            <v>64500</v>
          </cell>
          <cell r="J1220">
            <v>657</v>
          </cell>
          <cell r="L1220">
            <v>657</v>
          </cell>
        </row>
        <row r="1221">
          <cell r="A1221">
            <v>8256</v>
          </cell>
          <cell r="B1221" t="str">
            <v>Clamp Flange</v>
          </cell>
          <cell r="C1221" t="str">
            <v>500Ø</v>
          </cell>
          <cell r="D1221" t="str">
            <v>개</v>
          </cell>
          <cell r="E1221">
            <v>56500</v>
          </cell>
          <cell r="F1221">
            <v>0</v>
          </cell>
          <cell r="H1221">
            <v>657</v>
          </cell>
          <cell r="I1221">
            <v>56500</v>
          </cell>
          <cell r="J1221">
            <v>657</v>
          </cell>
          <cell r="L1221">
            <v>657</v>
          </cell>
        </row>
        <row r="1222">
          <cell r="A1222">
            <v>8257</v>
          </cell>
          <cell r="B1222" t="str">
            <v>Clamp Flange</v>
          </cell>
          <cell r="C1222" t="str">
            <v>400Ø</v>
          </cell>
          <cell r="D1222" t="str">
            <v>개</v>
          </cell>
          <cell r="E1222">
            <v>47200</v>
          </cell>
          <cell r="F1222">
            <v>0</v>
          </cell>
          <cell r="H1222">
            <v>657</v>
          </cell>
          <cell r="I1222">
            <v>47200</v>
          </cell>
          <cell r="J1222">
            <v>657</v>
          </cell>
          <cell r="L1222">
            <v>657</v>
          </cell>
        </row>
        <row r="1223">
          <cell r="A1223">
            <v>8258</v>
          </cell>
          <cell r="B1223" t="str">
            <v>Clamp Flange</v>
          </cell>
          <cell r="C1223" t="str">
            <v>300Ø</v>
          </cell>
          <cell r="D1223" t="str">
            <v>개</v>
          </cell>
          <cell r="E1223">
            <v>38500</v>
          </cell>
          <cell r="F1223">
            <v>0</v>
          </cell>
          <cell r="H1223">
            <v>657</v>
          </cell>
          <cell r="I1223">
            <v>38500</v>
          </cell>
          <cell r="J1223">
            <v>657</v>
          </cell>
          <cell r="L1223">
            <v>657</v>
          </cell>
        </row>
        <row r="1224">
          <cell r="A1224">
            <v>8259</v>
          </cell>
          <cell r="B1224" t="str">
            <v>Clamp Flange</v>
          </cell>
          <cell r="C1224" t="str">
            <v>200Ø</v>
          </cell>
          <cell r="D1224" t="str">
            <v>개</v>
          </cell>
          <cell r="E1224">
            <v>27900</v>
          </cell>
          <cell r="F1224">
            <v>0</v>
          </cell>
          <cell r="H1224">
            <v>657</v>
          </cell>
          <cell r="I1224">
            <v>27900</v>
          </cell>
          <cell r="J1224">
            <v>657</v>
          </cell>
          <cell r="L1224">
            <v>657</v>
          </cell>
        </row>
        <row r="1225">
          <cell r="A1225">
            <v>8261</v>
          </cell>
          <cell r="B1225" t="str">
            <v>45˚Fixed Elbow</v>
          </cell>
          <cell r="C1225" t="str">
            <v>1,000Ø</v>
          </cell>
          <cell r="D1225" t="str">
            <v>개</v>
          </cell>
          <cell r="E1225">
            <v>571000</v>
          </cell>
          <cell r="F1225">
            <v>0</v>
          </cell>
          <cell r="H1225">
            <v>657</v>
          </cell>
          <cell r="I1225">
            <v>571000</v>
          </cell>
          <cell r="J1225">
            <v>657</v>
          </cell>
          <cell r="L1225">
            <v>657</v>
          </cell>
        </row>
        <row r="1226">
          <cell r="A1226">
            <v>8262</v>
          </cell>
          <cell r="B1226" t="str">
            <v>45˚Fixed Elbow</v>
          </cell>
          <cell r="C1226" t="str">
            <v>900Ø</v>
          </cell>
          <cell r="D1226" t="str">
            <v>개</v>
          </cell>
          <cell r="E1226">
            <v>348000</v>
          </cell>
          <cell r="F1226">
            <v>0</v>
          </cell>
          <cell r="H1226">
            <v>657</v>
          </cell>
          <cell r="I1226">
            <v>348000</v>
          </cell>
          <cell r="J1226">
            <v>657</v>
          </cell>
          <cell r="L1226">
            <v>657</v>
          </cell>
        </row>
        <row r="1227">
          <cell r="A1227">
            <v>8263</v>
          </cell>
          <cell r="B1227" t="str">
            <v>45˚Fixed Elbow</v>
          </cell>
          <cell r="C1227" t="str">
            <v>800Ø</v>
          </cell>
          <cell r="D1227" t="str">
            <v>개</v>
          </cell>
          <cell r="E1227">
            <v>294000</v>
          </cell>
          <cell r="F1227">
            <v>0</v>
          </cell>
          <cell r="H1227">
            <v>657</v>
          </cell>
          <cell r="I1227">
            <v>294000</v>
          </cell>
          <cell r="J1227">
            <v>657</v>
          </cell>
          <cell r="L1227">
            <v>657</v>
          </cell>
        </row>
        <row r="1228">
          <cell r="A1228">
            <v>8264</v>
          </cell>
          <cell r="B1228" t="str">
            <v>45˚Fixed Elbow</v>
          </cell>
          <cell r="C1228" t="str">
            <v>700Ø</v>
          </cell>
          <cell r="D1228" t="str">
            <v>개</v>
          </cell>
          <cell r="E1228">
            <v>246000</v>
          </cell>
          <cell r="F1228">
            <v>0</v>
          </cell>
          <cell r="H1228">
            <v>657</v>
          </cell>
          <cell r="I1228">
            <v>246000</v>
          </cell>
          <cell r="J1228">
            <v>657</v>
          </cell>
          <cell r="L1228">
            <v>657</v>
          </cell>
        </row>
        <row r="1229">
          <cell r="A1229">
            <v>8265</v>
          </cell>
          <cell r="B1229" t="str">
            <v>45˚Fixed Elbow</v>
          </cell>
          <cell r="C1229" t="str">
            <v>600Ø</v>
          </cell>
          <cell r="D1229" t="str">
            <v>개</v>
          </cell>
          <cell r="E1229">
            <v>209000</v>
          </cell>
          <cell r="F1229">
            <v>0</v>
          </cell>
          <cell r="H1229">
            <v>657</v>
          </cell>
          <cell r="I1229">
            <v>209000</v>
          </cell>
          <cell r="J1229">
            <v>657</v>
          </cell>
          <cell r="L1229">
            <v>657</v>
          </cell>
        </row>
        <row r="1230">
          <cell r="A1230">
            <v>8266</v>
          </cell>
          <cell r="B1230" t="str">
            <v>45˚Fixed Elbow</v>
          </cell>
          <cell r="C1230" t="str">
            <v>500Ø</v>
          </cell>
          <cell r="D1230" t="str">
            <v>개</v>
          </cell>
          <cell r="E1230">
            <v>174000</v>
          </cell>
          <cell r="F1230">
            <v>0</v>
          </cell>
          <cell r="H1230">
            <v>657</v>
          </cell>
          <cell r="I1230">
            <v>174000</v>
          </cell>
          <cell r="J1230">
            <v>657</v>
          </cell>
          <cell r="L1230">
            <v>657</v>
          </cell>
        </row>
        <row r="1231">
          <cell r="A1231">
            <v>8267</v>
          </cell>
          <cell r="B1231" t="str">
            <v>45˚Fixed Elbow</v>
          </cell>
          <cell r="C1231" t="str">
            <v>400Ø</v>
          </cell>
          <cell r="D1231" t="str">
            <v>개</v>
          </cell>
          <cell r="E1231">
            <v>138000</v>
          </cell>
          <cell r="F1231">
            <v>0</v>
          </cell>
          <cell r="H1231">
            <v>657</v>
          </cell>
          <cell r="I1231">
            <v>138000</v>
          </cell>
          <cell r="J1231">
            <v>657</v>
          </cell>
          <cell r="L1231">
            <v>657</v>
          </cell>
        </row>
        <row r="1232">
          <cell r="A1232">
            <v>8268</v>
          </cell>
          <cell r="B1232" t="str">
            <v>45˚Fixed Elbow</v>
          </cell>
          <cell r="C1232" t="str">
            <v>300Ø</v>
          </cell>
          <cell r="D1232" t="str">
            <v>개</v>
          </cell>
          <cell r="E1232">
            <v>99000</v>
          </cell>
          <cell r="F1232">
            <v>0</v>
          </cell>
          <cell r="H1232">
            <v>657</v>
          </cell>
          <cell r="I1232">
            <v>99000</v>
          </cell>
          <cell r="J1232">
            <v>657</v>
          </cell>
          <cell r="L1232">
            <v>657</v>
          </cell>
        </row>
        <row r="1233">
          <cell r="A1233">
            <v>8269</v>
          </cell>
          <cell r="B1233" t="str">
            <v>45˚Fixed Elbow</v>
          </cell>
          <cell r="C1233" t="str">
            <v>200Ø</v>
          </cell>
          <cell r="D1233" t="str">
            <v>개</v>
          </cell>
          <cell r="E1233">
            <v>68000</v>
          </cell>
          <cell r="F1233">
            <v>0</v>
          </cell>
          <cell r="H1233">
            <v>657</v>
          </cell>
          <cell r="I1233">
            <v>68000</v>
          </cell>
          <cell r="J1233">
            <v>657</v>
          </cell>
          <cell r="L1233">
            <v>657</v>
          </cell>
        </row>
        <row r="1234">
          <cell r="A1234">
            <v>8271</v>
          </cell>
          <cell r="B1234" t="str">
            <v>45˚Lateral Tee</v>
          </cell>
          <cell r="C1234" t="str">
            <v>1,000Ø</v>
          </cell>
          <cell r="D1234" t="str">
            <v>개</v>
          </cell>
          <cell r="E1234">
            <v>1577000</v>
          </cell>
          <cell r="F1234">
            <v>0</v>
          </cell>
          <cell r="H1234">
            <v>657</v>
          </cell>
          <cell r="I1234">
            <v>1577000</v>
          </cell>
          <cell r="J1234">
            <v>657</v>
          </cell>
          <cell r="L1234">
            <v>657</v>
          </cell>
        </row>
        <row r="1235">
          <cell r="A1235">
            <v>8272</v>
          </cell>
          <cell r="B1235" t="str">
            <v>45˚Lateral Tee</v>
          </cell>
          <cell r="C1235" t="str">
            <v>900Ø</v>
          </cell>
          <cell r="D1235" t="str">
            <v>개</v>
          </cell>
          <cell r="E1235">
            <v>865000</v>
          </cell>
          <cell r="F1235">
            <v>0</v>
          </cell>
          <cell r="H1235">
            <v>657</v>
          </cell>
          <cell r="I1235">
            <v>865000</v>
          </cell>
          <cell r="J1235">
            <v>657</v>
          </cell>
          <cell r="L1235">
            <v>657</v>
          </cell>
        </row>
        <row r="1236">
          <cell r="A1236">
            <v>8273</v>
          </cell>
          <cell r="B1236" t="str">
            <v>45˚Lateral Tee</v>
          </cell>
          <cell r="C1236" t="str">
            <v>800Ø</v>
          </cell>
          <cell r="D1236" t="str">
            <v>개</v>
          </cell>
          <cell r="E1236">
            <v>736000</v>
          </cell>
          <cell r="F1236">
            <v>0</v>
          </cell>
          <cell r="H1236">
            <v>657</v>
          </cell>
          <cell r="I1236">
            <v>736000</v>
          </cell>
          <cell r="J1236">
            <v>657</v>
          </cell>
          <cell r="L1236">
            <v>657</v>
          </cell>
        </row>
        <row r="1237">
          <cell r="A1237">
            <v>8274</v>
          </cell>
          <cell r="B1237" t="str">
            <v>45˚Lateral Tee</v>
          </cell>
          <cell r="C1237" t="str">
            <v>700Ø</v>
          </cell>
          <cell r="D1237" t="str">
            <v>개</v>
          </cell>
          <cell r="E1237">
            <v>638000</v>
          </cell>
          <cell r="F1237">
            <v>0</v>
          </cell>
          <cell r="H1237">
            <v>657</v>
          </cell>
          <cell r="I1237">
            <v>638000</v>
          </cell>
          <cell r="J1237">
            <v>657</v>
          </cell>
          <cell r="L1237">
            <v>657</v>
          </cell>
        </row>
        <row r="1238">
          <cell r="A1238">
            <v>8275</v>
          </cell>
          <cell r="B1238" t="str">
            <v>45˚Lateral Tee</v>
          </cell>
          <cell r="C1238" t="str">
            <v>600Ø</v>
          </cell>
          <cell r="D1238" t="str">
            <v>개</v>
          </cell>
          <cell r="E1238">
            <v>523000</v>
          </cell>
          <cell r="F1238">
            <v>0</v>
          </cell>
          <cell r="H1238">
            <v>657</v>
          </cell>
          <cell r="I1238">
            <v>523000</v>
          </cell>
          <cell r="J1238">
            <v>657</v>
          </cell>
          <cell r="L1238">
            <v>657</v>
          </cell>
        </row>
        <row r="1239">
          <cell r="A1239">
            <v>8276</v>
          </cell>
          <cell r="B1239" t="str">
            <v>45˚Lateral Tee</v>
          </cell>
          <cell r="C1239" t="str">
            <v>500Ø</v>
          </cell>
          <cell r="D1239" t="str">
            <v>개</v>
          </cell>
          <cell r="E1239">
            <v>399000</v>
          </cell>
          <cell r="F1239">
            <v>0</v>
          </cell>
          <cell r="H1239">
            <v>657</v>
          </cell>
          <cell r="I1239">
            <v>399000</v>
          </cell>
          <cell r="J1239">
            <v>657</v>
          </cell>
          <cell r="L1239">
            <v>657</v>
          </cell>
        </row>
        <row r="1240">
          <cell r="A1240">
            <v>8277</v>
          </cell>
          <cell r="B1240" t="str">
            <v>45˚Lateral Tee</v>
          </cell>
          <cell r="C1240" t="str">
            <v>400Ø</v>
          </cell>
          <cell r="D1240" t="str">
            <v>개</v>
          </cell>
          <cell r="E1240">
            <v>301000</v>
          </cell>
          <cell r="F1240">
            <v>0</v>
          </cell>
          <cell r="H1240">
            <v>657</v>
          </cell>
          <cell r="I1240">
            <v>301000</v>
          </cell>
          <cell r="J1240">
            <v>657</v>
          </cell>
          <cell r="L1240">
            <v>657</v>
          </cell>
        </row>
        <row r="1241">
          <cell r="A1241">
            <v>8278</v>
          </cell>
          <cell r="B1241" t="str">
            <v>45˚Lateral Tee</v>
          </cell>
          <cell r="C1241" t="str">
            <v>300Ø</v>
          </cell>
          <cell r="D1241" t="str">
            <v>개</v>
          </cell>
          <cell r="E1241">
            <v>223000</v>
          </cell>
          <cell r="F1241">
            <v>0</v>
          </cell>
          <cell r="H1241">
            <v>657</v>
          </cell>
          <cell r="I1241">
            <v>223000</v>
          </cell>
          <cell r="J1241">
            <v>657</v>
          </cell>
          <cell r="L1241">
            <v>657</v>
          </cell>
        </row>
        <row r="1242">
          <cell r="A1242">
            <v>8279</v>
          </cell>
          <cell r="B1242" t="str">
            <v>45˚Lateral Tee</v>
          </cell>
          <cell r="C1242" t="str">
            <v>200Ø</v>
          </cell>
          <cell r="D1242" t="str">
            <v>개</v>
          </cell>
          <cell r="E1242">
            <v>144000</v>
          </cell>
          <cell r="F1242">
            <v>0</v>
          </cell>
          <cell r="H1242">
            <v>657</v>
          </cell>
          <cell r="I1242">
            <v>144000</v>
          </cell>
          <cell r="J1242">
            <v>657</v>
          </cell>
          <cell r="L1242">
            <v>657</v>
          </cell>
        </row>
        <row r="1243">
          <cell r="A1243">
            <v>8281</v>
          </cell>
          <cell r="B1243" t="str">
            <v>Storm Collar</v>
          </cell>
          <cell r="C1243" t="str">
            <v>1,000Ø</v>
          </cell>
          <cell r="D1243" t="str">
            <v>개</v>
          </cell>
          <cell r="E1243">
            <v>77000</v>
          </cell>
          <cell r="F1243">
            <v>0</v>
          </cell>
          <cell r="H1243">
            <v>657</v>
          </cell>
          <cell r="I1243">
            <v>77000</v>
          </cell>
          <cell r="J1243">
            <v>657</v>
          </cell>
          <cell r="L1243">
            <v>657</v>
          </cell>
        </row>
        <row r="1244">
          <cell r="A1244">
            <v>8282</v>
          </cell>
          <cell r="B1244" t="str">
            <v>Storm Collar</v>
          </cell>
          <cell r="C1244" t="str">
            <v>900Ø</v>
          </cell>
          <cell r="D1244" t="str">
            <v>개</v>
          </cell>
          <cell r="E1244">
            <v>40500</v>
          </cell>
          <cell r="F1244">
            <v>0</v>
          </cell>
          <cell r="H1244">
            <v>657</v>
          </cell>
          <cell r="I1244">
            <v>40500</v>
          </cell>
          <cell r="J1244">
            <v>657</v>
          </cell>
          <cell r="L1244">
            <v>657</v>
          </cell>
        </row>
        <row r="1245">
          <cell r="A1245">
            <v>8283</v>
          </cell>
          <cell r="B1245" t="str">
            <v>Storm Collar</v>
          </cell>
          <cell r="C1245" t="str">
            <v>800Ø</v>
          </cell>
          <cell r="D1245" t="str">
            <v>개</v>
          </cell>
          <cell r="E1245">
            <v>37200</v>
          </cell>
          <cell r="F1245">
            <v>0</v>
          </cell>
          <cell r="H1245">
            <v>657</v>
          </cell>
          <cell r="I1245">
            <v>37200</v>
          </cell>
          <cell r="J1245">
            <v>657</v>
          </cell>
          <cell r="L1245">
            <v>657</v>
          </cell>
        </row>
        <row r="1246">
          <cell r="A1246">
            <v>8284</v>
          </cell>
          <cell r="B1246" t="str">
            <v>Storm Collar</v>
          </cell>
          <cell r="C1246" t="str">
            <v>700Ø</v>
          </cell>
          <cell r="D1246" t="str">
            <v>개</v>
          </cell>
          <cell r="E1246">
            <v>31900</v>
          </cell>
          <cell r="F1246">
            <v>0</v>
          </cell>
          <cell r="H1246">
            <v>657</v>
          </cell>
          <cell r="I1246">
            <v>31900</v>
          </cell>
          <cell r="J1246">
            <v>657</v>
          </cell>
          <cell r="L1246">
            <v>657</v>
          </cell>
        </row>
        <row r="1247">
          <cell r="A1247">
            <v>8285</v>
          </cell>
          <cell r="B1247" t="str">
            <v>Storm Collar</v>
          </cell>
          <cell r="C1247" t="str">
            <v>600Ø</v>
          </cell>
          <cell r="D1247" t="str">
            <v>개</v>
          </cell>
          <cell r="E1247">
            <v>27900</v>
          </cell>
          <cell r="F1247">
            <v>0</v>
          </cell>
          <cell r="H1247">
            <v>657</v>
          </cell>
          <cell r="I1247">
            <v>27900</v>
          </cell>
          <cell r="J1247">
            <v>657</v>
          </cell>
          <cell r="L1247">
            <v>657</v>
          </cell>
        </row>
        <row r="1248">
          <cell r="A1248">
            <v>8286</v>
          </cell>
          <cell r="B1248" t="str">
            <v>Storm Collar</v>
          </cell>
          <cell r="C1248" t="str">
            <v>500Ø</v>
          </cell>
          <cell r="D1248" t="str">
            <v>개</v>
          </cell>
          <cell r="E1248">
            <v>23200</v>
          </cell>
          <cell r="F1248">
            <v>0</v>
          </cell>
          <cell r="H1248">
            <v>657</v>
          </cell>
          <cell r="I1248">
            <v>23200</v>
          </cell>
          <cell r="J1248">
            <v>657</v>
          </cell>
          <cell r="L1248">
            <v>657</v>
          </cell>
        </row>
        <row r="1249">
          <cell r="A1249">
            <v>8287</v>
          </cell>
          <cell r="B1249" t="str">
            <v>Storm Collar</v>
          </cell>
          <cell r="C1249" t="str">
            <v>400Ø</v>
          </cell>
          <cell r="D1249" t="str">
            <v>개</v>
          </cell>
          <cell r="E1249">
            <v>19200</v>
          </cell>
          <cell r="F1249">
            <v>0</v>
          </cell>
          <cell r="H1249">
            <v>657</v>
          </cell>
          <cell r="I1249">
            <v>19200</v>
          </cell>
          <cell r="J1249">
            <v>657</v>
          </cell>
          <cell r="L1249">
            <v>657</v>
          </cell>
        </row>
        <row r="1250">
          <cell r="A1250">
            <v>8288</v>
          </cell>
          <cell r="B1250" t="str">
            <v>Storm Collar</v>
          </cell>
          <cell r="C1250" t="str">
            <v>300Ø</v>
          </cell>
          <cell r="D1250" t="str">
            <v>개</v>
          </cell>
          <cell r="E1250">
            <v>15900</v>
          </cell>
          <cell r="F1250">
            <v>0</v>
          </cell>
          <cell r="H1250">
            <v>657</v>
          </cell>
          <cell r="I1250">
            <v>15900</v>
          </cell>
          <cell r="J1250">
            <v>657</v>
          </cell>
          <cell r="L1250">
            <v>657</v>
          </cell>
        </row>
        <row r="1251">
          <cell r="A1251">
            <v>8289</v>
          </cell>
          <cell r="B1251" t="str">
            <v>Storm Collar</v>
          </cell>
          <cell r="C1251" t="str">
            <v>200Ø</v>
          </cell>
          <cell r="D1251" t="str">
            <v>개</v>
          </cell>
          <cell r="E1251">
            <v>10600</v>
          </cell>
          <cell r="F1251">
            <v>0</v>
          </cell>
          <cell r="H1251">
            <v>657</v>
          </cell>
          <cell r="I1251">
            <v>10600</v>
          </cell>
          <cell r="J1251">
            <v>657</v>
          </cell>
          <cell r="L1251">
            <v>657</v>
          </cell>
        </row>
        <row r="1252">
          <cell r="A1252">
            <v>8291</v>
          </cell>
          <cell r="B1252" t="str">
            <v>Stack Cap</v>
          </cell>
          <cell r="C1252" t="str">
            <v>1,000Ø</v>
          </cell>
          <cell r="D1252" t="str">
            <v>개</v>
          </cell>
          <cell r="E1252">
            <v>571000</v>
          </cell>
          <cell r="F1252">
            <v>0</v>
          </cell>
          <cell r="H1252">
            <v>657</v>
          </cell>
          <cell r="I1252">
            <v>571000</v>
          </cell>
          <cell r="J1252">
            <v>657</v>
          </cell>
          <cell r="L1252">
            <v>657</v>
          </cell>
        </row>
        <row r="1253">
          <cell r="A1253">
            <v>8292</v>
          </cell>
          <cell r="B1253" t="str">
            <v>Stack Cap</v>
          </cell>
          <cell r="C1253" t="str">
            <v>900Ø</v>
          </cell>
          <cell r="D1253" t="str">
            <v>개</v>
          </cell>
          <cell r="E1253">
            <v>491000</v>
          </cell>
          <cell r="F1253">
            <v>0</v>
          </cell>
          <cell r="H1253">
            <v>657</v>
          </cell>
          <cell r="I1253">
            <v>491000</v>
          </cell>
          <cell r="J1253">
            <v>657</v>
          </cell>
          <cell r="L1253">
            <v>657</v>
          </cell>
        </row>
        <row r="1254">
          <cell r="A1254">
            <v>8293</v>
          </cell>
          <cell r="B1254" t="str">
            <v>Stack Cap</v>
          </cell>
          <cell r="C1254" t="str">
            <v>800Ø</v>
          </cell>
          <cell r="D1254" t="str">
            <v>개</v>
          </cell>
          <cell r="E1254">
            <v>414000</v>
          </cell>
          <cell r="F1254">
            <v>0</v>
          </cell>
          <cell r="H1254">
            <v>657</v>
          </cell>
          <cell r="I1254">
            <v>414000</v>
          </cell>
          <cell r="J1254">
            <v>657</v>
          </cell>
          <cell r="L1254">
            <v>657</v>
          </cell>
        </row>
        <row r="1255">
          <cell r="A1255">
            <v>8294</v>
          </cell>
          <cell r="B1255" t="str">
            <v>Stack Cap</v>
          </cell>
          <cell r="C1255" t="str">
            <v>700Ø</v>
          </cell>
          <cell r="D1255" t="str">
            <v>개</v>
          </cell>
          <cell r="E1255">
            <v>365000</v>
          </cell>
          <cell r="F1255">
            <v>0</v>
          </cell>
          <cell r="H1255">
            <v>657</v>
          </cell>
          <cell r="I1255">
            <v>365000</v>
          </cell>
          <cell r="J1255">
            <v>657</v>
          </cell>
          <cell r="L1255">
            <v>657</v>
          </cell>
        </row>
        <row r="1256">
          <cell r="A1256">
            <v>8295</v>
          </cell>
          <cell r="B1256" t="str">
            <v>Stack Cap</v>
          </cell>
          <cell r="C1256" t="str">
            <v>600Ø</v>
          </cell>
          <cell r="D1256" t="str">
            <v>개</v>
          </cell>
          <cell r="E1256">
            <v>307000</v>
          </cell>
          <cell r="F1256">
            <v>0</v>
          </cell>
          <cell r="H1256">
            <v>657</v>
          </cell>
          <cell r="I1256">
            <v>307000</v>
          </cell>
          <cell r="J1256">
            <v>657</v>
          </cell>
          <cell r="L1256">
            <v>657</v>
          </cell>
        </row>
        <row r="1257">
          <cell r="A1257">
            <v>8296</v>
          </cell>
          <cell r="B1257" t="str">
            <v>Stack Cap</v>
          </cell>
          <cell r="C1257" t="str">
            <v>500Ø</v>
          </cell>
          <cell r="D1257" t="str">
            <v>개</v>
          </cell>
          <cell r="E1257">
            <v>256000</v>
          </cell>
          <cell r="F1257">
            <v>0</v>
          </cell>
          <cell r="H1257">
            <v>657</v>
          </cell>
          <cell r="I1257">
            <v>256000</v>
          </cell>
          <cell r="J1257">
            <v>657</v>
          </cell>
          <cell r="L1257">
            <v>657</v>
          </cell>
        </row>
        <row r="1258">
          <cell r="A1258">
            <v>8297</v>
          </cell>
          <cell r="B1258" t="str">
            <v>Stack Cap</v>
          </cell>
          <cell r="C1258" t="str">
            <v>400Ø</v>
          </cell>
          <cell r="D1258" t="str">
            <v>개</v>
          </cell>
          <cell r="E1258">
            <v>193000</v>
          </cell>
          <cell r="F1258">
            <v>0</v>
          </cell>
          <cell r="H1258">
            <v>657</v>
          </cell>
          <cell r="I1258">
            <v>193000</v>
          </cell>
          <cell r="J1258">
            <v>657</v>
          </cell>
          <cell r="L1258">
            <v>657</v>
          </cell>
        </row>
        <row r="1259">
          <cell r="A1259">
            <v>8298</v>
          </cell>
          <cell r="B1259" t="str">
            <v>Stack Cap</v>
          </cell>
          <cell r="C1259" t="str">
            <v>300Ø</v>
          </cell>
          <cell r="D1259" t="str">
            <v>개</v>
          </cell>
          <cell r="E1259">
            <v>150000</v>
          </cell>
          <cell r="F1259">
            <v>0</v>
          </cell>
          <cell r="H1259">
            <v>657</v>
          </cell>
          <cell r="I1259">
            <v>150000</v>
          </cell>
          <cell r="J1259">
            <v>657</v>
          </cell>
          <cell r="L1259">
            <v>657</v>
          </cell>
        </row>
        <row r="1260">
          <cell r="A1260">
            <v>8299</v>
          </cell>
          <cell r="B1260" t="str">
            <v>Stack Cap</v>
          </cell>
          <cell r="C1260" t="str">
            <v>200Ø</v>
          </cell>
          <cell r="D1260" t="str">
            <v>개</v>
          </cell>
          <cell r="E1260">
            <v>111000</v>
          </cell>
          <cell r="F1260">
            <v>0</v>
          </cell>
          <cell r="H1260">
            <v>657</v>
          </cell>
          <cell r="I1260">
            <v>111000</v>
          </cell>
          <cell r="J1260">
            <v>657</v>
          </cell>
          <cell r="L1260">
            <v>657</v>
          </cell>
        </row>
        <row r="1261">
          <cell r="A1261">
            <v>8301</v>
          </cell>
          <cell r="B1261" t="str">
            <v>Step Increaser</v>
          </cell>
          <cell r="C1261" t="str">
            <v>1,000Ø</v>
          </cell>
          <cell r="D1261" t="str">
            <v>개</v>
          </cell>
          <cell r="E1261">
            <v>339000</v>
          </cell>
          <cell r="F1261">
            <v>0</v>
          </cell>
          <cell r="H1261">
            <v>657</v>
          </cell>
          <cell r="I1261">
            <v>339000</v>
          </cell>
          <cell r="J1261">
            <v>657</v>
          </cell>
          <cell r="L1261">
            <v>657</v>
          </cell>
        </row>
        <row r="1262">
          <cell r="A1262">
            <v>8302</v>
          </cell>
          <cell r="B1262" t="str">
            <v>Step Increaser</v>
          </cell>
          <cell r="C1262" t="str">
            <v>900Ø</v>
          </cell>
          <cell r="D1262" t="str">
            <v>개</v>
          </cell>
          <cell r="E1262">
            <v>199000</v>
          </cell>
          <cell r="F1262">
            <v>0</v>
          </cell>
          <cell r="H1262">
            <v>657</v>
          </cell>
          <cell r="I1262">
            <v>199000</v>
          </cell>
          <cell r="J1262">
            <v>657</v>
          </cell>
          <cell r="L1262">
            <v>657</v>
          </cell>
        </row>
        <row r="1263">
          <cell r="A1263">
            <v>8303</v>
          </cell>
          <cell r="B1263" t="str">
            <v>Step Increaser</v>
          </cell>
          <cell r="C1263" t="str">
            <v>800Ø</v>
          </cell>
          <cell r="D1263" t="str">
            <v>개</v>
          </cell>
          <cell r="E1263">
            <v>176000</v>
          </cell>
          <cell r="F1263">
            <v>0</v>
          </cell>
          <cell r="H1263">
            <v>657</v>
          </cell>
          <cell r="I1263">
            <v>176000</v>
          </cell>
          <cell r="J1263">
            <v>657</v>
          </cell>
          <cell r="L1263">
            <v>657</v>
          </cell>
        </row>
        <row r="1264">
          <cell r="A1264">
            <v>8304</v>
          </cell>
          <cell r="B1264" t="str">
            <v>Step Increaser</v>
          </cell>
          <cell r="C1264" t="str">
            <v>700Ø</v>
          </cell>
          <cell r="D1264" t="str">
            <v>개</v>
          </cell>
          <cell r="E1264">
            <v>153000</v>
          </cell>
          <cell r="F1264">
            <v>0</v>
          </cell>
          <cell r="H1264">
            <v>657</v>
          </cell>
          <cell r="I1264">
            <v>153000</v>
          </cell>
          <cell r="J1264">
            <v>657</v>
          </cell>
          <cell r="L1264">
            <v>657</v>
          </cell>
        </row>
        <row r="1265">
          <cell r="A1265">
            <v>8305</v>
          </cell>
          <cell r="B1265" t="str">
            <v>Step Increaser</v>
          </cell>
          <cell r="C1265" t="str">
            <v>600Ø</v>
          </cell>
          <cell r="D1265" t="str">
            <v>개</v>
          </cell>
          <cell r="E1265">
            <v>133000</v>
          </cell>
          <cell r="F1265">
            <v>0</v>
          </cell>
          <cell r="H1265">
            <v>657</v>
          </cell>
          <cell r="I1265">
            <v>133000</v>
          </cell>
          <cell r="J1265">
            <v>657</v>
          </cell>
          <cell r="L1265">
            <v>657</v>
          </cell>
        </row>
        <row r="1266">
          <cell r="A1266">
            <v>8306</v>
          </cell>
          <cell r="B1266" t="str">
            <v>Step Increaser</v>
          </cell>
          <cell r="C1266" t="str">
            <v>500Ø</v>
          </cell>
          <cell r="D1266" t="str">
            <v>개</v>
          </cell>
          <cell r="E1266">
            <v>121000</v>
          </cell>
          <cell r="F1266">
            <v>0</v>
          </cell>
          <cell r="H1266">
            <v>657</v>
          </cell>
          <cell r="I1266">
            <v>121000</v>
          </cell>
          <cell r="J1266">
            <v>657</v>
          </cell>
          <cell r="L1266">
            <v>657</v>
          </cell>
        </row>
        <row r="1267">
          <cell r="A1267">
            <v>8307</v>
          </cell>
          <cell r="B1267" t="str">
            <v>Step Increaser</v>
          </cell>
          <cell r="C1267" t="str">
            <v>400Ø</v>
          </cell>
          <cell r="D1267" t="str">
            <v>개</v>
          </cell>
          <cell r="E1267">
            <v>89000</v>
          </cell>
          <cell r="F1267">
            <v>0</v>
          </cell>
          <cell r="H1267">
            <v>657</v>
          </cell>
          <cell r="I1267">
            <v>89000</v>
          </cell>
          <cell r="J1267">
            <v>657</v>
          </cell>
          <cell r="L1267">
            <v>657</v>
          </cell>
        </row>
        <row r="1268">
          <cell r="A1268">
            <v>8308</v>
          </cell>
          <cell r="B1268" t="str">
            <v>Step Increaser</v>
          </cell>
          <cell r="C1268" t="str">
            <v>300Ø</v>
          </cell>
          <cell r="D1268" t="str">
            <v>개</v>
          </cell>
          <cell r="E1268">
            <v>60700</v>
          </cell>
          <cell r="F1268">
            <v>0</v>
          </cell>
          <cell r="H1268">
            <v>657</v>
          </cell>
          <cell r="I1268">
            <v>60700</v>
          </cell>
          <cell r="J1268">
            <v>657</v>
          </cell>
          <cell r="L1268">
            <v>657</v>
          </cell>
        </row>
        <row r="1269">
          <cell r="A1269">
            <v>8309</v>
          </cell>
          <cell r="B1269" t="str">
            <v>Step Increaser</v>
          </cell>
          <cell r="C1269" t="str">
            <v>200Ø</v>
          </cell>
          <cell r="D1269" t="str">
            <v>개</v>
          </cell>
          <cell r="E1269">
            <v>52500</v>
          </cell>
          <cell r="F1269">
            <v>0</v>
          </cell>
          <cell r="H1269">
            <v>657</v>
          </cell>
          <cell r="I1269">
            <v>52500</v>
          </cell>
          <cell r="J1269">
            <v>657</v>
          </cell>
          <cell r="L1269">
            <v>657</v>
          </cell>
        </row>
        <row r="1270">
          <cell r="E1270">
            <v>0</v>
          </cell>
        </row>
        <row r="1277">
          <cell r="A1277">
            <v>9001</v>
          </cell>
          <cell r="B1277" t="str">
            <v>인건비</v>
          </cell>
          <cell r="C1277" t="str">
            <v>배관공</v>
          </cell>
          <cell r="D1277" t="str">
            <v>인</v>
          </cell>
          <cell r="E1277">
            <v>0</v>
          </cell>
          <cell r="F1277">
            <v>51272</v>
          </cell>
          <cell r="H1277">
            <v>25</v>
          </cell>
          <cell r="I1277">
            <v>0</v>
          </cell>
          <cell r="J1277">
            <v>25</v>
          </cell>
          <cell r="L1277">
            <v>25</v>
          </cell>
        </row>
        <row r="1278">
          <cell r="A1278">
            <v>9002</v>
          </cell>
          <cell r="B1278" t="str">
            <v>인건비</v>
          </cell>
          <cell r="C1278" t="str">
            <v>위생공</v>
          </cell>
          <cell r="D1278" t="str">
            <v>인</v>
          </cell>
          <cell r="E1278">
            <v>0</v>
          </cell>
          <cell r="F1278">
            <v>51626</v>
          </cell>
          <cell r="H1278">
            <v>26</v>
          </cell>
          <cell r="I1278">
            <v>0</v>
          </cell>
          <cell r="J1278">
            <v>26</v>
          </cell>
          <cell r="L1278">
            <v>26</v>
          </cell>
        </row>
        <row r="1279">
          <cell r="A1279">
            <v>9003</v>
          </cell>
          <cell r="B1279" t="str">
            <v>인건비</v>
          </cell>
          <cell r="C1279" t="str">
            <v>기계설치공</v>
          </cell>
          <cell r="D1279" t="str">
            <v>인</v>
          </cell>
          <cell r="E1279">
            <v>0</v>
          </cell>
          <cell r="F1279">
            <v>54111</v>
          </cell>
          <cell r="H1279">
            <v>88</v>
          </cell>
          <cell r="I1279">
            <v>0</v>
          </cell>
          <cell r="J1279">
            <v>88</v>
          </cell>
          <cell r="L1279">
            <v>88</v>
          </cell>
        </row>
        <row r="1280">
          <cell r="A1280">
            <v>9004</v>
          </cell>
          <cell r="B1280" t="str">
            <v>인건비</v>
          </cell>
          <cell r="C1280" t="str">
            <v>용접공</v>
          </cell>
          <cell r="D1280" t="str">
            <v>인</v>
          </cell>
          <cell r="E1280">
            <v>0</v>
          </cell>
          <cell r="F1280">
            <v>58758</v>
          </cell>
          <cell r="H1280">
            <v>97</v>
          </cell>
          <cell r="I1280">
            <v>0</v>
          </cell>
          <cell r="J1280">
            <v>97</v>
          </cell>
          <cell r="L1280">
            <v>97</v>
          </cell>
        </row>
        <row r="1281">
          <cell r="A1281">
            <v>9005</v>
          </cell>
          <cell r="B1281" t="str">
            <v>인건비</v>
          </cell>
          <cell r="C1281" t="str">
            <v>보온공</v>
          </cell>
          <cell r="D1281" t="str">
            <v>인</v>
          </cell>
          <cell r="E1281">
            <v>0</v>
          </cell>
          <cell r="F1281">
            <v>52961</v>
          </cell>
          <cell r="H1281">
            <v>27</v>
          </cell>
          <cell r="I1281">
            <v>0</v>
          </cell>
          <cell r="J1281">
            <v>27</v>
          </cell>
          <cell r="L1281">
            <v>27</v>
          </cell>
        </row>
        <row r="1282">
          <cell r="A1282">
            <v>9006</v>
          </cell>
          <cell r="B1282" t="str">
            <v>인건비</v>
          </cell>
          <cell r="C1282" t="str">
            <v>특별인부</v>
          </cell>
          <cell r="D1282" t="str">
            <v>인</v>
          </cell>
          <cell r="E1282">
            <v>0</v>
          </cell>
          <cell r="F1282">
            <v>52232</v>
          </cell>
          <cell r="H1282">
            <v>73</v>
          </cell>
          <cell r="I1282">
            <v>0</v>
          </cell>
          <cell r="J1282">
            <v>73</v>
          </cell>
          <cell r="L1282">
            <v>73</v>
          </cell>
        </row>
        <row r="1283">
          <cell r="A1283">
            <v>9007</v>
          </cell>
          <cell r="B1283" t="str">
            <v>인건비</v>
          </cell>
          <cell r="C1283" t="str">
            <v>보통인부</v>
          </cell>
          <cell r="D1283" t="str">
            <v>인</v>
          </cell>
          <cell r="E1283">
            <v>0</v>
          </cell>
          <cell r="F1283">
            <v>37483</v>
          </cell>
          <cell r="H1283">
            <v>74</v>
          </cell>
          <cell r="I1283">
            <v>0</v>
          </cell>
          <cell r="J1283">
            <v>74</v>
          </cell>
          <cell r="L1283">
            <v>74</v>
          </cell>
        </row>
        <row r="1284">
          <cell r="A1284">
            <v>9008</v>
          </cell>
          <cell r="B1284" t="str">
            <v>인건비</v>
          </cell>
          <cell r="C1284" t="str">
            <v>보일러공</v>
          </cell>
          <cell r="D1284" t="str">
            <v>인</v>
          </cell>
          <cell r="E1284">
            <v>0</v>
          </cell>
          <cell r="F1284">
            <v>47570</v>
          </cell>
          <cell r="H1284">
            <v>24</v>
          </cell>
          <cell r="I1284">
            <v>0</v>
          </cell>
          <cell r="J1284">
            <v>24</v>
          </cell>
          <cell r="L1284">
            <v>24</v>
          </cell>
        </row>
        <row r="1285">
          <cell r="A1285">
            <v>9009</v>
          </cell>
          <cell r="B1285" t="str">
            <v>인건비</v>
          </cell>
          <cell r="C1285" t="str">
            <v>도장공</v>
          </cell>
          <cell r="D1285" t="str">
            <v>인</v>
          </cell>
          <cell r="E1285">
            <v>0</v>
          </cell>
          <cell r="F1285">
            <v>57502</v>
          </cell>
          <cell r="H1285">
            <v>28</v>
          </cell>
          <cell r="I1285">
            <v>0</v>
          </cell>
          <cell r="J1285">
            <v>28</v>
          </cell>
          <cell r="L1285">
            <v>28</v>
          </cell>
        </row>
        <row r="1286">
          <cell r="A1286">
            <v>9010</v>
          </cell>
          <cell r="B1286" t="str">
            <v>인건비</v>
          </cell>
          <cell r="C1286" t="str">
            <v>덕트공</v>
          </cell>
          <cell r="D1286" t="str">
            <v>인</v>
          </cell>
          <cell r="E1286">
            <v>0</v>
          </cell>
          <cell r="F1286">
            <v>47697</v>
          </cell>
          <cell r="H1286">
            <v>98</v>
          </cell>
          <cell r="I1286">
            <v>0</v>
          </cell>
          <cell r="J1286">
            <v>98</v>
          </cell>
          <cell r="L1286">
            <v>98</v>
          </cell>
        </row>
        <row r="1287">
          <cell r="A1287">
            <v>9011</v>
          </cell>
          <cell r="B1287" t="str">
            <v>인건비</v>
          </cell>
          <cell r="C1287" t="str">
            <v>줄눈공</v>
          </cell>
          <cell r="D1287" t="str">
            <v>인</v>
          </cell>
          <cell r="E1287">
            <v>0</v>
          </cell>
          <cell r="H1287">
            <v>21</v>
          </cell>
          <cell r="I1287">
            <v>0</v>
          </cell>
          <cell r="J1287">
            <v>21</v>
          </cell>
          <cell r="L1287">
            <v>21</v>
          </cell>
        </row>
        <row r="1288">
          <cell r="A1288">
            <v>9021</v>
          </cell>
          <cell r="B1288" t="str">
            <v>터파기 및 되메우기</v>
          </cell>
          <cell r="C1288" t="str">
            <v>인력</v>
          </cell>
          <cell r="D1288" t="str">
            <v>M³</v>
          </cell>
          <cell r="E1288">
            <v>0</v>
          </cell>
          <cell r="F1288">
            <v>13868</v>
          </cell>
          <cell r="H1288">
            <v>0</v>
          </cell>
          <cell r="I1288">
            <v>0</v>
          </cell>
          <cell r="J1288">
            <v>0</v>
          </cell>
          <cell r="L1288">
            <v>0</v>
          </cell>
        </row>
        <row r="1289">
          <cell r="A1289">
            <v>9022</v>
          </cell>
          <cell r="B1289" t="str">
            <v>터파기 및 되메우기</v>
          </cell>
          <cell r="C1289" t="str">
            <v>기계</v>
          </cell>
          <cell r="D1289" t="str">
            <v>M³</v>
          </cell>
          <cell r="E1289">
            <v>610</v>
          </cell>
          <cell r="F1289">
            <v>570</v>
          </cell>
          <cell r="H1289">
            <v>0</v>
          </cell>
          <cell r="I1289">
            <v>610</v>
          </cell>
          <cell r="J1289">
            <v>0</v>
          </cell>
          <cell r="L1289">
            <v>0</v>
          </cell>
        </row>
        <row r="1290">
          <cell r="A1290">
            <v>9023</v>
          </cell>
          <cell r="B1290" t="str">
            <v>보도용포장파괴</v>
          </cell>
          <cell r="C1290" t="str">
            <v>콘크리트</v>
          </cell>
          <cell r="D1290" t="str">
            <v>M²</v>
          </cell>
          <cell r="E1290">
            <v>235</v>
          </cell>
          <cell r="F1290">
            <v>4697</v>
          </cell>
          <cell r="H1290">
            <v>0</v>
          </cell>
          <cell r="I1290">
            <v>235</v>
          </cell>
          <cell r="J1290">
            <v>0</v>
          </cell>
          <cell r="L1290">
            <v>0</v>
          </cell>
        </row>
        <row r="1291">
          <cell r="A1291">
            <v>9024</v>
          </cell>
          <cell r="B1291" t="str">
            <v>레미콘구입 및 타설</v>
          </cell>
          <cell r="D1291" t="str">
            <v>M³</v>
          </cell>
          <cell r="E1291">
            <v>46182</v>
          </cell>
          <cell r="F1291">
            <v>5321</v>
          </cell>
          <cell r="H1291">
            <v>0</v>
          </cell>
          <cell r="I1291">
            <v>46182</v>
          </cell>
          <cell r="J1291">
            <v>0</v>
          </cell>
          <cell r="L1291">
            <v>0</v>
          </cell>
        </row>
        <row r="1292">
          <cell r="A1292">
            <v>9025</v>
          </cell>
          <cell r="B1292" t="str">
            <v>보도용블럭포장</v>
          </cell>
          <cell r="C1292" t="str">
            <v>30x30x6</v>
          </cell>
          <cell r="D1292" t="str">
            <v>M²</v>
          </cell>
          <cell r="E1292">
            <v>6768</v>
          </cell>
          <cell r="F1292">
            <v>2972</v>
          </cell>
          <cell r="H1292">
            <v>0</v>
          </cell>
          <cell r="I1292">
            <v>6768</v>
          </cell>
          <cell r="J1292">
            <v>0</v>
          </cell>
          <cell r="L1292">
            <v>0</v>
          </cell>
        </row>
        <row r="1293">
          <cell r="A1293">
            <v>9026</v>
          </cell>
          <cell r="B1293" t="str">
            <v>보도블럭파손 및 복구</v>
          </cell>
          <cell r="C1293" t="str">
            <v>인력</v>
          </cell>
          <cell r="D1293" t="str">
            <v>M²</v>
          </cell>
          <cell r="E1293">
            <v>18</v>
          </cell>
          <cell r="F1293">
            <v>4497</v>
          </cell>
          <cell r="H1293">
            <v>0</v>
          </cell>
          <cell r="I1293">
            <v>18</v>
          </cell>
          <cell r="J1293">
            <v>0</v>
          </cell>
          <cell r="L1293">
            <v>0</v>
          </cell>
        </row>
        <row r="1294">
          <cell r="A1294">
            <v>9110</v>
          </cell>
          <cell r="B1294" t="str">
            <v>난연폴리에틸렌보온</v>
          </cell>
          <cell r="C1294" t="str">
            <v>150Øx 40t</v>
          </cell>
          <cell r="D1294" t="str">
            <v>M</v>
          </cell>
          <cell r="E1294">
            <v>13121</v>
          </cell>
          <cell r="F1294">
            <v>6620</v>
          </cell>
          <cell r="H1294">
            <v>0</v>
          </cell>
          <cell r="I1294">
            <v>21818</v>
          </cell>
          <cell r="J1294">
            <v>0</v>
          </cell>
          <cell r="L1294">
            <v>0</v>
          </cell>
        </row>
        <row r="1295">
          <cell r="A1295">
            <v>9111</v>
          </cell>
          <cell r="B1295" t="str">
            <v>난연폴리에틸렌보온</v>
          </cell>
          <cell r="C1295" t="str">
            <v>100Øx 40t</v>
          </cell>
          <cell r="D1295" t="str">
            <v>M</v>
          </cell>
          <cell r="E1295">
            <v>7706</v>
          </cell>
          <cell r="F1295">
            <v>4501</v>
          </cell>
          <cell r="H1295">
            <v>0</v>
          </cell>
          <cell r="I1295">
            <v>8883</v>
          </cell>
          <cell r="J1295">
            <v>0</v>
          </cell>
          <cell r="L1295">
            <v>0</v>
          </cell>
        </row>
        <row r="1296">
          <cell r="A1296">
            <v>9112</v>
          </cell>
          <cell r="B1296" t="str">
            <v>난연폴리에틸렌보온</v>
          </cell>
          <cell r="C1296" t="str">
            <v>80Øx 25t</v>
          </cell>
          <cell r="D1296" t="str">
            <v>M</v>
          </cell>
          <cell r="E1296">
            <v>3347</v>
          </cell>
          <cell r="F1296">
            <v>2912</v>
          </cell>
          <cell r="H1296">
            <v>0</v>
          </cell>
          <cell r="I1296">
            <v>4157</v>
          </cell>
          <cell r="J1296">
            <v>0</v>
          </cell>
          <cell r="L1296">
            <v>0</v>
          </cell>
        </row>
        <row r="1297">
          <cell r="A1297">
            <v>9113</v>
          </cell>
          <cell r="B1297" t="str">
            <v>난연폴리에틸렌보온</v>
          </cell>
          <cell r="C1297" t="str">
            <v>65Øx 25t</v>
          </cell>
          <cell r="D1297" t="str">
            <v>M</v>
          </cell>
          <cell r="E1297">
            <v>3128</v>
          </cell>
          <cell r="F1297">
            <v>2648</v>
          </cell>
          <cell r="H1297">
            <v>0</v>
          </cell>
          <cell r="I1297">
            <v>3605</v>
          </cell>
          <cell r="J1297">
            <v>0</v>
          </cell>
          <cell r="L1297">
            <v>0</v>
          </cell>
        </row>
        <row r="1298">
          <cell r="A1298">
            <v>9114</v>
          </cell>
          <cell r="B1298" t="str">
            <v>난연폴리에틸렌보온</v>
          </cell>
          <cell r="C1298" t="str">
            <v>50Øx 25t</v>
          </cell>
          <cell r="D1298" t="str">
            <v>M</v>
          </cell>
          <cell r="E1298">
            <v>2685</v>
          </cell>
          <cell r="F1298">
            <v>2118</v>
          </cell>
          <cell r="H1298">
            <v>0</v>
          </cell>
          <cell r="I1298">
            <v>3333</v>
          </cell>
          <cell r="J1298">
            <v>0</v>
          </cell>
          <cell r="L1298">
            <v>0</v>
          </cell>
        </row>
        <row r="1299">
          <cell r="A1299">
            <v>9115</v>
          </cell>
          <cell r="B1299" t="str">
            <v>난연폴리에틸렌보온</v>
          </cell>
          <cell r="C1299" t="str">
            <v>40Øx 25t</v>
          </cell>
          <cell r="D1299" t="str">
            <v>M</v>
          </cell>
          <cell r="E1299">
            <v>2402</v>
          </cell>
          <cell r="F1299">
            <v>2118</v>
          </cell>
          <cell r="H1299">
            <v>0</v>
          </cell>
          <cell r="I1299">
            <v>2926</v>
          </cell>
          <cell r="J1299">
            <v>0</v>
          </cell>
          <cell r="L1299">
            <v>0</v>
          </cell>
        </row>
        <row r="1300">
          <cell r="A1300">
            <v>9116</v>
          </cell>
          <cell r="B1300" t="str">
            <v>난연폴리에틸렌보온</v>
          </cell>
          <cell r="C1300" t="str">
            <v>32Øx 25t</v>
          </cell>
          <cell r="D1300" t="str">
            <v>M</v>
          </cell>
          <cell r="E1300">
            <v>2270</v>
          </cell>
          <cell r="F1300">
            <v>2118</v>
          </cell>
          <cell r="H1300">
            <v>0</v>
          </cell>
          <cell r="I1300">
            <v>2750</v>
          </cell>
          <cell r="J1300">
            <v>0</v>
          </cell>
          <cell r="L1300">
            <v>0</v>
          </cell>
        </row>
        <row r="1301">
          <cell r="A1301">
            <v>9117</v>
          </cell>
          <cell r="B1301" t="str">
            <v>난연폴리에틸렌보온</v>
          </cell>
          <cell r="C1301" t="str">
            <v>25Øx 25t</v>
          </cell>
          <cell r="D1301" t="str">
            <v>M</v>
          </cell>
          <cell r="E1301">
            <v>2067</v>
          </cell>
          <cell r="F1301">
            <v>1853</v>
          </cell>
          <cell r="H1301">
            <v>0</v>
          </cell>
          <cell r="I1301">
            <v>2417</v>
          </cell>
          <cell r="J1301">
            <v>0</v>
          </cell>
          <cell r="L1301">
            <v>0</v>
          </cell>
        </row>
        <row r="1302">
          <cell r="A1302">
            <v>9118</v>
          </cell>
          <cell r="B1302" t="str">
            <v>난연폴리에틸렌보온</v>
          </cell>
          <cell r="C1302" t="str">
            <v>20Øx 25t</v>
          </cell>
          <cell r="D1302" t="str">
            <v>M</v>
          </cell>
          <cell r="E1302">
            <v>1914</v>
          </cell>
          <cell r="F1302">
            <v>1588</v>
          </cell>
          <cell r="H1302">
            <v>0</v>
          </cell>
          <cell r="I1302">
            <v>2080</v>
          </cell>
          <cell r="J1302">
            <v>0</v>
          </cell>
          <cell r="L1302">
            <v>0</v>
          </cell>
        </row>
        <row r="1303">
          <cell r="A1303">
            <v>9119</v>
          </cell>
          <cell r="B1303" t="str">
            <v>난연폴리에틸렌보온</v>
          </cell>
          <cell r="C1303" t="str">
            <v>15Øx 25t</v>
          </cell>
          <cell r="D1303" t="str">
            <v>M</v>
          </cell>
          <cell r="E1303">
            <v>1776</v>
          </cell>
          <cell r="F1303">
            <v>1324</v>
          </cell>
          <cell r="H1303">
            <v>0</v>
          </cell>
          <cell r="I1303">
            <v>1928</v>
          </cell>
          <cell r="J1303">
            <v>0</v>
          </cell>
          <cell r="L1303">
            <v>0</v>
          </cell>
        </row>
        <row r="1304">
          <cell r="A1304">
            <v>9120</v>
          </cell>
          <cell r="B1304" t="str">
            <v>유리솜보온</v>
          </cell>
          <cell r="C1304" t="str">
            <v>150Øx 40t</v>
          </cell>
          <cell r="D1304" t="str">
            <v>M</v>
          </cell>
          <cell r="E1304">
            <v>5876</v>
          </cell>
          <cell r="F1304">
            <v>6620</v>
          </cell>
          <cell r="H1304">
            <v>0</v>
          </cell>
          <cell r="I1304">
            <v>7297</v>
          </cell>
          <cell r="J1304">
            <v>0</v>
          </cell>
          <cell r="L1304">
            <v>0</v>
          </cell>
        </row>
        <row r="1305">
          <cell r="A1305">
            <v>9121</v>
          </cell>
          <cell r="B1305" t="str">
            <v>유리솜보온</v>
          </cell>
          <cell r="C1305" t="str">
            <v>100Øx 40t</v>
          </cell>
          <cell r="D1305" t="str">
            <v>M</v>
          </cell>
          <cell r="E1305">
            <v>4385</v>
          </cell>
          <cell r="F1305">
            <v>4501</v>
          </cell>
          <cell r="H1305">
            <v>0</v>
          </cell>
          <cell r="I1305">
            <v>5532</v>
          </cell>
          <cell r="J1305">
            <v>0</v>
          </cell>
          <cell r="L1305">
            <v>0</v>
          </cell>
        </row>
        <row r="1306">
          <cell r="A1306">
            <v>9122</v>
          </cell>
          <cell r="B1306" t="str">
            <v>유리솜보온</v>
          </cell>
          <cell r="C1306" t="str">
            <v>80Øx 25t</v>
          </cell>
          <cell r="D1306" t="str">
            <v>M</v>
          </cell>
          <cell r="E1306">
            <v>2276</v>
          </cell>
          <cell r="F1306">
            <v>2912</v>
          </cell>
          <cell r="H1306">
            <v>0</v>
          </cell>
          <cell r="I1306">
            <v>2993</v>
          </cell>
          <cell r="J1306">
            <v>0</v>
          </cell>
          <cell r="L1306">
            <v>0</v>
          </cell>
        </row>
        <row r="1307">
          <cell r="A1307">
            <v>9123</v>
          </cell>
          <cell r="B1307" t="str">
            <v>유리솜보온</v>
          </cell>
          <cell r="C1307" t="str">
            <v>65Øx 25t</v>
          </cell>
          <cell r="D1307" t="str">
            <v>M</v>
          </cell>
          <cell r="E1307">
            <v>2008</v>
          </cell>
          <cell r="F1307">
            <v>2648</v>
          </cell>
          <cell r="H1307">
            <v>0</v>
          </cell>
          <cell r="I1307">
            <v>2664</v>
          </cell>
          <cell r="J1307">
            <v>0</v>
          </cell>
          <cell r="L1307">
            <v>0</v>
          </cell>
        </row>
        <row r="1308">
          <cell r="A1308">
            <v>9124</v>
          </cell>
          <cell r="B1308" t="str">
            <v>유리솜보온</v>
          </cell>
          <cell r="C1308" t="str">
            <v>50Øx 25t</v>
          </cell>
          <cell r="D1308" t="str">
            <v>M</v>
          </cell>
          <cell r="E1308">
            <v>1812</v>
          </cell>
          <cell r="F1308">
            <v>2118</v>
          </cell>
          <cell r="H1308">
            <v>0</v>
          </cell>
          <cell r="I1308">
            <v>2391</v>
          </cell>
          <cell r="J1308">
            <v>0</v>
          </cell>
          <cell r="L1308">
            <v>0</v>
          </cell>
        </row>
        <row r="1309">
          <cell r="A1309">
            <v>9125</v>
          </cell>
          <cell r="B1309" t="str">
            <v>유리솜보온</v>
          </cell>
          <cell r="C1309" t="str">
            <v>40Øx 25t</v>
          </cell>
          <cell r="D1309" t="str">
            <v>M</v>
          </cell>
          <cell r="E1309">
            <v>1552</v>
          </cell>
          <cell r="F1309">
            <v>2118</v>
          </cell>
          <cell r="H1309">
            <v>0</v>
          </cell>
          <cell r="I1309">
            <v>2062</v>
          </cell>
          <cell r="J1309">
            <v>0</v>
          </cell>
          <cell r="L1309">
            <v>0</v>
          </cell>
        </row>
        <row r="1310">
          <cell r="A1310">
            <v>9126</v>
          </cell>
          <cell r="B1310" t="str">
            <v>유리솜보온</v>
          </cell>
          <cell r="C1310" t="str">
            <v>32Øx 25t</v>
          </cell>
          <cell r="D1310" t="str">
            <v>M</v>
          </cell>
          <cell r="E1310">
            <v>1443</v>
          </cell>
          <cell r="F1310">
            <v>2118</v>
          </cell>
          <cell r="H1310">
            <v>0</v>
          </cell>
          <cell r="I1310">
            <v>1908</v>
          </cell>
          <cell r="J1310">
            <v>0</v>
          </cell>
          <cell r="L1310">
            <v>0</v>
          </cell>
        </row>
        <row r="1311">
          <cell r="A1311">
            <v>9127</v>
          </cell>
          <cell r="B1311" t="str">
            <v>유리솜보온</v>
          </cell>
          <cell r="C1311" t="str">
            <v>25Øx 25t</v>
          </cell>
          <cell r="D1311" t="str">
            <v>M</v>
          </cell>
          <cell r="E1311">
            <v>1267</v>
          </cell>
          <cell r="F1311">
            <v>1853</v>
          </cell>
          <cell r="H1311">
            <v>0</v>
          </cell>
          <cell r="I1311">
            <v>1683</v>
          </cell>
          <cell r="J1311">
            <v>0</v>
          </cell>
          <cell r="L1311">
            <v>0</v>
          </cell>
        </row>
        <row r="1312">
          <cell r="A1312">
            <v>9128</v>
          </cell>
          <cell r="B1312" t="str">
            <v>유리솜보온</v>
          </cell>
          <cell r="C1312" t="str">
            <v>20Øx 25t</v>
          </cell>
          <cell r="D1312" t="str">
            <v>M</v>
          </cell>
          <cell r="E1312">
            <v>1127</v>
          </cell>
          <cell r="F1312">
            <v>1588</v>
          </cell>
          <cell r="H1312">
            <v>0</v>
          </cell>
          <cell r="I1312">
            <v>1516</v>
          </cell>
          <cell r="J1312">
            <v>0</v>
          </cell>
          <cell r="L1312">
            <v>0</v>
          </cell>
        </row>
        <row r="1313">
          <cell r="A1313">
            <v>9129</v>
          </cell>
          <cell r="B1313" t="str">
            <v>유리솜보온</v>
          </cell>
          <cell r="C1313" t="str">
            <v>15Øx 25t</v>
          </cell>
          <cell r="D1313" t="str">
            <v>M</v>
          </cell>
          <cell r="E1313">
            <v>1024</v>
          </cell>
          <cell r="F1313">
            <v>1324</v>
          </cell>
          <cell r="H1313">
            <v>0</v>
          </cell>
          <cell r="I1313">
            <v>1386</v>
          </cell>
          <cell r="J1313">
            <v>0</v>
          </cell>
          <cell r="L1313">
            <v>0</v>
          </cell>
        </row>
        <row r="1314">
          <cell r="A1314">
            <v>9131</v>
          </cell>
          <cell r="B1314" t="str">
            <v>동관용접</v>
          </cell>
          <cell r="C1314" t="str">
            <v>100Ø</v>
          </cell>
          <cell r="D1314" t="str">
            <v>개소</v>
          </cell>
          <cell r="E1314">
            <v>1669</v>
          </cell>
          <cell r="F1314">
            <v>12104</v>
          </cell>
          <cell r="H1314">
            <v>0</v>
          </cell>
          <cell r="I1314">
            <v>2622</v>
          </cell>
          <cell r="J1314">
            <v>0</v>
          </cell>
          <cell r="L1314">
            <v>0</v>
          </cell>
        </row>
        <row r="1315">
          <cell r="A1315">
            <v>9132</v>
          </cell>
          <cell r="B1315" t="str">
            <v>동관용접</v>
          </cell>
          <cell r="C1315" t="str">
            <v>80Ø</v>
          </cell>
          <cell r="D1315" t="str">
            <v>개소</v>
          </cell>
          <cell r="E1315">
            <v>1037</v>
          </cell>
          <cell r="F1315">
            <v>8578</v>
          </cell>
          <cell r="H1315">
            <v>0</v>
          </cell>
          <cell r="I1315">
            <v>1583</v>
          </cell>
          <cell r="J1315">
            <v>0</v>
          </cell>
          <cell r="L1315">
            <v>0</v>
          </cell>
        </row>
        <row r="1316">
          <cell r="A1316">
            <v>9133</v>
          </cell>
          <cell r="B1316" t="str">
            <v>동관용접</v>
          </cell>
          <cell r="C1316" t="str">
            <v>65Ø</v>
          </cell>
          <cell r="D1316" t="str">
            <v>개소</v>
          </cell>
          <cell r="E1316">
            <v>747</v>
          </cell>
          <cell r="F1316">
            <v>7403</v>
          </cell>
          <cell r="H1316">
            <v>0</v>
          </cell>
          <cell r="I1316">
            <v>1146</v>
          </cell>
          <cell r="J1316">
            <v>0</v>
          </cell>
          <cell r="L1316">
            <v>0</v>
          </cell>
        </row>
        <row r="1317">
          <cell r="A1317">
            <v>9134</v>
          </cell>
          <cell r="B1317" t="str">
            <v>동관용접</v>
          </cell>
          <cell r="C1317" t="str">
            <v>50Ø</v>
          </cell>
          <cell r="D1317" t="str">
            <v>개소</v>
          </cell>
          <cell r="E1317">
            <v>583</v>
          </cell>
          <cell r="F1317">
            <v>5758</v>
          </cell>
          <cell r="H1317">
            <v>0</v>
          </cell>
          <cell r="I1317">
            <v>874</v>
          </cell>
          <cell r="J1317">
            <v>0</v>
          </cell>
          <cell r="L1317">
            <v>0</v>
          </cell>
        </row>
        <row r="1318">
          <cell r="A1318">
            <v>9135</v>
          </cell>
          <cell r="B1318" t="str">
            <v>동관용접</v>
          </cell>
          <cell r="C1318" t="str">
            <v>40Ø</v>
          </cell>
          <cell r="D1318" t="str">
            <v>개소</v>
          </cell>
          <cell r="E1318">
            <v>431</v>
          </cell>
          <cell r="F1318">
            <v>4583</v>
          </cell>
          <cell r="H1318">
            <v>0</v>
          </cell>
          <cell r="I1318">
            <v>609</v>
          </cell>
          <cell r="J1318">
            <v>0</v>
          </cell>
          <cell r="L1318">
            <v>0</v>
          </cell>
        </row>
        <row r="1319">
          <cell r="A1319">
            <v>9136</v>
          </cell>
          <cell r="B1319" t="str">
            <v>동관용접</v>
          </cell>
          <cell r="C1319" t="str">
            <v>32Ø</v>
          </cell>
          <cell r="D1319" t="str">
            <v>개소</v>
          </cell>
          <cell r="E1319">
            <v>332</v>
          </cell>
          <cell r="F1319">
            <v>4171</v>
          </cell>
          <cell r="H1319">
            <v>0</v>
          </cell>
          <cell r="I1319">
            <v>466</v>
          </cell>
          <cell r="J1319">
            <v>0</v>
          </cell>
          <cell r="L1319">
            <v>0</v>
          </cell>
        </row>
        <row r="1320">
          <cell r="A1320">
            <v>9137</v>
          </cell>
          <cell r="B1320" t="str">
            <v>동관용접</v>
          </cell>
          <cell r="C1320" t="str">
            <v>25Ø</v>
          </cell>
          <cell r="D1320" t="str">
            <v>개소</v>
          </cell>
          <cell r="E1320">
            <v>237</v>
          </cell>
          <cell r="F1320">
            <v>3407</v>
          </cell>
          <cell r="H1320">
            <v>0</v>
          </cell>
          <cell r="I1320">
            <v>339</v>
          </cell>
          <cell r="J1320">
            <v>0</v>
          </cell>
          <cell r="L1320">
            <v>0</v>
          </cell>
        </row>
        <row r="1321">
          <cell r="A1321">
            <v>9138</v>
          </cell>
          <cell r="B1321" t="str">
            <v>동관용접</v>
          </cell>
          <cell r="C1321" t="str">
            <v>20Ø</v>
          </cell>
          <cell r="D1321" t="str">
            <v>개소</v>
          </cell>
          <cell r="E1321">
            <v>187</v>
          </cell>
          <cell r="F1321">
            <v>2761</v>
          </cell>
          <cell r="H1321">
            <v>0</v>
          </cell>
          <cell r="I1321">
            <v>253</v>
          </cell>
          <cell r="J1321">
            <v>0</v>
          </cell>
          <cell r="L1321">
            <v>0</v>
          </cell>
        </row>
        <row r="1322">
          <cell r="A1322">
            <v>9139</v>
          </cell>
          <cell r="B1322" t="str">
            <v>동관용접</v>
          </cell>
          <cell r="C1322" t="str">
            <v>15Ø</v>
          </cell>
          <cell r="D1322" t="str">
            <v>개소</v>
          </cell>
          <cell r="E1322">
            <v>90</v>
          </cell>
          <cell r="F1322">
            <v>2409</v>
          </cell>
          <cell r="H1322">
            <v>0</v>
          </cell>
          <cell r="I1322">
            <v>121</v>
          </cell>
          <cell r="J1322">
            <v>0</v>
          </cell>
          <cell r="L1322">
            <v>0</v>
          </cell>
        </row>
        <row r="1323">
          <cell r="A1323">
            <v>9141</v>
          </cell>
          <cell r="B1323" t="str">
            <v>은분도장</v>
          </cell>
          <cell r="C1323" t="str">
            <v>2회</v>
          </cell>
          <cell r="D1323" t="str">
            <v>M²</v>
          </cell>
          <cell r="E1323">
            <v>654</v>
          </cell>
          <cell r="F1323">
            <v>3043</v>
          </cell>
          <cell r="H1323">
            <v>0</v>
          </cell>
          <cell r="I1323">
            <v>654</v>
          </cell>
          <cell r="J1323">
            <v>0</v>
          </cell>
          <cell r="L1323">
            <v>0</v>
          </cell>
        </row>
        <row r="1324">
          <cell r="A1324">
            <v>9142</v>
          </cell>
          <cell r="B1324" t="str">
            <v>벽체철거 및 복구</v>
          </cell>
          <cell r="D1324" t="str">
            <v>개소</v>
          </cell>
          <cell r="E1324">
            <v>0</v>
          </cell>
          <cell r="F1324">
            <v>0</v>
          </cell>
          <cell r="H1324">
            <v>0</v>
          </cell>
          <cell r="I1324">
            <v>0</v>
          </cell>
          <cell r="J1324">
            <v>0</v>
          </cell>
          <cell r="L1324">
            <v>0</v>
          </cell>
        </row>
        <row r="1325">
          <cell r="A1325">
            <v>9143</v>
          </cell>
          <cell r="B1325" t="str">
            <v>치장벽돌 쌓기</v>
          </cell>
          <cell r="D1325" t="str">
            <v>매</v>
          </cell>
          <cell r="E1325">
            <v>171220</v>
          </cell>
          <cell r="F1325">
            <v>303245</v>
          </cell>
          <cell r="H1325">
            <v>0</v>
          </cell>
          <cell r="I1325">
            <v>171220</v>
          </cell>
          <cell r="J1325">
            <v>0</v>
          </cell>
          <cell r="L1325">
            <v>0</v>
          </cell>
        </row>
        <row r="1326">
          <cell r="A1326">
            <v>9144</v>
          </cell>
          <cell r="B1326" t="str">
            <v>녹막이페인트</v>
          </cell>
          <cell r="C1326" t="str">
            <v>2회</v>
          </cell>
          <cell r="D1326" t="str">
            <v>M²</v>
          </cell>
          <cell r="E1326">
            <v>932</v>
          </cell>
          <cell r="F1326">
            <v>1690</v>
          </cell>
          <cell r="H1326">
            <v>0</v>
          </cell>
          <cell r="I1326">
            <v>932</v>
          </cell>
          <cell r="J1326">
            <v>0</v>
          </cell>
          <cell r="L1326">
            <v>0</v>
          </cell>
        </row>
        <row r="1327">
          <cell r="A1327">
            <v>9145</v>
          </cell>
          <cell r="B1327" t="str">
            <v>배수펌프앵글가대</v>
          </cell>
          <cell r="D1327" t="str">
            <v>개소</v>
          </cell>
          <cell r="E1327">
            <v>13141</v>
          </cell>
          <cell r="F1327">
            <v>56637</v>
          </cell>
          <cell r="H1327">
            <v>0</v>
          </cell>
          <cell r="I1327">
            <v>13141</v>
          </cell>
          <cell r="J1327">
            <v>0</v>
          </cell>
          <cell r="L1327">
            <v>0</v>
          </cell>
        </row>
        <row r="1328">
          <cell r="A1328">
            <v>9146</v>
          </cell>
          <cell r="B1328" t="str">
            <v>정수위밸브장치</v>
          </cell>
          <cell r="C1328" t="str">
            <v>40Ø</v>
          </cell>
          <cell r="D1328" t="str">
            <v>대</v>
          </cell>
          <cell r="E1328">
            <v>533087</v>
          </cell>
          <cell r="F1328">
            <v>271490.40000000002</v>
          </cell>
          <cell r="H1328">
            <v>0</v>
          </cell>
          <cell r="I1328">
            <v>533087</v>
          </cell>
          <cell r="J1328">
            <v>0</v>
          </cell>
          <cell r="L1328">
            <v>0</v>
          </cell>
        </row>
        <row r="1329">
          <cell r="A1329">
            <v>9147</v>
          </cell>
          <cell r="B1329" t="str">
            <v>장비기초(콘크리트)</v>
          </cell>
          <cell r="C1329" t="str">
            <v>1:2:4</v>
          </cell>
          <cell r="D1329" t="str">
            <v>M³</v>
          </cell>
          <cell r="E1329">
            <v>25057</v>
          </cell>
          <cell r="F1329">
            <v>94929</v>
          </cell>
          <cell r="H1329">
            <v>0</v>
          </cell>
          <cell r="I1329">
            <v>25057</v>
          </cell>
          <cell r="J1329">
            <v>0</v>
          </cell>
          <cell r="L1329">
            <v>0</v>
          </cell>
        </row>
        <row r="1330">
          <cell r="A1330">
            <v>9148</v>
          </cell>
          <cell r="B1330" t="str">
            <v>합판거푸집</v>
          </cell>
          <cell r="C1330" t="str">
            <v>3회</v>
          </cell>
          <cell r="D1330" t="str">
            <v>M²</v>
          </cell>
          <cell r="E1330">
            <v>5049</v>
          </cell>
          <cell r="F1330">
            <v>13293</v>
          </cell>
          <cell r="H1330">
            <v>0</v>
          </cell>
          <cell r="I1330">
            <v>5049</v>
          </cell>
          <cell r="J1330">
            <v>0</v>
          </cell>
          <cell r="L1330">
            <v>0</v>
          </cell>
        </row>
        <row r="1331">
          <cell r="A1331">
            <v>9149</v>
          </cell>
          <cell r="B1331" t="str">
            <v>방열기소운반비</v>
          </cell>
          <cell r="C1331" t="str">
            <v>20쪽 이하</v>
          </cell>
          <cell r="D1331" t="str">
            <v>조</v>
          </cell>
          <cell r="E1331">
            <v>0</v>
          </cell>
          <cell r="F1331">
            <v>7496</v>
          </cell>
          <cell r="H1331">
            <v>0</v>
          </cell>
          <cell r="J1331">
            <v>0</v>
          </cell>
          <cell r="L1331">
            <v>0</v>
          </cell>
        </row>
        <row r="1332">
          <cell r="A1332">
            <v>9150</v>
          </cell>
          <cell r="B1332" t="str">
            <v>바닥타일커팅공임</v>
          </cell>
          <cell r="D1332" t="str">
            <v>개소</v>
          </cell>
          <cell r="E1332">
            <v>0</v>
          </cell>
          <cell r="F1332">
            <v>10325</v>
          </cell>
          <cell r="H1332">
            <v>0</v>
          </cell>
          <cell r="J1332">
            <v>0</v>
          </cell>
          <cell r="L1332">
            <v>0</v>
          </cell>
        </row>
        <row r="1333">
          <cell r="A1333">
            <v>9151</v>
          </cell>
          <cell r="B1333" t="str">
            <v>파이프 고정앙카</v>
          </cell>
          <cell r="C1333" t="str">
            <v>15Ø~40Ø</v>
          </cell>
          <cell r="D1333" t="str">
            <v>조</v>
          </cell>
          <cell r="E1333">
            <v>1090</v>
          </cell>
          <cell r="F1333">
            <v>24.055000000000003</v>
          </cell>
          <cell r="H1333">
            <v>0</v>
          </cell>
          <cell r="I1333">
            <v>1090</v>
          </cell>
          <cell r="J1333">
            <v>0</v>
          </cell>
          <cell r="L1333">
            <v>0</v>
          </cell>
        </row>
        <row r="1334">
          <cell r="A1334">
            <v>9152</v>
          </cell>
          <cell r="B1334" t="str">
            <v>파이프 고정앙카</v>
          </cell>
          <cell r="C1334" t="str">
            <v>50Ø~65Ø</v>
          </cell>
          <cell r="D1334" t="str">
            <v>조</v>
          </cell>
          <cell r="E1334">
            <v>1140</v>
          </cell>
          <cell r="F1334">
            <v>36.79</v>
          </cell>
          <cell r="H1334">
            <v>0</v>
          </cell>
          <cell r="I1334">
            <v>1140</v>
          </cell>
          <cell r="J1334">
            <v>0</v>
          </cell>
          <cell r="L1334">
            <v>0</v>
          </cell>
        </row>
        <row r="1335">
          <cell r="A1335">
            <v>9153</v>
          </cell>
          <cell r="B1335" t="str">
            <v>파이프 고정앙카</v>
          </cell>
          <cell r="C1335" t="str">
            <v>80Ø~150Ø</v>
          </cell>
          <cell r="D1335" t="str">
            <v>조</v>
          </cell>
          <cell r="E1335">
            <v>1694</v>
          </cell>
          <cell r="F1335">
            <v>55.185000000000002</v>
          </cell>
          <cell r="H1335">
            <v>0</v>
          </cell>
          <cell r="I1335">
            <v>1694</v>
          </cell>
          <cell r="J1335">
            <v>0</v>
          </cell>
          <cell r="L1335">
            <v>0</v>
          </cell>
        </row>
        <row r="1336">
          <cell r="A1336">
            <v>9161</v>
          </cell>
          <cell r="B1336" t="str">
            <v>정유량 조절밸브장치</v>
          </cell>
          <cell r="C1336" t="str">
            <v>65Ø</v>
          </cell>
          <cell r="D1336" t="str">
            <v>조</v>
          </cell>
          <cell r="E1336">
            <v>0</v>
          </cell>
          <cell r="H1336">
            <v>0</v>
          </cell>
          <cell r="J1336">
            <v>0</v>
          </cell>
          <cell r="L1336">
            <v>0</v>
          </cell>
        </row>
        <row r="1337">
          <cell r="A1337">
            <v>9162</v>
          </cell>
          <cell r="B1337" t="str">
            <v>정유량 조절밸브장치</v>
          </cell>
          <cell r="C1337" t="str">
            <v>50Ø</v>
          </cell>
          <cell r="D1337" t="str">
            <v>조</v>
          </cell>
          <cell r="E1337">
            <v>0</v>
          </cell>
          <cell r="H1337">
            <v>0</v>
          </cell>
          <cell r="J1337">
            <v>0</v>
          </cell>
          <cell r="L1337">
            <v>0</v>
          </cell>
        </row>
        <row r="1338">
          <cell r="A1338">
            <v>9163</v>
          </cell>
          <cell r="B1338" t="str">
            <v>정유량 조절밸브장치</v>
          </cell>
          <cell r="C1338" t="str">
            <v>40Ø</v>
          </cell>
          <cell r="D1338" t="str">
            <v>조</v>
          </cell>
          <cell r="E1338">
            <v>0</v>
          </cell>
          <cell r="H1338">
            <v>0</v>
          </cell>
          <cell r="J1338">
            <v>0</v>
          </cell>
          <cell r="L1338">
            <v>0</v>
          </cell>
        </row>
        <row r="1339">
          <cell r="A1339">
            <v>9164</v>
          </cell>
          <cell r="B1339" t="str">
            <v>정유량 조절밸브장치</v>
          </cell>
          <cell r="C1339" t="str">
            <v>32Ø</v>
          </cell>
          <cell r="D1339" t="str">
            <v>조</v>
          </cell>
          <cell r="E1339">
            <v>0</v>
          </cell>
          <cell r="H1339">
            <v>0</v>
          </cell>
          <cell r="J1339">
            <v>0</v>
          </cell>
          <cell r="L1339">
            <v>0</v>
          </cell>
        </row>
        <row r="1340">
          <cell r="A1340">
            <v>9171</v>
          </cell>
          <cell r="B1340" t="str">
            <v>스테인레스관용접</v>
          </cell>
          <cell r="C1340" t="str">
            <v>80Ø</v>
          </cell>
          <cell r="D1340" t="str">
            <v>개소</v>
          </cell>
          <cell r="E1340">
            <v>3439</v>
          </cell>
          <cell r="F1340">
            <v>0</v>
          </cell>
          <cell r="H1340">
            <v>0</v>
          </cell>
          <cell r="I1340">
            <v>3439</v>
          </cell>
          <cell r="J1340">
            <v>0</v>
          </cell>
          <cell r="L1340">
            <v>0</v>
          </cell>
        </row>
        <row r="1341">
          <cell r="A1341">
            <v>9172</v>
          </cell>
          <cell r="B1341" t="str">
            <v>스테인레스관용접</v>
          </cell>
          <cell r="C1341" t="str">
            <v>100Ø</v>
          </cell>
          <cell r="D1341" t="str">
            <v>개소</v>
          </cell>
          <cell r="E1341">
            <v>5376</v>
          </cell>
          <cell r="F1341">
            <v>0</v>
          </cell>
          <cell r="H1341">
            <v>0</v>
          </cell>
          <cell r="I1341">
            <v>5376</v>
          </cell>
          <cell r="J1341">
            <v>0</v>
          </cell>
          <cell r="L1341">
            <v>0</v>
          </cell>
        </row>
        <row r="1342">
          <cell r="A1342">
            <v>9173</v>
          </cell>
          <cell r="B1342" t="str">
            <v>스테인레스관용접</v>
          </cell>
          <cell r="C1342" t="str">
            <v>125Ø</v>
          </cell>
          <cell r="D1342" t="str">
            <v>개소</v>
          </cell>
          <cell r="E1342">
            <v>8130</v>
          </cell>
          <cell r="F1342">
            <v>0</v>
          </cell>
          <cell r="H1342">
            <v>0</v>
          </cell>
          <cell r="I1342">
            <v>8130</v>
          </cell>
          <cell r="J1342">
            <v>0</v>
          </cell>
          <cell r="L1342">
            <v>0</v>
          </cell>
        </row>
        <row r="1343">
          <cell r="A1343">
            <v>9174</v>
          </cell>
          <cell r="B1343" t="str">
            <v>스테인레스관용접</v>
          </cell>
          <cell r="C1343" t="str">
            <v>150Ø</v>
          </cell>
          <cell r="D1343" t="str">
            <v>개소</v>
          </cell>
          <cell r="E1343">
            <v>10049</v>
          </cell>
          <cell r="F1343">
            <v>0</v>
          </cell>
          <cell r="H1343">
            <v>0</v>
          </cell>
          <cell r="I1343">
            <v>10049</v>
          </cell>
          <cell r="J1343">
            <v>0</v>
          </cell>
          <cell r="L1343">
            <v>0</v>
          </cell>
        </row>
        <row r="1344">
          <cell r="A1344">
            <v>9175</v>
          </cell>
          <cell r="B1344" t="str">
            <v>스테인레스관용접</v>
          </cell>
          <cell r="C1344" t="str">
            <v>200Ø</v>
          </cell>
          <cell r="D1344" t="str">
            <v>개소</v>
          </cell>
          <cell r="E1344">
            <v>16919</v>
          </cell>
          <cell r="F1344">
            <v>0</v>
          </cell>
          <cell r="H1344">
            <v>0</v>
          </cell>
          <cell r="I1344">
            <v>16919</v>
          </cell>
          <cell r="J1344">
            <v>0</v>
          </cell>
          <cell r="L1344">
            <v>0</v>
          </cell>
        </row>
        <row r="1345">
          <cell r="A1345">
            <v>9181</v>
          </cell>
          <cell r="B1345" t="str">
            <v>강관스리브</v>
          </cell>
          <cell r="C1345" t="str">
            <v>100Ø</v>
          </cell>
          <cell r="D1345" t="str">
            <v>개소</v>
          </cell>
          <cell r="E1345">
            <v>27055</v>
          </cell>
          <cell r="F1345">
            <v>2308</v>
          </cell>
          <cell r="H1345">
            <v>0</v>
          </cell>
          <cell r="I1345">
            <v>27055</v>
          </cell>
          <cell r="J1345">
            <v>0</v>
          </cell>
          <cell r="L1345">
            <v>0</v>
          </cell>
        </row>
        <row r="1346">
          <cell r="A1346">
            <v>9182</v>
          </cell>
          <cell r="B1346" t="str">
            <v>강관스리브</v>
          </cell>
          <cell r="C1346" t="str">
            <v>80Ø</v>
          </cell>
          <cell r="D1346" t="str">
            <v>개소</v>
          </cell>
          <cell r="E1346">
            <v>22116</v>
          </cell>
          <cell r="F1346">
            <v>1722</v>
          </cell>
          <cell r="H1346">
            <v>0</v>
          </cell>
          <cell r="I1346">
            <v>22116</v>
          </cell>
          <cell r="J1346">
            <v>0</v>
          </cell>
          <cell r="L1346">
            <v>0</v>
          </cell>
        </row>
        <row r="1347">
          <cell r="A1347">
            <v>9183</v>
          </cell>
          <cell r="B1347" t="str">
            <v>강관스리브</v>
          </cell>
          <cell r="C1347" t="str">
            <v>65Ø</v>
          </cell>
          <cell r="D1347" t="str">
            <v>개소</v>
          </cell>
          <cell r="E1347">
            <v>12565</v>
          </cell>
          <cell r="F1347">
            <v>1498</v>
          </cell>
          <cell r="H1347">
            <v>0</v>
          </cell>
          <cell r="I1347">
            <v>12565</v>
          </cell>
          <cell r="J1347">
            <v>0</v>
          </cell>
          <cell r="L1347">
            <v>0</v>
          </cell>
        </row>
        <row r="1348">
          <cell r="A1348">
            <v>9184</v>
          </cell>
          <cell r="B1348" t="str">
            <v>강관스리브</v>
          </cell>
          <cell r="C1348" t="str">
            <v>50Ø</v>
          </cell>
          <cell r="D1348" t="str">
            <v>개소</v>
          </cell>
          <cell r="E1348">
            <v>8266</v>
          </cell>
          <cell r="F1348">
            <v>808</v>
          </cell>
          <cell r="H1348">
            <v>0</v>
          </cell>
          <cell r="I1348">
            <v>8266</v>
          </cell>
          <cell r="J1348">
            <v>0</v>
          </cell>
          <cell r="L1348">
            <v>0</v>
          </cell>
        </row>
        <row r="1349">
          <cell r="A1349">
            <v>9185</v>
          </cell>
          <cell r="B1349" t="str">
            <v>강관스리브</v>
          </cell>
          <cell r="C1349" t="str">
            <v>40Ø</v>
          </cell>
          <cell r="D1349" t="str">
            <v>개소</v>
          </cell>
          <cell r="E1349">
            <v>5837</v>
          </cell>
          <cell r="F1349">
            <v>688</v>
          </cell>
          <cell r="H1349">
            <v>0</v>
          </cell>
          <cell r="I1349">
            <v>5837</v>
          </cell>
          <cell r="J1349">
            <v>0</v>
          </cell>
          <cell r="L1349">
            <v>0</v>
          </cell>
        </row>
        <row r="1350">
          <cell r="A1350">
            <v>9186</v>
          </cell>
          <cell r="B1350" t="str">
            <v>강관스리브</v>
          </cell>
          <cell r="C1350" t="str">
            <v>32Ø</v>
          </cell>
          <cell r="D1350" t="str">
            <v>개소</v>
          </cell>
          <cell r="E1350">
            <v>2691</v>
          </cell>
          <cell r="F1350">
            <v>464</v>
          </cell>
          <cell r="H1350">
            <v>0</v>
          </cell>
          <cell r="I1350">
            <v>2691</v>
          </cell>
          <cell r="J1350">
            <v>0</v>
          </cell>
          <cell r="L1350">
            <v>0</v>
          </cell>
        </row>
        <row r="1351">
          <cell r="A1351">
            <v>9187</v>
          </cell>
          <cell r="B1351" t="str">
            <v>강관스리브</v>
          </cell>
          <cell r="C1351" t="str">
            <v>25Ø</v>
          </cell>
          <cell r="D1351" t="str">
            <v>개소</v>
          </cell>
          <cell r="E1351">
            <v>1808</v>
          </cell>
          <cell r="F1351">
            <v>464</v>
          </cell>
          <cell r="H1351">
            <v>0</v>
          </cell>
          <cell r="I1351">
            <v>1808</v>
          </cell>
          <cell r="J1351">
            <v>0</v>
          </cell>
          <cell r="L1351">
            <v>0</v>
          </cell>
        </row>
        <row r="1352">
          <cell r="A1352">
            <v>9188</v>
          </cell>
          <cell r="B1352" t="str">
            <v>강관스리브</v>
          </cell>
          <cell r="C1352" t="str">
            <v>20Ø</v>
          </cell>
          <cell r="D1352" t="str">
            <v>개소</v>
          </cell>
          <cell r="E1352">
            <v>1395</v>
          </cell>
          <cell r="F1352">
            <v>344</v>
          </cell>
          <cell r="H1352">
            <v>0</v>
          </cell>
          <cell r="I1352">
            <v>1395</v>
          </cell>
          <cell r="J1352">
            <v>0</v>
          </cell>
          <cell r="L1352">
            <v>0</v>
          </cell>
        </row>
        <row r="1353">
          <cell r="A1353">
            <v>9189</v>
          </cell>
          <cell r="B1353" t="str">
            <v>강관스리브</v>
          </cell>
          <cell r="C1353" t="str">
            <v>15Ø</v>
          </cell>
          <cell r="D1353" t="str">
            <v>개소</v>
          </cell>
          <cell r="E1353">
            <v>866</v>
          </cell>
          <cell r="F1353">
            <v>344</v>
          </cell>
          <cell r="H1353">
            <v>0</v>
          </cell>
          <cell r="I1353">
            <v>866</v>
          </cell>
          <cell r="J1353">
            <v>0</v>
          </cell>
          <cell r="L1353">
            <v>0</v>
          </cell>
        </row>
        <row r="1354">
          <cell r="A1354">
            <v>9201</v>
          </cell>
          <cell r="B1354" t="str">
            <v>아연철판덕트제작설치</v>
          </cell>
          <cell r="C1354" t="str">
            <v>0.5t</v>
          </cell>
          <cell r="D1354" t="str">
            <v>M²</v>
          </cell>
          <cell r="E1354">
            <v>8532</v>
          </cell>
          <cell r="F1354">
            <v>22097</v>
          </cell>
          <cell r="H1354">
            <v>0</v>
          </cell>
          <cell r="I1354">
            <v>8532</v>
          </cell>
          <cell r="J1354">
            <v>0</v>
          </cell>
          <cell r="L1354">
            <v>0</v>
          </cell>
        </row>
        <row r="1355">
          <cell r="A1355">
            <v>9202</v>
          </cell>
          <cell r="B1355" t="str">
            <v>SUS철판덕트제작설치</v>
          </cell>
          <cell r="C1355" t="str">
            <v>0.5t</v>
          </cell>
          <cell r="D1355" t="str">
            <v>M²</v>
          </cell>
          <cell r="E1355">
            <v>35059</v>
          </cell>
          <cell r="F1355">
            <v>29096</v>
          </cell>
          <cell r="H1355">
            <v>0</v>
          </cell>
          <cell r="I1355">
            <v>35059</v>
          </cell>
          <cell r="J1355">
            <v>0</v>
          </cell>
          <cell r="L1355">
            <v>0</v>
          </cell>
        </row>
        <row r="1356">
          <cell r="A1356">
            <v>9203</v>
          </cell>
          <cell r="B1356" t="str">
            <v>각형덕트보온(은박지)</v>
          </cell>
          <cell r="C1356" t="str">
            <v>30t</v>
          </cell>
          <cell r="D1356" t="str">
            <v>M²</v>
          </cell>
          <cell r="E1356">
            <v>8895</v>
          </cell>
          <cell r="F1356">
            <v>20360</v>
          </cell>
          <cell r="H1356">
            <v>0</v>
          </cell>
          <cell r="I1356">
            <v>8895</v>
          </cell>
          <cell r="J1356">
            <v>0</v>
          </cell>
          <cell r="L1356">
            <v>0</v>
          </cell>
        </row>
        <row r="1357">
          <cell r="A1357">
            <v>9204</v>
          </cell>
          <cell r="B1357" t="str">
            <v>배관커버(갈바륨강판)</v>
          </cell>
          <cell r="C1357" t="str">
            <v>200x400</v>
          </cell>
          <cell r="D1357" t="str">
            <v>M</v>
          </cell>
          <cell r="E1357">
            <v>57944</v>
          </cell>
          <cell r="F1357">
            <v>42464</v>
          </cell>
          <cell r="H1357">
            <v>0</v>
          </cell>
          <cell r="I1357">
            <v>57944</v>
          </cell>
          <cell r="J1357">
            <v>0</v>
          </cell>
          <cell r="L1357">
            <v>0</v>
          </cell>
        </row>
        <row r="1358">
          <cell r="A1358">
            <v>9901</v>
          </cell>
          <cell r="B1358" t="str">
            <v>잡자재비</v>
          </cell>
          <cell r="C1358" t="str">
            <v>주재료의 5%</v>
          </cell>
          <cell r="D1358" t="str">
            <v>식</v>
          </cell>
          <cell r="E1358">
            <v>0</v>
          </cell>
          <cell r="F1358">
            <v>0</v>
          </cell>
          <cell r="H1358">
            <v>0</v>
          </cell>
          <cell r="I1358">
            <v>0</v>
          </cell>
          <cell r="J1358">
            <v>0</v>
          </cell>
          <cell r="L1358">
            <v>0</v>
          </cell>
        </row>
        <row r="1359">
          <cell r="A1359">
            <v>9902</v>
          </cell>
          <cell r="B1359" t="str">
            <v>지지철물</v>
          </cell>
          <cell r="C1359" t="str">
            <v>주재료의 9%</v>
          </cell>
          <cell r="D1359" t="str">
            <v>식</v>
          </cell>
          <cell r="E1359">
            <v>0</v>
          </cell>
          <cell r="F1359">
            <v>0</v>
          </cell>
          <cell r="H1359">
            <v>0</v>
          </cell>
          <cell r="I1359">
            <v>0</v>
          </cell>
          <cell r="J1359">
            <v>0</v>
          </cell>
          <cell r="L1359">
            <v>0</v>
          </cell>
        </row>
        <row r="1360">
          <cell r="A1360">
            <v>9903</v>
          </cell>
          <cell r="B1360" t="str">
            <v>지지철물</v>
          </cell>
          <cell r="C1360" t="str">
            <v>주재료의 10%</v>
          </cell>
          <cell r="D1360" t="str">
            <v>식</v>
          </cell>
          <cell r="E1360">
            <v>0</v>
          </cell>
          <cell r="F1360">
            <v>0</v>
          </cell>
          <cell r="H1360">
            <v>0</v>
          </cell>
          <cell r="I1360">
            <v>0</v>
          </cell>
          <cell r="J1360">
            <v>0</v>
          </cell>
          <cell r="L1360">
            <v>0</v>
          </cell>
        </row>
        <row r="1361">
          <cell r="A1361">
            <v>9904</v>
          </cell>
          <cell r="B1361" t="str">
            <v>지지철물</v>
          </cell>
          <cell r="C1361" t="str">
            <v>주재료의 15%</v>
          </cell>
          <cell r="D1361" t="str">
            <v>식</v>
          </cell>
          <cell r="E1361">
            <v>0</v>
          </cell>
          <cell r="F1361">
            <v>0</v>
          </cell>
          <cell r="H1361">
            <v>0</v>
          </cell>
          <cell r="I1361">
            <v>0</v>
          </cell>
          <cell r="J1361">
            <v>0</v>
          </cell>
          <cell r="L1361">
            <v>0</v>
          </cell>
        </row>
        <row r="1362">
          <cell r="A1362">
            <v>9905</v>
          </cell>
          <cell r="B1362" t="str">
            <v>지지철물</v>
          </cell>
          <cell r="C1362" t="str">
            <v>주재료의 25%</v>
          </cell>
          <cell r="D1362" t="str">
            <v>식</v>
          </cell>
          <cell r="E1362">
            <v>0</v>
          </cell>
          <cell r="F1362">
            <v>0</v>
          </cell>
          <cell r="H1362">
            <v>0</v>
          </cell>
          <cell r="I1362">
            <v>0</v>
          </cell>
          <cell r="J1362">
            <v>0</v>
          </cell>
          <cell r="L1362">
            <v>0</v>
          </cell>
        </row>
        <row r="1363">
          <cell r="A1363">
            <v>9906</v>
          </cell>
          <cell r="B1363" t="str">
            <v>지지철물</v>
          </cell>
          <cell r="C1363" t="str">
            <v>주재료의 30%</v>
          </cell>
          <cell r="D1363" t="str">
            <v>식</v>
          </cell>
          <cell r="E1363">
            <v>0</v>
          </cell>
          <cell r="F1363">
            <v>0</v>
          </cell>
          <cell r="H1363">
            <v>0</v>
          </cell>
          <cell r="I1363">
            <v>0</v>
          </cell>
          <cell r="J1363">
            <v>0</v>
          </cell>
          <cell r="L1363">
            <v>0</v>
          </cell>
        </row>
        <row r="1364">
          <cell r="A1364">
            <v>9907</v>
          </cell>
          <cell r="B1364" t="str">
            <v>지지철물</v>
          </cell>
          <cell r="C1364" t="str">
            <v>주재료의 40%</v>
          </cell>
          <cell r="D1364" t="str">
            <v>식</v>
          </cell>
          <cell r="E1364">
            <v>0</v>
          </cell>
          <cell r="F1364">
            <v>0</v>
          </cell>
          <cell r="H1364">
            <v>0</v>
          </cell>
          <cell r="I1364">
            <v>0</v>
          </cell>
          <cell r="J1364">
            <v>0</v>
          </cell>
          <cell r="L1364">
            <v>0</v>
          </cell>
        </row>
        <row r="1365">
          <cell r="A1365">
            <v>9910</v>
          </cell>
          <cell r="B1365" t="str">
            <v>관부속</v>
          </cell>
          <cell r="C1365" t="str">
            <v>관의 30%</v>
          </cell>
          <cell r="D1365" t="str">
            <v>식</v>
          </cell>
          <cell r="E1365">
            <v>0</v>
          </cell>
          <cell r="F1365">
            <v>0</v>
          </cell>
          <cell r="H1365">
            <v>0</v>
          </cell>
          <cell r="I1365">
            <v>0</v>
          </cell>
          <cell r="J1365">
            <v>0</v>
          </cell>
          <cell r="L1365">
            <v>0</v>
          </cell>
        </row>
        <row r="1366">
          <cell r="A1366">
            <v>9911</v>
          </cell>
          <cell r="B1366" t="str">
            <v>관부속</v>
          </cell>
          <cell r="C1366" t="str">
            <v>관의 40%</v>
          </cell>
          <cell r="D1366" t="str">
            <v>식</v>
          </cell>
          <cell r="E1366">
            <v>0</v>
          </cell>
          <cell r="F1366">
            <v>0</v>
          </cell>
          <cell r="H1366">
            <v>0</v>
          </cell>
          <cell r="I1366">
            <v>0</v>
          </cell>
          <cell r="J1366">
            <v>0</v>
          </cell>
          <cell r="L1366">
            <v>0</v>
          </cell>
        </row>
        <row r="1367">
          <cell r="A1367">
            <v>9912</v>
          </cell>
          <cell r="B1367" t="str">
            <v>관부속</v>
          </cell>
          <cell r="C1367" t="str">
            <v>관의 45%</v>
          </cell>
          <cell r="D1367" t="str">
            <v>식</v>
          </cell>
          <cell r="E1367">
            <v>0</v>
          </cell>
          <cell r="F1367">
            <v>0</v>
          </cell>
          <cell r="H1367">
            <v>0</v>
          </cell>
          <cell r="I1367">
            <v>0</v>
          </cell>
          <cell r="J1367">
            <v>0</v>
          </cell>
          <cell r="L1367">
            <v>0</v>
          </cell>
        </row>
        <row r="1368">
          <cell r="A1368">
            <v>9913</v>
          </cell>
          <cell r="B1368" t="str">
            <v>관부속</v>
          </cell>
          <cell r="C1368" t="str">
            <v>관의 50%</v>
          </cell>
          <cell r="D1368" t="str">
            <v>식</v>
          </cell>
          <cell r="E1368">
            <v>0</v>
          </cell>
          <cell r="F1368">
            <v>0</v>
          </cell>
          <cell r="H1368">
            <v>0</v>
          </cell>
          <cell r="I1368">
            <v>0</v>
          </cell>
          <cell r="J1368">
            <v>0</v>
          </cell>
          <cell r="L1368">
            <v>0</v>
          </cell>
        </row>
        <row r="1369">
          <cell r="A1369">
            <v>9914</v>
          </cell>
          <cell r="B1369" t="str">
            <v>관부속</v>
          </cell>
          <cell r="C1369" t="str">
            <v>관의 55%</v>
          </cell>
          <cell r="D1369" t="str">
            <v>식</v>
          </cell>
          <cell r="E1369">
            <v>0</v>
          </cell>
          <cell r="F1369">
            <v>0</v>
          </cell>
          <cell r="H1369">
            <v>0</v>
          </cell>
          <cell r="I1369">
            <v>0</v>
          </cell>
          <cell r="J1369">
            <v>0</v>
          </cell>
          <cell r="L1369">
            <v>0</v>
          </cell>
        </row>
        <row r="1370">
          <cell r="A1370">
            <v>9915</v>
          </cell>
          <cell r="B1370" t="str">
            <v>관부속</v>
          </cell>
          <cell r="C1370" t="str">
            <v>관의 60%</v>
          </cell>
          <cell r="D1370" t="str">
            <v>식</v>
          </cell>
          <cell r="E1370">
            <v>0</v>
          </cell>
          <cell r="F1370">
            <v>0</v>
          </cell>
          <cell r="H1370">
            <v>0</v>
          </cell>
          <cell r="I1370">
            <v>0</v>
          </cell>
          <cell r="J1370">
            <v>0</v>
          </cell>
          <cell r="L1370">
            <v>0</v>
          </cell>
        </row>
        <row r="1371">
          <cell r="A1371">
            <v>9916</v>
          </cell>
          <cell r="B1371" t="str">
            <v>관부속</v>
          </cell>
          <cell r="C1371" t="str">
            <v>관의 65%</v>
          </cell>
          <cell r="D1371" t="str">
            <v>식</v>
          </cell>
          <cell r="E1371">
            <v>0</v>
          </cell>
          <cell r="F1371">
            <v>0</v>
          </cell>
          <cell r="H1371">
            <v>0</v>
          </cell>
          <cell r="I1371">
            <v>0</v>
          </cell>
          <cell r="J1371">
            <v>0</v>
          </cell>
          <cell r="L1371">
            <v>0</v>
          </cell>
        </row>
        <row r="1372">
          <cell r="A1372">
            <v>9917</v>
          </cell>
          <cell r="B1372" t="str">
            <v>관부속</v>
          </cell>
          <cell r="C1372" t="str">
            <v>관의 70%</v>
          </cell>
          <cell r="D1372" t="str">
            <v>식</v>
          </cell>
          <cell r="E1372">
            <v>0</v>
          </cell>
          <cell r="F1372">
            <v>0</v>
          </cell>
          <cell r="H1372">
            <v>0</v>
          </cell>
          <cell r="I1372">
            <v>0</v>
          </cell>
          <cell r="J1372">
            <v>0</v>
          </cell>
          <cell r="L1372">
            <v>0</v>
          </cell>
        </row>
        <row r="1373">
          <cell r="A1373">
            <v>9918</v>
          </cell>
          <cell r="B1373" t="str">
            <v>관부속</v>
          </cell>
          <cell r="C1373" t="str">
            <v>관의 75%</v>
          </cell>
          <cell r="D1373" t="str">
            <v>식</v>
          </cell>
          <cell r="E1373">
            <v>0</v>
          </cell>
          <cell r="F1373">
            <v>0</v>
          </cell>
          <cell r="H1373">
            <v>0</v>
          </cell>
          <cell r="I1373">
            <v>0</v>
          </cell>
          <cell r="J1373">
            <v>0</v>
          </cell>
          <cell r="L1373">
            <v>0</v>
          </cell>
        </row>
        <row r="1374">
          <cell r="A1374">
            <v>9920</v>
          </cell>
          <cell r="B1374" t="str">
            <v>공구손료</v>
          </cell>
          <cell r="C1374" t="str">
            <v>인건비의 3%</v>
          </cell>
          <cell r="D1374" t="str">
            <v>식</v>
          </cell>
          <cell r="E1374">
            <v>0</v>
          </cell>
          <cell r="F1374">
            <v>0</v>
          </cell>
          <cell r="H1374">
            <v>0</v>
          </cell>
          <cell r="I1374">
            <v>0</v>
          </cell>
          <cell r="J1374">
            <v>0</v>
          </cell>
          <cell r="L137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내역합계"/>
      <sheetName val="이전비"/>
      <sheetName val="이전비수량산출"/>
      <sheetName val="총괄내역"/>
      <sheetName val="총괄내역 (2)"/>
      <sheetName val="동원"/>
      <sheetName val="공정표"/>
      <sheetName val="설계설명서"/>
      <sheetName val="표지 (2)"/>
      <sheetName val="갑지"/>
      <sheetName val="내역서"/>
      <sheetName val="일위대가목록표"/>
      <sheetName val="일위대가표"/>
      <sheetName val="뿌리돌림내역"/>
      <sheetName val="간벌및 산물수집면적"/>
      <sheetName val="물가대비표"/>
      <sheetName val="단가및 수량산출서"/>
      <sheetName val="시 방 서"/>
      <sheetName val="지번별 존치및 벌채 수량표"/>
      <sheetName val="벌채면적및 파쇄수량표"/>
      <sheetName val="재적조사표"/>
      <sheetName val="#표지"/>
      <sheetName val="1.식재공사 (미양)"/>
      <sheetName val="2.식재공사(송중)"/>
      <sheetName val="3.식재공사(강북)"/>
      <sheetName val="일위대가목록"/>
      <sheetName val="수목일위대가 "/>
      <sheetName val="소일위대가"/>
      <sheetName val="단가조사표"/>
      <sheetName val="자재단가"/>
      <sheetName val="노임단가"/>
      <sheetName val="1.시설물공사(미양초) "/>
      <sheetName val="2.시설물공사(송중초)"/>
      <sheetName val="3.시설물공사(강북중)"/>
      <sheetName val="3.철거공사(미양초)"/>
      <sheetName val="3.철거공사(송중초)"/>
      <sheetName val="3.철거공사(강북중)"/>
      <sheetName val="1.산출근거(미양)"/>
      <sheetName val="2.산출근거(송중)"/>
      <sheetName val="3.산출근거(강북)"/>
      <sheetName val="가로표지"/>
      <sheetName val="수목식재 및 이식공사"/>
      <sheetName val="시설물,구조물공사"/>
      <sheetName val="포장공사"/>
      <sheetName val="유지관리장비"/>
      <sheetName val="노임단가-'02-0705"/>
      <sheetName val="준공신고서"/>
      <sheetName val="준공검사원"/>
      <sheetName val="공사원가"/>
      <sheetName val="준공내역서"/>
      <sheetName val="사급자재대"/>
      <sheetName val="사진표지-잔디"/>
      <sheetName val="사진대지"/>
      <sheetName val="공사내역서(총괄)"/>
      <sheetName val="기자재수량"/>
      <sheetName val="인건-측정"/>
      <sheetName val="노무비단가"/>
      <sheetName val="공사원가계산서"/>
      <sheetName val="총괄내역서"/>
      <sheetName val="1.식재공사"/>
      <sheetName val="2.시설물공사"/>
      <sheetName val="수목일위대가"/>
      <sheetName val="대일위대가"/>
      <sheetName val="수량산출근거"/>
      <sheetName val="4차원가계산서"/>
      <sheetName val="BID"/>
      <sheetName val="집계표"/>
      <sheetName val="간접비계산"/>
      <sheetName val="상하차비용(기계상차)"/>
      <sheetName val="수간보호"/>
      <sheetName val="운반비"/>
      <sheetName val="단가"/>
      <sheetName val="근로자자료입력"/>
      <sheetName val="참고자료"/>
      <sheetName val="장비가동"/>
      <sheetName val="조건"/>
      <sheetName val="배수관토공"/>
      <sheetName val="A-4"/>
      <sheetName val="Macro1"/>
      <sheetName val="산출내역서집계표"/>
      <sheetName val="중기사용료산출근거"/>
      <sheetName val="단가산출2"/>
      <sheetName val="단가 및 재료비"/>
      <sheetName val="일위대가"/>
      <sheetName val="Sheet1"/>
      <sheetName val="산출내역서"/>
      <sheetName val="111"/>
      <sheetName val="연결관산출조서"/>
      <sheetName val="중기사용료"/>
      <sheetName val="2공구산출내역"/>
      <sheetName val="기계내역"/>
      <sheetName val="전체"/>
      <sheetName val="유림총괄"/>
      <sheetName val="이토변실(A3-LINE)"/>
      <sheetName val="집계"/>
      <sheetName val="터파기및재료"/>
      <sheetName val="단가DATA"/>
      <sheetName val="Sheet6"/>
      <sheetName val="시추주상도"/>
      <sheetName val="관계주식"/>
      <sheetName val="단가적용"/>
      <sheetName val="일위목록"/>
      <sheetName val="부하계산서"/>
      <sheetName val="대목"/>
      <sheetName val="Total"/>
      <sheetName val="품셈"/>
      <sheetName val="도급견적가"/>
      <sheetName val="분석"/>
      <sheetName val="200"/>
      <sheetName val="수주현황2월"/>
      <sheetName val="수목단가"/>
      <sheetName val="시설수량표"/>
      <sheetName val="식재수량표"/>
      <sheetName val="DB"/>
      <sheetName val="단산목록"/>
      <sheetName val="단가목록"/>
      <sheetName val="1"/>
      <sheetName val="Sheet15"/>
      <sheetName val="참고사항"/>
      <sheetName val="평가데이터"/>
      <sheetName val="노임단가 (2)"/>
      <sheetName val="을지"/>
      <sheetName val="목록"/>
      <sheetName val="시설일위"/>
      <sheetName val="소방사항"/>
      <sheetName val="ES산출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식재인부"/>
      <sheetName val="Sheet1 (2)"/>
      <sheetName val="기초일위"/>
      <sheetName val="송천신미산원가"/>
      <sheetName val="조명일위"/>
      <sheetName val="01AC"/>
      <sheetName val="코드"/>
      <sheetName val="단가표"/>
      <sheetName val="충주"/>
      <sheetName val="가시설흙막이"/>
      <sheetName val="공비대비"/>
      <sheetName val="K"/>
      <sheetName val="배수장토목공사비"/>
      <sheetName val="2002하반기노임기준"/>
      <sheetName val="카메라"/>
      <sheetName val="공구원가계산"/>
      <sheetName val="부대내역"/>
      <sheetName val="#REF"/>
      <sheetName val="산출근거"/>
      <sheetName val="일위대가목차"/>
      <sheetName val="시설물일위"/>
      <sheetName val="투찰가"/>
      <sheetName val="백호우계수"/>
      <sheetName val="노무비"/>
      <sheetName val="공사비증감"/>
      <sheetName val="앉음벽 (2)"/>
      <sheetName val="공사내역(2003년)"/>
      <sheetName val="VXXXXXXX"/>
      <sheetName val="수량 산출서(당초)"/>
      <sheetName val="경비내역(을)-1"/>
      <sheetName val="소비자가"/>
      <sheetName val="준검 내역서"/>
      <sheetName val="중기"/>
      <sheetName val="DB구축"/>
      <sheetName val="설계변경원가계산총괄표"/>
      <sheetName val="정부노임단가"/>
      <sheetName val="선금급신청서"/>
      <sheetName val="분전함신설"/>
      <sheetName val="접지1종"/>
      <sheetName val="CT"/>
      <sheetName val="이형관"/>
      <sheetName val="경산"/>
      <sheetName val="적용기준"/>
      <sheetName val="식재일위대가"/>
      <sheetName val="소야공정계획표"/>
      <sheetName val="품셈TABLE"/>
      <sheetName val="금액내역서"/>
      <sheetName val="소방"/>
      <sheetName val="NN (2)"/>
      <sheetName val="4.2유효폭의 계산"/>
      <sheetName val="별표 (1)"/>
      <sheetName val="CIVIL4"/>
      <sheetName val="정렬"/>
      <sheetName val="2000년1차"/>
      <sheetName val="기초일위대가"/>
      <sheetName val="단가대비표"/>
      <sheetName val="단가(1)"/>
      <sheetName val="예총"/>
      <sheetName val="설비"/>
      <sheetName val="CON'C"/>
      <sheetName val="0215"/>
      <sheetName val="일위_파일"/>
      <sheetName val="새공통(96임금인상기준)"/>
      <sheetName val="내역표지"/>
      <sheetName val="E.P.T수량산출서"/>
      <sheetName val="구조물공"/>
      <sheetName val="부대공"/>
      <sheetName val="배수공"/>
      <sheetName val="토공"/>
      <sheetName val="포장공"/>
      <sheetName val="건축"/>
      <sheetName val="조명시설"/>
      <sheetName val="Dae_Jiju"/>
      <sheetName val="Sikje_ingun"/>
      <sheetName val="TREE_D"/>
      <sheetName val="내역(실행가)"/>
      <sheetName val="배수관토공산출"/>
      <sheetName val="견적대비(1차) (2)"/>
      <sheetName val="수량산출서"/>
      <sheetName val="연습"/>
      <sheetName val="건축일위()"/>
      <sheetName val="예정공정표"/>
      <sheetName val="설계예산서"/>
      <sheetName val="교통표지"/>
      <sheetName val="토공사"/>
      <sheetName val="96보완계획7.12"/>
      <sheetName val="소일위대가코드표"/>
      <sheetName val="월별경비집행"/>
      <sheetName val="일반부표"/>
      <sheetName val="S0"/>
      <sheetName val="교대(A1)"/>
      <sheetName val="EACT10"/>
      <sheetName val="Sheet2"/>
      <sheetName val="밸브설치"/>
      <sheetName val="Ekog10"/>
      <sheetName val="FB25JN"/>
      <sheetName val="PAINT"/>
      <sheetName val="공사단가"/>
      <sheetName val="노임"/>
      <sheetName val="일위대가(1)"/>
      <sheetName val="토공유동표"/>
      <sheetName val="P3"/>
      <sheetName val="자료"/>
      <sheetName val="횡배수관토공수량"/>
      <sheetName val="건축내역"/>
      <sheetName val="입찰안"/>
      <sheetName val="여과지동"/>
      <sheetName val="견적정보"/>
      <sheetName val="기초자료"/>
      <sheetName val="토목내역"/>
      <sheetName val="강관 및 부속"/>
      <sheetName val="데이타"/>
      <sheetName val="건축공사"/>
      <sheetName val="약품공급2"/>
      <sheetName val="맨홀접합조서"/>
      <sheetName val="대운반(철재)"/>
      <sheetName val="FAB별"/>
      <sheetName val="현장관리비"/>
      <sheetName val="b_balju"/>
      <sheetName val="설계명세서"/>
      <sheetName val="청천내"/>
      <sheetName val="건축내역(김해율하1차)1"/>
      <sheetName val="도근좌표"/>
      <sheetName val="건축내역서"/>
      <sheetName val="산출근거#2-3"/>
      <sheetName val="DATE"/>
      <sheetName val="경비2내역"/>
      <sheetName val="입찰"/>
      <sheetName val="현경"/>
      <sheetName val="조직"/>
      <sheetName val="WORK"/>
      <sheetName val="guard(mac)"/>
      <sheetName val="DATA입력"/>
      <sheetName val="유효폭의 계산"/>
      <sheetName val="정보"/>
      <sheetName val="부경대총괄내역서"/>
      <sheetName val="4)유동표"/>
      <sheetName val="태봉초등"/>
      <sheetName val="식재가격"/>
      <sheetName val="식재총괄"/>
      <sheetName val="설계내역"/>
      <sheetName val="실행"/>
      <sheetName val="기본단가표"/>
      <sheetName val="총괄내역_(2)"/>
      <sheetName val="표지_(2)"/>
      <sheetName val="간벌및_산물수집면적"/>
      <sheetName val="단가및_수량산출서"/>
      <sheetName val="시_방_서"/>
      <sheetName val="지번별_존치및_벌채_수량표"/>
      <sheetName val="벌채면적및_파쇄수량표"/>
      <sheetName val="수목식재_및_이식공사"/>
      <sheetName val="1_식재공사_(미양)"/>
      <sheetName val="2_식재공사(송중)"/>
      <sheetName val="3_식재공사(강북)"/>
      <sheetName val="수목일위대가_"/>
      <sheetName val="1_시설물공사(미양초)_"/>
      <sheetName val="2_시설물공사(송중초)"/>
      <sheetName val="3_시설물공사(강북중)"/>
      <sheetName val="3_철거공사(미양초)"/>
      <sheetName val="3_철거공사(송중초)"/>
      <sheetName val="3_철거공사(강북중)"/>
      <sheetName val="1_산출근거(미양)"/>
      <sheetName val="2_산출근거(송중)"/>
      <sheetName val="3_산출근거(강북)"/>
      <sheetName val="1_식재공사"/>
      <sheetName val="2_시설물공사"/>
      <sheetName val="단가_및_재료비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Sheet1_(2)"/>
      <sheetName val="노임단가_(2)"/>
      <sheetName val="예가표"/>
      <sheetName val="POL6차-PIPING"/>
      <sheetName val="공사개요"/>
      <sheetName val="설계"/>
      <sheetName val="기본단가"/>
      <sheetName val="날개수량1.5"/>
      <sheetName val="단가결정"/>
      <sheetName val="내역아"/>
      <sheetName val="울타리"/>
      <sheetName val="공통비(전체)"/>
      <sheetName val="광주운남을"/>
      <sheetName val="수량산출"/>
      <sheetName val="설계서"/>
      <sheetName val="제직재"/>
      <sheetName val="설직재-1"/>
      <sheetName val="공사기본내용입력"/>
      <sheetName val="공정코드"/>
      <sheetName val="앉음벽_(2)"/>
      <sheetName val="수량_산출서(당초)"/>
      <sheetName val="준검_내역서"/>
      <sheetName val="중기조종사 단위단가"/>
      <sheetName val="제경비"/>
      <sheetName val="4.전기"/>
      <sheetName val="내역1"/>
      <sheetName val="Macro3"/>
      <sheetName val="전기"/>
      <sheetName val="수원공사비"/>
      <sheetName val="자재대"/>
      <sheetName val="식재"/>
      <sheetName val="시설물"/>
      <sheetName val="식재출력용"/>
      <sheetName val="유지관리"/>
      <sheetName val="BSD (2)"/>
      <sheetName val="실행내역"/>
      <sheetName val="적용단위길이"/>
      <sheetName val="피벗테이블데이터분석"/>
      <sheetName val="토목주소"/>
      <sheetName val="구조물토적"/>
      <sheetName val="혜성"/>
      <sheetName val="설계조건"/>
      <sheetName val="코드표"/>
      <sheetName val="화해(함평)"/>
      <sheetName val="화해(장성)"/>
      <sheetName val="말뚝지지력산정"/>
      <sheetName val="불변현금흐름표"/>
      <sheetName val="민감도"/>
      <sheetName val="골조시행"/>
      <sheetName val="36신설수량"/>
      <sheetName val="직접경비"/>
      <sheetName val="직접인건비"/>
      <sheetName val="차수보수량산출"/>
      <sheetName val="구의33고"/>
      <sheetName val="1공구일위대가"/>
      <sheetName val="1.설계조건"/>
      <sheetName val="토목"/>
      <sheetName val="을-ATYPE"/>
      <sheetName val="단가산출"/>
      <sheetName val="하부철근수량"/>
      <sheetName val="제수"/>
      <sheetName val="공기"/>
      <sheetName val="일위"/>
      <sheetName val="내역(중앙)"/>
      <sheetName val="내역(창신)"/>
      <sheetName val="내역(1단지)"/>
      <sheetName val="내역(2단지)"/>
      <sheetName val="시설 "/>
      <sheetName val="기초"/>
      <sheetName val="수량1"/>
      <sheetName val="수량2"/>
      <sheetName val="철거수량"/>
      <sheetName val="시설단가"/>
      <sheetName val="중기경비"/>
      <sheetName val="중기단가(1)"/>
      <sheetName val="중기단가(2)"/>
      <sheetName val="516-D-126"/>
      <sheetName val="일목"/>
      <sheetName val="총괄집계표"/>
      <sheetName val="직노"/>
      <sheetName val="화재 탐지 설비"/>
      <sheetName val="정화조동내역"/>
      <sheetName val="갑지1"/>
      <sheetName val="GAEYO"/>
      <sheetName val="빗물받이(910-510-410)"/>
      <sheetName val="변경내역서간지"/>
      <sheetName val="본체"/>
      <sheetName val="공사비예산서(토목분)"/>
      <sheetName val="SLAB&quot;1&quot;"/>
      <sheetName val="콘_재료분리(1)"/>
      <sheetName val="당초계약"/>
      <sheetName val="합의경상"/>
      <sheetName val="사업예산내역"/>
      <sheetName val="사업예산품의서"/>
      <sheetName val="원가계산서"/>
      <sheetName val="간접1"/>
      <sheetName val="슬래브(PF)(하류)"/>
      <sheetName val="3련 BOX"/>
      <sheetName val="실행(1)"/>
      <sheetName val="의정부문예회관변경내역"/>
      <sheetName val="실행갑지"/>
      <sheetName val="설비비4"/>
      <sheetName val="예제"/>
      <sheetName val="퍼스트"/>
      <sheetName val="노무단가"/>
      <sheetName val="하중계산"/>
      <sheetName val="토공정보"/>
      <sheetName val="설계변경내역서"/>
      <sheetName val="기술부 VENDOR LIST"/>
      <sheetName val="48신설단가"/>
      <sheetName val="단위중량"/>
      <sheetName val="재료비"/>
      <sheetName val="공통비총괄표"/>
      <sheetName val="테이블"/>
      <sheetName val="본공사"/>
      <sheetName val="가도공"/>
      <sheetName val="건축(을)"/>
      <sheetName val="건축원가계산서"/>
      <sheetName val="●수량(침구보관창고-21평)"/>
      <sheetName val="가로등 수량집계"/>
      <sheetName val="조명율표"/>
      <sheetName val="공량산출서"/>
      <sheetName val="C1.공사개요"/>
      <sheetName val="A1.스케쥴"/>
      <sheetName val="설비내역서"/>
      <sheetName val="위치조서"/>
      <sheetName val="대가목록"/>
      <sheetName val="단위수량"/>
      <sheetName val="장비종합부표"/>
      <sheetName val="집계표_식재"/>
      <sheetName val="부표"/>
      <sheetName val="NN_(2)"/>
      <sheetName val="E_P_T수량산출서"/>
      <sheetName val="견적대비(1차)_(2)"/>
      <sheetName val="프랜트면허"/>
      <sheetName val="인건비"/>
      <sheetName val="자재비"/>
      <sheetName val="평당자료"/>
      <sheetName val="설-원가"/>
      <sheetName val="설치자재"/>
      <sheetName val="단중"/>
      <sheetName val="항목(1)"/>
      <sheetName val="BOOK4"/>
      <sheetName val="제1장"/>
      <sheetName val="공통가설"/>
      <sheetName val="시중노임"/>
      <sheetName val="단위단가"/>
      <sheetName val="수량산출서 (계장공사)"/>
      <sheetName val="토공집계표"/>
      <sheetName val="설내역서 "/>
      <sheetName val="자금청구"/>
      <sheetName val="일계표"/>
      <sheetName val="자금청구(건축)"/>
      <sheetName val="미수수익"/>
      <sheetName val="자료입력"/>
      <sheetName val="형틀공사"/>
      <sheetName val="별표집계"/>
      <sheetName val="sub"/>
      <sheetName val="CABLE SIZE-1"/>
      <sheetName val="경상직원"/>
      <sheetName val="관급자재"/>
      <sheetName val="000000"/>
      <sheetName val="공사내역"/>
      <sheetName val="흄관기초"/>
      <sheetName val="산출명세서"/>
      <sheetName val="산출내역"/>
      <sheetName val="data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TOTAL3"/>
      <sheetName val="가감수량"/>
      <sheetName val="맨홀수량산출"/>
      <sheetName val="사원명부"/>
      <sheetName val="재직증명서(정원)"/>
      <sheetName val="DATA 입력란"/>
      <sheetName val="세부내역"/>
      <sheetName val="단가산출 (2)"/>
      <sheetName val="예정공정완"/>
      <sheetName val="총괄서"/>
      <sheetName val="PIPE(UG)내역"/>
      <sheetName val="Baby일위대가"/>
      <sheetName val="철거산출근거"/>
      <sheetName val="교대시점"/>
      <sheetName val="TC표지"/>
      <sheetName val="일위산출"/>
      <sheetName val="4_2유효폭의_계산"/>
      <sheetName val="별표_(1)"/>
      <sheetName val="BSD_(2)"/>
      <sheetName val="96보완계획7_12"/>
      <sheetName val="학생내역"/>
      <sheetName val="시장성초안camera"/>
      <sheetName val="BEND LOSS"/>
      <sheetName val="건공요율"/>
      <sheetName val="9509"/>
      <sheetName val="총(신설)"/>
      <sheetName val="9811"/>
      <sheetName val="개요"/>
      <sheetName val="ELECTRIC"/>
      <sheetName val="2-3-기타.월집계(일용자)"/>
      <sheetName val="2-3-기타.월집계(차량)"/>
      <sheetName val="2-4-기타.월집계(장비)"/>
      <sheetName val="2-1-기타.월집계(재료비)"/>
      <sheetName val="기본1"/>
      <sheetName val="수정일위대가"/>
      <sheetName val="공통비"/>
      <sheetName val="토공A"/>
      <sheetName val="토적표"/>
      <sheetName val="단가조사"/>
      <sheetName val="기초노무비"/>
      <sheetName val="2총괄내역서"/>
      <sheetName val="가공2원도"/>
      <sheetName val="성명데이터"/>
      <sheetName val="1,2공구원가계산서"/>
      <sheetName val="1공구산출내역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N賃率-職"/>
      <sheetName val="광양방향"/>
      <sheetName val="일위대가(가설)"/>
      <sheetName val="개소별수량산출"/>
      <sheetName val="1단계"/>
      <sheetName val="단위수량산출"/>
      <sheetName val="TB-내역서"/>
      <sheetName val="Y-WORK"/>
      <sheetName val="갑지(추정)"/>
      <sheetName val="XL4Poppy"/>
      <sheetName val="설비비2"/>
      <sheetName val="설비비TRT"/>
      <sheetName val="설비비5"/>
      <sheetName val="곡성"/>
      <sheetName val="기준"/>
      <sheetName val="인사자료총집계"/>
      <sheetName val="_x0000_쎠ݳ卐_x0002__x0000_"/>
      <sheetName val="고르기"/>
      <sheetName val="설계변기계비교"/>
      <sheetName val="금액"/>
      <sheetName val="마감표"/>
      <sheetName val="유리"/>
      <sheetName val="INPUT"/>
      <sheetName val="석축"/>
      <sheetName val="EUPDAT2"/>
      <sheetName val="9."/>
      <sheetName val="불진"/>
      <sheetName val="을"/>
      <sheetName val="전기내역서"/>
      <sheetName val="설비비3"/>
      <sheetName val="견적조건"/>
      <sheetName val="정의"/>
      <sheetName val="수목데이타 "/>
      <sheetName val="TEL"/>
      <sheetName val="현황"/>
      <sheetName val="토사(PE)"/>
      <sheetName val="토적계산"/>
      <sheetName val="내역서2안"/>
      <sheetName val="포장공자재집계표"/>
      <sheetName val="장비선정표_GHP실내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재료비"/>
      <sheetName val="관재료"/>
      <sheetName val="노임단가"/>
      <sheetName val="간지"/>
      <sheetName val="단위단가"/>
      <sheetName val="도근좌표"/>
      <sheetName val="터파기및재료"/>
      <sheetName val="이토변실"/>
      <sheetName val="기초단가"/>
      <sheetName val="조명시설"/>
      <sheetName val="인건-측정"/>
      <sheetName val="단가목록"/>
      <sheetName val="사업개요"/>
      <sheetName val="Sheet1"/>
      <sheetName val="집계"/>
      <sheetName val="내역"/>
      <sheetName val="기자재수량"/>
      <sheetName val="노임"/>
      <sheetName val="바닥판"/>
      <sheetName val="TYPE1"/>
      <sheetName val="철근량"/>
      <sheetName val="내역서"/>
      <sheetName val="단가"/>
      <sheetName val="변수값"/>
      <sheetName val="중기상차"/>
      <sheetName val="AS복구"/>
      <sheetName val="중기터파기"/>
      <sheetName val="4차원가계산서"/>
      <sheetName val="상하차비용(기계상차)"/>
      <sheetName val="수간보호"/>
      <sheetName val="운반비"/>
      <sheetName val="수량산출"/>
      <sheetName val="단위수량"/>
      <sheetName val="단가산출서"/>
      <sheetName val="CIVIL4"/>
      <sheetName val="코드표"/>
      <sheetName val="산출내역서집계표"/>
      <sheetName val="#REF"/>
      <sheetName val="6PILE  (돌출)"/>
      <sheetName val="일위대가(1)"/>
      <sheetName val="사다리"/>
      <sheetName val="9GNG운반"/>
      <sheetName val="원형1호맨홀토공수량"/>
      <sheetName val="한강운반비"/>
      <sheetName val="BID"/>
      <sheetName val="토사(PE)"/>
      <sheetName val="근로자자료입력"/>
      <sheetName val="참고자료"/>
      <sheetName val="수자재단위당"/>
      <sheetName val="목록"/>
      <sheetName val="설계예산"/>
      <sheetName val="분전함신설"/>
      <sheetName val="접지1종"/>
    </sheetNames>
    <sheetDataSet>
      <sheetData sheetId="0" refreshError="1">
        <row r="61">
          <cell r="G61">
            <v>4.3</v>
          </cell>
        </row>
        <row r="62">
          <cell r="G62">
            <v>4.7</v>
          </cell>
        </row>
        <row r="63">
          <cell r="G63">
            <v>5.9</v>
          </cell>
        </row>
        <row r="64">
          <cell r="G64">
            <v>6</v>
          </cell>
        </row>
        <row r="65">
          <cell r="G65">
            <v>9.4</v>
          </cell>
        </row>
        <row r="66">
          <cell r="G66">
            <v>13.3</v>
          </cell>
        </row>
        <row r="67">
          <cell r="G67">
            <v>16.399999999999999</v>
          </cell>
        </row>
        <row r="68">
          <cell r="G68">
            <v>20.7</v>
          </cell>
        </row>
        <row r="69">
          <cell r="G69">
            <v>24.3</v>
          </cell>
        </row>
        <row r="70">
          <cell r="G70">
            <v>30.2</v>
          </cell>
        </row>
        <row r="71">
          <cell r="G71">
            <v>37.4</v>
          </cell>
        </row>
        <row r="72">
          <cell r="G72">
            <v>53.8</v>
          </cell>
        </row>
        <row r="73">
          <cell r="G73">
            <v>77.099999999999994</v>
          </cell>
        </row>
        <row r="74">
          <cell r="G74">
            <v>94.9</v>
          </cell>
        </row>
        <row r="75">
          <cell r="G75">
            <v>116.5</v>
          </cell>
        </row>
        <row r="76">
          <cell r="G76">
            <v>150.9</v>
          </cell>
        </row>
        <row r="77">
          <cell r="G77">
            <v>156</v>
          </cell>
        </row>
        <row r="78">
          <cell r="G78">
            <v>175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콘_재료분리(1)"/>
      <sheetName val="빗물받이(910-510-410)"/>
      <sheetName val="근로자자료입력"/>
      <sheetName val="참고자료"/>
      <sheetName val="Sheet1 (2)"/>
      <sheetName val="설계서"/>
      <sheetName val="단가목록"/>
      <sheetName val="TOTAL3"/>
      <sheetName val="9GNG운반"/>
      <sheetName val="집계"/>
      <sheetName val="터파기및재료"/>
      <sheetName val="이름표"/>
      <sheetName val="Sheet1"/>
      <sheetName val="변수"/>
      <sheetName val="소방사항"/>
      <sheetName val="상가매매0115"/>
      <sheetName val="상가임대0115"/>
      <sheetName val="진주방향"/>
      <sheetName val="토사(PE)"/>
      <sheetName val="세금자료"/>
      <sheetName val="최종계약서"/>
      <sheetName val="우수받이"/>
      <sheetName val="기초코드"/>
      <sheetName val="지장물조서"/>
      <sheetName val="토지조서"/>
      <sheetName val="수주현황2월"/>
      <sheetName val="조명시설"/>
      <sheetName val="단위중량"/>
      <sheetName val="인건-측정"/>
      <sheetName val="노원열병합  건축공사기성내역서"/>
      <sheetName val="일위_파일"/>
    </sheetNames>
    <sheetDataSet>
      <sheetData sheetId="0" refreshError="1">
        <row r="61">
          <cell r="G61">
            <v>4.3</v>
          </cell>
        </row>
        <row r="62">
          <cell r="G62">
            <v>4.7</v>
          </cell>
        </row>
        <row r="63">
          <cell r="G63">
            <v>5.9</v>
          </cell>
        </row>
        <row r="64">
          <cell r="G64">
            <v>6</v>
          </cell>
        </row>
        <row r="65">
          <cell r="G65">
            <v>9.4</v>
          </cell>
        </row>
        <row r="66">
          <cell r="G66">
            <v>13.3</v>
          </cell>
        </row>
        <row r="67">
          <cell r="G67">
            <v>16.399999999999999</v>
          </cell>
        </row>
        <row r="68">
          <cell r="G68">
            <v>20.7</v>
          </cell>
        </row>
        <row r="69">
          <cell r="G69">
            <v>24.3</v>
          </cell>
        </row>
        <row r="70">
          <cell r="G70">
            <v>30.2</v>
          </cell>
        </row>
        <row r="71">
          <cell r="G71">
            <v>37.4</v>
          </cell>
        </row>
        <row r="72">
          <cell r="G72">
            <v>53.8</v>
          </cell>
        </row>
        <row r="73">
          <cell r="G73">
            <v>77.099999999999994</v>
          </cell>
        </row>
        <row r="74">
          <cell r="G74">
            <v>94.9</v>
          </cell>
        </row>
        <row r="75">
          <cell r="G75">
            <v>116.5</v>
          </cell>
        </row>
        <row r="76">
          <cell r="G76">
            <v>150.9</v>
          </cell>
        </row>
        <row r="77">
          <cell r="G77">
            <v>156</v>
          </cell>
        </row>
        <row r="78">
          <cell r="G78">
            <v>175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목차"/>
      <sheetName val="자재집계"/>
      <sheetName val="토공계획"/>
      <sheetName val="토공유동"/>
      <sheetName val="토공집계표"/>
      <sheetName val="토량운반집계"/>
      <sheetName val="구조깨기"/>
      <sheetName val="헐기"/>
      <sheetName val="구조물총"/>
      <sheetName val="구조물공"/>
      <sheetName val="시가지L형측구"/>
      <sheetName val="옹벽식L형집계"/>
      <sheetName val="옹벽식L형측구(절토부)"/>
      <sheetName val="옹벽식L형연장"/>
      <sheetName val="도로경계석집계"/>
      <sheetName val="도로경계석연장"/>
      <sheetName val="도로경계석(150)"/>
      <sheetName val="우,오수공총"/>
      <sheetName val="맨홀총"/>
      <sheetName val="맨홀"/>
      <sheetName val="우오수관"/>
      <sheetName val="우오수연장"/>
      <sheetName val="우오수단위"/>
      <sheetName val="우오수평균고"/>
      <sheetName val="우수받이"/>
      <sheetName val="우수연결관"/>
      <sheetName val="오수유입"/>
      <sheetName val="석축집계"/>
      <sheetName val="석축연장"/>
      <sheetName val="석축수량"/>
      <sheetName val="석축(찰쌓기)단위수량 "/>
      <sheetName val="상수도"/>
      <sheetName val="포장총"/>
      <sheetName val="본선포장"/>
      <sheetName val="포장단위"/>
      <sheetName val="오버레이구간"/>
      <sheetName val="오버레이수량"/>
      <sheetName val="접속수량집"/>
      <sheetName val="접속포장집"/>
      <sheetName val="접속산출"/>
      <sheetName val="측구포장증감"/>
      <sheetName val="L형측구공제"/>
      <sheetName val="가각포장집계"/>
      <sheetName val="가각포장단위"/>
      <sheetName val="가각부"/>
      <sheetName val="부대공"/>
      <sheetName val="차선도색집"/>
      <sheetName val="일반차선도색"/>
      <sheetName val="배수공총"/>
      <sheetName val="종배수공"/>
      <sheetName val="횡배수공"/>
      <sheetName val="날개치수"/>
      <sheetName val="접속도로"/>
      <sheetName val="관기초"/>
      <sheetName val="일위대가모듈"/>
      <sheetName val="일위대가집계표"/>
      <sheetName val="일위대가표"/>
      <sheetName val="DATA"/>
      <sheetName val="일위대가표지"/>
      <sheetName val="시행분집계"/>
      <sheetName val="일위대가시행분"/>
      <sheetName val="단가산출표지"/>
      <sheetName val="단가산출집계"/>
      <sheetName val="표지"/>
      <sheetName val="대제목 (수량)"/>
      <sheetName val="깨기집계"/>
      <sheetName val="깨기수량(계남)"/>
      <sheetName val="총괄집계"/>
      <sheetName val="골재집계"/>
      <sheetName val="호안집계(계남제)"/>
      <sheetName val="호안 산출근거(계남제) "/>
      <sheetName val="단위수량(계남제)"/>
      <sheetName val="돌붙임수량"/>
      <sheetName val="연장및면적"/>
      <sheetName val="단위수량"/>
      <sheetName val="돌붙임보호"/>
      <sheetName val="DATE"/>
      <sheetName val="단가산출"/>
      <sheetName val="물량산출서"/>
    </sheetNames>
    <definedNames>
      <definedName name="수식입력매크로" refersTo="#REF!"/>
      <definedName name="일위규격매크로" refersTo="#REF!"/>
      <definedName name="일위코드입력매크로" refersTo="#REF!"/>
      <definedName name="일위화면복귀매크로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수량총괄집계"/>
      <sheetName val="BT"/>
      <sheetName val="DATE"/>
      <sheetName val="수자재단위당"/>
      <sheetName val="맨홀수량"/>
      <sheetName val="포장총괄집계표"/>
      <sheetName val="수원(당수동)  수량 산출서(가로등)"/>
      <sheetName val="내역서 (2)"/>
      <sheetName val="일위대가표"/>
      <sheetName val="단가산출"/>
      <sheetName val="Sheet1 (2)"/>
      <sheetName val="백호우계수"/>
      <sheetName val="총괄표 "/>
      <sheetName val="노무비단가"/>
      <sheetName val="수량산출서-2"/>
      <sheetName val="내역"/>
      <sheetName val="일위대가"/>
      <sheetName val="광주운남을"/>
      <sheetName val="단가 및 재료비"/>
      <sheetName val="도로횡단-D300"/>
      <sheetName val="식재총괄"/>
      <sheetName val="일위목록"/>
      <sheetName val="내역서"/>
      <sheetName val="변수"/>
      <sheetName val="회사정보"/>
      <sheetName val="이름표"/>
      <sheetName val="조사자료"/>
      <sheetName val="수량산출"/>
      <sheetName val="식재가격"/>
      <sheetName val="실행"/>
      <sheetName val="집계표"/>
      <sheetName val="안산기계장치"/>
      <sheetName val="수정안"/>
      <sheetName val="공양식"/>
      <sheetName val="총집계표"/>
      <sheetName val="수량집계"/>
      <sheetName val="교통대책내역"/>
      <sheetName val="콘_재료분리(1)"/>
      <sheetName val="70%"/>
      <sheetName val="주공 갑지"/>
      <sheetName val="수목단가"/>
      <sheetName val="자재단가"/>
      <sheetName val="근로자자료입력"/>
      <sheetName val="참고자료"/>
      <sheetName val="토목공사일반"/>
      <sheetName val="범례"/>
      <sheetName val="C.배수관공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Sheet1 (3)"/>
      <sheetName val="Sheet2 (3)"/>
      <sheetName val="Sheet3 (3)"/>
      <sheetName val="일반수량총괄집계"/>
      <sheetName val="DOHWA03"/>
      <sheetName val="#REF"/>
      <sheetName val="상촌2교-일반수량집계"/>
      <sheetName val="일위대가목록"/>
      <sheetName val="종배수관"/>
      <sheetName val="ITEM"/>
      <sheetName val="설계조건"/>
      <sheetName val="날개벽(TYPE3)"/>
      <sheetName val="수안보-MBR1"/>
      <sheetName val="간지"/>
      <sheetName val="당촌교교총괄수량"/>
      <sheetName val="타공종이기"/>
      <sheetName val="토공총집계"/>
      <sheetName val="총집계"/>
      <sheetName val="본체총집계 "/>
      <sheetName val="콘크리트수량총집계표 "/>
      <sheetName val="총철근집계표"/>
      <sheetName val="본체총철근집계표 "/>
      <sheetName val="평택토공집계"/>
      <sheetName val="당촌교(평택토공)"/>
      <sheetName val="본체평택집계"/>
      <sheetName val="부대공평택집계 "/>
      <sheetName val="본체철근집계표(평택방향)"/>
      <sheetName val="부대공철근집계표(평택방향) "/>
      <sheetName val="평택삽도"/>
      <sheetName val="평택산근"/>
      <sheetName val="당촌교(U-TYPE)"/>
      <sheetName val="당촌교(평택방향 시점측)"/>
      <sheetName val="당촌교(평택방향 종점측)"/>
      <sheetName val="음성토공집계"/>
      <sheetName val="당촌교(음성토공)"/>
      <sheetName val="음성집계"/>
      <sheetName val="철근집계표(음성방향) "/>
      <sheetName val="음성삽도"/>
      <sheetName val="음성산근"/>
      <sheetName val="당촌교(음성방향 시점측)"/>
      <sheetName val="당촌교(음성방향 종점측)"/>
      <sheetName val="당촌교(6.0M)평택시점"/>
      <sheetName val="당촌교(5.281M)평택종점"/>
      <sheetName val="당촌교(6.0M)음성종점"/>
      <sheetName val="당촌교(5.57M)음성시점"/>
      <sheetName val="가시설 집계표"/>
      <sheetName val="가시설"/>
      <sheetName val="5Strand-장기처짐PCI"/>
      <sheetName val="정부노임"/>
      <sheetName val="자재목록"/>
      <sheetName val="단가"/>
      <sheetName val="입력"/>
      <sheetName val="몰탈단가"/>
      <sheetName val="내역서"/>
      <sheetName val="노임단가"/>
      <sheetName val="정부노임단가"/>
      <sheetName val="시점교대"/>
      <sheetName val="백호우계수"/>
      <sheetName val="CRUDE RE-bar"/>
      <sheetName val="토공(우물통,기타) "/>
      <sheetName val="09년실적"/>
      <sheetName val="지급자재"/>
      <sheetName val="당초"/>
      <sheetName val="경비_원본"/>
      <sheetName val="관급자재"/>
      <sheetName val="일위대가"/>
      <sheetName val="일위"/>
      <sheetName val="수량증감"/>
      <sheetName val="BOQ"/>
      <sheetName val="BOQ (2)"/>
      <sheetName val="콘크리트수량1"/>
      <sheetName val="골재집계표"/>
      <sheetName val="타공종이기(2)"/>
      <sheetName val="철근집계"/>
      <sheetName val="철근집계(2)"/>
      <sheetName val="주요자재"/>
      <sheetName val="콘크리트수량 (2)"/>
      <sheetName val="콘크리트수량"/>
      <sheetName val="콘크리트수량2"/>
      <sheetName val="6PILE  (돌출)"/>
      <sheetName val="Sheet1 _2_"/>
      <sheetName val="단가 및 재료비"/>
      <sheetName val="단가산출2"/>
      <sheetName val="단가산출1"/>
      <sheetName val="중기사용료산출근거"/>
      <sheetName val="총집계표"/>
      <sheetName val="관공일위대가"/>
      <sheetName val="L_RPTA05_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서"/>
      <sheetName val="내역"/>
      <sheetName val="수표"/>
      <sheetName val="철집"/>
      <sheetName val="철거표"/>
      <sheetName val="철거"/>
      <sheetName val="#REF"/>
      <sheetName val="마산방향"/>
      <sheetName val="진주방향"/>
      <sheetName val="현장관리비"/>
      <sheetName val="노임"/>
      <sheetName val="수자재단위당"/>
      <sheetName val="수량산출서"/>
      <sheetName val="원가산출서"/>
      <sheetName val="데리네이타현황"/>
      <sheetName val="Sheet1"/>
      <sheetName val="DATE"/>
      <sheetName val="Sheet1 (2)"/>
      <sheetName val="단위단가"/>
      <sheetName val="몰탈재료산출"/>
      <sheetName val="현황산출서"/>
      <sheetName val="총괄내역"/>
      <sheetName val="대로근거"/>
      <sheetName val="중로근거"/>
      <sheetName val="단가산출목록표"/>
      <sheetName val="식재품셈"/>
      <sheetName val="BID"/>
      <sheetName val="직노"/>
      <sheetName val="본공사"/>
      <sheetName val="9811"/>
      <sheetName val="용산구폐기물내역-수정"/>
      <sheetName val="실행내역 "/>
      <sheetName val="내역서"/>
      <sheetName val="밸브설치"/>
      <sheetName val="일위대가"/>
      <sheetName val="계약용량(서포)"/>
      <sheetName val="H-PILE수량집계"/>
      <sheetName val="기초일위"/>
      <sheetName val="시설일위"/>
      <sheetName val="조명일위"/>
      <sheetName val="집계표"/>
      <sheetName val="일반수량총괄집계"/>
      <sheetName val="본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앉음벽A"/>
      <sheetName val="앉음벽B"/>
      <sheetName val="돌담"/>
      <sheetName val="원형플랜터1"/>
      <sheetName val="원형플랜터3"/>
      <sheetName val="조형플랜터"/>
      <sheetName val="반원형플랜터"/>
      <sheetName val="놀이벽A"/>
      <sheetName val="놀이벽B"/>
      <sheetName val="놀이벽C"/>
      <sheetName val="가벽"/>
      <sheetName val="조형프레임"/>
      <sheetName val="원형프레임"/>
      <sheetName val="유공관"/>
      <sheetName val="집수정"/>
      <sheetName val="우수관"/>
      <sheetName val="횡단배수구"/>
      <sheetName val="안내판기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봉동한진 (2)"/>
      <sheetName val="기성양식"/>
      <sheetName val="개봉동한진"/>
      <sheetName val="실행철강하도"/>
      <sheetName val="코드표"/>
      <sheetName val="일위대가(가설)"/>
      <sheetName val="노임"/>
      <sheetName val="기초일위"/>
      <sheetName val="실행내역서 "/>
      <sheetName val="개봉동한진_(2)"/>
      <sheetName val="일위대가목록"/>
      <sheetName val="시설수량표"/>
      <sheetName val="실행내역(현대)"/>
      <sheetName val="Sheet1"/>
      <sheetName val="일위대가표"/>
      <sheetName val="DATE"/>
      <sheetName val="화설내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단가목록"/>
      <sheetName val="내역서 갑지"/>
      <sheetName val="총괄표"/>
      <sheetName val="1. 위생기구 설치공사"/>
      <sheetName val="2. 급수, 급탕 배관공사"/>
      <sheetName val="3. 오, 배수 배관공사"/>
      <sheetName val="4. 가스 배관공사"/>
      <sheetName val="5. 옥외 배관공사"/>
      <sheetName val="Sheet1 (2)"/>
      <sheetName val="코드표"/>
      <sheetName val="토성초등학교 급식소 증축공사"/>
      <sheetName val="총괄내역"/>
      <sheetName val="DATE"/>
      <sheetName val="조명시설"/>
    </sheetNames>
    <sheetDataSet>
      <sheetData sheetId="0" refreshError="1"/>
      <sheetData sheetId="1" refreshError="1">
        <row r="1">
          <cell r="A1" t="str">
            <v>코드</v>
          </cell>
          <cell r="B1" t="str">
            <v>명  칭</v>
          </cell>
          <cell r="C1" t="str">
            <v>규격</v>
          </cell>
          <cell r="D1" t="str">
            <v>단위</v>
          </cell>
          <cell r="E1" t="str">
            <v>재료비</v>
          </cell>
          <cell r="F1" t="str">
            <v>노무비</v>
          </cell>
          <cell r="G1" t="str">
            <v>물가재료</v>
          </cell>
          <cell r="I1" t="str">
            <v>물가정보</v>
          </cell>
          <cell r="K1" t="str">
            <v>유통물가</v>
          </cell>
        </row>
        <row r="2">
          <cell r="G2" t="str">
            <v>단가</v>
          </cell>
          <cell r="H2" t="str">
            <v>쪽</v>
          </cell>
          <cell r="I2" t="str">
            <v>단가</v>
          </cell>
          <cell r="J2" t="str">
            <v>쪽</v>
          </cell>
          <cell r="K2" t="str">
            <v>단가</v>
          </cell>
          <cell r="L2" t="str">
            <v>쪽</v>
          </cell>
        </row>
        <row r="3">
          <cell r="A3">
            <v>0</v>
          </cell>
          <cell r="E3">
            <v>0</v>
          </cell>
          <cell r="F3">
            <v>0</v>
          </cell>
          <cell r="H3">
            <v>0</v>
          </cell>
          <cell r="I3">
            <v>0</v>
          </cell>
          <cell r="J3">
            <v>0</v>
          </cell>
          <cell r="L3">
            <v>0</v>
          </cell>
        </row>
        <row r="4">
          <cell r="A4">
            <v>1011</v>
          </cell>
          <cell r="B4" t="str">
            <v>양변기(로우탱크)</v>
          </cell>
          <cell r="C4" t="str">
            <v>KSVC-1410</v>
          </cell>
          <cell r="D4" t="str">
            <v>조</v>
          </cell>
          <cell r="E4">
            <v>102000</v>
          </cell>
          <cell r="F4">
            <v>0</v>
          </cell>
          <cell r="G4">
            <v>102000</v>
          </cell>
          <cell r="H4">
            <v>627</v>
          </cell>
          <cell r="I4">
            <v>126500</v>
          </cell>
          <cell r="J4">
            <v>565</v>
          </cell>
          <cell r="K4">
            <v>126500</v>
          </cell>
          <cell r="L4">
            <v>538</v>
          </cell>
        </row>
        <row r="5">
          <cell r="A5">
            <v>1012</v>
          </cell>
          <cell r="B5" t="str">
            <v>양변기(후레쉬밸브)</v>
          </cell>
          <cell r="C5" t="str">
            <v>KSVC-1110</v>
          </cell>
          <cell r="D5" t="str">
            <v>조</v>
          </cell>
          <cell r="E5">
            <v>108300</v>
          </cell>
          <cell r="F5">
            <v>0</v>
          </cell>
          <cell r="G5">
            <v>108300</v>
          </cell>
          <cell r="H5">
            <v>627</v>
          </cell>
          <cell r="I5">
            <v>108300</v>
          </cell>
          <cell r="J5">
            <v>565</v>
          </cell>
          <cell r="K5">
            <v>108300</v>
          </cell>
          <cell r="L5">
            <v>538</v>
          </cell>
        </row>
        <row r="6">
          <cell r="A6">
            <v>1013</v>
          </cell>
          <cell r="B6" t="str">
            <v>화변기(후레쉬밸브)</v>
          </cell>
          <cell r="C6" t="str">
            <v>KSVC- 310</v>
          </cell>
          <cell r="D6" t="str">
            <v>조</v>
          </cell>
          <cell r="E6">
            <v>71300</v>
          </cell>
          <cell r="F6">
            <v>0</v>
          </cell>
          <cell r="G6">
            <v>71300</v>
          </cell>
          <cell r="H6">
            <v>627</v>
          </cell>
          <cell r="I6">
            <v>71300</v>
          </cell>
          <cell r="J6">
            <v>565</v>
          </cell>
          <cell r="K6">
            <v>71300</v>
          </cell>
          <cell r="L6">
            <v>538</v>
          </cell>
        </row>
        <row r="7">
          <cell r="A7">
            <v>1014</v>
          </cell>
          <cell r="B7" t="str">
            <v>유아용양변기</v>
          </cell>
          <cell r="C7" t="str">
            <v>KSVC- 760</v>
          </cell>
          <cell r="D7" t="str">
            <v>조</v>
          </cell>
          <cell r="E7">
            <v>86900</v>
          </cell>
          <cell r="F7">
            <v>0</v>
          </cell>
          <cell r="H7">
            <v>0</v>
          </cell>
          <cell r="I7">
            <v>86900</v>
          </cell>
          <cell r="J7">
            <v>565</v>
          </cell>
          <cell r="L7" t="str">
            <v>-</v>
          </cell>
        </row>
        <row r="8">
          <cell r="A8">
            <v>1015</v>
          </cell>
          <cell r="B8" t="str">
            <v>장애자용양변기</v>
          </cell>
          <cell r="C8" t="str">
            <v>RCP - 1</v>
          </cell>
          <cell r="D8" t="str">
            <v>조</v>
          </cell>
          <cell r="E8">
            <v>213000</v>
          </cell>
          <cell r="F8">
            <v>0</v>
          </cell>
          <cell r="H8">
            <v>0</v>
          </cell>
          <cell r="I8">
            <v>213000</v>
          </cell>
          <cell r="J8">
            <v>565</v>
          </cell>
          <cell r="L8" t="str">
            <v>-</v>
          </cell>
        </row>
        <row r="9">
          <cell r="A9">
            <v>1016</v>
          </cell>
          <cell r="B9" t="str">
            <v>장애자용양변기(가동식)</v>
          </cell>
          <cell r="C9" t="str">
            <v>RCP - 2R</v>
          </cell>
          <cell r="D9" t="str">
            <v>조</v>
          </cell>
          <cell r="E9">
            <v>324000</v>
          </cell>
          <cell r="F9">
            <v>0</v>
          </cell>
          <cell r="H9">
            <v>0</v>
          </cell>
          <cell r="I9">
            <v>324000</v>
          </cell>
          <cell r="J9">
            <v>565</v>
          </cell>
          <cell r="L9" t="str">
            <v>-</v>
          </cell>
        </row>
        <row r="10">
          <cell r="A10">
            <v>1017</v>
          </cell>
          <cell r="B10" t="str">
            <v>장애자용양변기(고정식)</v>
          </cell>
          <cell r="C10" t="str">
            <v>RCP - 3R</v>
          </cell>
          <cell r="D10" t="str">
            <v>조</v>
          </cell>
          <cell r="E10">
            <v>201000</v>
          </cell>
          <cell r="F10">
            <v>0</v>
          </cell>
          <cell r="H10">
            <v>0</v>
          </cell>
          <cell r="I10">
            <v>201000</v>
          </cell>
          <cell r="J10">
            <v>565</v>
          </cell>
          <cell r="L10" t="str">
            <v>-</v>
          </cell>
        </row>
        <row r="12">
          <cell r="A12">
            <v>1021</v>
          </cell>
          <cell r="B12" t="str">
            <v>중형스톨소변기</v>
          </cell>
          <cell r="C12" t="str">
            <v>KSVU- 320</v>
          </cell>
          <cell r="D12" t="str">
            <v>조</v>
          </cell>
          <cell r="E12">
            <v>94000</v>
          </cell>
          <cell r="F12">
            <v>0</v>
          </cell>
          <cell r="G12">
            <v>94000</v>
          </cell>
          <cell r="H12">
            <v>627</v>
          </cell>
          <cell r="I12">
            <v>94000</v>
          </cell>
          <cell r="J12">
            <v>565</v>
          </cell>
          <cell r="K12">
            <v>94000</v>
          </cell>
          <cell r="L12">
            <v>538</v>
          </cell>
        </row>
        <row r="13">
          <cell r="A13">
            <v>1022</v>
          </cell>
          <cell r="B13" t="str">
            <v>소형스톨소변기</v>
          </cell>
          <cell r="C13" t="str">
            <v>KSVU- 330</v>
          </cell>
          <cell r="D13" t="str">
            <v>조</v>
          </cell>
          <cell r="E13">
            <v>71000</v>
          </cell>
          <cell r="F13">
            <v>0</v>
          </cell>
          <cell r="G13">
            <v>71000</v>
          </cell>
          <cell r="H13">
            <v>627</v>
          </cell>
          <cell r="I13">
            <v>72900</v>
          </cell>
          <cell r="J13">
            <v>565</v>
          </cell>
          <cell r="K13">
            <v>71000</v>
          </cell>
          <cell r="L13">
            <v>538</v>
          </cell>
        </row>
        <row r="14">
          <cell r="A14">
            <v>1023</v>
          </cell>
          <cell r="B14" t="str">
            <v>대형벽걸이소변기</v>
          </cell>
          <cell r="C14" t="str">
            <v>KSVU- 410</v>
          </cell>
          <cell r="D14" t="str">
            <v>조</v>
          </cell>
          <cell r="E14">
            <v>100500</v>
          </cell>
          <cell r="F14">
            <v>0</v>
          </cell>
          <cell r="G14">
            <v>102000</v>
          </cell>
          <cell r="H14">
            <v>627</v>
          </cell>
          <cell r="I14">
            <v>102000</v>
          </cell>
          <cell r="J14">
            <v>565</v>
          </cell>
          <cell r="K14">
            <v>100500</v>
          </cell>
          <cell r="L14">
            <v>538</v>
          </cell>
        </row>
        <row r="15">
          <cell r="A15">
            <v>1024</v>
          </cell>
          <cell r="B15" t="str">
            <v>소형벽걸이소변기</v>
          </cell>
          <cell r="C15" t="str">
            <v>KSVU- 420</v>
          </cell>
          <cell r="D15" t="str">
            <v>조</v>
          </cell>
          <cell r="E15">
            <v>70000</v>
          </cell>
          <cell r="F15">
            <v>0</v>
          </cell>
          <cell r="G15">
            <v>70000</v>
          </cell>
          <cell r="H15">
            <v>627</v>
          </cell>
          <cell r="I15">
            <v>70000</v>
          </cell>
          <cell r="J15">
            <v>565</v>
          </cell>
          <cell r="L15" t="str">
            <v>-</v>
          </cell>
        </row>
        <row r="16">
          <cell r="A16">
            <v>1025</v>
          </cell>
          <cell r="B16" t="str">
            <v>장애자용소변기</v>
          </cell>
          <cell r="C16" t="str">
            <v>RUP - 1</v>
          </cell>
          <cell r="D16" t="str">
            <v>조</v>
          </cell>
          <cell r="E16">
            <v>210000</v>
          </cell>
          <cell r="F16">
            <v>0</v>
          </cell>
          <cell r="G16">
            <v>210000</v>
          </cell>
          <cell r="H16">
            <v>627</v>
          </cell>
          <cell r="I16">
            <v>210000</v>
          </cell>
          <cell r="J16">
            <v>565</v>
          </cell>
          <cell r="K16">
            <v>210000</v>
          </cell>
          <cell r="L16">
            <v>538</v>
          </cell>
        </row>
        <row r="17">
          <cell r="A17">
            <v>1026</v>
          </cell>
          <cell r="B17" t="str">
            <v>장애자용소변기(노출)</v>
          </cell>
          <cell r="C17" t="str">
            <v>RUP - 2</v>
          </cell>
          <cell r="D17" t="str">
            <v>조</v>
          </cell>
          <cell r="E17">
            <v>294000</v>
          </cell>
          <cell r="F17">
            <v>0</v>
          </cell>
          <cell r="G17">
            <v>294000</v>
          </cell>
          <cell r="H17">
            <v>627</v>
          </cell>
          <cell r="I17">
            <v>294000</v>
          </cell>
          <cell r="J17">
            <v>565</v>
          </cell>
          <cell r="K17">
            <v>294000</v>
          </cell>
          <cell r="L17">
            <v>538</v>
          </cell>
        </row>
        <row r="18">
          <cell r="A18">
            <v>1027</v>
          </cell>
          <cell r="B18" t="str">
            <v>장애자용소변기(매립)</v>
          </cell>
          <cell r="C18" t="str">
            <v>RUP - 3</v>
          </cell>
          <cell r="D18" t="str">
            <v>조</v>
          </cell>
          <cell r="E18">
            <v>236000</v>
          </cell>
          <cell r="F18">
            <v>0</v>
          </cell>
          <cell r="I18">
            <v>236000</v>
          </cell>
          <cell r="J18">
            <v>565</v>
          </cell>
          <cell r="L18" t="str">
            <v>-</v>
          </cell>
        </row>
        <row r="20">
          <cell r="A20">
            <v>1031</v>
          </cell>
          <cell r="B20" t="str">
            <v>세면기(싱글레버포함)</v>
          </cell>
          <cell r="C20" t="str">
            <v>KSVL-1040</v>
          </cell>
          <cell r="D20" t="str">
            <v>조</v>
          </cell>
          <cell r="E20">
            <v>128600</v>
          </cell>
          <cell r="F20">
            <v>0</v>
          </cell>
          <cell r="G20">
            <v>128600</v>
          </cell>
          <cell r="I20">
            <v>128600</v>
          </cell>
          <cell r="J20">
            <v>565</v>
          </cell>
          <cell r="L20">
            <v>0</v>
          </cell>
        </row>
        <row r="21">
          <cell r="A21">
            <v>1032</v>
          </cell>
          <cell r="B21" t="str">
            <v>세면기(싱글레버포함)</v>
          </cell>
          <cell r="C21" t="str">
            <v>KSVL- 610</v>
          </cell>
          <cell r="D21" t="str">
            <v>조</v>
          </cell>
          <cell r="E21">
            <v>102600</v>
          </cell>
          <cell r="F21">
            <v>0</v>
          </cell>
          <cell r="G21">
            <v>102600</v>
          </cell>
          <cell r="I21">
            <v>102600</v>
          </cell>
          <cell r="J21">
            <v>565</v>
          </cell>
          <cell r="L21" t="str">
            <v>-</v>
          </cell>
        </row>
        <row r="22">
          <cell r="A22">
            <v>1033</v>
          </cell>
          <cell r="B22" t="str">
            <v>세면기(싱글레버포함)</v>
          </cell>
          <cell r="C22" t="str">
            <v>KSVL-1050</v>
          </cell>
          <cell r="D22" t="str">
            <v>조</v>
          </cell>
          <cell r="E22">
            <v>200600</v>
          </cell>
          <cell r="F22">
            <v>0</v>
          </cell>
          <cell r="G22">
            <v>200600</v>
          </cell>
          <cell r="H22">
            <v>631</v>
          </cell>
          <cell r="I22">
            <v>200600</v>
          </cell>
          <cell r="J22">
            <v>565</v>
          </cell>
          <cell r="K22">
            <v>200600</v>
          </cell>
          <cell r="L22">
            <v>540</v>
          </cell>
        </row>
        <row r="23">
          <cell r="A23">
            <v>1034</v>
          </cell>
          <cell r="B23" t="str">
            <v>장애자용세면기(폽업)</v>
          </cell>
          <cell r="C23" t="str">
            <v>RLP - 1</v>
          </cell>
          <cell r="D23" t="str">
            <v>조</v>
          </cell>
          <cell r="E23">
            <v>189000</v>
          </cell>
          <cell r="F23">
            <v>0</v>
          </cell>
          <cell r="G23">
            <v>189000</v>
          </cell>
          <cell r="I23">
            <v>189000</v>
          </cell>
          <cell r="J23">
            <v>565</v>
          </cell>
          <cell r="K23">
            <v>189000</v>
          </cell>
          <cell r="L23">
            <v>538</v>
          </cell>
        </row>
        <row r="24">
          <cell r="A24">
            <v>1035</v>
          </cell>
          <cell r="B24" t="str">
            <v>장애자용세면기(배수구)</v>
          </cell>
          <cell r="C24" t="str">
            <v>RLP - 2</v>
          </cell>
          <cell r="D24" t="str">
            <v>조</v>
          </cell>
          <cell r="E24">
            <v>420000</v>
          </cell>
          <cell r="F24">
            <v>0</v>
          </cell>
          <cell r="G24">
            <v>420000</v>
          </cell>
          <cell r="I24">
            <v>420000</v>
          </cell>
          <cell r="J24">
            <v>565</v>
          </cell>
          <cell r="K24">
            <v>420000</v>
          </cell>
          <cell r="L24">
            <v>538</v>
          </cell>
        </row>
        <row r="26">
          <cell r="A26">
            <v>1041</v>
          </cell>
          <cell r="B26" t="str">
            <v>청소씽크(1구)</v>
          </cell>
          <cell r="C26" t="str">
            <v>KSVS- 210</v>
          </cell>
          <cell r="D26" t="str">
            <v>조</v>
          </cell>
          <cell r="E26">
            <v>147000</v>
          </cell>
          <cell r="F26">
            <v>0</v>
          </cell>
          <cell r="G26">
            <v>147000</v>
          </cell>
          <cell r="H26">
            <v>627</v>
          </cell>
          <cell r="I26">
            <v>147000</v>
          </cell>
          <cell r="J26">
            <v>565</v>
          </cell>
          <cell r="L26" t="str">
            <v>-</v>
          </cell>
        </row>
        <row r="27">
          <cell r="A27">
            <v>1042</v>
          </cell>
          <cell r="B27" t="str">
            <v>청소씽크(2구)</v>
          </cell>
          <cell r="C27" t="str">
            <v>KSVS- 210</v>
          </cell>
          <cell r="D27" t="str">
            <v>조</v>
          </cell>
          <cell r="E27">
            <v>147000</v>
          </cell>
          <cell r="F27">
            <v>0</v>
          </cell>
          <cell r="G27">
            <v>147000</v>
          </cell>
          <cell r="H27">
            <v>627</v>
          </cell>
          <cell r="I27">
            <v>147000</v>
          </cell>
          <cell r="J27">
            <v>565</v>
          </cell>
          <cell r="L27" t="str">
            <v>-</v>
          </cell>
        </row>
        <row r="29">
          <cell r="A29">
            <v>1045</v>
          </cell>
          <cell r="B29" t="str">
            <v>샤워(PVC호스형)</v>
          </cell>
          <cell r="C29" t="str">
            <v>RBS-100AG1</v>
          </cell>
          <cell r="D29" t="str">
            <v>개</v>
          </cell>
          <cell r="E29">
            <v>57300</v>
          </cell>
          <cell r="F29">
            <v>0</v>
          </cell>
          <cell r="H29">
            <v>569</v>
          </cell>
          <cell r="I29">
            <v>57300</v>
          </cell>
          <cell r="J29">
            <v>570</v>
          </cell>
          <cell r="L29" t="str">
            <v>-</v>
          </cell>
        </row>
        <row r="30">
          <cell r="A30">
            <v>1046</v>
          </cell>
          <cell r="B30" t="str">
            <v>샤워(메탈호스형)</v>
          </cell>
          <cell r="C30" t="str">
            <v>RBS-100AG1</v>
          </cell>
          <cell r="D30" t="str">
            <v>개</v>
          </cell>
          <cell r="E30">
            <v>61900</v>
          </cell>
          <cell r="F30">
            <v>0</v>
          </cell>
          <cell r="H30">
            <v>569</v>
          </cell>
          <cell r="I30">
            <v>61900</v>
          </cell>
          <cell r="J30">
            <v>570</v>
          </cell>
          <cell r="L30" t="str">
            <v>-</v>
          </cell>
        </row>
        <row r="31">
          <cell r="A31">
            <v>1047</v>
          </cell>
          <cell r="B31" t="str">
            <v>샤워(자폐식PVC형)</v>
          </cell>
          <cell r="C31" t="str">
            <v>RBT-101A</v>
          </cell>
          <cell r="D31" t="str">
            <v>개</v>
          </cell>
          <cell r="E31">
            <v>125300</v>
          </cell>
          <cell r="F31">
            <v>0</v>
          </cell>
          <cell r="H31">
            <v>569</v>
          </cell>
          <cell r="I31">
            <v>125300</v>
          </cell>
          <cell r="J31">
            <v>570</v>
          </cell>
          <cell r="L31" t="str">
            <v>-</v>
          </cell>
        </row>
        <row r="32">
          <cell r="A32">
            <v>1048</v>
          </cell>
          <cell r="B32" t="str">
            <v>샤워(자폐식메탈형)</v>
          </cell>
          <cell r="C32" t="str">
            <v>RBT-201A</v>
          </cell>
          <cell r="D32" t="str">
            <v>개</v>
          </cell>
          <cell r="E32">
            <v>130300</v>
          </cell>
          <cell r="F32">
            <v>0</v>
          </cell>
          <cell r="H32">
            <v>569</v>
          </cell>
          <cell r="I32">
            <v>130300</v>
          </cell>
          <cell r="J32">
            <v>570</v>
          </cell>
          <cell r="L32" t="str">
            <v>-</v>
          </cell>
        </row>
        <row r="33">
          <cell r="A33">
            <v>1049</v>
          </cell>
          <cell r="B33" t="str">
            <v>샤워(매립서머스타트식)</v>
          </cell>
          <cell r="C33" t="str">
            <v>RBT-500A</v>
          </cell>
          <cell r="D33" t="str">
            <v>개</v>
          </cell>
          <cell r="E33">
            <v>169300</v>
          </cell>
          <cell r="F33">
            <v>0</v>
          </cell>
          <cell r="H33">
            <v>569</v>
          </cell>
          <cell r="I33">
            <v>169300</v>
          </cell>
          <cell r="J33">
            <v>570</v>
          </cell>
          <cell r="L33" t="str">
            <v>-</v>
          </cell>
        </row>
        <row r="35">
          <cell r="A35">
            <v>1051</v>
          </cell>
          <cell r="B35" t="str">
            <v>씽크수전(고정식대붙이)</v>
          </cell>
          <cell r="C35" t="str">
            <v>RKS-110CLO</v>
          </cell>
          <cell r="D35" t="str">
            <v>개</v>
          </cell>
          <cell r="E35">
            <v>55700</v>
          </cell>
          <cell r="F35">
            <v>0</v>
          </cell>
          <cell r="H35">
            <v>570</v>
          </cell>
          <cell r="I35">
            <v>55700</v>
          </cell>
          <cell r="J35">
            <v>571</v>
          </cell>
          <cell r="L35" t="str">
            <v>-</v>
          </cell>
        </row>
        <row r="36">
          <cell r="A36">
            <v>1052</v>
          </cell>
          <cell r="B36" t="str">
            <v>씽크수전(착탈식대붙이)</v>
          </cell>
          <cell r="C36" t="str">
            <v>RKS-420CM2</v>
          </cell>
          <cell r="D36" t="str">
            <v>개</v>
          </cell>
          <cell r="E36">
            <v>81700</v>
          </cell>
          <cell r="F36">
            <v>0</v>
          </cell>
          <cell r="H36">
            <v>570</v>
          </cell>
          <cell r="I36">
            <v>81700</v>
          </cell>
          <cell r="J36">
            <v>571</v>
          </cell>
          <cell r="L36" t="str">
            <v>-</v>
          </cell>
        </row>
        <row r="37">
          <cell r="A37">
            <v>1053</v>
          </cell>
          <cell r="B37" t="str">
            <v>씽크수전(고정식벽붙이)</v>
          </cell>
          <cell r="C37" t="str">
            <v>RKS-400CM3</v>
          </cell>
          <cell r="D37" t="str">
            <v>개</v>
          </cell>
          <cell r="E37">
            <v>56400</v>
          </cell>
          <cell r="F37">
            <v>0</v>
          </cell>
          <cell r="H37">
            <v>570</v>
          </cell>
          <cell r="I37">
            <v>56400</v>
          </cell>
          <cell r="J37">
            <v>571</v>
          </cell>
          <cell r="L37" t="str">
            <v>-</v>
          </cell>
        </row>
        <row r="38">
          <cell r="A38">
            <v>1054</v>
          </cell>
          <cell r="B38" t="str">
            <v>씽크수전(착탈식벽붙이)</v>
          </cell>
          <cell r="C38" t="str">
            <v>RKS-300AL9</v>
          </cell>
          <cell r="D38" t="str">
            <v>개</v>
          </cell>
          <cell r="E38">
            <v>63900</v>
          </cell>
          <cell r="F38">
            <v>0</v>
          </cell>
          <cell r="H38">
            <v>570</v>
          </cell>
          <cell r="I38">
            <v>63900</v>
          </cell>
          <cell r="J38">
            <v>571</v>
          </cell>
          <cell r="L38" t="str">
            <v>-</v>
          </cell>
        </row>
        <row r="40">
          <cell r="A40">
            <v>1055</v>
          </cell>
          <cell r="B40" t="str">
            <v>일반수전(15Ø)</v>
          </cell>
          <cell r="C40" t="str">
            <v>R - 102A</v>
          </cell>
          <cell r="D40" t="str">
            <v>개</v>
          </cell>
          <cell r="E40">
            <v>3450</v>
          </cell>
          <cell r="F40">
            <v>0</v>
          </cell>
          <cell r="H40">
            <v>0</v>
          </cell>
          <cell r="I40">
            <v>3450</v>
          </cell>
          <cell r="J40">
            <v>0</v>
          </cell>
          <cell r="K40">
            <v>3850</v>
          </cell>
          <cell r="L40">
            <v>544</v>
          </cell>
        </row>
        <row r="41">
          <cell r="A41">
            <v>1056</v>
          </cell>
          <cell r="B41" t="str">
            <v>일반수전(20Ø)</v>
          </cell>
          <cell r="C41" t="str">
            <v>R - 102D</v>
          </cell>
          <cell r="D41" t="str">
            <v>개</v>
          </cell>
          <cell r="E41">
            <v>6900</v>
          </cell>
          <cell r="F41">
            <v>0</v>
          </cell>
          <cell r="H41">
            <v>0</v>
          </cell>
          <cell r="I41">
            <v>6900</v>
          </cell>
          <cell r="J41">
            <v>0</v>
          </cell>
          <cell r="K41">
            <v>6930</v>
          </cell>
          <cell r="L41">
            <v>544</v>
          </cell>
        </row>
        <row r="42">
          <cell r="A42">
            <v>1057</v>
          </cell>
          <cell r="B42" t="str">
            <v>세탁수전(15Ø)</v>
          </cell>
          <cell r="C42" t="str">
            <v>R - 103A</v>
          </cell>
          <cell r="D42" t="str">
            <v>개</v>
          </cell>
          <cell r="E42">
            <v>4620</v>
          </cell>
          <cell r="F42">
            <v>0</v>
          </cell>
          <cell r="H42">
            <v>0</v>
          </cell>
          <cell r="I42">
            <v>6900</v>
          </cell>
          <cell r="J42">
            <v>0</v>
          </cell>
          <cell r="K42">
            <v>4620</v>
          </cell>
          <cell r="L42">
            <v>544</v>
          </cell>
        </row>
        <row r="44">
          <cell r="A44">
            <v>1060</v>
          </cell>
          <cell r="B44" t="str">
            <v>마블욕조</v>
          </cell>
          <cell r="C44" t="str">
            <v>1,200x700</v>
          </cell>
          <cell r="D44" t="str">
            <v>개</v>
          </cell>
          <cell r="E44">
            <v>110000</v>
          </cell>
          <cell r="F44">
            <v>0</v>
          </cell>
          <cell r="H44">
            <v>566</v>
          </cell>
          <cell r="I44">
            <v>110000</v>
          </cell>
          <cell r="J44">
            <v>566</v>
          </cell>
          <cell r="L44" t="str">
            <v>-</v>
          </cell>
        </row>
        <row r="45">
          <cell r="A45">
            <v>1061</v>
          </cell>
          <cell r="B45" t="str">
            <v>마블욕조</v>
          </cell>
          <cell r="C45" t="str">
            <v>1,300x750</v>
          </cell>
          <cell r="D45" t="str">
            <v>개</v>
          </cell>
          <cell r="E45">
            <v>115000</v>
          </cell>
          <cell r="F45">
            <v>0</v>
          </cell>
          <cell r="H45">
            <v>566</v>
          </cell>
          <cell r="I45">
            <v>115000</v>
          </cell>
          <cell r="J45">
            <v>566</v>
          </cell>
          <cell r="L45" t="str">
            <v>-</v>
          </cell>
        </row>
        <row r="46">
          <cell r="A46">
            <v>1062</v>
          </cell>
          <cell r="B46" t="str">
            <v>마블욕조</v>
          </cell>
          <cell r="C46" t="str">
            <v>1,400x750</v>
          </cell>
          <cell r="D46" t="str">
            <v>개</v>
          </cell>
          <cell r="E46">
            <v>120000</v>
          </cell>
          <cell r="F46">
            <v>0</v>
          </cell>
          <cell r="H46">
            <v>566</v>
          </cell>
          <cell r="I46">
            <v>120000</v>
          </cell>
          <cell r="J46">
            <v>566</v>
          </cell>
          <cell r="K46">
            <v>140000</v>
          </cell>
          <cell r="L46">
            <v>540</v>
          </cell>
        </row>
        <row r="47">
          <cell r="A47">
            <v>1063</v>
          </cell>
          <cell r="B47" t="str">
            <v>마블욕조</v>
          </cell>
          <cell r="C47" t="str">
            <v>1,500x700</v>
          </cell>
          <cell r="D47" t="str">
            <v>개</v>
          </cell>
          <cell r="E47">
            <v>125000</v>
          </cell>
          <cell r="F47">
            <v>0</v>
          </cell>
          <cell r="H47">
            <v>566</v>
          </cell>
          <cell r="I47">
            <v>125000</v>
          </cell>
          <cell r="J47">
            <v>566</v>
          </cell>
          <cell r="K47">
            <v>142000</v>
          </cell>
          <cell r="L47">
            <v>540</v>
          </cell>
        </row>
        <row r="48">
          <cell r="A48">
            <v>1064</v>
          </cell>
          <cell r="B48" t="str">
            <v>마블욕조</v>
          </cell>
          <cell r="C48" t="str">
            <v>1,600x750</v>
          </cell>
          <cell r="D48" t="str">
            <v>개</v>
          </cell>
          <cell r="E48">
            <v>130000</v>
          </cell>
          <cell r="F48">
            <v>0</v>
          </cell>
          <cell r="H48">
            <v>566</v>
          </cell>
          <cell r="I48">
            <v>130000</v>
          </cell>
          <cell r="J48">
            <v>566</v>
          </cell>
          <cell r="K48">
            <v>142000</v>
          </cell>
          <cell r="L48">
            <v>540</v>
          </cell>
        </row>
        <row r="49">
          <cell r="A49">
            <v>1065</v>
          </cell>
          <cell r="B49" t="str">
            <v>마블욕조</v>
          </cell>
          <cell r="C49" t="str">
            <v>1,700x750</v>
          </cell>
          <cell r="D49" t="str">
            <v>개</v>
          </cell>
          <cell r="E49">
            <v>135000</v>
          </cell>
          <cell r="F49">
            <v>0</v>
          </cell>
          <cell r="H49">
            <v>566</v>
          </cell>
          <cell r="I49">
            <v>135000</v>
          </cell>
          <cell r="J49">
            <v>566</v>
          </cell>
          <cell r="K49">
            <v>145000</v>
          </cell>
          <cell r="L49">
            <v>540</v>
          </cell>
        </row>
        <row r="52">
          <cell r="A52">
            <v>1066</v>
          </cell>
          <cell r="B52" t="str">
            <v>마블세면대</v>
          </cell>
          <cell r="C52" t="str">
            <v>800x600</v>
          </cell>
          <cell r="D52" t="str">
            <v>개</v>
          </cell>
          <cell r="E52">
            <v>80000</v>
          </cell>
          <cell r="F52">
            <v>0</v>
          </cell>
          <cell r="H52">
            <v>0</v>
          </cell>
          <cell r="I52">
            <v>80000</v>
          </cell>
          <cell r="J52">
            <v>0</v>
          </cell>
          <cell r="L52">
            <v>0</v>
          </cell>
        </row>
        <row r="53">
          <cell r="A53">
            <v>1067</v>
          </cell>
          <cell r="B53" t="str">
            <v>마블세면대</v>
          </cell>
          <cell r="C53" t="str">
            <v>1,000x600</v>
          </cell>
          <cell r="D53" t="str">
            <v>개</v>
          </cell>
          <cell r="E53">
            <v>90000</v>
          </cell>
          <cell r="F53">
            <v>0</v>
          </cell>
          <cell r="H53">
            <v>631</v>
          </cell>
          <cell r="I53">
            <v>90000</v>
          </cell>
          <cell r="J53">
            <v>565</v>
          </cell>
          <cell r="L53">
            <v>540</v>
          </cell>
        </row>
        <row r="54">
          <cell r="A54">
            <v>1068</v>
          </cell>
          <cell r="B54" t="str">
            <v>마블세면대</v>
          </cell>
          <cell r="C54" t="str">
            <v>1,500x600</v>
          </cell>
          <cell r="D54" t="str">
            <v>개</v>
          </cell>
          <cell r="E54">
            <v>124000</v>
          </cell>
          <cell r="F54">
            <v>0</v>
          </cell>
          <cell r="H54">
            <v>631</v>
          </cell>
          <cell r="I54">
            <v>150000</v>
          </cell>
          <cell r="J54">
            <v>565</v>
          </cell>
          <cell r="L54" t="str">
            <v>-</v>
          </cell>
        </row>
        <row r="55">
          <cell r="A55">
            <v>1069</v>
          </cell>
          <cell r="B55" t="str">
            <v>마블세면대</v>
          </cell>
          <cell r="C55" t="str">
            <v>2,000x600</v>
          </cell>
          <cell r="D55" t="str">
            <v>개</v>
          </cell>
          <cell r="E55">
            <v>180000</v>
          </cell>
          <cell r="F55">
            <v>0</v>
          </cell>
          <cell r="H55">
            <v>631</v>
          </cell>
          <cell r="I55">
            <v>180000</v>
          </cell>
          <cell r="J55">
            <v>565</v>
          </cell>
          <cell r="L55" t="str">
            <v>-</v>
          </cell>
        </row>
        <row r="57">
          <cell r="A57">
            <v>1070</v>
          </cell>
          <cell r="B57" t="str">
            <v>화장경</v>
          </cell>
          <cell r="C57" t="str">
            <v>600x900x5t</v>
          </cell>
          <cell r="D57" t="str">
            <v>매</v>
          </cell>
          <cell r="E57">
            <v>15000</v>
          </cell>
          <cell r="F57">
            <v>0</v>
          </cell>
          <cell r="H57">
            <v>0</v>
          </cell>
          <cell r="I57">
            <v>15000</v>
          </cell>
          <cell r="J57">
            <v>0</v>
          </cell>
          <cell r="K57">
            <v>9500</v>
          </cell>
          <cell r="L57">
            <v>548</v>
          </cell>
        </row>
        <row r="58">
          <cell r="A58">
            <v>1071</v>
          </cell>
          <cell r="B58" t="str">
            <v>화장경</v>
          </cell>
          <cell r="C58" t="str">
            <v>1,000x900x5t</v>
          </cell>
          <cell r="D58" t="str">
            <v>매</v>
          </cell>
          <cell r="E58">
            <v>21840</v>
          </cell>
          <cell r="F58">
            <v>0</v>
          </cell>
          <cell r="H58">
            <v>0</v>
          </cell>
          <cell r="J58">
            <v>0</v>
          </cell>
          <cell r="K58">
            <v>21840</v>
          </cell>
          <cell r="L58">
            <v>548</v>
          </cell>
        </row>
        <row r="59">
          <cell r="A59">
            <v>1072</v>
          </cell>
          <cell r="B59" t="str">
            <v>화장경</v>
          </cell>
          <cell r="C59" t="str">
            <v>1,500x900x5t</v>
          </cell>
          <cell r="D59" t="str">
            <v>매</v>
          </cell>
          <cell r="E59">
            <v>26730</v>
          </cell>
          <cell r="F59">
            <v>0</v>
          </cell>
          <cell r="H59">
            <v>0</v>
          </cell>
          <cell r="I59">
            <v>37500</v>
          </cell>
          <cell r="J59">
            <v>0</v>
          </cell>
          <cell r="L59">
            <v>0</v>
          </cell>
        </row>
        <row r="60">
          <cell r="A60">
            <v>1073</v>
          </cell>
          <cell r="B60" t="str">
            <v>화장경</v>
          </cell>
          <cell r="C60" t="str">
            <v>2,000x900x5t</v>
          </cell>
          <cell r="D60" t="str">
            <v>매</v>
          </cell>
          <cell r="E60">
            <v>50000</v>
          </cell>
          <cell r="F60">
            <v>0</v>
          </cell>
          <cell r="H60">
            <v>0</v>
          </cell>
          <cell r="I60">
            <v>50000</v>
          </cell>
          <cell r="J60">
            <v>0</v>
          </cell>
          <cell r="L60">
            <v>0</v>
          </cell>
        </row>
        <row r="62">
          <cell r="A62">
            <v>1074</v>
          </cell>
          <cell r="B62" t="str">
            <v>화장선반</v>
          </cell>
          <cell r="C62" t="str">
            <v>STS-304</v>
          </cell>
          <cell r="D62" t="str">
            <v>개</v>
          </cell>
          <cell r="E62">
            <v>8700</v>
          </cell>
          <cell r="F62">
            <v>0</v>
          </cell>
          <cell r="H62">
            <v>0</v>
          </cell>
          <cell r="J62">
            <v>0</v>
          </cell>
          <cell r="K62">
            <v>8700</v>
          </cell>
          <cell r="L62">
            <v>0</v>
          </cell>
        </row>
        <row r="63">
          <cell r="A63">
            <v>1075</v>
          </cell>
          <cell r="B63" t="str">
            <v>수건걸이</v>
          </cell>
          <cell r="C63" t="str">
            <v>STS-304</v>
          </cell>
          <cell r="D63" t="str">
            <v>개</v>
          </cell>
          <cell r="E63">
            <v>5640</v>
          </cell>
          <cell r="F63">
            <v>0</v>
          </cell>
          <cell r="H63">
            <v>0</v>
          </cell>
          <cell r="J63">
            <v>0</v>
          </cell>
          <cell r="K63">
            <v>3750</v>
          </cell>
          <cell r="L63">
            <v>0</v>
          </cell>
        </row>
        <row r="64">
          <cell r="A64">
            <v>1076</v>
          </cell>
          <cell r="B64" t="str">
            <v>휴지걸이</v>
          </cell>
          <cell r="C64" t="str">
            <v>RA 110</v>
          </cell>
          <cell r="D64" t="str">
            <v>개</v>
          </cell>
          <cell r="E64">
            <v>5640</v>
          </cell>
          <cell r="F64">
            <v>0</v>
          </cell>
          <cell r="H64">
            <v>0</v>
          </cell>
          <cell r="J64">
            <v>0</v>
          </cell>
          <cell r="K64">
            <v>3200</v>
          </cell>
          <cell r="L64">
            <v>0</v>
          </cell>
        </row>
        <row r="65">
          <cell r="A65">
            <v>1081</v>
          </cell>
          <cell r="B65" t="str">
            <v>주방기구(유로6001)</v>
          </cell>
          <cell r="C65" t="str">
            <v>1500 L</v>
          </cell>
          <cell r="D65" t="str">
            <v>조</v>
          </cell>
          <cell r="E65">
            <v>0</v>
          </cell>
          <cell r="F65">
            <v>0</v>
          </cell>
          <cell r="H65">
            <v>0</v>
          </cell>
          <cell r="J65">
            <v>0</v>
          </cell>
          <cell r="L65">
            <v>0</v>
          </cell>
        </row>
        <row r="66">
          <cell r="A66">
            <v>1082</v>
          </cell>
          <cell r="B66" t="str">
            <v>주방기구(유로6001)</v>
          </cell>
          <cell r="C66" t="str">
            <v>1800 L</v>
          </cell>
          <cell r="D66" t="str">
            <v>조</v>
          </cell>
          <cell r="E66">
            <v>0</v>
          </cell>
          <cell r="H66">
            <v>0</v>
          </cell>
          <cell r="J66">
            <v>0</v>
          </cell>
          <cell r="L66">
            <v>0</v>
          </cell>
        </row>
        <row r="67">
          <cell r="E67">
            <v>0</v>
          </cell>
        </row>
        <row r="68">
          <cell r="A68">
            <v>1091</v>
          </cell>
          <cell r="B68" t="str">
            <v>심야전기온수기</v>
          </cell>
          <cell r="C68" t="str">
            <v>150Lit</v>
          </cell>
          <cell r="D68" t="str">
            <v>대</v>
          </cell>
          <cell r="E68">
            <v>612000</v>
          </cell>
          <cell r="F68">
            <v>0</v>
          </cell>
          <cell r="H68">
            <v>586</v>
          </cell>
          <cell r="I68">
            <v>612000</v>
          </cell>
          <cell r="J68">
            <v>586</v>
          </cell>
          <cell r="L68">
            <v>586</v>
          </cell>
        </row>
        <row r="69">
          <cell r="A69">
            <v>1092</v>
          </cell>
          <cell r="B69" t="str">
            <v>심야전기온수기</v>
          </cell>
          <cell r="C69" t="str">
            <v>250Lit</v>
          </cell>
          <cell r="D69" t="str">
            <v>대</v>
          </cell>
          <cell r="E69">
            <v>800000</v>
          </cell>
          <cell r="F69">
            <v>0</v>
          </cell>
          <cell r="H69">
            <v>586</v>
          </cell>
          <cell r="I69">
            <v>800000</v>
          </cell>
          <cell r="J69">
            <v>586</v>
          </cell>
          <cell r="L69">
            <v>586</v>
          </cell>
        </row>
        <row r="70">
          <cell r="A70">
            <v>1093</v>
          </cell>
          <cell r="B70" t="str">
            <v>심야전기온수기</v>
          </cell>
          <cell r="C70" t="str">
            <v>300Lit</v>
          </cell>
          <cell r="D70" t="str">
            <v>대</v>
          </cell>
          <cell r="E70">
            <v>850000</v>
          </cell>
          <cell r="F70">
            <v>0</v>
          </cell>
          <cell r="H70">
            <v>586</v>
          </cell>
          <cell r="I70">
            <v>850000</v>
          </cell>
          <cell r="J70">
            <v>586</v>
          </cell>
          <cell r="L70">
            <v>586</v>
          </cell>
        </row>
        <row r="71">
          <cell r="A71">
            <v>1094</v>
          </cell>
          <cell r="B71" t="str">
            <v>심야전기온수기</v>
          </cell>
          <cell r="C71" t="str">
            <v>400Lit</v>
          </cell>
          <cell r="D71" t="str">
            <v>대</v>
          </cell>
          <cell r="E71">
            <v>943000</v>
          </cell>
          <cell r="F71">
            <v>0</v>
          </cell>
          <cell r="H71">
            <v>586</v>
          </cell>
          <cell r="I71">
            <v>943000</v>
          </cell>
          <cell r="J71">
            <v>586</v>
          </cell>
          <cell r="L71">
            <v>586</v>
          </cell>
        </row>
        <row r="72">
          <cell r="A72">
            <v>1095</v>
          </cell>
          <cell r="B72" t="str">
            <v>심야전기온수기</v>
          </cell>
          <cell r="C72" t="str">
            <v>450Lit</v>
          </cell>
          <cell r="D72" t="str">
            <v>대</v>
          </cell>
          <cell r="E72">
            <v>1164000</v>
          </cell>
          <cell r="F72">
            <v>0</v>
          </cell>
          <cell r="H72">
            <v>586</v>
          </cell>
          <cell r="I72">
            <v>1164000</v>
          </cell>
          <cell r="J72">
            <v>586</v>
          </cell>
          <cell r="L72">
            <v>586</v>
          </cell>
        </row>
        <row r="73">
          <cell r="E73">
            <v>0</v>
          </cell>
        </row>
        <row r="74">
          <cell r="A74">
            <v>2011</v>
          </cell>
          <cell r="B74" t="str">
            <v>SMC보온물탱크</v>
          </cell>
          <cell r="C74" t="str">
            <v>4,000 Lit</v>
          </cell>
          <cell r="D74" t="str">
            <v>대</v>
          </cell>
          <cell r="E74">
            <v>2710000</v>
          </cell>
          <cell r="F74">
            <v>0</v>
          </cell>
          <cell r="H74">
            <v>577</v>
          </cell>
          <cell r="I74">
            <v>2710000</v>
          </cell>
          <cell r="J74">
            <v>577</v>
          </cell>
          <cell r="L74">
            <v>577</v>
          </cell>
        </row>
        <row r="75">
          <cell r="A75">
            <v>2012</v>
          </cell>
          <cell r="B75" t="str">
            <v>SMC보온물탱크</v>
          </cell>
          <cell r="C75" t="str">
            <v>8,000 Lit</v>
          </cell>
          <cell r="D75" t="str">
            <v>대</v>
          </cell>
          <cell r="E75">
            <v>3610000</v>
          </cell>
          <cell r="F75">
            <v>0</v>
          </cell>
          <cell r="H75">
            <v>577</v>
          </cell>
          <cell r="I75">
            <v>3610000</v>
          </cell>
          <cell r="J75">
            <v>577</v>
          </cell>
          <cell r="L75">
            <v>577</v>
          </cell>
        </row>
        <row r="76">
          <cell r="A76">
            <v>2013</v>
          </cell>
          <cell r="B76" t="str">
            <v>SMC보온물탱크</v>
          </cell>
          <cell r="C76" t="str">
            <v>10,000 Lit</v>
          </cell>
          <cell r="D76" t="str">
            <v>대</v>
          </cell>
          <cell r="E76">
            <v>5310000</v>
          </cell>
          <cell r="F76">
            <v>0</v>
          </cell>
          <cell r="H76">
            <v>577</v>
          </cell>
          <cell r="I76">
            <v>5310000</v>
          </cell>
          <cell r="J76">
            <v>577</v>
          </cell>
          <cell r="L76">
            <v>577</v>
          </cell>
        </row>
        <row r="77">
          <cell r="A77">
            <v>2014</v>
          </cell>
          <cell r="B77" t="str">
            <v>SMC보온물탱크</v>
          </cell>
          <cell r="C77" t="str">
            <v>12,000 Lit</v>
          </cell>
          <cell r="D77" t="str">
            <v>대</v>
          </cell>
          <cell r="E77">
            <v>5990000</v>
          </cell>
          <cell r="F77">
            <v>0</v>
          </cell>
          <cell r="H77">
            <v>577</v>
          </cell>
          <cell r="I77">
            <v>5990000</v>
          </cell>
          <cell r="J77">
            <v>577</v>
          </cell>
          <cell r="L77">
            <v>577</v>
          </cell>
        </row>
        <row r="78">
          <cell r="A78">
            <v>2015</v>
          </cell>
          <cell r="B78" t="str">
            <v>SMC보온물탱크</v>
          </cell>
          <cell r="C78" t="str">
            <v>16,000 Lit</v>
          </cell>
          <cell r="D78" t="str">
            <v>대</v>
          </cell>
          <cell r="E78">
            <v>7030000</v>
          </cell>
          <cell r="F78">
            <v>0</v>
          </cell>
          <cell r="H78">
            <v>577</v>
          </cell>
          <cell r="I78">
            <v>7030000</v>
          </cell>
          <cell r="J78">
            <v>577</v>
          </cell>
          <cell r="L78">
            <v>577</v>
          </cell>
        </row>
        <row r="79">
          <cell r="A79">
            <v>2016</v>
          </cell>
          <cell r="B79" t="str">
            <v>SMC보온물탱크</v>
          </cell>
          <cell r="C79" t="str">
            <v>20,000 Lit</v>
          </cell>
          <cell r="D79" t="str">
            <v>대</v>
          </cell>
          <cell r="E79">
            <v>8740000</v>
          </cell>
          <cell r="F79">
            <v>0</v>
          </cell>
          <cell r="H79">
            <v>577</v>
          </cell>
          <cell r="I79">
            <v>8740000</v>
          </cell>
          <cell r="J79">
            <v>577</v>
          </cell>
          <cell r="L79">
            <v>577</v>
          </cell>
        </row>
        <row r="80">
          <cell r="A80">
            <v>2017</v>
          </cell>
          <cell r="B80" t="str">
            <v>SMC보온물탱크</v>
          </cell>
          <cell r="C80" t="str">
            <v>24,000 Lit</v>
          </cell>
          <cell r="D80" t="str">
            <v>대</v>
          </cell>
          <cell r="E80">
            <v>9930000</v>
          </cell>
          <cell r="F80">
            <v>0</v>
          </cell>
          <cell r="H80">
            <v>577</v>
          </cell>
          <cell r="I80">
            <v>9930000</v>
          </cell>
          <cell r="J80">
            <v>577</v>
          </cell>
          <cell r="L80">
            <v>577</v>
          </cell>
        </row>
        <row r="81">
          <cell r="A81">
            <v>2018</v>
          </cell>
          <cell r="B81" t="str">
            <v>SMC보온물탱크</v>
          </cell>
          <cell r="C81" t="str">
            <v>30,000 Lit</v>
          </cell>
          <cell r="D81" t="str">
            <v>대</v>
          </cell>
          <cell r="E81">
            <v>12450000</v>
          </cell>
          <cell r="F81">
            <v>0</v>
          </cell>
          <cell r="H81">
            <v>577</v>
          </cell>
          <cell r="I81">
            <v>12450000</v>
          </cell>
          <cell r="J81">
            <v>577</v>
          </cell>
          <cell r="L81">
            <v>577</v>
          </cell>
        </row>
        <row r="82">
          <cell r="A82">
            <v>2019</v>
          </cell>
          <cell r="B82" t="str">
            <v>SMC보온물탱크</v>
          </cell>
          <cell r="C82" t="str">
            <v>40,000 Lit</v>
          </cell>
          <cell r="D82" t="str">
            <v>대</v>
          </cell>
          <cell r="E82">
            <v>14250000</v>
          </cell>
          <cell r="F82">
            <v>0</v>
          </cell>
          <cell r="H82">
            <v>577</v>
          </cell>
          <cell r="I82">
            <v>14250000</v>
          </cell>
          <cell r="J82">
            <v>577</v>
          </cell>
          <cell r="L82">
            <v>577</v>
          </cell>
        </row>
        <row r="83">
          <cell r="A83">
            <v>2111</v>
          </cell>
          <cell r="B83" t="str">
            <v>STS보온물탱크</v>
          </cell>
          <cell r="C83" t="str">
            <v>3,000 Lit</v>
          </cell>
          <cell r="D83" t="str">
            <v>대</v>
          </cell>
          <cell r="E83">
            <v>2100000</v>
          </cell>
          <cell r="F83">
            <v>0</v>
          </cell>
          <cell r="H83">
            <v>570</v>
          </cell>
          <cell r="I83">
            <v>2100000</v>
          </cell>
          <cell r="J83">
            <v>570</v>
          </cell>
          <cell r="L83">
            <v>570</v>
          </cell>
        </row>
        <row r="84">
          <cell r="A84">
            <v>2112</v>
          </cell>
          <cell r="B84" t="str">
            <v>STS보온물탱크</v>
          </cell>
          <cell r="C84" t="str">
            <v>5,000 Lit</v>
          </cell>
          <cell r="D84" t="str">
            <v>대</v>
          </cell>
          <cell r="E84">
            <v>2900000</v>
          </cell>
          <cell r="F84">
            <v>0</v>
          </cell>
          <cell r="H84">
            <v>570</v>
          </cell>
          <cell r="I84">
            <v>2900000</v>
          </cell>
          <cell r="J84">
            <v>570</v>
          </cell>
          <cell r="L84">
            <v>570</v>
          </cell>
        </row>
        <row r="85">
          <cell r="A85">
            <v>2113</v>
          </cell>
          <cell r="B85" t="str">
            <v>STS보온물탱크</v>
          </cell>
          <cell r="C85" t="str">
            <v>6,800 Lit</v>
          </cell>
          <cell r="D85" t="str">
            <v>대</v>
          </cell>
          <cell r="E85">
            <v>3750000</v>
          </cell>
          <cell r="F85">
            <v>0</v>
          </cell>
          <cell r="G85">
            <v>3750000</v>
          </cell>
          <cell r="H85">
            <v>636</v>
          </cell>
          <cell r="I85">
            <v>3750000</v>
          </cell>
          <cell r="J85">
            <v>570</v>
          </cell>
          <cell r="L85">
            <v>570</v>
          </cell>
        </row>
        <row r="86">
          <cell r="A86">
            <v>2114</v>
          </cell>
          <cell r="B86" t="str">
            <v>STS보온물탱크</v>
          </cell>
          <cell r="C86" t="str">
            <v>10,000 Lit</v>
          </cell>
          <cell r="D86" t="str">
            <v>대</v>
          </cell>
          <cell r="E86">
            <v>5000000</v>
          </cell>
          <cell r="F86">
            <v>0</v>
          </cell>
          <cell r="G86">
            <v>5000000</v>
          </cell>
          <cell r="H86">
            <v>636</v>
          </cell>
          <cell r="I86">
            <v>5000000</v>
          </cell>
          <cell r="J86">
            <v>570</v>
          </cell>
          <cell r="L86">
            <v>570</v>
          </cell>
        </row>
        <row r="87">
          <cell r="A87">
            <v>2115</v>
          </cell>
          <cell r="B87" t="str">
            <v>STS보온물탱크</v>
          </cell>
          <cell r="C87" t="str">
            <v>13,000 Lit</v>
          </cell>
          <cell r="D87" t="str">
            <v>대</v>
          </cell>
          <cell r="E87">
            <v>5600000</v>
          </cell>
          <cell r="F87">
            <v>0</v>
          </cell>
          <cell r="G87">
            <v>5600000</v>
          </cell>
          <cell r="H87">
            <v>636</v>
          </cell>
          <cell r="I87">
            <v>5600000</v>
          </cell>
          <cell r="J87">
            <v>570</v>
          </cell>
          <cell r="L87">
            <v>570</v>
          </cell>
        </row>
        <row r="88">
          <cell r="A88">
            <v>2116</v>
          </cell>
          <cell r="B88" t="str">
            <v>STS보온물탱크</v>
          </cell>
          <cell r="C88" t="str">
            <v>15,000 Lit</v>
          </cell>
          <cell r="D88" t="str">
            <v>대</v>
          </cell>
          <cell r="E88">
            <v>6700000</v>
          </cell>
          <cell r="F88">
            <v>0</v>
          </cell>
          <cell r="G88">
            <v>6700000</v>
          </cell>
          <cell r="H88">
            <v>636</v>
          </cell>
          <cell r="I88">
            <v>6700000</v>
          </cell>
          <cell r="J88">
            <v>570</v>
          </cell>
          <cell r="L88">
            <v>570</v>
          </cell>
        </row>
        <row r="89">
          <cell r="A89">
            <v>2117</v>
          </cell>
          <cell r="B89" t="str">
            <v>STS보온물탱크</v>
          </cell>
          <cell r="C89" t="str">
            <v>20,000 Lit</v>
          </cell>
          <cell r="D89" t="str">
            <v>대</v>
          </cell>
          <cell r="E89">
            <v>8150000</v>
          </cell>
          <cell r="F89">
            <v>0</v>
          </cell>
          <cell r="G89">
            <v>8150000</v>
          </cell>
          <cell r="H89">
            <v>636</v>
          </cell>
          <cell r="I89">
            <v>8150000</v>
          </cell>
          <cell r="J89">
            <v>570</v>
          </cell>
          <cell r="L89">
            <v>570</v>
          </cell>
        </row>
        <row r="90">
          <cell r="A90">
            <v>2118</v>
          </cell>
          <cell r="B90" t="str">
            <v>STS보온물탱크</v>
          </cell>
          <cell r="C90" t="str">
            <v>23,000 Lit</v>
          </cell>
          <cell r="D90" t="str">
            <v>대</v>
          </cell>
          <cell r="E90">
            <v>10200000</v>
          </cell>
          <cell r="F90">
            <v>0</v>
          </cell>
          <cell r="G90">
            <v>10200000</v>
          </cell>
          <cell r="H90">
            <v>636</v>
          </cell>
          <cell r="I90">
            <v>10200000</v>
          </cell>
          <cell r="J90">
            <v>570</v>
          </cell>
          <cell r="L90">
            <v>570</v>
          </cell>
        </row>
        <row r="91">
          <cell r="A91">
            <v>2119</v>
          </cell>
          <cell r="B91" t="str">
            <v>STS보온물탱크</v>
          </cell>
          <cell r="C91" t="str">
            <v>34,000 Lit</v>
          </cell>
          <cell r="D91" t="str">
            <v>대</v>
          </cell>
          <cell r="E91">
            <v>12000000</v>
          </cell>
          <cell r="F91">
            <v>0</v>
          </cell>
          <cell r="G91">
            <v>12000000</v>
          </cell>
          <cell r="H91">
            <v>636</v>
          </cell>
          <cell r="I91">
            <v>12000000</v>
          </cell>
          <cell r="J91">
            <v>570</v>
          </cell>
          <cell r="L91">
            <v>570</v>
          </cell>
        </row>
        <row r="92">
          <cell r="A92">
            <v>2121</v>
          </cell>
          <cell r="B92" t="str">
            <v>FRP보온물탱크(원통)</v>
          </cell>
          <cell r="C92" t="str">
            <v>3,000 Lit</v>
          </cell>
          <cell r="D92" t="str">
            <v>대</v>
          </cell>
          <cell r="E92">
            <v>510000</v>
          </cell>
          <cell r="F92">
            <v>0</v>
          </cell>
          <cell r="H92">
            <v>575</v>
          </cell>
          <cell r="I92">
            <v>510000</v>
          </cell>
          <cell r="J92">
            <v>575</v>
          </cell>
          <cell r="L92">
            <v>575</v>
          </cell>
        </row>
        <row r="93">
          <cell r="A93">
            <v>2122</v>
          </cell>
          <cell r="B93" t="str">
            <v>FRP보온물탱크(원통)</v>
          </cell>
          <cell r="C93" t="str">
            <v>5,000Lit</v>
          </cell>
          <cell r="D93" t="str">
            <v>대</v>
          </cell>
          <cell r="E93">
            <v>750000</v>
          </cell>
          <cell r="F93">
            <v>0</v>
          </cell>
          <cell r="H93">
            <v>575</v>
          </cell>
          <cell r="I93">
            <v>750000</v>
          </cell>
          <cell r="J93">
            <v>575</v>
          </cell>
          <cell r="L93">
            <v>575</v>
          </cell>
        </row>
        <row r="94">
          <cell r="A94">
            <v>2123</v>
          </cell>
          <cell r="B94" t="str">
            <v>FRP보온물탱크(각형)</v>
          </cell>
          <cell r="C94" t="str">
            <v>8,000Lit</v>
          </cell>
          <cell r="D94" t="str">
            <v>대</v>
          </cell>
          <cell r="E94">
            <v>1600000</v>
          </cell>
          <cell r="F94">
            <v>0</v>
          </cell>
          <cell r="H94">
            <v>575</v>
          </cell>
          <cell r="I94">
            <v>1600000</v>
          </cell>
          <cell r="J94">
            <v>575</v>
          </cell>
          <cell r="L94">
            <v>575</v>
          </cell>
        </row>
        <row r="95">
          <cell r="A95">
            <v>2124</v>
          </cell>
          <cell r="B95" t="str">
            <v>FRP보온물탱크(각형)</v>
          </cell>
          <cell r="C95" t="str">
            <v>10,000 Lit</v>
          </cell>
          <cell r="D95" t="str">
            <v>대</v>
          </cell>
          <cell r="E95">
            <v>1700000</v>
          </cell>
          <cell r="F95">
            <v>0</v>
          </cell>
          <cell r="H95">
            <v>575</v>
          </cell>
          <cell r="I95">
            <v>1700000</v>
          </cell>
          <cell r="J95">
            <v>575</v>
          </cell>
          <cell r="L95">
            <v>575</v>
          </cell>
        </row>
        <row r="96">
          <cell r="A96">
            <v>2125</v>
          </cell>
          <cell r="B96" t="str">
            <v>FRP보온물탱크(각형)</v>
          </cell>
          <cell r="C96" t="str">
            <v>12,000 Lit</v>
          </cell>
          <cell r="D96" t="str">
            <v>대</v>
          </cell>
          <cell r="E96">
            <v>2000000</v>
          </cell>
          <cell r="F96">
            <v>0</v>
          </cell>
          <cell r="H96">
            <v>575</v>
          </cell>
          <cell r="I96">
            <v>2000000</v>
          </cell>
          <cell r="J96">
            <v>575</v>
          </cell>
          <cell r="L96">
            <v>575</v>
          </cell>
        </row>
        <row r="97">
          <cell r="A97">
            <v>2126</v>
          </cell>
          <cell r="B97" t="str">
            <v>FRP보온물탱크(각형)</v>
          </cell>
          <cell r="C97" t="str">
            <v>15,000 Lit</v>
          </cell>
          <cell r="D97" t="str">
            <v>대</v>
          </cell>
          <cell r="E97">
            <v>2700000</v>
          </cell>
          <cell r="F97">
            <v>0</v>
          </cell>
          <cell r="H97">
            <v>575</v>
          </cell>
          <cell r="I97">
            <v>2700000</v>
          </cell>
          <cell r="J97">
            <v>575</v>
          </cell>
          <cell r="L97">
            <v>575</v>
          </cell>
        </row>
        <row r="98">
          <cell r="A98">
            <v>2127</v>
          </cell>
          <cell r="B98" t="str">
            <v>FRP보온물탱크(각형)</v>
          </cell>
          <cell r="C98" t="str">
            <v>20,000 Lit</v>
          </cell>
          <cell r="D98" t="str">
            <v>대</v>
          </cell>
          <cell r="E98">
            <v>3600000</v>
          </cell>
          <cell r="F98">
            <v>0</v>
          </cell>
          <cell r="H98">
            <v>575</v>
          </cell>
          <cell r="I98">
            <v>3600000</v>
          </cell>
          <cell r="J98">
            <v>575</v>
          </cell>
          <cell r="L98">
            <v>575</v>
          </cell>
        </row>
        <row r="99">
          <cell r="A99">
            <v>2128</v>
          </cell>
          <cell r="B99" t="str">
            <v>FRP보온물탱크(각형)</v>
          </cell>
          <cell r="C99" t="str">
            <v>25,000 Lit</v>
          </cell>
          <cell r="D99" t="str">
            <v>대</v>
          </cell>
          <cell r="E99">
            <v>5150000</v>
          </cell>
          <cell r="F99">
            <v>0</v>
          </cell>
          <cell r="H99">
            <v>575</v>
          </cell>
          <cell r="I99">
            <v>5150000</v>
          </cell>
          <cell r="J99">
            <v>575</v>
          </cell>
          <cell r="L99">
            <v>575</v>
          </cell>
        </row>
        <row r="100">
          <cell r="A100">
            <v>2129</v>
          </cell>
          <cell r="B100" t="str">
            <v>FRP보온물탱크(각형)</v>
          </cell>
          <cell r="C100" t="str">
            <v>30,000 Lit</v>
          </cell>
          <cell r="D100" t="str">
            <v>대</v>
          </cell>
          <cell r="E100">
            <v>6200000</v>
          </cell>
          <cell r="F100">
            <v>0</v>
          </cell>
          <cell r="H100">
            <v>575</v>
          </cell>
          <cell r="I100">
            <v>6200000</v>
          </cell>
          <cell r="J100">
            <v>575</v>
          </cell>
          <cell r="L100">
            <v>575</v>
          </cell>
        </row>
        <row r="101">
          <cell r="A101">
            <v>2131</v>
          </cell>
          <cell r="B101" t="str">
            <v>유류저장탱크(1.0t)</v>
          </cell>
          <cell r="C101" t="str">
            <v>400 Lit</v>
          </cell>
          <cell r="D101" t="str">
            <v>대</v>
          </cell>
          <cell r="E101">
            <v>80000</v>
          </cell>
          <cell r="F101">
            <v>0</v>
          </cell>
          <cell r="H101">
            <v>0</v>
          </cell>
          <cell r="I101">
            <v>80000</v>
          </cell>
          <cell r="J101">
            <v>0</v>
          </cell>
          <cell r="L101">
            <v>0</v>
          </cell>
        </row>
        <row r="102">
          <cell r="A102">
            <v>2132</v>
          </cell>
          <cell r="B102" t="str">
            <v>유류저장탱크(1.0t)</v>
          </cell>
          <cell r="C102" t="str">
            <v>600 Lit</v>
          </cell>
          <cell r="D102" t="str">
            <v>대</v>
          </cell>
          <cell r="E102">
            <v>120000</v>
          </cell>
          <cell r="F102">
            <v>0</v>
          </cell>
          <cell r="H102">
            <v>0</v>
          </cell>
          <cell r="I102">
            <v>120000</v>
          </cell>
          <cell r="J102">
            <v>0</v>
          </cell>
          <cell r="L102">
            <v>0</v>
          </cell>
        </row>
        <row r="103">
          <cell r="A103">
            <v>2133</v>
          </cell>
          <cell r="B103" t="str">
            <v>유류저장탱크(1.1t)</v>
          </cell>
          <cell r="C103" t="str">
            <v>800 Lit</v>
          </cell>
          <cell r="D103" t="str">
            <v>대</v>
          </cell>
          <cell r="E103">
            <v>160000</v>
          </cell>
          <cell r="F103">
            <v>0</v>
          </cell>
          <cell r="H103">
            <v>0</v>
          </cell>
          <cell r="I103">
            <v>160000</v>
          </cell>
          <cell r="J103">
            <v>0</v>
          </cell>
          <cell r="L103">
            <v>0</v>
          </cell>
        </row>
        <row r="104">
          <cell r="A104">
            <v>2134</v>
          </cell>
          <cell r="B104" t="str">
            <v>경유저장탱크(4.5t)</v>
          </cell>
          <cell r="C104" t="str">
            <v>3,000 Lit</v>
          </cell>
          <cell r="D104" t="str">
            <v>대</v>
          </cell>
          <cell r="E104">
            <v>381946</v>
          </cell>
          <cell r="F104">
            <v>1826457</v>
          </cell>
          <cell r="H104">
            <v>0</v>
          </cell>
          <cell r="I104">
            <v>381946</v>
          </cell>
          <cell r="J104">
            <v>0</v>
          </cell>
          <cell r="L104">
            <v>0</v>
          </cell>
        </row>
        <row r="105">
          <cell r="A105">
            <v>2135</v>
          </cell>
          <cell r="B105" t="str">
            <v>경유저장탱크(4.5t)</v>
          </cell>
          <cell r="C105" t="str">
            <v>4,000 Lit</v>
          </cell>
          <cell r="D105" t="str">
            <v>대</v>
          </cell>
          <cell r="E105">
            <v>459511</v>
          </cell>
          <cell r="F105">
            <v>2178257</v>
          </cell>
          <cell r="H105">
            <v>0</v>
          </cell>
          <cell r="I105">
            <v>459511</v>
          </cell>
          <cell r="J105">
            <v>0</v>
          </cell>
          <cell r="L105">
            <v>0</v>
          </cell>
        </row>
        <row r="106">
          <cell r="A106">
            <v>2136</v>
          </cell>
          <cell r="B106" t="str">
            <v>경유저장탱크(4.5t)</v>
          </cell>
          <cell r="C106" t="str">
            <v>5,200 Lit</v>
          </cell>
          <cell r="D106" t="str">
            <v>대</v>
          </cell>
          <cell r="E106">
            <v>610623</v>
          </cell>
          <cell r="F106">
            <v>2869899</v>
          </cell>
          <cell r="H106">
            <v>0</v>
          </cell>
          <cell r="I106">
            <v>610623</v>
          </cell>
          <cell r="J106">
            <v>0</v>
          </cell>
          <cell r="L106">
            <v>0</v>
          </cell>
        </row>
        <row r="107">
          <cell r="A107">
            <v>2137</v>
          </cell>
          <cell r="B107" t="str">
            <v>경유저장탱크(6.0t)</v>
          </cell>
          <cell r="C107" t="str">
            <v>10,000 Lit</v>
          </cell>
          <cell r="D107" t="str">
            <v>대</v>
          </cell>
          <cell r="E107">
            <v>905845</v>
          </cell>
          <cell r="F107">
            <v>4366507</v>
          </cell>
          <cell r="H107">
            <v>0</v>
          </cell>
          <cell r="I107">
            <v>905845</v>
          </cell>
          <cell r="J107">
            <v>0</v>
          </cell>
          <cell r="L107">
            <v>0</v>
          </cell>
        </row>
        <row r="108">
          <cell r="A108">
            <v>2138</v>
          </cell>
          <cell r="B108" t="str">
            <v>경유저장탱크(6.0t)</v>
          </cell>
          <cell r="C108" t="str">
            <v>11,000 Lit</v>
          </cell>
          <cell r="D108" t="str">
            <v>대</v>
          </cell>
          <cell r="E108">
            <v>992501</v>
          </cell>
          <cell r="F108">
            <v>4797538</v>
          </cell>
          <cell r="H108">
            <v>0</v>
          </cell>
          <cell r="I108">
            <v>992501</v>
          </cell>
          <cell r="J108">
            <v>0</v>
          </cell>
          <cell r="L108">
            <v>0</v>
          </cell>
        </row>
        <row r="109">
          <cell r="A109">
            <v>2139</v>
          </cell>
          <cell r="B109" t="str">
            <v>경유저장탱크(6.0t)</v>
          </cell>
          <cell r="C109" t="str">
            <v>20,000 Lit</v>
          </cell>
          <cell r="D109" t="str">
            <v>대</v>
          </cell>
          <cell r="E109">
            <v>1675882</v>
          </cell>
          <cell r="F109">
            <v>8343536</v>
          </cell>
          <cell r="H109">
            <v>0</v>
          </cell>
          <cell r="I109">
            <v>1675882</v>
          </cell>
          <cell r="J109">
            <v>0</v>
          </cell>
          <cell r="L109">
            <v>0</v>
          </cell>
        </row>
        <row r="111">
          <cell r="A111">
            <v>2141</v>
          </cell>
          <cell r="B111" t="str">
            <v>팽창탱크(SUS)</v>
          </cell>
          <cell r="C111" t="str">
            <v>100 Lit</v>
          </cell>
          <cell r="D111" t="str">
            <v>대</v>
          </cell>
          <cell r="E111">
            <v>181210</v>
          </cell>
          <cell r="F111">
            <v>349365</v>
          </cell>
          <cell r="H111">
            <v>0</v>
          </cell>
          <cell r="I111">
            <v>181210</v>
          </cell>
          <cell r="J111">
            <v>0</v>
          </cell>
          <cell r="L111">
            <v>0</v>
          </cell>
        </row>
        <row r="112">
          <cell r="A112">
            <v>2142</v>
          </cell>
          <cell r="B112" t="str">
            <v>팽창탱크(SUS)</v>
          </cell>
          <cell r="C112" t="str">
            <v>200 Lit</v>
          </cell>
          <cell r="D112" t="str">
            <v>대</v>
          </cell>
          <cell r="E112">
            <v>267795</v>
          </cell>
          <cell r="F112">
            <v>525827</v>
          </cell>
          <cell r="H112">
            <v>0</v>
          </cell>
          <cell r="I112">
            <v>267795</v>
          </cell>
          <cell r="J112">
            <v>0</v>
          </cell>
          <cell r="L112">
            <v>0</v>
          </cell>
        </row>
        <row r="113">
          <cell r="A113">
            <v>2143</v>
          </cell>
          <cell r="B113" t="str">
            <v>팽창탱크(SUS)</v>
          </cell>
          <cell r="C113" t="str">
            <v>600 Lit</v>
          </cell>
          <cell r="D113" t="str">
            <v>대</v>
          </cell>
          <cell r="E113">
            <v>356940</v>
          </cell>
          <cell r="F113">
            <v>646866</v>
          </cell>
          <cell r="H113">
            <v>0</v>
          </cell>
          <cell r="I113">
            <v>356940</v>
          </cell>
          <cell r="J113">
            <v>0</v>
          </cell>
          <cell r="L113">
            <v>0</v>
          </cell>
        </row>
        <row r="115">
          <cell r="A115">
            <v>2144</v>
          </cell>
          <cell r="B115" t="str">
            <v>밀폐형팽창탱크</v>
          </cell>
          <cell r="C115" t="str">
            <v>130 Lit</v>
          </cell>
          <cell r="D115" t="str">
            <v>대</v>
          </cell>
          <cell r="E115">
            <v>1240000</v>
          </cell>
          <cell r="F115">
            <v>0</v>
          </cell>
          <cell r="H115">
            <v>604</v>
          </cell>
          <cell r="I115">
            <v>1240000</v>
          </cell>
          <cell r="J115">
            <v>604</v>
          </cell>
          <cell r="L115">
            <v>604</v>
          </cell>
        </row>
        <row r="116">
          <cell r="A116">
            <v>2145</v>
          </cell>
          <cell r="B116" t="str">
            <v>밀폐형팽창탱크</v>
          </cell>
          <cell r="C116" t="str">
            <v>185 Lit</v>
          </cell>
          <cell r="D116" t="str">
            <v>대</v>
          </cell>
          <cell r="E116">
            <v>1400000</v>
          </cell>
          <cell r="F116">
            <v>0</v>
          </cell>
          <cell r="H116">
            <v>604</v>
          </cell>
          <cell r="I116">
            <v>1400000</v>
          </cell>
          <cell r="J116">
            <v>604</v>
          </cell>
          <cell r="L116">
            <v>604</v>
          </cell>
        </row>
        <row r="117">
          <cell r="A117">
            <v>2146</v>
          </cell>
          <cell r="B117" t="str">
            <v>밀폐형팽창탱크</v>
          </cell>
          <cell r="C117" t="str">
            <v>250 Lit</v>
          </cell>
          <cell r="D117" t="str">
            <v>대</v>
          </cell>
          <cell r="E117">
            <v>1520000</v>
          </cell>
          <cell r="F117">
            <v>0</v>
          </cell>
          <cell r="H117">
            <v>604</v>
          </cell>
          <cell r="I117">
            <v>1520000</v>
          </cell>
          <cell r="J117">
            <v>604</v>
          </cell>
          <cell r="L117">
            <v>604</v>
          </cell>
        </row>
        <row r="118">
          <cell r="A118">
            <v>2147</v>
          </cell>
          <cell r="B118" t="str">
            <v>밀폐형팽창탱크</v>
          </cell>
          <cell r="C118" t="str">
            <v>300 Lit</v>
          </cell>
          <cell r="D118" t="str">
            <v>대</v>
          </cell>
          <cell r="E118">
            <v>1680000</v>
          </cell>
          <cell r="F118">
            <v>0</v>
          </cell>
          <cell r="H118">
            <v>604</v>
          </cell>
          <cell r="I118">
            <v>1680000</v>
          </cell>
          <cell r="J118">
            <v>604</v>
          </cell>
          <cell r="L118">
            <v>604</v>
          </cell>
        </row>
        <row r="120">
          <cell r="A120">
            <v>2151</v>
          </cell>
          <cell r="B120" t="str">
            <v>저탕탱크(SUS-304)</v>
          </cell>
          <cell r="C120" t="str">
            <v>300 Lit</v>
          </cell>
          <cell r="D120" t="str">
            <v>대</v>
          </cell>
          <cell r="E120">
            <v>0</v>
          </cell>
          <cell r="H120">
            <v>0</v>
          </cell>
          <cell r="J120">
            <v>0</v>
          </cell>
          <cell r="L120">
            <v>0</v>
          </cell>
        </row>
        <row r="121">
          <cell r="A121">
            <v>2152</v>
          </cell>
          <cell r="B121" t="str">
            <v>저탕탱크(SUS-304)</v>
          </cell>
          <cell r="C121" t="str">
            <v>1,000 Lit</v>
          </cell>
          <cell r="D121" t="str">
            <v>대</v>
          </cell>
          <cell r="E121">
            <v>605955</v>
          </cell>
          <cell r="F121">
            <v>1009750</v>
          </cell>
          <cell r="H121">
            <v>0</v>
          </cell>
          <cell r="I121">
            <v>605955</v>
          </cell>
          <cell r="J121">
            <v>0</v>
          </cell>
          <cell r="L121">
            <v>0</v>
          </cell>
        </row>
        <row r="122">
          <cell r="A122">
            <v>2154</v>
          </cell>
          <cell r="B122" t="str">
            <v>저탕탱크(SUS-304)</v>
          </cell>
          <cell r="C122" t="str">
            <v>2,000 Lit</v>
          </cell>
          <cell r="D122" t="str">
            <v>대</v>
          </cell>
          <cell r="E122">
            <v>944814</v>
          </cell>
          <cell r="F122">
            <v>1675710</v>
          </cell>
          <cell r="H122">
            <v>0</v>
          </cell>
          <cell r="I122">
            <v>944814</v>
          </cell>
          <cell r="J122">
            <v>0</v>
          </cell>
          <cell r="L122">
            <v>0</v>
          </cell>
        </row>
        <row r="123">
          <cell r="A123">
            <v>2155</v>
          </cell>
          <cell r="B123" t="str">
            <v>저탕탱크(SUS-304)</v>
          </cell>
          <cell r="C123" t="str">
            <v>3,000 Lit</v>
          </cell>
          <cell r="D123" t="str">
            <v>대</v>
          </cell>
          <cell r="E123">
            <v>1281035</v>
          </cell>
          <cell r="F123">
            <v>2242439</v>
          </cell>
          <cell r="H123">
            <v>0</v>
          </cell>
          <cell r="I123">
            <v>1281035</v>
          </cell>
          <cell r="J123">
            <v>0</v>
          </cell>
          <cell r="L123">
            <v>0</v>
          </cell>
        </row>
        <row r="124">
          <cell r="A124">
            <v>2157</v>
          </cell>
          <cell r="B124" t="str">
            <v>저탕탱크(SUS-304)</v>
          </cell>
          <cell r="C124" t="str">
            <v>5,000 Lit</v>
          </cell>
          <cell r="D124" t="str">
            <v>대</v>
          </cell>
          <cell r="E124">
            <v>1863979</v>
          </cell>
          <cell r="F124">
            <v>3143142</v>
          </cell>
          <cell r="H124">
            <v>0</v>
          </cell>
          <cell r="I124">
            <v>1863979</v>
          </cell>
          <cell r="J124">
            <v>0</v>
          </cell>
          <cell r="L124">
            <v>0</v>
          </cell>
        </row>
        <row r="126">
          <cell r="A126">
            <v>2211</v>
          </cell>
          <cell r="B126" t="str">
            <v>온수보일러</v>
          </cell>
          <cell r="C126" t="str">
            <v>9,000kcal/hr</v>
          </cell>
          <cell r="D126" t="str">
            <v>대</v>
          </cell>
          <cell r="E126">
            <v>300000</v>
          </cell>
          <cell r="F126">
            <v>0</v>
          </cell>
          <cell r="H126">
            <v>585</v>
          </cell>
          <cell r="I126">
            <v>300000</v>
          </cell>
          <cell r="J126">
            <v>585</v>
          </cell>
          <cell r="L126">
            <v>585</v>
          </cell>
        </row>
        <row r="127">
          <cell r="A127">
            <v>2212</v>
          </cell>
          <cell r="B127" t="str">
            <v>온수보일러</v>
          </cell>
          <cell r="C127" t="str">
            <v>13,000kcal/hr</v>
          </cell>
          <cell r="D127" t="str">
            <v>대</v>
          </cell>
          <cell r="E127">
            <v>320000</v>
          </cell>
          <cell r="F127">
            <v>0</v>
          </cell>
          <cell r="H127">
            <v>585</v>
          </cell>
          <cell r="I127">
            <v>320000</v>
          </cell>
          <cell r="J127">
            <v>585</v>
          </cell>
          <cell r="L127">
            <v>585</v>
          </cell>
        </row>
        <row r="128">
          <cell r="A128">
            <v>2213</v>
          </cell>
          <cell r="B128" t="str">
            <v>온수보일러</v>
          </cell>
          <cell r="C128" t="str">
            <v>15,000kcal/hr</v>
          </cell>
          <cell r="D128" t="str">
            <v>대</v>
          </cell>
          <cell r="E128">
            <v>380000</v>
          </cell>
          <cell r="F128">
            <v>0</v>
          </cell>
          <cell r="H128">
            <v>585</v>
          </cell>
          <cell r="I128">
            <v>380000</v>
          </cell>
          <cell r="J128">
            <v>585</v>
          </cell>
          <cell r="L128">
            <v>585</v>
          </cell>
        </row>
        <row r="129">
          <cell r="A129">
            <v>2214</v>
          </cell>
          <cell r="B129" t="str">
            <v>온수보일러</v>
          </cell>
          <cell r="C129" t="str">
            <v>20,000kcal/hr</v>
          </cell>
          <cell r="D129" t="str">
            <v>대</v>
          </cell>
          <cell r="E129">
            <v>400000</v>
          </cell>
          <cell r="F129">
            <v>0</v>
          </cell>
          <cell r="H129">
            <v>585</v>
          </cell>
          <cell r="I129">
            <v>400000</v>
          </cell>
          <cell r="J129">
            <v>585</v>
          </cell>
          <cell r="L129">
            <v>585</v>
          </cell>
        </row>
        <row r="130">
          <cell r="A130">
            <v>2215</v>
          </cell>
          <cell r="B130" t="str">
            <v>가스보일러</v>
          </cell>
          <cell r="C130" t="str">
            <v>10,000kcal/hr</v>
          </cell>
          <cell r="D130" t="str">
            <v>대</v>
          </cell>
          <cell r="E130">
            <v>443000</v>
          </cell>
          <cell r="F130">
            <v>0</v>
          </cell>
          <cell r="H130">
            <v>598</v>
          </cell>
          <cell r="I130">
            <v>443000</v>
          </cell>
          <cell r="J130">
            <v>598</v>
          </cell>
          <cell r="L130">
            <v>598</v>
          </cell>
        </row>
        <row r="131">
          <cell r="A131">
            <v>2216</v>
          </cell>
          <cell r="B131" t="str">
            <v>가스보일러</v>
          </cell>
          <cell r="C131" t="str">
            <v>13,000kcal/hr</v>
          </cell>
          <cell r="D131" t="str">
            <v>대</v>
          </cell>
          <cell r="E131">
            <v>472000</v>
          </cell>
          <cell r="F131">
            <v>0</v>
          </cell>
          <cell r="H131">
            <v>598</v>
          </cell>
          <cell r="I131">
            <v>472000</v>
          </cell>
          <cell r="J131">
            <v>598</v>
          </cell>
          <cell r="L131">
            <v>598</v>
          </cell>
        </row>
        <row r="132">
          <cell r="A132">
            <v>2217</v>
          </cell>
          <cell r="B132" t="str">
            <v>가스보일러</v>
          </cell>
          <cell r="C132" t="str">
            <v>16,000kcal/hr</v>
          </cell>
          <cell r="D132" t="str">
            <v>대</v>
          </cell>
          <cell r="E132">
            <v>500000</v>
          </cell>
          <cell r="F132">
            <v>0</v>
          </cell>
          <cell r="H132">
            <v>598</v>
          </cell>
          <cell r="I132">
            <v>500000</v>
          </cell>
          <cell r="J132">
            <v>598</v>
          </cell>
          <cell r="L132">
            <v>598</v>
          </cell>
        </row>
        <row r="133">
          <cell r="A133">
            <v>2218</v>
          </cell>
          <cell r="B133" t="str">
            <v>가스보일러</v>
          </cell>
          <cell r="C133" t="str">
            <v>20,000kcal/hr</v>
          </cell>
          <cell r="D133" t="str">
            <v>대</v>
          </cell>
          <cell r="E133">
            <v>585000</v>
          </cell>
          <cell r="F133">
            <v>0</v>
          </cell>
          <cell r="H133">
            <v>598</v>
          </cell>
          <cell r="I133">
            <v>585000</v>
          </cell>
          <cell r="J133">
            <v>598</v>
          </cell>
          <cell r="L133">
            <v>598</v>
          </cell>
        </row>
        <row r="134">
          <cell r="A134">
            <v>2219</v>
          </cell>
          <cell r="B134" t="str">
            <v>심야전기보일러</v>
          </cell>
          <cell r="C134" t="str">
            <v>22.3kW</v>
          </cell>
          <cell r="D134" t="str">
            <v>대</v>
          </cell>
          <cell r="E134">
            <v>2710000</v>
          </cell>
          <cell r="F134">
            <v>0</v>
          </cell>
          <cell r="H134">
            <v>581</v>
          </cell>
          <cell r="I134">
            <v>2710000</v>
          </cell>
          <cell r="J134">
            <v>581</v>
          </cell>
          <cell r="L134">
            <v>581</v>
          </cell>
        </row>
        <row r="135">
          <cell r="A135">
            <v>2220</v>
          </cell>
          <cell r="B135" t="str">
            <v>심야전기보일러</v>
          </cell>
          <cell r="C135" t="str">
            <v>30kW</v>
          </cell>
          <cell r="D135" t="str">
            <v>대</v>
          </cell>
          <cell r="E135">
            <v>3070000</v>
          </cell>
          <cell r="F135">
            <v>0</v>
          </cell>
          <cell r="H135">
            <v>581</v>
          </cell>
          <cell r="I135">
            <v>3070000</v>
          </cell>
          <cell r="J135">
            <v>581</v>
          </cell>
          <cell r="L135">
            <v>581</v>
          </cell>
        </row>
        <row r="136">
          <cell r="A136">
            <v>2221</v>
          </cell>
          <cell r="B136" t="str">
            <v>중형온수보일러(입형)</v>
          </cell>
          <cell r="C136" t="str">
            <v>30,000kcal/hr</v>
          </cell>
          <cell r="D136" t="str">
            <v>대</v>
          </cell>
          <cell r="E136">
            <v>620000</v>
          </cell>
          <cell r="F136">
            <v>0</v>
          </cell>
          <cell r="H136">
            <v>595</v>
          </cell>
          <cell r="I136">
            <v>620000</v>
          </cell>
          <cell r="J136">
            <v>595</v>
          </cell>
          <cell r="L136">
            <v>595</v>
          </cell>
        </row>
        <row r="137">
          <cell r="A137">
            <v>2222</v>
          </cell>
          <cell r="B137" t="str">
            <v>중형온수보일러(입형)</v>
          </cell>
          <cell r="C137" t="str">
            <v>50,000kcal/hr</v>
          </cell>
          <cell r="D137" t="str">
            <v>대</v>
          </cell>
          <cell r="E137">
            <v>750000</v>
          </cell>
          <cell r="F137">
            <v>0</v>
          </cell>
          <cell r="H137">
            <v>597</v>
          </cell>
          <cell r="I137">
            <v>750000</v>
          </cell>
          <cell r="J137">
            <v>597</v>
          </cell>
          <cell r="L137">
            <v>597</v>
          </cell>
        </row>
        <row r="138">
          <cell r="A138">
            <v>2223</v>
          </cell>
          <cell r="B138" t="str">
            <v>중형온수보일러(입형)</v>
          </cell>
          <cell r="C138" t="str">
            <v>70,000kcal/hr</v>
          </cell>
          <cell r="D138" t="str">
            <v>대</v>
          </cell>
          <cell r="E138">
            <v>870000</v>
          </cell>
          <cell r="F138">
            <v>0</v>
          </cell>
          <cell r="H138">
            <v>597</v>
          </cell>
          <cell r="I138">
            <v>870000</v>
          </cell>
          <cell r="J138">
            <v>597</v>
          </cell>
          <cell r="L138">
            <v>597</v>
          </cell>
        </row>
        <row r="139">
          <cell r="A139">
            <v>2224</v>
          </cell>
          <cell r="B139" t="str">
            <v>중형온수보일러(입형)</v>
          </cell>
          <cell r="C139" t="str">
            <v>100,000kcal/hr</v>
          </cell>
          <cell r="D139" t="str">
            <v>대</v>
          </cell>
          <cell r="E139">
            <v>1180000</v>
          </cell>
          <cell r="F139">
            <v>0</v>
          </cell>
          <cell r="H139">
            <v>597</v>
          </cell>
          <cell r="I139">
            <v>1180000</v>
          </cell>
          <cell r="J139">
            <v>597</v>
          </cell>
          <cell r="L139">
            <v>597</v>
          </cell>
        </row>
        <row r="140">
          <cell r="A140">
            <v>2225</v>
          </cell>
          <cell r="B140" t="str">
            <v>중형온수보일러(입형)</v>
          </cell>
          <cell r="C140" t="str">
            <v>150,000kcal/hr</v>
          </cell>
          <cell r="D140" t="str">
            <v>대</v>
          </cell>
          <cell r="E140">
            <v>1600000</v>
          </cell>
          <cell r="F140">
            <v>0</v>
          </cell>
          <cell r="H140">
            <v>597</v>
          </cell>
          <cell r="I140">
            <v>1600000</v>
          </cell>
          <cell r="J140">
            <v>597</v>
          </cell>
          <cell r="L140">
            <v>597</v>
          </cell>
        </row>
        <row r="141">
          <cell r="A141">
            <v>2226</v>
          </cell>
          <cell r="B141" t="str">
            <v>중형온수보일러(입형)</v>
          </cell>
          <cell r="C141" t="str">
            <v>200,000kcal/hr</v>
          </cell>
          <cell r="D141" t="str">
            <v>대</v>
          </cell>
          <cell r="E141">
            <v>3320000</v>
          </cell>
          <cell r="F141">
            <v>0</v>
          </cell>
          <cell r="H141">
            <v>597</v>
          </cell>
          <cell r="I141">
            <v>3320000</v>
          </cell>
          <cell r="J141">
            <v>597</v>
          </cell>
          <cell r="L141">
            <v>597</v>
          </cell>
        </row>
        <row r="142">
          <cell r="A142">
            <v>2227</v>
          </cell>
          <cell r="B142" t="str">
            <v>중형온수보일러(입형)</v>
          </cell>
          <cell r="C142" t="str">
            <v>300,000kcal/hr</v>
          </cell>
          <cell r="D142" t="str">
            <v>대</v>
          </cell>
          <cell r="E142">
            <v>5100000</v>
          </cell>
          <cell r="F142">
            <v>0</v>
          </cell>
          <cell r="H142">
            <v>597</v>
          </cell>
          <cell r="I142">
            <v>5100000</v>
          </cell>
          <cell r="J142">
            <v>597</v>
          </cell>
          <cell r="L142">
            <v>597</v>
          </cell>
        </row>
        <row r="143">
          <cell r="A143">
            <v>2231</v>
          </cell>
          <cell r="B143" t="str">
            <v>온수보일러(2회로식)</v>
          </cell>
          <cell r="C143" t="str">
            <v>100,000kcal/hr</v>
          </cell>
          <cell r="D143" t="str">
            <v>대</v>
          </cell>
          <cell r="E143">
            <v>10000000</v>
          </cell>
          <cell r="F143">
            <v>0</v>
          </cell>
          <cell r="H143">
            <v>597</v>
          </cell>
          <cell r="I143">
            <v>10000000</v>
          </cell>
          <cell r="J143">
            <v>597</v>
          </cell>
          <cell r="L143">
            <v>597</v>
          </cell>
        </row>
        <row r="144">
          <cell r="A144">
            <v>2232</v>
          </cell>
          <cell r="B144" t="str">
            <v>온수보일러(2회로식)</v>
          </cell>
          <cell r="C144" t="str">
            <v>150,000kcal/hr</v>
          </cell>
          <cell r="D144" t="str">
            <v>대</v>
          </cell>
          <cell r="E144">
            <v>11000000</v>
          </cell>
          <cell r="F144">
            <v>0</v>
          </cell>
          <cell r="I144">
            <v>11000000</v>
          </cell>
        </row>
        <row r="145">
          <cell r="A145">
            <v>2233</v>
          </cell>
          <cell r="B145" t="str">
            <v>온수보일러(2회로식)</v>
          </cell>
          <cell r="C145" t="str">
            <v>200,000kcal/hr</v>
          </cell>
          <cell r="D145" t="str">
            <v>대</v>
          </cell>
          <cell r="E145">
            <v>15600000</v>
          </cell>
          <cell r="F145">
            <v>0</v>
          </cell>
          <cell r="H145">
            <v>597</v>
          </cell>
          <cell r="I145">
            <v>15600000</v>
          </cell>
          <cell r="J145">
            <v>597</v>
          </cell>
          <cell r="L145">
            <v>597</v>
          </cell>
        </row>
        <row r="146">
          <cell r="A146">
            <v>2234</v>
          </cell>
          <cell r="B146" t="str">
            <v>온수보일러(2회로식)</v>
          </cell>
          <cell r="C146" t="str">
            <v>300,000kcal/hr</v>
          </cell>
          <cell r="D146" t="str">
            <v>대</v>
          </cell>
          <cell r="E146">
            <v>17700000</v>
          </cell>
          <cell r="F146">
            <v>0</v>
          </cell>
          <cell r="H146">
            <v>597</v>
          </cell>
          <cell r="I146">
            <v>17700000</v>
          </cell>
          <cell r="J146">
            <v>597</v>
          </cell>
          <cell r="L146">
            <v>597</v>
          </cell>
        </row>
        <row r="147">
          <cell r="A147">
            <v>2235</v>
          </cell>
          <cell r="B147" t="str">
            <v>온수보일러(2회로식)</v>
          </cell>
          <cell r="C147" t="str">
            <v>400,000kcal/hr</v>
          </cell>
          <cell r="D147" t="str">
            <v>대</v>
          </cell>
          <cell r="E147">
            <v>20000000</v>
          </cell>
          <cell r="F147">
            <v>0</v>
          </cell>
          <cell r="H147">
            <v>597</v>
          </cell>
          <cell r="I147">
            <v>20000000</v>
          </cell>
          <cell r="J147">
            <v>597</v>
          </cell>
          <cell r="L147">
            <v>597</v>
          </cell>
        </row>
        <row r="148">
          <cell r="A148">
            <v>2236</v>
          </cell>
          <cell r="B148" t="str">
            <v>온수보일러(2회로식)</v>
          </cell>
          <cell r="C148" t="str">
            <v>500,000kcal/hr</v>
          </cell>
          <cell r="D148" t="str">
            <v>대</v>
          </cell>
          <cell r="E148">
            <v>21300000</v>
          </cell>
          <cell r="F148">
            <v>0</v>
          </cell>
          <cell r="H148">
            <v>597</v>
          </cell>
          <cell r="I148">
            <v>21300000</v>
          </cell>
          <cell r="J148">
            <v>597</v>
          </cell>
          <cell r="L148">
            <v>597</v>
          </cell>
        </row>
        <row r="149">
          <cell r="A149">
            <v>2241</v>
          </cell>
          <cell r="B149" t="str">
            <v>경유관류형증기보일러</v>
          </cell>
          <cell r="C149" t="str">
            <v>100 kg/hr</v>
          </cell>
          <cell r="D149" t="str">
            <v>대</v>
          </cell>
          <cell r="E149">
            <v>5700000</v>
          </cell>
          <cell r="F149">
            <v>0</v>
          </cell>
          <cell r="H149">
            <v>602</v>
          </cell>
          <cell r="I149">
            <v>5700000</v>
          </cell>
          <cell r="J149">
            <v>602</v>
          </cell>
          <cell r="L149">
            <v>602</v>
          </cell>
        </row>
        <row r="150">
          <cell r="A150">
            <v>2242</v>
          </cell>
          <cell r="B150" t="str">
            <v>경유관류형증기보일러</v>
          </cell>
          <cell r="C150" t="str">
            <v>200 kg/hr</v>
          </cell>
          <cell r="D150" t="str">
            <v>대</v>
          </cell>
          <cell r="E150">
            <v>6940000</v>
          </cell>
          <cell r="F150">
            <v>0</v>
          </cell>
          <cell r="H150">
            <v>602</v>
          </cell>
          <cell r="I150">
            <v>6940000</v>
          </cell>
          <cell r="J150">
            <v>602</v>
          </cell>
          <cell r="L150">
            <v>602</v>
          </cell>
        </row>
        <row r="151">
          <cell r="A151">
            <v>2243</v>
          </cell>
          <cell r="B151" t="str">
            <v>경유관류형증기보일러</v>
          </cell>
          <cell r="C151" t="str">
            <v>300 kg/hr</v>
          </cell>
          <cell r="D151" t="str">
            <v>대</v>
          </cell>
          <cell r="E151">
            <v>8700000</v>
          </cell>
          <cell r="F151">
            <v>0</v>
          </cell>
          <cell r="H151">
            <v>602</v>
          </cell>
          <cell r="I151">
            <v>8700000</v>
          </cell>
          <cell r="J151">
            <v>602</v>
          </cell>
          <cell r="L151">
            <v>602</v>
          </cell>
        </row>
        <row r="152">
          <cell r="A152">
            <v>2244</v>
          </cell>
          <cell r="B152" t="str">
            <v>경유관류형증기보일러</v>
          </cell>
          <cell r="C152" t="str">
            <v>500 kg/hr</v>
          </cell>
          <cell r="D152" t="str">
            <v>대</v>
          </cell>
          <cell r="E152">
            <v>15950000</v>
          </cell>
          <cell r="F152">
            <v>0</v>
          </cell>
          <cell r="H152">
            <v>602</v>
          </cell>
          <cell r="I152">
            <v>15950000</v>
          </cell>
          <cell r="J152">
            <v>602</v>
          </cell>
          <cell r="L152">
            <v>602</v>
          </cell>
        </row>
        <row r="153">
          <cell r="A153">
            <v>2245</v>
          </cell>
          <cell r="B153" t="str">
            <v>경유관류형증기보일러</v>
          </cell>
          <cell r="C153" t="str">
            <v>1,000 kg/hr</v>
          </cell>
          <cell r="D153" t="str">
            <v>대</v>
          </cell>
          <cell r="E153">
            <v>21900000</v>
          </cell>
          <cell r="F153">
            <v>0</v>
          </cell>
          <cell r="H153">
            <v>602</v>
          </cell>
          <cell r="I153">
            <v>21900000</v>
          </cell>
          <cell r="J153">
            <v>602</v>
          </cell>
          <cell r="L153">
            <v>602</v>
          </cell>
        </row>
        <row r="154">
          <cell r="A154">
            <v>2246</v>
          </cell>
          <cell r="B154" t="str">
            <v>경유관류형증기보일러</v>
          </cell>
          <cell r="C154" t="str">
            <v>1,500 kg/hr</v>
          </cell>
          <cell r="D154" t="str">
            <v>대</v>
          </cell>
          <cell r="E154">
            <v>25000000</v>
          </cell>
          <cell r="F154">
            <v>0</v>
          </cell>
          <cell r="H154">
            <v>602</v>
          </cell>
          <cell r="I154">
            <v>25000000</v>
          </cell>
          <cell r="J154">
            <v>602</v>
          </cell>
          <cell r="L154">
            <v>602</v>
          </cell>
        </row>
        <row r="155">
          <cell r="A155">
            <v>2247</v>
          </cell>
          <cell r="B155" t="str">
            <v>경유관류형증기보일러</v>
          </cell>
          <cell r="C155" t="str">
            <v>2,000 kg/hr</v>
          </cell>
          <cell r="D155" t="str">
            <v>대</v>
          </cell>
          <cell r="E155">
            <v>37500000</v>
          </cell>
          <cell r="F155">
            <v>0</v>
          </cell>
          <cell r="H155">
            <v>602</v>
          </cell>
          <cell r="I155">
            <v>37500000</v>
          </cell>
          <cell r="J155">
            <v>602</v>
          </cell>
          <cell r="L155">
            <v>602</v>
          </cell>
        </row>
        <row r="156">
          <cell r="A156">
            <v>2248</v>
          </cell>
          <cell r="B156" t="str">
            <v>경유관류형증기보일러</v>
          </cell>
          <cell r="C156" t="str">
            <v>2,500 kg/hr</v>
          </cell>
          <cell r="D156" t="str">
            <v>대</v>
          </cell>
          <cell r="E156">
            <v>40490000</v>
          </cell>
          <cell r="F156">
            <v>0</v>
          </cell>
          <cell r="H156">
            <v>602</v>
          </cell>
          <cell r="I156">
            <v>40490000</v>
          </cell>
          <cell r="J156">
            <v>602</v>
          </cell>
          <cell r="L156">
            <v>602</v>
          </cell>
        </row>
        <row r="157">
          <cell r="A157">
            <v>2249</v>
          </cell>
          <cell r="B157" t="str">
            <v>경유관류형증기보일러</v>
          </cell>
          <cell r="C157" t="str">
            <v>3,000 kg/hr</v>
          </cell>
          <cell r="D157" t="str">
            <v>대</v>
          </cell>
          <cell r="E157">
            <v>42890000</v>
          </cell>
          <cell r="F157">
            <v>0</v>
          </cell>
          <cell r="H157">
            <v>602</v>
          </cell>
          <cell r="I157">
            <v>42890000</v>
          </cell>
          <cell r="J157">
            <v>602</v>
          </cell>
          <cell r="L157">
            <v>602</v>
          </cell>
        </row>
        <row r="158">
          <cell r="A158">
            <v>2251</v>
          </cell>
          <cell r="B158" t="str">
            <v>가스관류형증기보일러</v>
          </cell>
          <cell r="C158" t="str">
            <v>100 kg/hr</v>
          </cell>
          <cell r="D158" t="str">
            <v>대</v>
          </cell>
          <cell r="E158">
            <v>7545000</v>
          </cell>
          <cell r="F158">
            <v>0</v>
          </cell>
          <cell r="H158">
            <v>602</v>
          </cell>
          <cell r="I158">
            <v>7545000</v>
          </cell>
          <cell r="J158">
            <v>602</v>
          </cell>
          <cell r="L158">
            <v>602</v>
          </cell>
        </row>
        <row r="159">
          <cell r="A159">
            <v>2252</v>
          </cell>
          <cell r="B159" t="str">
            <v>가스관류형증기보일러</v>
          </cell>
          <cell r="C159" t="str">
            <v>200 kg/hr</v>
          </cell>
          <cell r="D159" t="str">
            <v>대</v>
          </cell>
          <cell r="E159">
            <v>8900000</v>
          </cell>
          <cell r="F159">
            <v>0</v>
          </cell>
          <cell r="H159">
            <v>602</v>
          </cell>
          <cell r="I159">
            <v>8900000</v>
          </cell>
          <cell r="J159">
            <v>602</v>
          </cell>
          <cell r="L159">
            <v>602</v>
          </cell>
        </row>
        <row r="160">
          <cell r="A160">
            <v>2253</v>
          </cell>
          <cell r="B160" t="str">
            <v>가스관류형증기보일러</v>
          </cell>
          <cell r="C160" t="str">
            <v>300 kg/hr</v>
          </cell>
          <cell r="D160" t="str">
            <v>대</v>
          </cell>
          <cell r="E160">
            <v>9940000</v>
          </cell>
          <cell r="F160">
            <v>0</v>
          </cell>
          <cell r="H160">
            <v>602</v>
          </cell>
          <cell r="I160">
            <v>9940000</v>
          </cell>
          <cell r="J160">
            <v>602</v>
          </cell>
          <cell r="L160">
            <v>602</v>
          </cell>
        </row>
        <row r="161">
          <cell r="A161">
            <v>2254</v>
          </cell>
          <cell r="B161" t="str">
            <v>가스관류형증기보일러</v>
          </cell>
          <cell r="C161" t="str">
            <v>500 kg/hr</v>
          </cell>
          <cell r="D161" t="str">
            <v>대</v>
          </cell>
          <cell r="E161">
            <v>20900000</v>
          </cell>
          <cell r="F161">
            <v>0</v>
          </cell>
          <cell r="H161">
            <v>602</v>
          </cell>
          <cell r="I161">
            <v>20900000</v>
          </cell>
          <cell r="J161">
            <v>602</v>
          </cell>
          <cell r="L161">
            <v>602</v>
          </cell>
        </row>
        <row r="162">
          <cell r="A162">
            <v>2255</v>
          </cell>
          <cell r="B162" t="str">
            <v>가스관류형증기보일러</v>
          </cell>
          <cell r="C162" t="str">
            <v>1,000 kg/hr</v>
          </cell>
          <cell r="D162" t="str">
            <v>대</v>
          </cell>
          <cell r="E162">
            <v>26500000</v>
          </cell>
          <cell r="F162">
            <v>0</v>
          </cell>
          <cell r="H162">
            <v>602</v>
          </cell>
          <cell r="I162">
            <v>26500000</v>
          </cell>
          <cell r="J162">
            <v>602</v>
          </cell>
          <cell r="L162">
            <v>602</v>
          </cell>
        </row>
        <row r="163">
          <cell r="A163">
            <v>2256</v>
          </cell>
          <cell r="B163" t="str">
            <v>가스관류형증기보일러</v>
          </cell>
          <cell r="C163" t="str">
            <v>1,500 kg/hr</v>
          </cell>
          <cell r="D163" t="str">
            <v>대</v>
          </cell>
          <cell r="E163">
            <v>30500000</v>
          </cell>
          <cell r="F163">
            <v>0</v>
          </cell>
          <cell r="H163">
            <v>602</v>
          </cell>
          <cell r="I163">
            <v>30500000</v>
          </cell>
          <cell r="J163">
            <v>602</v>
          </cell>
          <cell r="L163">
            <v>602</v>
          </cell>
        </row>
        <row r="164">
          <cell r="A164">
            <v>2257</v>
          </cell>
          <cell r="B164" t="str">
            <v>가스관류형증기보일러</v>
          </cell>
          <cell r="C164" t="str">
            <v>2,000 kg/hr</v>
          </cell>
          <cell r="D164" t="str">
            <v>대</v>
          </cell>
          <cell r="E164">
            <v>44590000</v>
          </cell>
          <cell r="F164">
            <v>0</v>
          </cell>
          <cell r="H164">
            <v>602</v>
          </cell>
          <cell r="I164">
            <v>44590000</v>
          </cell>
          <cell r="J164">
            <v>602</v>
          </cell>
          <cell r="L164">
            <v>602</v>
          </cell>
        </row>
        <row r="165">
          <cell r="A165">
            <v>2258</v>
          </cell>
          <cell r="B165" t="str">
            <v>가스관류형증기보일러</v>
          </cell>
          <cell r="C165" t="str">
            <v>2,500 kg/hr</v>
          </cell>
          <cell r="D165" t="str">
            <v>대</v>
          </cell>
          <cell r="E165">
            <v>46300000</v>
          </cell>
          <cell r="F165">
            <v>0</v>
          </cell>
          <cell r="H165">
            <v>602</v>
          </cell>
          <cell r="I165">
            <v>46300000</v>
          </cell>
          <cell r="J165">
            <v>602</v>
          </cell>
          <cell r="L165">
            <v>602</v>
          </cell>
        </row>
        <row r="166">
          <cell r="A166">
            <v>2259</v>
          </cell>
          <cell r="B166" t="str">
            <v>가스관류형증기보일러</v>
          </cell>
          <cell r="C166" t="str">
            <v>3,000 kg/hr</v>
          </cell>
          <cell r="D166" t="str">
            <v>대</v>
          </cell>
          <cell r="E166">
            <v>47900000</v>
          </cell>
          <cell r="F166">
            <v>0</v>
          </cell>
          <cell r="H166">
            <v>602</v>
          </cell>
          <cell r="I166">
            <v>47900000</v>
          </cell>
          <cell r="J166">
            <v>602</v>
          </cell>
          <cell r="L166">
            <v>602</v>
          </cell>
        </row>
        <row r="167">
          <cell r="A167">
            <v>2261</v>
          </cell>
          <cell r="B167" t="str">
            <v>경유노통증기보일러</v>
          </cell>
          <cell r="C167" t="str">
            <v>100 kg/hr</v>
          </cell>
          <cell r="D167" t="str">
            <v>대</v>
          </cell>
          <cell r="E167">
            <v>0</v>
          </cell>
          <cell r="F167">
            <v>0</v>
          </cell>
          <cell r="H167">
            <v>602</v>
          </cell>
          <cell r="J167">
            <v>602</v>
          </cell>
          <cell r="L167">
            <v>602</v>
          </cell>
        </row>
        <row r="168">
          <cell r="A168">
            <v>2262</v>
          </cell>
          <cell r="B168" t="str">
            <v>경유노통증기보일러</v>
          </cell>
          <cell r="C168" t="str">
            <v>200 kg/hr</v>
          </cell>
          <cell r="D168" t="str">
            <v>대</v>
          </cell>
          <cell r="E168">
            <v>0</v>
          </cell>
          <cell r="F168">
            <v>0</v>
          </cell>
          <cell r="H168">
            <v>602</v>
          </cell>
          <cell r="J168">
            <v>602</v>
          </cell>
          <cell r="L168">
            <v>602</v>
          </cell>
        </row>
        <row r="169">
          <cell r="A169">
            <v>2263</v>
          </cell>
          <cell r="B169" t="str">
            <v>경유노통증기보일러</v>
          </cell>
          <cell r="C169" t="str">
            <v>300 kg/hr</v>
          </cell>
          <cell r="D169" t="str">
            <v>대</v>
          </cell>
          <cell r="E169">
            <v>0</v>
          </cell>
          <cell r="F169">
            <v>0</v>
          </cell>
          <cell r="H169">
            <v>602</v>
          </cell>
          <cell r="J169">
            <v>602</v>
          </cell>
          <cell r="L169">
            <v>602</v>
          </cell>
        </row>
        <row r="170">
          <cell r="A170">
            <v>2264</v>
          </cell>
          <cell r="B170" t="str">
            <v>경유노통증기보일러</v>
          </cell>
          <cell r="C170" t="str">
            <v>500 kg/hr</v>
          </cell>
          <cell r="D170" t="str">
            <v>대</v>
          </cell>
          <cell r="E170">
            <v>20400000</v>
          </cell>
          <cell r="F170">
            <v>0</v>
          </cell>
          <cell r="H170">
            <v>602</v>
          </cell>
          <cell r="I170">
            <v>20400000</v>
          </cell>
          <cell r="J170">
            <v>602</v>
          </cell>
          <cell r="L170">
            <v>602</v>
          </cell>
        </row>
        <row r="171">
          <cell r="A171">
            <v>2265</v>
          </cell>
          <cell r="B171" t="str">
            <v>경유노통증기보일러</v>
          </cell>
          <cell r="C171" t="str">
            <v>1,000 kg/hr</v>
          </cell>
          <cell r="D171" t="str">
            <v>대</v>
          </cell>
          <cell r="E171">
            <v>28000000</v>
          </cell>
          <cell r="F171">
            <v>0</v>
          </cell>
          <cell r="H171">
            <v>602</v>
          </cell>
          <cell r="I171">
            <v>28000000</v>
          </cell>
          <cell r="J171">
            <v>602</v>
          </cell>
          <cell r="L171">
            <v>602</v>
          </cell>
        </row>
        <row r="172">
          <cell r="A172">
            <v>2266</v>
          </cell>
          <cell r="B172" t="str">
            <v>경유노통증기보일러</v>
          </cell>
          <cell r="C172" t="str">
            <v>1,500 kg/hr</v>
          </cell>
          <cell r="D172" t="str">
            <v>대</v>
          </cell>
          <cell r="E172">
            <v>29000000</v>
          </cell>
          <cell r="F172">
            <v>0</v>
          </cell>
          <cell r="H172">
            <v>602</v>
          </cell>
          <cell r="I172">
            <v>29000000</v>
          </cell>
          <cell r="J172">
            <v>602</v>
          </cell>
          <cell r="L172">
            <v>602</v>
          </cell>
        </row>
        <row r="173">
          <cell r="A173">
            <v>2267</v>
          </cell>
          <cell r="B173" t="str">
            <v>경유노통증기보일러</v>
          </cell>
          <cell r="C173" t="str">
            <v>2,000 kg/hr</v>
          </cell>
          <cell r="D173" t="str">
            <v>대</v>
          </cell>
          <cell r="E173">
            <v>31100000</v>
          </cell>
          <cell r="F173">
            <v>0</v>
          </cell>
          <cell r="H173">
            <v>602</v>
          </cell>
          <cell r="I173">
            <v>31100000</v>
          </cell>
          <cell r="J173">
            <v>602</v>
          </cell>
          <cell r="L173">
            <v>602</v>
          </cell>
        </row>
        <row r="174">
          <cell r="A174">
            <v>2268</v>
          </cell>
          <cell r="B174" t="str">
            <v>경유노통증기보일러</v>
          </cell>
          <cell r="C174" t="str">
            <v>2,500 kg/hr</v>
          </cell>
          <cell r="D174" t="str">
            <v>대</v>
          </cell>
          <cell r="E174">
            <v>33670000</v>
          </cell>
          <cell r="F174">
            <v>0</v>
          </cell>
          <cell r="H174">
            <v>602</v>
          </cell>
          <cell r="I174">
            <v>33670000</v>
          </cell>
          <cell r="J174">
            <v>602</v>
          </cell>
          <cell r="L174">
            <v>602</v>
          </cell>
        </row>
        <row r="175">
          <cell r="A175">
            <v>2269</v>
          </cell>
          <cell r="B175" t="str">
            <v>경유노통증기보일러</v>
          </cell>
          <cell r="C175" t="str">
            <v>3,000 kg/hr</v>
          </cell>
          <cell r="D175" t="str">
            <v>대</v>
          </cell>
          <cell r="E175">
            <v>35810000</v>
          </cell>
          <cell r="F175">
            <v>0</v>
          </cell>
          <cell r="H175">
            <v>602</v>
          </cell>
          <cell r="I175">
            <v>35810000</v>
          </cell>
          <cell r="J175">
            <v>602</v>
          </cell>
          <cell r="L175">
            <v>602</v>
          </cell>
        </row>
        <row r="176">
          <cell r="A176">
            <v>2271</v>
          </cell>
          <cell r="B176" t="str">
            <v>가스노통증기보일러</v>
          </cell>
          <cell r="C176" t="str">
            <v>100 kg/hr</v>
          </cell>
          <cell r="D176" t="str">
            <v>대</v>
          </cell>
          <cell r="E176">
            <v>0</v>
          </cell>
          <cell r="F176">
            <v>0</v>
          </cell>
          <cell r="H176">
            <v>602</v>
          </cell>
          <cell r="J176">
            <v>602</v>
          </cell>
          <cell r="L176">
            <v>602</v>
          </cell>
        </row>
        <row r="177">
          <cell r="A177">
            <v>2272</v>
          </cell>
          <cell r="B177" t="str">
            <v>가스노통증기보일러</v>
          </cell>
          <cell r="C177" t="str">
            <v>200 kg/hr</v>
          </cell>
          <cell r="D177" t="str">
            <v>대</v>
          </cell>
          <cell r="E177">
            <v>0</v>
          </cell>
          <cell r="F177">
            <v>0</v>
          </cell>
          <cell r="H177">
            <v>602</v>
          </cell>
          <cell r="J177">
            <v>602</v>
          </cell>
          <cell r="L177">
            <v>602</v>
          </cell>
        </row>
        <row r="178">
          <cell r="A178">
            <v>2273</v>
          </cell>
          <cell r="B178" t="str">
            <v>가스노통증기보일러</v>
          </cell>
          <cell r="C178" t="str">
            <v>300 kg/hr</v>
          </cell>
          <cell r="D178" t="str">
            <v>대</v>
          </cell>
          <cell r="E178">
            <v>0</v>
          </cell>
          <cell r="F178">
            <v>0</v>
          </cell>
          <cell r="H178">
            <v>602</v>
          </cell>
          <cell r="J178">
            <v>602</v>
          </cell>
          <cell r="L178">
            <v>602</v>
          </cell>
        </row>
        <row r="179">
          <cell r="A179">
            <v>2274</v>
          </cell>
          <cell r="B179" t="str">
            <v>가스노통증기보일러</v>
          </cell>
          <cell r="C179" t="str">
            <v>500 kg/hr</v>
          </cell>
          <cell r="D179" t="str">
            <v>대</v>
          </cell>
          <cell r="E179">
            <v>25000000</v>
          </cell>
          <cell r="F179">
            <v>0</v>
          </cell>
          <cell r="H179">
            <v>602</v>
          </cell>
          <cell r="I179">
            <v>25000000</v>
          </cell>
          <cell r="J179">
            <v>602</v>
          </cell>
          <cell r="L179">
            <v>602</v>
          </cell>
        </row>
        <row r="180">
          <cell r="A180">
            <v>2275</v>
          </cell>
          <cell r="B180" t="str">
            <v>가스노통증기보일러</v>
          </cell>
          <cell r="C180" t="str">
            <v>1,000 kg/hr</v>
          </cell>
          <cell r="D180" t="str">
            <v>대</v>
          </cell>
          <cell r="E180">
            <v>30780000</v>
          </cell>
          <cell r="F180">
            <v>0</v>
          </cell>
          <cell r="H180">
            <v>602</v>
          </cell>
          <cell r="I180">
            <v>30780000</v>
          </cell>
          <cell r="J180">
            <v>602</v>
          </cell>
          <cell r="L180">
            <v>602</v>
          </cell>
        </row>
        <row r="181">
          <cell r="A181">
            <v>2276</v>
          </cell>
          <cell r="B181" t="str">
            <v>가스노통증기보일러</v>
          </cell>
          <cell r="C181" t="str">
            <v>1,500 kg/hr</v>
          </cell>
          <cell r="D181" t="str">
            <v>대</v>
          </cell>
          <cell r="E181">
            <v>32460000</v>
          </cell>
          <cell r="F181">
            <v>0</v>
          </cell>
          <cell r="H181">
            <v>602</v>
          </cell>
          <cell r="I181">
            <v>32460000</v>
          </cell>
          <cell r="J181">
            <v>602</v>
          </cell>
          <cell r="L181">
            <v>602</v>
          </cell>
        </row>
        <row r="182">
          <cell r="A182">
            <v>2277</v>
          </cell>
          <cell r="B182" t="str">
            <v>가스노통증기보일러</v>
          </cell>
          <cell r="C182" t="str">
            <v>2,000 kg/hr</v>
          </cell>
          <cell r="D182" t="str">
            <v>대</v>
          </cell>
          <cell r="E182">
            <v>34360000</v>
          </cell>
          <cell r="F182">
            <v>0</v>
          </cell>
          <cell r="H182">
            <v>602</v>
          </cell>
          <cell r="I182">
            <v>34360000</v>
          </cell>
          <cell r="J182">
            <v>602</v>
          </cell>
          <cell r="L182">
            <v>602</v>
          </cell>
        </row>
        <row r="183">
          <cell r="A183">
            <v>2278</v>
          </cell>
          <cell r="B183" t="str">
            <v>가스노통증기보일러</v>
          </cell>
          <cell r="C183" t="str">
            <v>2,500 kg/hr</v>
          </cell>
          <cell r="D183" t="str">
            <v>대</v>
          </cell>
          <cell r="E183">
            <v>37000000</v>
          </cell>
          <cell r="F183">
            <v>0</v>
          </cell>
          <cell r="H183">
            <v>602</v>
          </cell>
          <cell r="I183">
            <v>37000000</v>
          </cell>
          <cell r="J183">
            <v>602</v>
          </cell>
          <cell r="L183">
            <v>602</v>
          </cell>
        </row>
        <row r="184">
          <cell r="A184">
            <v>2279</v>
          </cell>
          <cell r="B184" t="str">
            <v>가스노통증기보일러</v>
          </cell>
          <cell r="C184" t="str">
            <v>3,000 kg/hr</v>
          </cell>
          <cell r="D184" t="str">
            <v>대</v>
          </cell>
          <cell r="E184">
            <v>40000000</v>
          </cell>
          <cell r="F184">
            <v>0</v>
          </cell>
          <cell r="H184">
            <v>602</v>
          </cell>
          <cell r="I184">
            <v>40000000</v>
          </cell>
          <cell r="J184">
            <v>602</v>
          </cell>
          <cell r="L184">
            <v>602</v>
          </cell>
        </row>
        <row r="185">
          <cell r="E185">
            <v>0</v>
          </cell>
        </row>
        <row r="186">
          <cell r="A186">
            <v>2311</v>
          </cell>
          <cell r="B186" t="str">
            <v>온수순환펌프</v>
          </cell>
          <cell r="C186" t="str">
            <v>40 W</v>
          </cell>
          <cell r="D186" t="str">
            <v>대</v>
          </cell>
          <cell r="E186">
            <v>33000</v>
          </cell>
          <cell r="F186">
            <v>0</v>
          </cell>
          <cell r="H186">
            <v>1011</v>
          </cell>
          <cell r="I186">
            <v>33000</v>
          </cell>
          <cell r="J186">
            <v>1011</v>
          </cell>
          <cell r="L186">
            <v>1011</v>
          </cell>
        </row>
        <row r="187">
          <cell r="A187">
            <v>2312</v>
          </cell>
          <cell r="B187" t="str">
            <v>온수순환펌프</v>
          </cell>
          <cell r="C187" t="str">
            <v>100 W</v>
          </cell>
          <cell r="D187" t="str">
            <v>대</v>
          </cell>
          <cell r="E187">
            <v>52000</v>
          </cell>
          <cell r="F187">
            <v>0</v>
          </cell>
          <cell r="H187">
            <v>1011</v>
          </cell>
          <cell r="I187">
            <v>52000</v>
          </cell>
          <cell r="J187">
            <v>1011</v>
          </cell>
          <cell r="L187">
            <v>1011</v>
          </cell>
        </row>
        <row r="188">
          <cell r="A188">
            <v>2313</v>
          </cell>
          <cell r="B188" t="str">
            <v>온수순환펌프</v>
          </cell>
          <cell r="C188" t="str">
            <v>200 W</v>
          </cell>
          <cell r="D188" t="str">
            <v>대</v>
          </cell>
          <cell r="E188">
            <v>67000</v>
          </cell>
          <cell r="F188">
            <v>0</v>
          </cell>
          <cell r="H188">
            <v>1011</v>
          </cell>
          <cell r="I188">
            <v>67000</v>
          </cell>
          <cell r="J188">
            <v>1011</v>
          </cell>
          <cell r="L188">
            <v>1011</v>
          </cell>
        </row>
        <row r="189">
          <cell r="A189">
            <v>2314</v>
          </cell>
          <cell r="B189" t="str">
            <v>온수순환펌프</v>
          </cell>
          <cell r="C189" t="str">
            <v>375 W</v>
          </cell>
          <cell r="D189" t="str">
            <v>대</v>
          </cell>
          <cell r="E189">
            <v>130000</v>
          </cell>
          <cell r="F189">
            <v>0</v>
          </cell>
          <cell r="H189">
            <v>1011</v>
          </cell>
          <cell r="I189">
            <v>130000</v>
          </cell>
          <cell r="J189">
            <v>1011</v>
          </cell>
          <cell r="L189">
            <v>1011</v>
          </cell>
        </row>
        <row r="190">
          <cell r="A190">
            <v>2315</v>
          </cell>
          <cell r="B190" t="str">
            <v>온수순환펌프</v>
          </cell>
          <cell r="C190" t="str">
            <v>0.75 kW</v>
          </cell>
          <cell r="D190" t="str">
            <v>대</v>
          </cell>
          <cell r="E190">
            <v>200000</v>
          </cell>
          <cell r="F190">
            <v>0</v>
          </cell>
          <cell r="H190">
            <v>0</v>
          </cell>
          <cell r="I190">
            <v>200000</v>
          </cell>
          <cell r="J190">
            <v>0</v>
          </cell>
          <cell r="L190">
            <v>0</v>
          </cell>
        </row>
        <row r="191">
          <cell r="A191">
            <v>2316</v>
          </cell>
          <cell r="B191" t="str">
            <v>수중자동배수펌프</v>
          </cell>
          <cell r="C191" t="str">
            <v>0.75 kW</v>
          </cell>
          <cell r="D191" t="str">
            <v>대</v>
          </cell>
          <cell r="E191">
            <v>374000</v>
          </cell>
          <cell r="F191">
            <v>0</v>
          </cell>
          <cell r="G191">
            <v>374000</v>
          </cell>
          <cell r="H191">
            <v>1069</v>
          </cell>
          <cell r="J191">
            <v>0</v>
          </cell>
          <cell r="L191">
            <v>449</v>
          </cell>
        </row>
        <row r="192">
          <cell r="A192">
            <v>2317</v>
          </cell>
          <cell r="B192" t="str">
            <v>급수가압펌프</v>
          </cell>
          <cell r="C192" t="str">
            <v>0.75 kW</v>
          </cell>
          <cell r="D192" t="str">
            <v>대</v>
          </cell>
          <cell r="E192">
            <v>380000</v>
          </cell>
          <cell r="F192">
            <v>0</v>
          </cell>
          <cell r="H192">
            <v>0</v>
          </cell>
          <cell r="I192">
            <v>380000</v>
          </cell>
          <cell r="J192">
            <v>0</v>
          </cell>
          <cell r="L192">
            <v>0</v>
          </cell>
        </row>
        <row r="193">
          <cell r="A193">
            <v>2318</v>
          </cell>
          <cell r="B193" t="str">
            <v>파워후레쉬펌프(PE)</v>
          </cell>
          <cell r="C193" t="str">
            <v>0.37 kW</v>
          </cell>
          <cell r="D193" t="str">
            <v>대</v>
          </cell>
          <cell r="E193">
            <v>1050000</v>
          </cell>
          <cell r="F193">
            <v>0</v>
          </cell>
          <cell r="H193">
            <v>1011</v>
          </cell>
          <cell r="I193">
            <v>1050000</v>
          </cell>
          <cell r="J193">
            <v>1011</v>
          </cell>
          <cell r="L193">
            <v>1011</v>
          </cell>
        </row>
        <row r="194">
          <cell r="A194">
            <v>2321</v>
          </cell>
          <cell r="B194" t="str">
            <v>보류트펌프(모터포함)</v>
          </cell>
          <cell r="C194" t="str">
            <v>1.5 kW</v>
          </cell>
          <cell r="D194" t="str">
            <v>대</v>
          </cell>
          <cell r="E194">
            <v>380000</v>
          </cell>
          <cell r="F194">
            <v>0</v>
          </cell>
          <cell r="H194">
            <v>992</v>
          </cell>
          <cell r="I194">
            <v>380000</v>
          </cell>
          <cell r="J194">
            <v>992</v>
          </cell>
          <cell r="L194">
            <v>992</v>
          </cell>
        </row>
        <row r="195">
          <cell r="A195">
            <v>2322</v>
          </cell>
          <cell r="B195" t="str">
            <v>보류트펌프(모터포함)</v>
          </cell>
          <cell r="C195" t="str">
            <v>2.2 kW</v>
          </cell>
          <cell r="D195" t="str">
            <v>대</v>
          </cell>
          <cell r="E195">
            <v>445000</v>
          </cell>
          <cell r="F195">
            <v>0</v>
          </cell>
          <cell r="H195">
            <v>992</v>
          </cell>
          <cell r="I195">
            <v>445000</v>
          </cell>
          <cell r="J195">
            <v>992</v>
          </cell>
          <cell r="L195">
            <v>992</v>
          </cell>
        </row>
        <row r="196">
          <cell r="A196">
            <v>2323</v>
          </cell>
          <cell r="B196" t="str">
            <v>보류트펌프(모터포함)</v>
          </cell>
          <cell r="C196" t="str">
            <v>3.75 kW</v>
          </cell>
          <cell r="D196" t="str">
            <v>대</v>
          </cell>
          <cell r="E196">
            <v>501000</v>
          </cell>
          <cell r="F196">
            <v>0</v>
          </cell>
          <cell r="H196">
            <v>992</v>
          </cell>
          <cell r="I196">
            <v>501000</v>
          </cell>
          <cell r="J196">
            <v>992</v>
          </cell>
          <cell r="L196">
            <v>992</v>
          </cell>
        </row>
        <row r="197">
          <cell r="A197">
            <v>2324</v>
          </cell>
          <cell r="B197" t="str">
            <v>보류트펌프(모터포함)</v>
          </cell>
          <cell r="C197" t="str">
            <v>5.62 kW</v>
          </cell>
          <cell r="D197" t="str">
            <v>대</v>
          </cell>
          <cell r="E197">
            <v>606000</v>
          </cell>
          <cell r="F197">
            <v>0</v>
          </cell>
          <cell r="H197">
            <v>992</v>
          </cell>
          <cell r="I197">
            <v>606000</v>
          </cell>
          <cell r="J197">
            <v>992</v>
          </cell>
          <cell r="L197">
            <v>992</v>
          </cell>
        </row>
        <row r="198">
          <cell r="A198">
            <v>2325</v>
          </cell>
          <cell r="B198" t="str">
            <v>보류트펌프(모터포함)</v>
          </cell>
          <cell r="C198" t="str">
            <v>7.5 kW</v>
          </cell>
          <cell r="D198" t="str">
            <v>대</v>
          </cell>
          <cell r="E198">
            <v>643000</v>
          </cell>
          <cell r="F198">
            <v>0</v>
          </cell>
          <cell r="H198">
            <v>992</v>
          </cell>
          <cell r="I198">
            <v>643000</v>
          </cell>
          <cell r="J198">
            <v>992</v>
          </cell>
          <cell r="L198">
            <v>992</v>
          </cell>
        </row>
        <row r="199">
          <cell r="A199">
            <v>2326</v>
          </cell>
          <cell r="B199" t="str">
            <v>보류트펌프(모터포함)</v>
          </cell>
          <cell r="C199" t="str">
            <v>11.25 kW</v>
          </cell>
          <cell r="D199" t="str">
            <v>대</v>
          </cell>
          <cell r="E199">
            <v>716000</v>
          </cell>
          <cell r="F199">
            <v>0</v>
          </cell>
          <cell r="H199">
            <v>992</v>
          </cell>
          <cell r="I199">
            <v>716000</v>
          </cell>
          <cell r="J199">
            <v>992</v>
          </cell>
          <cell r="L199">
            <v>992</v>
          </cell>
        </row>
        <row r="200">
          <cell r="A200">
            <v>2327</v>
          </cell>
          <cell r="B200" t="str">
            <v>보류트펌프(모터포함)</v>
          </cell>
          <cell r="C200" t="str">
            <v>15.0 kW</v>
          </cell>
          <cell r="D200" t="str">
            <v>대</v>
          </cell>
          <cell r="E200">
            <v>847000</v>
          </cell>
          <cell r="F200">
            <v>0</v>
          </cell>
          <cell r="H200">
            <v>992</v>
          </cell>
          <cell r="I200">
            <v>847000</v>
          </cell>
          <cell r="J200">
            <v>992</v>
          </cell>
          <cell r="L200">
            <v>992</v>
          </cell>
        </row>
        <row r="201">
          <cell r="A201">
            <v>2328</v>
          </cell>
          <cell r="B201" t="str">
            <v>보류트펌프(모터포함)</v>
          </cell>
          <cell r="C201" t="str">
            <v>22.5 kW</v>
          </cell>
          <cell r="D201" t="str">
            <v>대</v>
          </cell>
          <cell r="E201">
            <v>1081000</v>
          </cell>
          <cell r="F201">
            <v>0</v>
          </cell>
          <cell r="H201">
            <v>992</v>
          </cell>
          <cell r="I201">
            <v>1081000</v>
          </cell>
          <cell r="J201">
            <v>992</v>
          </cell>
          <cell r="L201">
            <v>992</v>
          </cell>
        </row>
        <row r="202">
          <cell r="A202">
            <v>2329</v>
          </cell>
          <cell r="B202" t="str">
            <v>보류트펌프(모터포함)</v>
          </cell>
          <cell r="C202" t="str">
            <v>30.0 kW</v>
          </cell>
          <cell r="D202" t="str">
            <v>대</v>
          </cell>
          <cell r="E202">
            <v>1140000</v>
          </cell>
          <cell r="F202">
            <v>0</v>
          </cell>
          <cell r="H202">
            <v>992</v>
          </cell>
          <cell r="I202">
            <v>1140000</v>
          </cell>
          <cell r="J202">
            <v>992</v>
          </cell>
          <cell r="L202">
            <v>992</v>
          </cell>
        </row>
        <row r="203">
          <cell r="A203">
            <v>2331</v>
          </cell>
          <cell r="B203" t="str">
            <v>웨스코펌프</v>
          </cell>
          <cell r="C203" t="str">
            <v>2.2 kW</v>
          </cell>
          <cell r="D203" t="str">
            <v>대</v>
          </cell>
          <cell r="E203">
            <v>501000</v>
          </cell>
          <cell r="F203">
            <v>0</v>
          </cell>
          <cell r="H203">
            <v>0</v>
          </cell>
          <cell r="I203">
            <v>501000</v>
          </cell>
          <cell r="J203">
            <v>0</v>
          </cell>
          <cell r="L203">
            <v>0</v>
          </cell>
        </row>
        <row r="204">
          <cell r="A204">
            <v>2332</v>
          </cell>
          <cell r="B204" t="str">
            <v>다단터어빈펌프</v>
          </cell>
          <cell r="C204" t="str">
            <v>3.75 kW</v>
          </cell>
          <cell r="D204" t="str">
            <v>대</v>
          </cell>
          <cell r="E204">
            <v>562000</v>
          </cell>
          <cell r="F204">
            <v>0</v>
          </cell>
          <cell r="H204">
            <v>992</v>
          </cell>
          <cell r="I204">
            <v>562000</v>
          </cell>
          <cell r="J204">
            <v>992</v>
          </cell>
          <cell r="L204">
            <v>992</v>
          </cell>
        </row>
        <row r="205">
          <cell r="A205">
            <v>2333</v>
          </cell>
          <cell r="B205" t="str">
            <v>다단터어빈펌프</v>
          </cell>
          <cell r="C205" t="str">
            <v>5.62 kW</v>
          </cell>
          <cell r="D205" t="str">
            <v>대</v>
          </cell>
          <cell r="E205">
            <v>700000</v>
          </cell>
          <cell r="F205">
            <v>0</v>
          </cell>
          <cell r="H205">
            <v>992</v>
          </cell>
          <cell r="I205">
            <v>700000</v>
          </cell>
          <cell r="J205">
            <v>992</v>
          </cell>
          <cell r="L205">
            <v>992</v>
          </cell>
        </row>
        <row r="206">
          <cell r="A206">
            <v>2334</v>
          </cell>
          <cell r="B206" t="str">
            <v>다단터어빈펌프</v>
          </cell>
          <cell r="C206" t="str">
            <v>7.5 kW</v>
          </cell>
          <cell r="D206" t="str">
            <v>대</v>
          </cell>
          <cell r="E206">
            <v>816000</v>
          </cell>
          <cell r="F206">
            <v>0</v>
          </cell>
          <cell r="H206">
            <v>992</v>
          </cell>
          <cell r="I206">
            <v>816000</v>
          </cell>
          <cell r="J206">
            <v>992</v>
          </cell>
          <cell r="L206">
            <v>992</v>
          </cell>
        </row>
        <row r="207">
          <cell r="A207">
            <v>2335</v>
          </cell>
          <cell r="B207" t="str">
            <v>다단터어빈펌프</v>
          </cell>
          <cell r="C207" t="str">
            <v>11.25 kW</v>
          </cell>
          <cell r="D207" t="str">
            <v>대</v>
          </cell>
          <cell r="E207">
            <v>902000</v>
          </cell>
          <cell r="F207">
            <v>0</v>
          </cell>
          <cell r="H207">
            <v>992</v>
          </cell>
          <cell r="I207">
            <v>902000</v>
          </cell>
          <cell r="J207">
            <v>992</v>
          </cell>
          <cell r="L207">
            <v>992</v>
          </cell>
        </row>
        <row r="208">
          <cell r="A208">
            <v>2336</v>
          </cell>
          <cell r="B208" t="str">
            <v>다단터어빈펌프</v>
          </cell>
          <cell r="C208" t="str">
            <v>15.0 kW</v>
          </cell>
          <cell r="D208" t="str">
            <v>대</v>
          </cell>
          <cell r="E208">
            <v>956000</v>
          </cell>
          <cell r="F208">
            <v>0</v>
          </cell>
          <cell r="H208">
            <v>992</v>
          </cell>
          <cell r="I208">
            <v>956000</v>
          </cell>
          <cell r="J208">
            <v>992</v>
          </cell>
          <cell r="L208">
            <v>992</v>
          </cell>
        </row>
        <row r="209">
          <cell r="A209">
            <v>2337</v>
          </cell>
          <cell r="B209" t="str">
            <v>다단터어빈펌프</v>
          </cell>
          <cell r="C209" t="str">
            <v>22.5 kW</v>
          </cell>
          <cell r="D209" t="str">
            <v>대</v>
          </cell>
          <cell r="E209">
            <v>1100000</v>
          </cell>
          <cell r="F209">
            <v>0</v>
          </cell>
          <cell r="H209">
            <v>992</v>
          </cell>
          <cell r="I209">
            <v>1100000</v>
          </cell>
          <cell r="J209">
            <v>992</v>
          </cell>
          <cell r="L209">
            <v>992</v>
          </cell>
        </row>
        <row r="210">
          <cell r="A210">
            <v>2338</v>
          </cell>
          <cell r="B210" t="str">
            <v>다단터어빈펌프</v>
          </cell>
          <cell r="C210" t="str">
            <v>30.0 kW</v>
          </cell>
          <cell r="D210" t="str">
            <v>대</v>
          </cell>
          <cell r="E210">
            <v>1160000</v>
          </cell>
          <cell r="F210">
            <v>0</v>
          </cell>
          <cell r="H210">
            <v>992</v>
          </cell>
          <cell r="I210">
            <v>1160000</v>
          </cell>
          <cell r="J210">
            <v>992</v>
          </cell>
          <cell r="L210">
            <v>992</v>
          </cell>
        </row>
        <row r="212">
          <cell r="A212">
            <v>2341</v>
          </cell>
          <cell r="B212" t="str">
            <v>전동기</v>
          </cell>
          <cell r="C212" t="str">
            <v>1.5 kW</v>
          </cell>
          <cell r="D212" t="str">
            <v>대</v>
          </cell>
          <cell r="E212">
            <v>107000</v>
          </cell>
          <cell r="F212">
            <v>0</v>
          </cell>
          <cell r="H212">
            <v>805</v>
          </cell>
          <cell r="I212">
            <v>107000</v>
          </cell>
          <cell r="J212">
            <v>805</v>
          </cell>
          <cell r="L212">
            <v>805</v>
          </cell>
        </row>
        <row r="213">
          <cell r="A213">
            <v>2342</v>
          </cell>
          <cell r="B213" t="str">
            <v>전동기</v>
          </cell>
          <cell r="C213" t="str">
            <v>2.2 kW</v>
          </cell>
          <cell r="D213" t="str">
            <v>대</v>
          </cell>
          <cell r="E213">
            <v>140000</v>
          </cell>
          <cell r="F213">
            <v>0</v>
          </cell>
          <cell r="H213">
            <v>805</v>
          </cell>
          <cell r="I213">
            <v>140000</v>
          </cell>
          <cell r="J213">
            <v>805</v>
          </cell>
          <cell r="L213">
            <v>805</v>
          </cell>
        </row>
        <row r="214">
          <cell r="A214">
            <v>2343</v>
          </cell>
          <cell r="B214" t="str">
            <v>전동기</v>
          </cell>
          <cell r="C214" t="str">
            <v>3.75 kW</v>
          </cell>
          <cell r="D214" t="str">
            <v>대</v>
          </cell>
          <cell r="E214">
            <v>162000</v>
          </cell>
          <cell r="F214">
            <v>0</v>
          </cell>
          <cell r="H214">
            <v>805</v>
          </cell>
          <cell r="I214">
            <v>162000</v>
          </cell>
          <cell r="J214">
            <v>805</v>
          </cell>
          <cell r="L214">
            <v>805</v>
          </cell>
        </row>
        <row r="215">
          <cell r="A215">
            <v>2344</v>
          </cell>
          <cell r="B215" t="str">
            <v>전동기</v>
          </cell>
          <cell r="C215" t="str">
            <v>5.62 kW</v>
          </cell>
          <cell r="D215" t="str">
            <v>대</v>
          </cell>
          <cell r="E215">
            <v>255000</v>
          </cell>
          <cell r="F215">
            <v>0</v>
          </cell>
          <cell r="H215">
            <v>805</v>
          </cell>
          <cell r="I215">
            <v>255000</v>
          </cell>
          <cell r="J215">
            <v>805</v>
          </cell>
          <cell r="L215">
            <v>805</v>
          </cell>
        </row>
        <row r="216">
          <cell r="A216">
            <v>2345</v>
          </cell>
          <cell r="B216" t="str">
            <v>전동기</v>
          </cell>
          <cell r="C216" t="str">
            <v>7.5 kW</v>
          </cell>
          <cell r="D216" t="str">
            <v>대</v>
          </cell>
          <cell r="E216">
            <v>299000</v>
          </cell>
          <cell r="F216">
            <v>0</v>
          </cell>
          <cell r="H216">
            <v>805</v>
          </cell>
          <cell r="I216">
            <v>299000</v>
          </cell>
          <cell r="J216">
            <v>805</v>
          </cell>
          <cell r="L216">
            <v>805</v>
          </cell>
        </row>
        <row r="217">
          <cell r="A217">
            <v>2346</v>
          </cell>
          <cell r="B217" t="str">
            <v>전동기</v>
          </cell>
          <cell r="C217" t="str">
            <v>11.25 kW</v>
          </cell>
          <cell r="D217" t="str">
            <v>대</v>
          </cell>
          <cell r="E217">
            <v>407000</v>
          </cell>
          <cell r="F217">
            <v>0</v>
          </cell>
          <cell r="H217">
            <v>805</v>
          </cell>
          <cell r="I217">
            <v>407000</v>
          </cell>
          <cell r="J217">
            <v>805</v>
          </cell>
          <cell r="L217">
            <v>805</v>
          </cell>
        </row>
        <row r="218">
          <cell r="A218">
            <v>2347</v>
          </cell>
          <cell r="B218" t="str">
            <v>전동기</v>
          </cell>
          <cell r="C218" t="str">
            <v>15.0 kW</v>
          </cell>
          <cell r="D218" t="str">
            <v>대</v>
          </cell>
          <cell r="E218">
            <v>540000</v>
          </cell>
          <cell r="F218">
            <v>0</v>
          </cell>
          <cell r="H218">
            <v>805</v>
          </cell>
          <cell r="I218">
            <v>540000</v>
          </cell>
          <cell r="J218">
            <v>805</v>
          </cell>
          <cell r="L218">
            <v>805</v>
          </cell>
        </row>
        <row r="219">
          <cell r="A219">
            <v>2348</v>
          </cell>
          <cell r="B219" t="str">
            <v>전동기</v>
          </cell>
          <cell r="C219" t="str">
            <v>22.5 kW</v>
          </cell>
          <cell r="D219" t="str">
            <v>대</v>
          </cell>
          <cell r="E219">
            <v>897000</v>
          </cell>
          <cell r="F219">
            <v>0</v>
          </cell>
          <cell r="H219">
            <v>805</v>
          </cell>
          <cell r="I219">
            <v>897000</v>
          </cell>
          <cell r="J219">
            <v>805</v>
          </cell>
          <cell r="L219">
            <v>805</v>
          </cell>
        </row>
        <row r="220">
          <cell r="A220">
            <v>2349</v>
          </cell>
          <cell r="B220" t="str">
            <v>전동기</v>
          </cell>
          <cell r="C220" t="str">
            <v>30.0 kW</v>
          </cell>
          <cell r="D220" t="str">
            <v>대</v>
          </cell>
          <cell r="E220">
            <v>1367000</v>
          </cell>
          <cell r="F220">
            <v>0</v>
          </cell>
          <cell r="H220">
            <v>805</v>
          </cell>
          <cell r="I220">
            <v>1367000</v>
          </cell>
          <cell r="J220">
            <v>805</v>
          </cell>
          <cell r="L220">
            <v>805</v>
          </cell>
        </row>
        <row r="221">
          <cell r="A221">
            <v>2351</v>
          </cell>
          <cell r="B221" t="str">
            <v>방진가대(스프링방진)</v>
          </cell>
          <cell r="C221" t="str">
            <v>3.75 kW이하</v>
          </cell>
          <cell r="D221" t="str">
            <v>조</v>
          </cell>
          <cell r="E221">
            <v>343000</v>
          </cell>
          <cell r="F221">
            <v>0</v>
          </cell>
          <cell r="H221">
            <v>756</v>
          </cell>
          <cell r="I221">
            <v>343000</v>
          </cell>
          <cell r="J221">
            <v>756</v>
          </cell>
          <cell r="L221">
            <v>756</v>
          </cell>
        </row>
        <row r="222">
          <cell r="A222">
            <v>2352</v>
          </cell>
          <cell r="B222" t="str">
            <v>방진가대(스프링방진)</v>
          </cell>
          <cell r="C222" t="str">
            <v>5.62 kW이하</v>
          </cell>
          <cell r="D222" t="str">
            <v>조</v>
          </cell>
          <cell r="E222">
            <v>378000</v>
          </cell>
          <cell r="F222">
            <v>0</v>
          </cell>
          <cell r="H222">
            <v>756</v>
          </cell>
          <cell r="I222">
            <v>378000</v>
          </cell>
          <cell r="J222">
            <v>756</v>
          </cell>
          <cell r="L222">
            <v>756</v>
          </cell>
        </row>
        <row r="223">
          <cell r="A223">
            <v>2353</v>
          </cell>
          <cell r="B223" t="str">
            <v>방진가대(스프링방진)</v>
          </cell>
          <cell r="C223" t="str">
            <v>7.50 kW이하</v>
          </cell>
          <cell r="D223" t="str">
            <v>조</v>
          </cell>
          <cell r="E223">
            <v>412000</v>
          </cell>
          <cell r="F223">
            <v>0</v>
          </cell>
          <cell r="H223">
            <v>756</v>
          </cell>
          <cell r="I223">
            <v>412000</v>
          </cell>
          <cell r="J223">
            <v>756</v>
          </cell>
          <cell r="L223">
            <v>756</v>
          </cell>
        </row>
        <row r="224">
          <cell r="A224">
            <v>2354</v>
          </cell>
          <cell r="B224" t="str">
            <v>방진가대(스프링방진)</v>
          </cell>
          <cell r="C224" t="str">
            <v>10.0 kW이하</v>
          </cell>
          <cell r="D224" t="str">
            <v>조</v>
          </cell>
          <cell r="E224">
            <v>446000</v>
          </cell>
          <cell r="F224">
            <v>0</v>
          </cell>
          <cell r="H224">
            <v>756</v>
          </cell>
          <cell r="I224">
            <v>446000</v>
          </cell>
          <cell r="J224">
            <v>756</v>
          </cell>
          <cell r="L224">
            <v>756</v>
          </cell>
        </row>
        <row r="225">
          <cell r="A225">
            <v>2355</v>
          </cell>
          <cell r="B225" t="str">
            <v>방진가대(스프링방진)</v>
          </cell>
          <cell r="C225" t="str">
            <v>15.0 kW이하</v>
          </cell>
          <cell r="D225" t="str">
            <v>조</v>
          </cell>
          <cell r="E225">
            <v>480000</v>
          </cell>
          <cell r="F225">
            <v>0</v>
          </cell>
          <cell r="H225">
            <v>756</v>
          </cell>
          <cell r="I225">
            <v>480000</v>
          </cell>
          <cell r="J225">
            <v>756</v>
          </cell>
          <cell r="L225">
            <v>756</v>
          </cell>
        </row>
        <row r="226">
          <cell r="A226">
            <v>2356</v>
          </cell>
          <cell r="B226" t="str">
            <v>방진가대(스프링방진)</v>
          </cell>
          <cell r="C226" t="str">
            <v>20.0 kW이하</v>
          </cell>
          <cell r="D226" t="str">
            <v>조</v>
          </cell>
          <cell r="E226">
            <v>549000</v>
          </cell>
          <cell r="F226">
            <v>0</v>
          </cell>
          <cell r="H226">
            <v>756</v>
          </cell>
          <cell r="I226">
            <v>549000</v>
          </cell>
          <cell r="J226">
            <v>756</v>
          </cell>
          <cell r="L226">
            <v>756</v>
          </cell>
        </row>
        <row r="227">
          <cell r="A227">
            <v>2357</v>
          </cell>
          <cell r="B227" t="str">
            <v>방진가대(스프링방진)</v>
          </cell>
          <cell r="C227" t="str">
            <v>30.0 kW이하</v>
          </cell>
          <cell r="D227" t="str">
            <v>조</v>
          </cell>
          <cell r="E227">
            <v>583000</v>
          </cell>
          <cell r="F227">
            <v>0</v>
          </cell>
          <cell r="H227">
            <v>756</v>
          </cell>
          <cell r="I227">
            <v>583000</v>
          </cell>
          <cell r="J227">
            <v>756</v>
          </cell>
          <cell r="L227">
            <v>756</v>
          </cell>
        </row>
        <row r="229">
          <cell r="A229">
            <v>2384</v>
          </cell>
          <cell r="B229" t="str">
            <v>냉,난방기</v>
          </cell>
          <cell r="C229" t="str">
            <v>CH-402F</v>
          </cell>
          <cell r="D229" t="str">
            <v>대</v>
          </cell>
          <cell r="E229">
            <v>4050000</v>
          </cell>
          <cell r="F229">
            <v>0</v>
          </cell>
          <cell r="G229">
            <v>4050000</v>
          </cell>
          <cell r="H229">
            <v>696</v>
          </cell>
          <cell r="I229">
            <v>4170000</v>
          </cell>
          <cell r="J229">
            <v>651</v>
          </cell>
          <cell r="L229">
            <v>479</v>
          </cell>
        </row>
        <row r="230">
          <cell r="A230">
            <v>2391</v>
          </cell>
          <cell r="B230" t="str">
            <v>팬코일유닛(노출형)</v>
          </cell>
          <cell r="C230" t="str">
            <v>VL-102</v>
          </cell>
          <cell r="D230" t="str">
            <v>대</v>
          </cell>
          <cell r="E230">
            <v>255000</v>
          </cell>
          <cell r="F230">
            <v>0</v>
          </cell>
          <cell r="H230">
            <v>625</v>
          </cell>
          <cell r="I230">
            <v>255000</v>
          </cell>
          <cell r="J230">
            <v>625</v>
          </cell>
          <cell r="L230">
            <v>625</v>
          </cell>
        </row>
        <row r="231">
          <cell r="A231">
            <v>2392</v>
          </cell>
          <cell r="B231" t="str">
            <v>팬코일유닛(노출형)</v>
          </cell>
          <cell r="C231" t="str">
            <v>VL-103</v>
          </cell>
          <cell r="D231" t="str">
            <v>대</v>
          </cell>
          <cell r="E231">
            <v>265000</v>
          </cell>
          <cell r="F231">
            <v>0</v>
          </cell>
          <cell r="H231">
            <v>625</v>
          </cell>
          <cell r="I231">
            <v>265000</v>
          </cell>
          <cell r="J231">
            <v>625</v>
          </cell>
          <cell r="L231">
            <v>625</v>
          </cell>
        </row>
        <row r="232">
          <cell r="A232">
            <v>2393</v>
          </cell>
          <cell r="B232" t="str">
            <v>팬코일유닛(노출형)</v>
          </cell>
          <cell r="C232" t="str">
            <v>VL-104</v>
          </cell>
          <cell r="D232" t="str">
            <v>대</v>
          </cell>
          <cell r="E232">
            <v>315000</v>
          </cell>
          <cell r="F232">
            <v>0</v>
          </cell>
          <cell r="H232">
            <v>625</v>
          </cell>
          <cell r="I232">
            <v>315000</v>
          </cell>
          <cell r="J232">
            <v>625</v>
          </cell>
          <cell r="L232">
            <v>625</v>
          </cell>
        </row>
        <row r="233">
          <cell r="A233">
            <v>2394</v>
          </cell>
          <cell r="B233" t="str">
            <v>팬코일유닛(노출형)</v>
          </cell>
          <cell r="C233" t="str">
            <v>VL-106</v>
          </cell>
          <cell r="D233" t="str">
            <v>대</v>
          </cell>
          <cell r="E233">
            <v>350000</v>
          </cell>
          <cell r="F233">
            <v>0</v>
          </cell>
          <cell r="H233">
            <v>625</v>
          </cell>
          <cell r="I233">
            <v>350000</v>
          </cell>
          <cell r="J233">
            <v>625</v>
          </cell>
          <cell r="L233">
            <v>625</v>
          </cell>
        </row>
        <row r="234">
          <cell r="A234">
            <v>2395</v>
          </cell>
          <cell r="B234" t="str">
            <v>팬코일유닛(매입형)</v>
          </cell>
          <cell r="C234" t="str">
            <v>VM-102</v>
          </cell>
          <cell r="D234" t="str">
            <v>대</v>
          </cell>
          <cell r="E234">
            <v>224000</v>
          </cell>
          <cell r="F234">
            <v>0</v>
          </cell>
          <cell r="H234">
            <v>625</v>
          </cell>
          <cell r="I234">
            <v>224000</v>
          </cell>
          <cell r="J234">
            <v>625</v>
          </cell>
          <cell r="L234">
            <v>625</v>
          </cell>
        </row>
        <row r="235">
          <cell r="A235">
            <v>2396</v>
          </cell>
          <cell r="B235" t="str">
            <v>팬코일유닛(매입형)</v>
          </cell>
          <cell r="C235" t="str">
            <v>VM-103</v>
          </cell>
          <cell r="D235" t="str">
            <v>대</v>
          </cell>
          <cell r="E235">
            <v>267000</v>
          </cell>
          <cell r="F235">
            <v>0</v>
          </cell>
          <cell r="H235">
            <v>625</v>
          </cell>
          <cell r="I235">
            <v>267000</v>
          </cell>
          <cell r="J235">
            <v>625</v>
          </cell>
          <cell r="L235">
            <v>625</v>
          </cell>
        </row>
        <row r="236">
          <cell r="A236">
            <v>2397</v>
          </cell>
          <cell r="B236" t="str">
            <v>팬코일유닛(매입형)</v>
          </cell>
          <cell r="C236" t="str">
            <v>VM-104</v>
          </cell>
          <cell r="D236" t="str">
            <v>대</v>
          </cell>
          <cell r="E236">
            <v>295000</v>
          </cell>
          <cell r="F236">
            <v>0</v>
          </cell>
          <cell r="H236">
            <v>625</v>
          </cell>
          <cell r="I236">
            <v>295000</v>
          </cell>
          <cell r="J236">
            <v>625</v>
          </cell>
          <cell r="L236">
            <v>625</v>
          </cell>
        </row>
        <row r="237">
          <cell r="A237">
            <v>2398</v>
          </cell>
          <cell r="B237" t="str">
            <v>팬코일유닛(매입형)</v>
          </cell>
          <cell r="C237" t="str">
            <v>VM-106</v>
          </cell>
          <cell r="D237" t="str">
            <v>대</v>
          </cell>
          <cell r="E237">
            <v>330000</v>
          </cell>
          <cell r="F237">
            <v>0</v>
          </cell>
          <cell r="H237">
            <v>625</v>
          </cell>
          <cell r="I237">
            <v>330000</v>
          </cell>
          <cell r="J237">
            <v>625</v>
          </cell>
          <cell r="L237">
            <v>625</v>
          </cell>
        </row>
        <row r="238">
          <cell r="E238">
            <v>0</v>
          </cell>
        </row>
        <row r="239">
          <cell r="A239">
            <v>2411</v>
          </cell>
          <cell r="B239" t="str">
            <v>오수분뇨합병정화조</v>
          </cell>
          <cell r="C239" t="str">
            <v>5 인용</v>
          </cell>
          <cell r="D239" t="str">
            <v>조</v>
          </cell>
          <cell r="E239">
            <v>2641000</v>
          </cell>
          <cell r="F239">
            <v>0</v>
          </cell>
          <cell r="H239">
            <v>578</v>
          </cell>
          <cell r="I239">
            <v>2641000</v>
          </cell>
          <cell r="J239">
            <v>578</v>
          </cell>
          <cell r="L239">
            <v>578</v>
          </cell>
        </row>
        <row r="240">
          <cell r="A240">
            <v>2412</v>
          </cell>
          <cell r="B240" t="str">
            <v>오수분뇨합병정화조</v>
          </cell>
          <cell r="C240" t="str">
            <v>10 인용</v>
          </cell>
          <cell r="D240" t="str">
            <v>조</v>
          </cell>
          <cell r="E240">
            <v>3586000</v>
          </cell>
          <cell r="F240">
            <v>0</v>
          </cell>
          <cell r="H240">
            <v>578</v>
          </cell>
          <cell r="I240">
            <v>3586000</v>
          </cell>
          <cell r="J240">
            <v>578</v>
          </cell>
          <cell r="L240">
            <v>578</v>
          </cell>
        </row>
        <row r="241">
          <cell r="A241">
            <v>2413</v>
          </cell>
          <cell r="B241" t="str">
            <v>오수분뇨합병정화조</v>
          </cell>
          <cell r="C241" t="str">
            <v>20 인용</v>
          </cell>
          <cell r="D241" t="str">
            <v>조</v>
          </cell>
          <cell r="E241">
            <v>6643000</v>
          </cell>
          <cell r="F241">
            <v>0</v>
          </cell>
          <cell r="H241">
            <v>578</v>
          </cell>
          <cell r="I241">
            <v>6643000</v>
          </cell>
          <cell r="J241">
            <v>578</v>
          </cell>
          <cell r="L241">
            <v>578</v>
          </cell>
        </row>
        <row r="242">
          <cell r="A242">
            <v>2414</v>
          </cell>
          <cell r="B242" t="str">
            <v>오수분뇨합병정화조</v>
          </cell>
          <cell r="C242" t="str">
            <v>30 인용</v>
          </cell>
          <cell r="D242" t="str">
            <v>조</v>
          </cell>
          <cell r="E242">
            <v>10673000</v>
          </cell>
          <cell r="F242">
            <v>0</v>
          </cell>
          <cell r="H242">
            <v>578</v>
          </cell>
          <cell r="I242">
            <v>10673000</v>
          </cell>
          <cell r="J242">
            <v>578</v>
          </cell>
          <cell r="L242">
            <v>578</v>
          </cell>
        </row>
        <row r="243">
          <cell r="E243">
            <v>0</v>
          </cell>
        </row>
        <row r="244">
          <cell r="E244">
            <v>0</v>
          </cell>
        </row>
        <row r="245">
          <cell r="E245">
            <v>0</v>
          </cell>
        </row>
        <row r="246">
          <cell r="E246">
            <v>0</v>
          </cell>
        </row>
        <row r="247">
          <cell r="E247">
            <v>0</v>
          </cell>
        </row>
        <row r="248">
          <cell r="A248">
            <v>3101</v>
          </cell>
          <cell r="B248" t="str">
            <v>동관 (L형)</v>
          </cell>
          <cell r="C248" t="str">
            <v>100Ø</v>
          </cell>
          <cell r="D248" t="str">
            <v>M</v>
          </cell>
          <cell r="E248">
            <v>27550</v>
          </cell>
          <cell r="F248">
            <v>0</v>
          </cell>
          <cell r="G248">
            <v>30840</v>
          </cell>
          <cell r="H248">
            <v>534</v>
          </cell>
          <cell r="I248">
            <v>32190</v>
          </cell>
          <cell r="J248">
            <v>488</v>
          </cell>
          <cell r="L248">
            <v>488</v>
          </cell>
        </row>
        <row r="249">
          <cell r="A249">
            <v>3102</v>
          </cell>
          <cell r="B249" t="str">
            <v>동관 (L형)</v>
          </cell>
          <cell r="C249" t="str">
            <v>80Ø</v>
          </cell>
          <cell r="D249" t="str">
            <v>M</v>
          </cell>
          <cell r="E249">
            <v>17100</v>
          </cell>
          <cell r="F249">
            <v>0</v>
          </cell>
          <cell r="G249">
            <v>19040</v>
          </cell>
          <cell r="H249">
            <v>534</v>
          </cell>
          <cell r="I249">
            <v>19870</v>
          </cell>
          <cell r="J249">
            <v>488</v>
          </cell>
          <cell r="L249">
            <v>488</v>
          </cell>
        </row>
        <row r="250">
          <cell r="A250">
            <v>3103</v>
          </cell>
          <cell r="B250" t="str">
            <v>동관 (L형)</v>
          </cell>
          <cell r="C250" t="str">
            <v>65Ø</v>
          </cell>
          <cell r="D250" t="str">
            <v>M</v>
          </cell>
          <cell r="E250">
            <v>12720</v>
          </cell>
          <cell r="F250">
            <v>0</v>
          </cell>
          <cell r="G250">
            <v>14050</v>
          </cell>
          <cell r="H250">
            <v>534</v>
          </cell>
          <cell r="I250">
            <v>14630</v>
          </cell>
          <cell r="J250">
            <v>488</v>
          </cell>
          <cell r="L250">
            <v>488</v>
          </cell>
        </row>
        <row r="251">
          <cell r="A251">
            <v>3104</v>
          </cell>
          <cell r="B251" t="str">
            <v>동관 (L형)</v>
          </cell>
          <cell r="C251" t="str">
            <v>50Ø</v>
          </cell>
          <cell r="D251" t="str">
            <v>M</v>
          </cell>
          <cell r="E251">
            <v>8980</v>
          </cell>
          <cell r="F251">
            <v>0</v>
          </cell>
          <cell r="G251">
            <v>9850</v>
          </cell>
          <cell r="H251">
            <v>534</v>
          </cell>
          <cell r="I251">
            <v>10270</v>
          </cell>
          <cell r="J251">
            <v>488</v>
          </cell>
          <cell r="L251">
            <v>488</v>
          </cell>
        </row>
        <row r="252">
          <cell r="A252">
            <v>3105</v>
          </cell>
          <cell r="B252" t="str">
            <v>동관 (L형)</v>
          </cell>
          <cell r="C252" t="str">
            <v>40Ø</v>
          </cell>
          <cell r="D252" t="str">
            <v>M</v>
          </cell>
          <cell r="E252">
            <v>5840</v>
          </cell>
          <cell r="F252">
            <v>0</v>
          </cell>
          <cell r="G252">
            <v>6410</v>
          </cell>
          <cell r="H252">
            <v>534</v>
          </cell>
          <cell r="I252">
            <v>6690</v>
          </cell>
          <cell r="J252">
            <v>476</v>
          </cell>
          <cell r="L252">
            <v>376</v>
          </cell>
        </row>
        <row r="253">
          <cell r="A253">
            <v>3106</v>
          </cell>
          <cell r="B253" t="str">
            <v>동관 (L형)</v>
          </cell>
          <cell r="C253" t="str">
            <v>32Ø</v>
          </cell>
          <cell r="D253" t="str">
            <v>M</v>
          </cell>
          <cell r="E253">
            <v>4540</v>
          </cell>
          <cell r="F253">
            <v>0</v>
          </cell>
          <cell r="G253">
            <v>4980</v>
          </cell>
          <cell r="H253">
            <v>534</v>
          </cell>
          <cell r="I253">
            <v>5200</v>
          </cell>
          <cell r="J253">
            <v>476</v>
          </cell>
          <cell r="L253">
            <v>376</v>
          </cell>
        </row>
        <row r="254">
          <cell r="A254">
            <v>3107</v>
          </cell>
          <cell r="B254" t="str">
            <v>동관 (L형)</v>
          </cell>
          <cell r="C254" t="str">
            <v>25Ø</v>
          </cell>
          <cell r="D254" t="str">
            <v>M</v>
          </cell>
          <cell r="E254">
            <v>3340</v>
          </cell>
          <cell r="F254">
            <v>0</v>
          </cell>
          <cell r="G254">
            <v>3700</v>
          </cell>
          <cell r="H254">
            <v>534</v>
          </cell>
          <cell r="I254">
            <v>3850</v>
          </cell>
          <cell r="J254">
            <v>476</v>
          </cell>
          <cell r="L254">
            <v>376</v>
          </cell>
        </row>
        <row r="255">
          <cell r="A255">
            <v>3108</v>
          </cell>
          <cell r="B255" t="str">
            <v>동관 (L형)</v>
          </cell>
          <cell r="C255" t="str">
            <v>20Ø</v>
          </cell>
          <cell r="D255" t="str">
            <v>M</v>
          </cell>
          <cell r="E255">
            <v>2320</v>
          </cell>
          <cell r="F255">
            <v>0</v>
          </cell>
          <cell r="G255">
            <v>2570</v>
          </cell>
          <cell r="H255">
            <v>534</v>
          </cell>
          <cell r="I255">
            <v>2690</v>
          </cell>
          <cell r="J255">
            <v>476</v>
          </cell>
          <cell r="L255">
            <v>376</v>
          </cell>
        </row>
        <row r="256">
          <cell r="A256">
            <v>3109</v>
          </cell>
          <cell r="B256" t="str">
            <v>동관 (L형)</v>
          </cell>
          <cell r="C256" t="str">
            <v>15Ø</v>
          </cell>
          <cell r="D256" t="str">
            <v>M</v>
          </cell>
          <cell r="E256">
            <v>1450</v>
          </cell>
          <cell r="F256">
            <v>0</v>
          </cell>
          <cell r="G256">
            <v>1650</v>
          </cell>
          <cell r="H256">
            <v>534</v>
          </cell>
          <cell r="I256">
            <v>1710</v>
          </cell>
          <cell r="J256">
            <v>476</v>
          </cell>
          <cell r="L256">
            <v>376</v>
          </cell>
        </row>
        <row r="257">
          <cell r="A257">
            <v>3111</v>
          </cell>
          <cell r="B257" t="str">
            <v>동엘보</v>
          </cell>
          <cell r="C257" t="str">
            <v>100Ø</v>
          </cell>
          <cell r="D257" t="str">
            <v>개</v>
          </cell>
          <cell r="E257">
            <v>15698</v>
          </cell>
          <cell r="F257">
            <v>0</v>
          </cell>
          <cell r="G257">
            <v>18044</v>
          </cell>
          <cell r="H257">
            <v>535</v>
          </cell>
          <cell r="I257">
            <v>20621</v>
          </cell>
          <cell r="J257">
            <v>489</v>
          </cell>
          <cell r="L257">
            <v>489</v>
          </cell>
        </row>
        <row r="258">
          <cell r="A258">
            <v>3112</v>
          </cell>
          <cell r="B258" t="str">
            <v>동엘보</v>
          </cell>
          <cell r="C258" t="str">
            <v>80Ø</v>
          </cell>
          <cell r="D258" t="str">
            <v>개</v>
          </cell>
          <cell r="E258">
            <v>7008</v>
          </cell>
          <cell r="F258">
            <v>0</v>
          </cell>
          <cell r="G258">
            <v>8056</v>
          </cell>
          <cell r="H258">
            <v>535</v>
          </cell>
          <cell r="I258">
            <v>9206</v>
          </cell>
          <cell r="J258">
            <v>489</v>
          </cell>
          <cell r="L258">
            <v>489</v>
          </cell>
        </row>
        <row r="259">
          <cell r="A259">
            <v>3113</v>
          </cell>
          <cell r="B259" t="str">
            <v>동엘보</v>
          </cell>
          <cell r="C259" t="str">
            <v>65Ø</v>
          </cell>
          <cell r="D259" t="str">
            <v>개</v>
          </cell>
          <cell r="E259">
            <v>4403</v>
          </cell>
          <cell r="F259">
            <v>0</v>
          </cell>
          <cell r="G259">
            <v>5062</v>
          </cell>
          <cell r="H259">
            <v>535</v>
          </cell>
          <cell r="I259">
            <v>5785</v>
          </cell>
          <cell r="J259">
            <v>489</v>
          </cell>
          <cell r="L259">
            <v>489</v>
          </cell>
        </row>
        <row r="260">
          <cell r="A260">
            <v>3114</v>
          </cell>
          <cell r="B260" t="str">
            <v>동엘보</v>
          </cell>
          <cell r="C260" t="str">
            <v>50Ø</v>
          </cell>
          <cell r="D260" t="str">
            <v>개</v>
          </cell>
          <cell r="E260">
            <v>2441</v>
          </cell>
          <cell r="F260">
            <v>0</v>
          </cell>
          <cell r="G260">
            <v>2806</v>
          </cell>
          <cell r="H260">
            <v>535</v>
          </cell>
          <cell r="I260">
            <v>3206</v>
          </cell>
          <cell r="J260">
            <v>489</v>
          </cell>
          <cell r="L260">
            <v>489</v>
          </cell>
        </row>
        <row r="261">
          <cell r="A261">
            <v>3115</v>
          </cell>
          <cell r="B261" t="str">
            <v>동엘보</v>
          </cell>
          <cell r="C261" t="str">
            <v>40Ø</v>
          </cell>
          <cell r="D261" t="str">
            <v>개</v>
          </cell>
          <cell r="E261">
            <v>1091</v>
          </cell>
          <cell r="F261">
            <v>0</v>
          </cell>
          <cell r="G261">
            <v>1255</v>
          </cell>
          <cell r="H261">
            <v>535</v>
          </cell>
          <cell r="I261">
            <v>1434</v>
          </cell>
          <cell r="J261">
            <v>477</v>
          </cell>
          <cell r="L261">
            <v>377</v>
          </cell>
        </row>
        <row r="262">
          <cell r="A262">
            <v>3116</v>
          </cell>
          <cell r="B262" t="str">
            <v>동엘보</v>
          </cell>
          <cell r="C262" t="str">
            <v>32Ø</v>
          </cell>
          <cell r="D262" t="str">
            <v>개</v>
          </cell>
          <cell r="E262">
            <v>720</v>
          </cell>
          <cell r="F262">
            <v>0</v>
          </cell>
          <cell r="G262">
            <v>828</v>
          </cell>
          <cell r="H262">
            <v>535</v>
          </cell>
          <cell r="I262">
            <v>946</v>
          </cell>
          <cell r="J262">
            <v>477</v>
          </cell>
          <cell r="L262">
            <v>377</v>
          </cell>
        </row>
        <row r="263">
          <cell r="A263">
            <v>3117</v>
          </cell>
          <cell r="B263" t="str">
            <v>동엘보</v>
          </cell>
          <cell r="C263" t="str">
            <v>25Ø</v>
          </cell>
          <cell r="D263" t="str">
            <v>개</v>
          </cell>
          <cell r="E263">
            <v>468</v>
          </cell>
          <cell r="F263">
            <v>0</v>
          </cell>
          <cell r="G263">
            <v>539</v>
          </cell>
          <cell r="H263">
            <v>535</v>
          </cell>
          <cell r="I263">
            <v>616</v>
          </cell>
          <cell r="J263">
            <v>477</v>
          </cell>
          <cell r="L263">
            <v>377</v>
          </cell>
        </row>
        <row r="264">
          <cell r="A264">
            <v>3118</v>
          </cell>
          <cell r="B264" t="str">
            <v>동엘보</v>
          </cell>
          <cell r="C264" t="str">
            <v>20Ø</v>
          </cell>
          <cell r="D264" t="str">
            <v>개</v>
          </cell>
          <cell r="E264">
            <v>271</v>
          </cell>
          <cell r="F264">
            <v>0</v>
          </cell>
          <cell r="G264">
            <v>312</v>
          </cell>
          <cell r="H264">
            <v>535</v>
          </cell>
          <cell r="I264">
            <v>356</v>
          </cell>
          <cell r="J264">
            <v>477</v>
          </cell>
          <cell r="L264">
            <v>377</v>
          </cell>
        </row>
        <row r="265">
          <cell r="A265">
            <v>3119</v>
          </cell>
          <cell r="B265" t="str">
            <v>동엘보</v>
          </cell>
          <cell r="C265" t="str">
            <v>15Ø</v>
          </cell>
          <cell r="D265" t="str">
            <v>개</v>
          </cell>
          <cell r="E265">
            <v>133</v>
          </cell>
          <cell r="F265">
            <v>0</v>
          </cell>
          <cell r="G265">
            <v>153</v>
          </cell>
          <cell r="H265">
            <v>535</v>
          </cell>
          <cell r="I265">
            <v>174</v>
          </cell>
          <cell r="J265">
            <v>477</v>
          </cell>
          <cell r="L265">
            <v>377</v>
          </cell>
        </row>
        <row r="266">
          <cell r="A266">
            <v>3121</v>
          </cell>
          <cell r="B266" t="str">
            <v>동티</v>
          </cell>
          <cell r="C266" t="str">
            <v>100Ø</v>
          </cell>
          <cell r="D266" t="str">
            <v>개</v>
          </cell>
          <cell r="E266">
            <v>17306</v>
          </cell>
          <cell r="F266">
            <v>0</v>
          </cell>
          <cell r="G266">
            <v>19893</v>
          </cell>
          <cell r="H266">
            <v>535</v>
          </cell>
          <cell r="I266">
            <v>22734</v>
          </cell>
          <cell r="J266">
            <v>489</v>
          </cell>
          <cell r="L266">
            <v>489</v>
          </cell>
        </row>
        <row r="267">
          <cell r="A267">
            <v>3122</v>
          </cell>
          <cell r="B267" t="str">
            <v>동티</v>
          </cell>
          <cell r="C267" t="str">
            <v>80Ø</v>
          </cell>
          <cell r="D267" t="str">
            <v>개</v>
          </cell>
          <cell r="E267">
            <v>9499</v>
          </cell>
          <cell r="F267">
            <v>0</v>
          </cell>
          <cell r="G267">
            <v>10919</v>
          </cell>
          <cell r="H267">
            <v>535</v>
          </cell>
          <cell r="I267">
            <v>12478</v>
          </cell>
          <cell r="J267">
            <v>489</v>
          </cell>
          <cell r="L267">
            <v>489</v>
          </cell>
        </row>
        <row r="268">
          <cell r="A268">
            <v>3123</v>
          </cell>
          <cell r="B268" t="str">
            <v>동티</v>
          </cell>
          <cell r="C268" t="str">
            <v>65Ø</v>
          </cell>
          <cell r="D268" t="str">
            <v>개</v>
          </cell>
          <cell r="E268">
            <v>4959</v>
          </cell>
          <cell r="F268">
            <v>0</v>
          </cell>
          <cell r="G268">
            <v>5700</v>
          </cell>
          <cell r="H268">
            <v>535</v>
          </cell>
          <cell r="I268">
            <v>6512</v>
          </cell>
          <cell r="J268">
            <v>489</v>
          </cell>
          <cell r="L268">
            <v>489</v>
          </cell>
        </row>
        <row r="269">
          <cell r="A269">
            <v>3124</v>
          </cell>
          <cell r="B269" t="str">
            <v>동티</v>
          </cell>
          <cell r="C269" t="str">
            <v>50Ø</v>
          </cell>
          <cell r="D269" t="str">
            <v>개</v>
          </cell>
          <cell r="E269">
            <v>3031</v>
          </cell>
          <cell r="F269">
            <v>0</v>
          </cell>
          <cell r="G269">
            <v>3484</v>
          </cell>
          <cell r="H269">
            <v>535</v>
          </cell>
          <cell r="I269">
            <v>3981</v>
          </cell>
          <cell r="J269">
            <v>489</v>
          </cell>
          <cell r="L269">
            <v>489</v>
          </cell>
        </row>
        <row r="270">
          <cell r="A270">
            <v>3125</v>
          </cell>
          <cell r="B270" t="str">
            <v>동티</v>
          </cell>
          <cell r="C270" t="str">
            <v>40Ø</v>
          </cell>
          <cell r="D270" t="str">
            <v>개</v>
          </cell>
          <cell r="E270">
            <v>1663</v>
          </cell>
          <cell r="F270">
            <v>0</v>
          </cell>
          <cell r="G270">
            <v>1912</v>
          </cell>
          <cell r="H270">
            <v>535</v>
          </cell>
          <cell r="I270">
            <v>2185</v>
          </cell>
          <cell r="J270">
            <v>477</v>
          </cell>
          <cell r="L270">
            <v>377</v>
          </cell>
        </row>
        <row r="271">
          <cell r="A271">
            <v>3126</v>
          </cell>
          <cell r="B271" t="str">
            <v>동티</v>
          </cell>
          <cell r="C271" t="str">
            <v>32Ø</v>
          </cell>
          <cell r="D271" t="str">
            <v>개</v>
          </cell>
          <cell r="E271">
            <v>1116</v>
          </cell>
          <cell r="F271">
            <v>0</v>
          </cell>
          <cell r="G271">
            <v>1283</v>
          </cell>
          <cell r="H271">
            <v>535</v>
          </cell>
          <cell r="I271">
            <v>1466</v>
          </cell>
          <cell r="J271">
            <v>477</v>
          </cell>
          <cell r="L271">
            <v>377</v>
          </cell>
        </row>
        <row r="272">
          <cell r="A272">
            <v>3127</v>
          </cell>
          <cell r="B272" t="str">
            <v>동티</v>
          </cell>
          <cell r="C272" t="str">
            <v>25Ø</v>
          </cell>
          <cell r="D272" t="str">
            <v>개</v>
          </cell>
          <cell r="E272">
            <v>656</v>
          </cell>
          <cell r="F272">
            <v>0</v>
          </cell>
          <cell r="G272">
            <v>755</v>
          </cell>
          <cell r="H272">
            <v>535</v>
          </cell>
          <cell r="I272">
            <v>862</v>
          </cell>
          <cell r="J272">
            <v>477</v>
          </cell>
          <cell r="L272">
            <v>377</v>
          </cell>
        </row>
        <row r="273">
          <cell r="A273">
            <v>3128</v>
          </cell>
          <cell r="B273" t="str">
            <v>동티</v>
          </cell>
          <cell r="C273" t="str">
            <v>20Ø</v>
          </cell>
          <cell r="D273" t="str">
            <v>개</v>
          </cell>
          <cell r="E273">
            <v>426</v>
          </cell>
          <cell r="F273">
            <v>0</v>
          </cell>
          <cell r="G273">
            <v>490</v>
          </cell>
          <cell r="H273">
            <v>535</v>
          </cell>
          <cell r="I273">
            <v>560</v>
          </cell>
          <cell r="J273">
            <v>477</v>
          </cell>
          <cell r="L273">
            <v>377</v>
          </cell>
        </row>
        <row r="274">
          <cell r="A274">
            <v>3129</v>
          </cell>
          <cell r="B274" t="str">
            <v>동티</v>
          </cell>
          <cell r="C274" t="str">
            <v>15Ø</v>
          </cell>
          <cell r="D274" t="str">
            <v>개</v>
          </cell>
          <cell r="E274">
            <v>289</v>
          </cell>
          <cell r="F274">
            <v>0</v>
          </cell>
          <cell r="G274">
            <v>333</v>
          </cell>
          <cell r="H274">
            <v>535</v>
          </cell>
          <cell r="I274">
            <v>380</v>
          </cell>
          <cell r="J274">
            <v>477</v>
          </cell>
          <cell r="L274">
            <v>377</v>
          </cell>
        </row>
        <row r="275">
          <cell r="A275">
            <v>3131</v>
          </cell>
          <cell r="B275" t="str">
            <v>동레듀샤</v>
          </cell>
          <cell r="C275" t="str">
            <v>100Ø</v>
          </cell>
          <cell r="D275" t="str">
            <v>개</v>
          </cell>
          <cell r="E275">
            <v>6351</v>
          </cell>
          <cell r="F275">
            <v>0</v>
          </cell>
          <cell r="G275">
            <v>7113</v>
          </cell>
          <cell r="H275">
            <v>535</v>
          </cell>
          <cell r="I275">
            <v>8129</v>
          </cell>
          <cell r="J275">
            <v>489</v>
          </cell>
          <cell r="L275">
            <v>489</v>
          </cell>
        </row>
        <row r="276">
          <cell r="A276">
            <v>3132</v>
          </cell>
          <cell r="B276" t="str">
            <v>동레듀샤</v>
          </cell>
          <cell r="C276" t="str">
            <v>80Ø</v>
          </cell>
          <cell r="D276" t="str">
            <v>개</v>
          </cell>
          <cell r="E276">
            <v>2797</v>
          </cell>
          <cell r="F276">
            <v>0</v>
          </cell>
          <cell r="G276">
            <v>3133</v>
          </cell>
          <cell r="H276">
            <v>535</v>
          </cell>
          <cell r="I276">
            <v>3580</v>
          </cell>
          <cell r="J276">
            <v>489</v>
          </cell>
          <cell r="L276">
            <v>489</v>
          </cell>
        </row>
        <row r="277">
          <cell r="A277">
            <v>3133</v>
          </cell>
          <cell r="B277" t="str">
            <v>동레듀샤</v>
          </cell>
          <cell r="C277" t="str">
            <v>65Ø</v>
          </cell>
          <cell r="D277" t="str">
            <v>개</v>
          </cell>
          <cell r="E277">
            <v>1981</v>
          </cell>
          <cell r="F277">
            <v>0</v>
          </cell>
          <cell r="G277">
            <v>2220</v>
          </cell>
          <cell r="H277">
            <v>535</v>
          </cell>
          <cell r="I277">
            <v>2536</v>
          </cell>
          <cell r="J277">
            <v>489</v>
          </cell>
          <cell r="L277">
            <v>489</v>
          </cell>
        </row>
        <row r="278">
          <cell r="A278">
            <v>3134</v>
          </cell>
          <cell r="B278" t="str">
            <v>동레듀샤</v>
          </cell>
          <cell r="C278" t="str">
            <v>50Ø</v>
          </cell>
          <cell r="D278" t="str">
            <v>개</v>
          </cell>
          <cell r="E278">
            <v>1454</v>
          </cell>
          <cell r="F278">
            <v>0</v>
          </cell>
          <cell r="G278">
            <v>1629</v>
          </cell>
          <cell r="H278">
            <v>535</v>
          </cell>
          <cell r="I278">
            <v>1861</v>
          </cell>
          <cell r="J278">
            <v>489</v>
          </cell>
          <cell r="L278">
            <v>489</v>
          </cell>
        </row>
        <row r="279">
          <cell r="A279">
            <v>3135</v>
          </cell>
          <cell r="B279" t="str">
            <v>동레듀샤</v>
          </cell>
          <cell r="C279" t="str">
            <v>40Ø</v>
          </cell>
          <cell r="D279" t="str">
            <v>개</v>
          </cell>
          <cell r="E279">
            <v>606</v>
          </cell>
          <cell r="F279">
            <v>0</v>
          </cell>
          <cell r="G279">
            <v>679</v>
          </cell>
          <cell r="H279">
            <v>535</v>
          </cell>
          <cell r="I279">
            <v>776</v>
          </cell>
          <cell r="J279">
            <v>489</v>
          </cell>
          <cell r="L279">
            <v>489</v>
          </cell>
        </row>
        <row r="280">
          <cell r="A280">
            <v>3136</v>
          </cell>
          <cell r="B280" t="str">
            <v>동레듀샤</v>
          </cell>
          <cell r="C280" t="str">
            <v>32Ø</v>
          </cell>
          <cell r="D280" t="str">
            <v>개</v>
          </cell>
          <cell r="E280">
            <v>353</v>
          </cell>
          <cell r="F280">
            <v>0</v>
          </cell>
          <cell r="G280">
            <v>396</v>
          </cell>
          <cell r="H280">
            <v>535</v>
          </cell>
          <cell r="I280">
            <v>452</v>
          </cell>
          <cell r="J280">
            <v>489</v>
          </cell>
          <cell r="L280">
            <v>489</v>
          </cell>
        </row>
        <row r="281">
          <cell r="A281">
            <v>3137</v>
          </cell>
          <cell r="B281" t="str">
            <v>동레듀샤</v>
          </cell>
          <cell r="C281" t="str">
            <v>25Ø</v>
          </cell>
          <cell r="D281" t="str">
            <v>개</v>
          </cell>
          <cell r="E281">
            <v>258</v>
          </cell>
          <cell r="F281">
            <v>0</v>
          </cell>
          <cell r="G281">
            <v>290</v>
          </cell>
          <cell r="H281">
            <v>535</v>
          </cell>
          <cell r="I281">
            <v>331</v>
          </cell>
          <cell r="J281">
            <v>489</v>
          </cell>
          <cell r="L281">
            <v>489</v>
          </cell>
        </row>
        <row r="282">
          <cell r="A282">
            <v>3138</v>
          </cell>
          <cell r="B282" t="str">
            <v>동레듀샤</v>
          </cell>
          <cell r="C282" t="str">
            <v>20Ø</v>
          </cell>
          <cell r="D282" t="str">
            <v>개</v>
          </cell>
          <cell r="E282">
            <v>174</v>
          </cell>
          <cell r="F282">
            <v>0</v>
          </cell>
          <cell r="G282">
            <v>195</v>
          </cell>
          <cell r="H282">
            <v>535</v>
          </cell>
          <cell r="I282">
            <v>223</v>
          </cell>
          <cell r="J282">
            <v>489</v>
          </cell>
          <cell r="L282">
            <v>489</v>
          </cell>
        </row>
        <row r="283">
          <cell r="A283">
            <v>3141</v>
          </cell>
          <cell r="B283" t="str">
            <v>동소켓</v>
          </cell>
          <cell r="C283" t="str">
            <v>100Ø</v>
          </cell>
          <cell r="D283" t="str">
            <v>개</v>
          </cell>
          <cell r="E283">
            <v>4891</v>
          </cell>
          <cell r="F283">
            <v>0</v>
          </cell>
          <cell r="G283">
            <v>5622</v>
          </cell>
          <cell r="H283">
            <v>535</v>
          </cell>
          <cell r="I283">
            <v>6425</v>
          </cell>
          <cell r="J283">
            <v>489</v>
          </cell>
          <cell r="L283">
            <v>489</v>
          </cell>
        </row>
        <row r="284">
          <cell r="A284">
            <v>3142</v>
          </cell>
          <cell r="B284" t="str">
            <v>동소켓</v>
          </cell>
          <cell r="C284" t="str">
            <v>80Ø</v>
          </cell>
          <cell r="D284" t="str">
            <v>개</v>
          </cell>
          <cell r="E284">
            <v>2116</v>
          </cell>
          <cell r="F284">
            <v>0</v>
          </cell>
          <cell r="G284">
            <v>2433</v>
          </cell>
          <cell r="H284">
            <v>535</v>
          </cell>
          <cell r="I284">
            <v>2780</v>
          </cell>
          <cell r="J284">
            <v>489</v>
          </cell>
          <cell r="L284">
            <v>489</v>
          </cell>
        </row>
        <row r="285">
          <cell r="A285">
            <v>3143</v>
          </cell>
          <cell r="B285" t="str">
            <v>동소켓</v>
          </cell>
          <cell r="C285" t="str">
            <v>65Ø</v>
          </cell>
          <cell r="D285" t="str">
            <v>개</v>
          </cell>
          <cell r="E285">
            <v>1296</v>
          </cell>
          <cell r="F285">
            <v>0</v>
          </cell>
          <cell r="G285">
            <v>1490</v>
          </cell>
          <cell r="H285">
            <v>535</v>
          </cell>
          <cell r="I285">
            <v>1702</v>
          </cell>
          <cell r="J285">
            <v>489</v>
          </cell>
          <cell r="L285">
            <v>489</v>
          </cell>
        </row>
        <row r="286">
          <cell r="A286">
            <v>3144</v>
          </cell>
          <cell r="B286" t="str">
            <v>동소켓</v>
          </cell>
          <cell r="C286" t="str">
            <v>50Ø</v>
          </cell>
          <cell r="D286" t="str">
            <v>개</v>
          </cell>
          <cell r="E286">
            <v>646</v>
          </cell>
          <cell r="F286">
            <v>0</v>
          </cell>
          <cell r="G286">
            <v>743</v>
          </cell>
          <cell r="H286">
            <v>535</v>
          </cell>
          <cell r="I286">
            <v>848</v>
          </cell>
          <cell r="J286">
            <v>489</v>
          </cell>
          <cell r="L286">
            <v>489</v>
          </cell>
        </row>
        <row r="287">
          <cell r="A287">
            <v>3145</v>
          </cell>
          <cell r="B287" t="str">
            <v>동소켓</v>
          </cell>
          <cell r="C287" t="str">
            <v>40Ø</v>
          </cell>
          <cell r="D287" t="str">
            <v>개</v>
          </cell>
          <cell r="E287">
            <v>361</v>
          </cell>
          <cell r="F287">
            <v>0</v>
          </cell>
          <cell r="G287">
            <v>416</v>
          </cell>
          <cell r="H287">
            <v>535</v>
          </cell>
          <cell r="I287">
            <v>475</v>
          </cell>
          <cell r="J287">
            <v>477</v>
          </cell>
          <cell r="L287">
            <v>377</v>
          </cell>
        </row>
        <row r="288">
          <cell r="A288">
            <v>3146</v>
          </cell>
          <cell r="B288" t="str">
            <v>동소켓</v>
          </cell>
          <cell r="C288" t="str">
            <v>32Ø</v>
          </cell>
          <cell r="D288" t="str">
            <v>개</v>
          </cell>
          <cell r="E288">
            <v>252</v>
          </cell>
          <cell r="F288">
            <v>0</v>
          </cell>
          <cell r="G288">
            <v>290</v>
          </cell>
          <cell r="H288">
            <v>535</v>
          </cell>
          <cell r="I288">
            <v>331</v>
          </cell>
          <cell r="J288">
            <v>477</v>
          </cell>
          <cell r="L288">
            <v>377</v>
          </cell>
        </row>
        <row r="289">
          <cell r="A289">
            <v>3147</v>
          </cell>
          <cell r="B289" t="str">
            <v>동소켓</v>
          </cell>
          <cell r="C289" t="str">
            <v>25Ø</v>
          </cell>
          <cell r="D289" t="str">
            <v>개</v>
          </cell>
          <cell r="E289">
            <v>196</v>
          </cell>
          <cell r="F289">
            <v>0</v>
          </cell>
          <cell r="G289">
            <v>226</v>
          </cell>
          <cell r="H289">
            <v>535</v>
          </cell>
          <cell r="I289">
            <v>258</v>
          </cell>
          <cell r="J289">
            <v>477</v>
          </cell>
          <cell r="L289">
            <v>377</v>
          </cell>
        </row>
        <row r="290">
          <cell r="A290">
            <v>3148</v>
          </cell>
          <cell r="B290" t="str">
            <v>동소켓</v>
          </cell>
          <cell r="C290" t="str">
            <v>20Ø</v>
          </cell>
          <cell r="D290" t="str">
            <v>개</v>
          </cell>
          <cell r="E290">
            <v>131</v>
          </cell>
          <cell r="F290">
            <v>0</v>
          </cell>
          <cell r="G290">
            <v>151</v>
          </cell>
          <cell r="H290">
            <v>535</v>
          </cell>
          <cell r="I290">
            <v>172</v>
          </cell>
          <cell r="J290">
            <v>477</v>
          </cell>
          <cell r="L290">
            <v>377</v>
          </cell>
        </row>
        <row r="291">
          <cell r="A291">
            <v>3149</v>
          </cell>
          <cell r="B291" t="str">
            <v>동소켓</v>
          </cell>
          <cell r="C291" t="str">
            <v>15Ø</v>
          </cell>
          <cell r="D291" t="str">
            <v>개</v>
          </cell>
          <cell r="E291">
            <v>87</v>
          </cell>
          <cell r="F291">
            <v>0</v>
          </cell>
          <cell r="G291">
            <v>100</v>
          </cell>
          <cell r="H291">
            <v>535</v>
          </cell>
          <cell r="I291">
            <v>114</v>
          </cell>
          <cell r="J291">
            <v>477</v>
          </cell>
          <cell r="L291">
            <v>377</v>
          </cell>
        </row>
        <row r="292">
          <cell r="A292">
            <v>3151</v>
          </cell>
          <cell r="B292" t="str">
            <v>동캡</v>
          </cell>
          <cell r="C292" t="str">
            <v>100Ø</v>
          </cell>
          <cell r="D292" t="str">
            <v>개</v>
          </cell>
          <cell r="E292">
            <v>4421</v>
          </cell>
          <cell r="F292">
            <v>0</v>
          </cell>
          <cell r="G292">
            <v>5082</v>
          </cell>
          <cell r="H292">
            <v>535</v>
          </cell>
          <cell r="I292">
            <v>5808</v>
          </cell>
          <cell r="J292">
            <v>489</v>
          </cell>
          <cell r="L292">
            <v>489</v>
          </cell>
        </row>
        <row r="293">
          <cell r="A293">
            <v>3152</v>
          </cell>
          <cell r="B293" t="str">
            <v>동캡</v>
          </cell>
          <cell r="C293" t="str">
            <v>80Ø</v>
          </cell>
          <cell r="D293" t="str">
            <v>개</v>
          </cell>
          <cell r="E293">
            <v>2287</v>
          </cell>
          <cell r="F293">
            <v>0</v>
          </cell>
          <cell r="G293">
            <v>2629</v>
          </cell>
          <cell r="H293">
            <v>535</v>
          </cell>
          <cell r="I293">
            <v>3004</v>
          </cell>
          <cell r="J293">
            <v>489</v>
          </cell>
          <cell r="L293">
            <v>489</v>
          </cell>
        </row>
        <row r="294">
          <cell r="A294">
            <v>3153</v>
          </cell>
          <cell r="B294" t="str">
            <v>동캡</v>
          </cell>
          <cell r="C294" t="str">
            <v>65Ø</v>
          </cell>
          <cell r="D294" t="str">
            <v>개</v>
          </cell>
          <cell r="E294">
            <v>1538</v>
          </cell>
          <cell r="F294">
            <v>0</v>
          </cell>
          <cell r="G294">
            <v>1768</v>
          </cell>
          <cell r="H294">
            <v>535</v>
          </cell>
          <cell r="I294">
            <v>2020</v>
          </cell>
          <cell r="J294">
            <v>489</v>
          </cell>
          <cell r="L294">
            <v>489</v>
          </cell>
        </row>
        <row r="295">
          <cell r="A295">
            <v>3154</v>
          </cell>
          <cell r="B295" t="str">
            <v>동캡</v>
          </cell>
          <cell r="C295" t="str">
            <v>50Ø</v>
          </cell>
          <cell r="D295" t="str">
            <v>개</v>
          </cell>
          <cell r="E295">
            <v>908</v>
          </cell>
          <cell r="F295">
            <v>0</v>
          </cell>
          <cell r="G295">
            <v>1044</v>
          </cell>
          <cell r="H295">
            <v>535</v>
          </cell>
          <cell r="I295">
            <v>1192</v>
          </cell>
          <cell r="J295">
            <v>489</v>
          </cell>
          <cell r="L295">
            <v>489</v>
          </cell>
        </row>
        <row r="296">
          <cell r="A296">
            <v>3155</v>
          </cell>
          <cell r="B296" t="str">
            <v>동캡</v>
          </cell>
          <cell r="C296" t="str">
            <v>40Ø</v>
          </cell>
          <cell r="D296" t="str">
            <v>개</v>
          </cell>
          <cell r="E296">
            <v>524</v>
          </cell>
          <cell r="F296">
            <v>0</v>
          </cell>
          <cell r="G296">
            <v>603</v>
          </cell>
          <cell r="H296">
            <v>535</v>
          </cell>
          <cell r="I296">
            <v>689</v>
          </cell>
          <cell r="J296">
            <v>477</v>
          </cell>
          <cell r="L296">
            <v>377</v>
          </cell>
        </row>
        <row r="297">
          <cell r="A297">
            <v>3156</v>
          </cell>
          <cell r="B297" t="str">
            <v>동캡</v>
          </cell>
          <cell r="C297" t="str">
            <v>32Ø</v>
          </cell>
          <cell r="D297" t="str">
            <v>개</v>
          </cell>
          <cell r="E297">
            <v>322</v>
          </cell>
          <cell r="F297">
            <v>0</v>
          </cell>
          <cell r="G297">
            <v>371</v>
          </cell>
          <cell r="H297">
            <v>535</v>
          </cell>
          <cell r="I297">
            <v>424</v>
          </cell>
          <cell r="J297">
            <v>477</v>
          </cell>
          <cell r="L297">
            <v>377</v>
          </cell>
        </row>
        <row r="298">
          <cell r="A298">
            <v>3157</v>
          </cell>
          <cell r="B298" t="str">
            <v>동캡</v>
          </cell>
          <cell r="C298" t="str">
            <v>25Ø</v>
          </cell>
          <cell r="D298" t="str">
            <v>개</v>
          </cell>
          <cell r="E298">
            <v>234</v>
          </cell>
          <cell r="F298">
            <v>0</v>
          </cell>
          <cell r="G298">
            <v>270</v>
          </cell>
          <cell r="H298">
            <v>535</v>
          </cell>
          <cell r="I298">
            <v>308</v>
          </cell>
          <cell r="J298">
            <v>477</v>
          </cell>
          <cell r="L298">
            <v>377</v>
          </cell>
        </row>
        <row r="299">
          <cell r="A299">
            <v>3158</v>
          </cell>
          <cell r="B299" t="str">
            <v>동캡</v>
          </cell>
          <cell r="C299" t="str">
            <v>20Ø</v>
          </cell>
          <cell r="D299" t="str">
            <v>개</v>
          </cell>
          <cell r="E299">
            <v>158</v>
          </cell>
          <cell r="F299">
            <v>0</v>
          </cell>
          <cell r="G299">
            <v>182</v>
          </cell>
          <cell r="H299">
            <v>535</v>
          </cell>
          <cell r="I299">
            <v>208</v>
          </cell>
          <cell r="J299">
            <v>477</v>
          </cell>
          <cell r="L299">
            <v>377</v>
          </cell>
        </row>
        <row r="300">
          <cell r="A300">
            <v>3159</v>
          </cell>
          <cell r="B300" t="str">
            <v>동캡</v>
          </cell>
          <cell r="C300" t="str">
            <v>15Ø</v>
          </cell>
          <cell r="D300" t="str">
            <v>개</v>
          </cell>
          <cell r="E300">
            <v>120</v>
          </cell>
          <cell r="F300">
            <v>0</v>
          </cell>
          <cell r="G300">
            <v>139</v>
          </cell>
          <cell r="H300">
            <v>535</v>
          </cell>
          <cell r="I300">
            <v>158</v>
          </cell>
          <cell r="J300">
            <v>477</v>
          </cell>
          <cell r="L300">
            <v>377</v>
          </cell>
        </row>
        <row r="301">
          <cell r="A301">
            <v>3161</v>
          </cell>
          <cell r="B301" t="str">
            <v>동절연 합 후렌지</v>
          </cell>
          <cell r="C301" t="str">
            <v>100Ø</v>
          </cell>
          <cell r="D301" t="str">
            <v>개</v>
          </cell>
          <cell r="E301">
            <v>18144</v>
          </cell>
          <cell r="F301">
            <v>14373</v>
          </cell>
          <cell r="H301">
            <v>0</v>
          </cell>
          <cell r="I301">
            <v>25637</v>
          </cell>
          <cell r="J301">
            <v>0</v>
          </cell>
          <cell r="L301">
            <v>0</v>
          </cell>
        </row>
        <row r="302">
          <cell r="A302">
            <v>3162</v>
          </cell>
          <cell r="B302" t="str">
            <v>동절연 합 후렌지</v>
          </cell>
          <cell r="C302" t="str">
            <v>80Ø</v>
          </cell>
          <cell r="D302" t="str">
            <v>개</v>
          </cell>
          <cell r="E302">
            <v>12702</v>
          </cell>
          <cell r="F302">
            <v>10187</v>
          </cell>
          <cell r="H302">
            <v>0</v>
          </cell>
          <cell r="I302">
            <v>19335</v>
          </cell>
          <cell r="J302">
            <v>0</v>
          </cell>
          <cell r="L302">
            <v>0</v>
          </cell>
        </row>
        <row r="303">
          <cell r="A303">
            <v>3163</v>
          </cell>
          <cell r="B303" t="str">
            <v>동절연 합 후렌지</v>
          </cell>
          <cell r="C303" t="str">
            <v>65Ø</v>
          </cell>
          <cell r="D303" t="str">
            <v>개</v>
          </cell>
          <cell r="E303">
            <v>10162</v>
          </cell>
          <cell r="F303">
            <v>8791</v>
          </cell>
          <cell r="H303">
            <v>0</v>
          </cell>
          <cell r="I303">
            <v>13265</v>
          </cell>
          <cell r="J303">
            <v>0</v>
          </cell>
          <cell r="L303">
            <v>0</v>
          </cell>
        </row>
        <row r="304">
          <cell r="A304">
            <v>3164</v>
          </cell>
          <cell r="B304" t="str">
            <v>동절연유니온</v>
          </cell>
          <cell r="C304" t="str">
            <v>50Ø</v>
          </cell>
          <cell r="D304" t="str">
            <v>개</v>
          </cell>
          <cell r="E304">
            <v>4350</v>
          </cell>
          <cell r="F304">
            <v>0</v>
          </cell>
          <cell r="G304">
            <v>8972</v>
          </cell>
          <cell r="H304">
            <v>535</v>
          </cell>
          <cell r="I304">
            <v>8972</v>
          </cell>
          <cell r="J304">
            <v>489</v>
          </cell>
          <cell r="L304">
            <v>489</v>
          </cell>
        </row>
        <row r="305">
          <cell r="A305">
            <v>3165</v>
          </cell>
          <cell r="B305" t="str">
            <v>동절연유니온</v>
          </cell>
          <cell r="C305" t="str">
            <v>40Ø</v>
          </cell>
          <cell r="D305" t="str">
            <v>개</v>
          </cell>
          <cell r="E305">
            <v>3576</v>
          </cell>
          <cell r="F305">
            <v>0</v>
          </cell>
          <cell r="G305">
            <v>6850</v>
          </cell>
          <cell r="H305">
            <v>535</v>
          </cell>
          <cell r="I305">
            <v>6850</v>
          </cell>
          <cell r="J305">
            <v>477</v>
          </cell>
          <cell r="L305">
            <v>377</v>
          </cell>
        </row>
        <row r="306">
          <cell r="A306">
            <v>3166</v>
          </cell>
          <cell r="B306" t="str">
            <v>동절연유니온</v>
          </cell>
          <cell r="C306" t="str">
            <v>32Ø</v>
          </cell>
          <cell r="D306" t="str">
            <v>개</v>
          </cell>
          <cell r="E306">
            <v>2680</v>
          </cell>
          <cell r="F306">
            <v>0</v>
          </cell>
          <cell r="G306">
            <v>4604</v>
          </cell>
          <cell r="H306">
            <v>535</v>
          </cell>
          <cell r="I306">
            <v>4604</v>
          </cell>
          <cell r="J306">
            <v>477</v>
          </cell>
          <cell r="L306">
            <v>377</v>
          </cell>
        </row>
        <row r="307">
          <cell r="A307">
            <v>3167</v>
          </cell>
          <cell r="B307" t="str">
            <v>동절연유니온</v>
          </cell>
          <cell r="C307" t="str">
            <v>25Ø</v>
          </cell>
          <cell r="D307" t="str">
            <v>개</v>
          </cell>
          <cell r="E307">
            <v>1903</v>
          </cell>
          <cell r="F307">
            <v>0</v>
          </cell>
          <cell r="G307">
            <v>3096</v>
          </cell>
          <cell r="H307">
            <v>535</v>
          </cell>
          <cell r="I307">
            <v>3097</v>
          </cell>
          <cell r="J307">
            <v>477</v>
          </cell>
          <cell r="L307">
            <v>377</v>
          </cell>
        </row>
        <row r="308">
          <cell r="A308">
            <v>3168</v>
          </cell>
          <cell r="B308" t="str">
            <v>동절연유니온</v>
          </cell>
          <cell r="C308" t="str">
            <v>20Ø</v>
          </cell>
          <cell r="D308" t="str">
            <v>개</v>
          </cell>
          <cell r="E308">
            <v>1513</v>
          </cell>
          <cell r="F308">
            <v>0</v>
          </cell>
          <cell r="G308">
            <v>1980</v>
          </cell>
          <cell r="H308">
            <v>535</v>
          </cell>
          <cell r="I308">
            <v>1980</v>
          </cell>
          <cell r="J308">
            <v>477</v>
          </cell>
          <cell r="L308">
            <v>377</v>
          </cell>
        </row>
        <row r="309">
          <cell r="A309">
            <v>3169</v>
          </cell>
          <cell r="B309" t="str">
            <v>동절연유니온</v>
          </cell>
          <cell r="C309" t="str">
            <v>15Ø</v>
          </cell>
          <cell r="D309" t="str">
            <v>개</v>
          </cell>
          <cell r="E309">
            <v>1245</v>
          </cell>
          <cell r="F309">
            <v>0</v>
          </cell>
          <cell r="G309">
            <v>1130</v>
          </cell>
          <cell r="H309">
            <v>535</v>
          </cell>
          <cell r="I309">
            <v>1130</v>
          </cell>
          <cell r="J309">
            <v>477</v>
          </cell>
          <cell r="L309">
            <v>377</v>
          </cell>
        </row>
        <row r="310">
          <cell r="A310">
            <v>3171</v>
          </cell>
          <cell r="B310" t="str">
            <v>CM 아답타</v>
          </cell>
          <cell r="C310" t="str">
            <v>100Ø</v>
          </cell>
          <cell r="D310" t="str">
            <v>개</v>
          </cell>
          <cell r="E310">
            <v>23832</v>
          </cell>
          <cell r="F310">
            <v>0</v>
          </cell>
          <cell r="G310">
            <v>26090</v>
          </cell>
          <cell r="H310">
            <v>535</v>
          </cell>
          <cell r="I310">
            <v>26091</v>
          </cell>
          <cell r="J310">
            <v>489</v>
          </cell>
          <cell r="L310">
            <v>489</v>
          </cell>
        </row>
        <row r="311">
          <cell r="A311">
            <v>3172</v>
          </cell>
          <cell r="B311" t="str">
            <v>CM 아답타</v>
          </cell>
          <cell r="C311" t="str">
            <v>80Ø</v>
          </cell>
          <cell r="D311" t="str">
            <v>개</v>
          </cell>
          <cell r="E311">
            <v>11409</v>
          </cell>
          <cell r="F311">
            <v>0</v>
          </cell>
          <cell r="G311">
            <v>12490</v>
          </cell>
          <cell r="H311">
            <v>535</v>
          </cell>
          <cell r="I311">
            <v>12488</v>
          </cell>
          <cell r="J311">
            <v>489</v>
          </cell>
          <cell r="L311">
            <v>489</v>
          </cell>
        </row>
        <row r="312">
          <cell r="A312">
            <v>3173</v>
          </cell>
          <cell r="B312" t="str">
            <v>CM 아답타</v>
          </cell>
          <cell r="C312" t="str">
            <v>65Ø</v>
          </cell>
          <cell r="D312" t="str">
            <v>개</v>
          </cell>
          <cell r="E312">
            <v>6308</v>
          </cell>
          <cell r="F312">
            <v>0</v>
          </cell>
          <cell r="G312">
            <v>6906</v>
          </cell>
          <cell r="H312">
            <v>535</v>
          </cell>
          <cell r="I312">
            <v>6906</v>
          </cell>
          <cell r="J312">
            <v>489</v>
          </cell>
          <cell r="L312">
            <v>489</v>
          </cell>
        </row>
        <row r="313">
          <cell r="A313">
            <v>3174</v>
          </cell>
          <cell r="B313" t="str">
            <v>CM 아답타</v>
          </cell>
          <cell r="C313" t="str">
            <v>50Ø</v>
          </cell>
          <cell r="D313" t="str">
            <v>개</v>
          </cell>
          <cell r="E313">
            <v>2944</v>
          </cell>
          <cell r="F313">
            <v>0</v>
          </cell>
          <cell r="G313">
            <v>3223</v>
          </cell>
          <cell r="H313">
            <v>535</v>
          </cell>
          <cell r="I313">
            <v>3223</v>
          </cell>
          <cell r="J313">
            <v>489</v>
          </cell>
          <cell r="L313">
            <v>489</v>
          </cell>
        </row>
        <row r="314">
          <cell r="A314">
            <v>3175</v>
          </cell>
          <cell r="B314" t="str">
            <v>CM 아답타</v>
          </cell>
          <cell r="C314" t="str">
            <v>40Ø</v>
          </cell>
          <cell r="D314" t="str">
            <v>개</v>
          </cell>
          <cell r="E314">
            <v>2101</v>
          </cell>
          <cell r="F314">
            <v>0</v>
          </cell>
          <cell r="G314">
            <v>2300</v>
          </cell>
          <cell r="H314">
            <v>535</v>
          </cell>
          <cell r="I314">
            <v>2302</v>
          </cell>
          <cell r="J314">
            <v>477</v>
          </cell>
          <cell r="L314">
            <v>377</v>
          </cell>
        </row>
        <row r="315">
          <cell r="A315">
            <v>3176</v>
          </cell>
          <cell r="B315" t="str">
            <v>CM 아답타</v>
          </cell>
          <cell r="C315" t="str">
            <v>32Ø</v>
          </cell>
          <cell r="D315" t="str">
            <v>개</v>
          </cell>
          <cell r="E315">
            <v>1429</v>
          </cell>
          <cell r="F315">
            <v>0</v>
          </cell>
          <cell r="G315">
            <v>1565</v>
          </cell>
          <cell r="H315">
            <v>535</v>
          </cell>
          <cell r="I315">
            <v>1566</v>
          </cell>
          <cell r="J315">
            <v>477</v>
          </cell>
          <cell r="L315">
            <v>377</v>
          </cell>
        </row>
        <row r="316">
          <cell r="A316">
            <v>3177</v>
          </cell>
          <cell r="B316" t="str">
            <v>CM 아답타</v>
          </cell>
          <cell r="C316" t="str">
            <v>25Ø</v>
          </cell>
          <cell r="D316" t="str">
            <v>개</v>
          </cell>
          <cell r="E316">
            <v>810</v>
          </cell>
          <cell r="F316">
            <v>0</v>
          </cell>
          <cell r="G316">
            <v>888</v>
          </cell>
          <cell r="H316">
            <v>535</v>
          </cell>
          <cell r="I316">
            <v>888</v>
          </cell>
          <cell r="J316">
            <v>477</v>
          </cell>
          <cell r="L316">
            <v>377</v>
          </cell>
        </row>
        <row r="317">
          <cell r="A317">
            <v>3178</v>
          </cell>
          <cell r="B317" t="str">
            <v>CM 아답타</v>
          </cell>
          <cell r="C317" t="str">
            <v>20Ø</v>
          </cell>
          <cell r="D317" t="str">
            <v>개</v>
          </cell>
          <cell r="E317">
            <v>507</v>
          </cell>
          <cell r="F317">
            <v>0</v>
          </cell>
          <cell r="G317">
            <v>556</v>
          </cell>
          <cell r="H317">
            <v>535</v>
          </cell>
          <cell r="I317">
            <v>556</v>
          </cell>
          <cell r="J317">
            <v>477</v>
          </cell>
          <cell r="L317">
            <v>377</v>
          </cell>
        </row>
        <row r="318">
          <cell r="A318">
            <v>3179</v>
          </cell>
          <cell r="B318" t="str">
            <v>CM 아답타</v>
          </cell>
          <cell r="C318" t="str">
            <v>15Ø</v>
          </cell>
          <cell r="D318" t="str">
            <v>개</v>
          </cell>
          <cell r="E318">
            <v>253</v>
          </cell>
          <cell r="F318">
            <v>0</v>
          </cell>
          <cell r="G318">
            <v>278</v>
          </cell>
          <cell r="H318">
            <v>535</v>
          </cell>
          <cell r="I318">
            <v>278</v>
          </cell>
          <cell r="J318">
            <v>477</v>
          </cell>
          <cell r="L318">
            <v>377</v>
          </cell>
        </row>
        <row r="319">
          <cell r="A319">
            <v>3181</v>
          </cell>
          <cell r="B319" t="str">
            <v>CF 아답타</v>
          </cell>
          <cell r="C319" t="str">
            <v>50Ø</v>
          </cell>
          <cell r="D319" t="str">
            <v>개</v>
          </cell>
          <cell r="E319">
            <v>4995</v>
          </cell>
          <cell r="F319">
            <v>0</v>
          </cell>
          <cell r="G319">
            <v>5469</v>
          </cell>
          <cell r="H319">
            <v>535</v>
          </cell>
          <cell r="I319">
            <v>5469</v>
          </cell>
          <cell r="J319">
            <v>489</v>
          </cell>
          <cell r="L319">
            <v>489</v>
          </cell>
        </row>
        <row r="320">
          <cell r="A320">
            <v>3182</v>
          </cell>
          <cell r="B320" t="str">
            <v>CF 아답타</v>
          </cell>
          <cell r="C320" t="str">
            <v>40Ø</v>
          </cell>
          <cell r="D320" t="str">
            <v>개</v>
          </cell>
          <cell r="E320">
            <v>3034</v>
          </cell>
          <cell r="F320">
            <v>0</v>
          </cell>
          <cell r="G320">
            <v>3322</v>
          </cell>
          <cell r="H320">
            <v>535</v>
          </cell>
          <cell r="I320">
            <v>3322</v>
          </cell>
          <cell r="J320">
            <v>477</v>
          </cell>
          <cell r="L320">
            <v>377</v>
          </cell>
        </row>
        <row r="321">
          <cell r="A321">
            <v>3183</v>
          </cell>
          <cell r="B321" t="str">
            <v>CF 아답타</v>
          </cell>
          <cell r="C321" t="str">
            <v>32Ø</v>
          </cell>
          <cell r="D321" t="str">
            <v>개</v>
          </cell>
          <cell r="E321">
            <v>2343</v>
          </cell>
          <cell r="F321">
            <v>0</v>
          </cell>
          <cell r="G321">
            <v>2566</v>
          </cell>
          <cell r="H321">
            <v>535</v>
          </cell>
          <cell r="I321">
            <v>2566</v>
          </cell>
          <cell r="J321">
            <v>477</v>
          </cell>
          <cell r="L321">
            <v>377</v>
          </cell>
        </row>
        <row r="322">
          <cell r="A322">
            <v>3184</v>
          </cell>
          <cell r="B322" t="str">
            <v>CF 아답타</v>
          </cell>
          <cell r="C322" t="str">
            <v>25Ø</v>
          </cell>
          <cell r="D322" t="str">
            <v>개</v>
          </cell>
          <cell r="E322">
            <v>1401</v>
          </cell>
          <cell r="F322">
            <v>0</v>
          </cell>
          <cell r="G322">
            <v>1535</v>
          </cell>
          <cell r="H322">
            <v>535</v>
          </cell>
          <cell r="I322">
            <v>1535</v>
          </cell>
          <cell r="J322">
            <v>477</v>
          </cell>
          <cell r="L322">
            <v>377</v>
          </cell>
        </row>
        <row r="323">
          <cell r="A323">
            <v>3185</v>
          </cell>
          <cell r="B323" t="str">
            <v>CF 아답타</v>
          </cell>
          <cell r="C323" t="str">
            <v>20Ø</v>
          </cell>
          <cell r="D323" t="str">
            <v>개</v>
          </cell>
          <cell r="E323">
            <v>621</v>
          </cell>
          <cell r="F323">
            <v>0</v>
          </cell>
          <cell r="G323">
            <v>681</v>
          </cell>
          <cell r="H323">
            <v>535</v>
          </cell>
          <cell r="I323">
            <v>682</v>
          </cell>
          <cell r="J323">
            <v>477</v>
          </cell>
          <cell r="L323">
            <v>377</v>
          </cell>
        </row>
        <row r="324">
          <cell r="A324">
            <v>3186</v>
          </cell>
          <cell r="B324" t="str">
            <v>CF 아답타</v>
          </cell>
          <cell r="C324" t="str">
            <v>15Ø</v>
          </cell>
          <cell r="D324" t="str">
            <v>개</v>
          </cell>
          <cell r="E324">
            <v>355</v>
          </cell>
          <cell r="F324">
            <v>0</v>
          </cell>
          <cell r="G324">
            <v>390</v>
          </cell>
          <cell r="H324">
            <v>535</v>
          </cell>
          <cell r="I324">
            <v>390</v>
          </cell>
          <cell r="J324">
            <v>477</v>
          </cell>
          <cell r="L324">
            <v>377</v>
          </cell>
        </row>
        <row r="325">
          <cell r="A325">
            <v>3191</v>
          </cell>
          <cell r="B325" t="str">
            <v>CF 엘보</v>
          </cell>
          <cell r="C325" t="str">
            <v>32Ø</v>
          </cell>
          <cell r="D325" t="str">
            <v>개</v>
          </cell>
          <cell r="E325">
            <v>4485</v>
          </cell>
          <cell r="F325">
            <v>0</v>
          </cell>
          <cell r="G325">
            <v>4911</v>
          </cell>
          <cell r="H325">
            <v>535</v>
          </cell>
          <cell r="I325">
            <v>4911</v>
          </cell>
          <cell r="J325">
            <v>477</v>
          </cell>
          <cell r="L325">
            <v>377</v>
          </cell>
        </row>
        <row r="326">
          <cell r="A326">
            <v>3192</v>
          </cell>
          <cell r="B326" t="str">
            <v>CF 엘보</v>
          </cell>
          <cell r="C326" t="str">
            <v>25Ø</v>
          </cell>
          <cell r="D326" t="str">
            <v>개</v>
          </cell>
          <cell r="E326">
            <v>2526</v>
          </cell>
          <cell r="F326">
            <v>0</v>
          </cell>
          <cell r="G326">
            <v>2766</v>
          </cell>
          <cell r="H326">
            <v>535</v>
          </cell>
          <cell r="I326">
            <v>2766</v>
          </cell>
          <cell r="J326">
            <v>477</v>
          </cell>
          <cell r="L326">
            <v>377</v>
          </cell>
        </row>
        <row r="327">
          <cell r="A327">
            <v>3193</v>
          </cell>
          <cell r="B327" t="str">
            <v>CF 엘보</v>
          </cell>
          <cell r="C327" t="str">
            <v>20Ø</v>
          </cell>
          <cell r="D327" t="str">
            <v>개</v>
          </cell>
          <cell r="E327">
            <v>1201</v>
          </cell>
          <cell r="F327">
            <v>0</v>
          </cell>
          <cell r="G327">
            <v>1316</v>
          </cell>
          <cell r="H327">
            <v>535</v>
          </cell>
          <cell r="I327">
            <v>1316</v>
          </cell>
          <cell r="J327">
            <v>477</v>
          </cell>
          <cell r="L327">
            <v>377</v>
          </cell>
        </row>
        <row r="328">
          <cell r="A328">
            <v>3194</v>
          </cell>
          <cell r="B328" t="str">
            <v>CF 엘보</v>
          </cell>
          <cell r="C328" t="str">
            <v>15Ø</v>
          </cell>
          <cell r="D328" t="str">
            <v>개</v>
          </cell>
          <cell r="E328">
            <v>704</v>
          </cell>
          <cell r="F328">
            <v>0</v>
          </cell>
          <cell r="G328">
            <v>772</v>
          </cell>
          <cell r="H328">
            <v>535</v>
          </cell>
          <cell r="I328">
            <v>773</v>
          </cell>
          <cell r="J328">
            <v>477</v>
          </cell>
          <cell r="L328">
            <v>377</v>
          </cell>
        </row>
        <row r="329">
          <cell r="A329">
            <v>3195</v>
          </cell>
          <cell r="B329" t="str">
            <v>동에어챔버</v>
          </cell>
          <cell r="C329" t="str">
            <v>25Ø</v>
          </cell>
          <cell r="D329" t="str">
            <v>개</v>
          </cell>
          <cell r="E329">
            <v>1902</v>
          </cell>
          <cell r="F329">
            <v>0</v>
          </cell>
          <cell r="G329">
            <v>2187</v>
          </cell>
          <cell r="H329">
            <v>535</v>
          </cell>
          <cell r="I329">
            <v>2499</v>
          </cell>
          <cell r="J329">
            <v>477</v>
          </cell>
          <cell r="L329">
            <v>377</v>
          </cell>
        </row>
        <row r="330">
          <cell r="A330">
            <v>3196</v>
          </cell>
          <cell r="B330" t="str">
            <v>동에어챔버</v>
          </cell>
          <cell r="C330" t="str">
            <v>20Ø</v>
          </cell>
          <cell r="D330" t="str">
            <v>개</v>
          </cell>
          <cell r="E330">
            <v>1539</v>
          </cell>
          <cell r="F330">
            <v>0</v>
          </cell>
          <cell r="G330">
            <v>1770</v>
          </cell>
          <cell r="H330">
            <v>535</v>
          </cell>
          <cell r="I330">
            <v>2024</v>
          </cell>
          <cell r="J330">
            <v>477</v>
          </cell>
          <cell r="L330">
            <v>377</v>
          </cell>
        </row>
        <row r="331">
          <cell r="A331">
            <v>3197</v>
          </cell>
          <cell r="B331" t="str">
            <v>동에어챔버</v>
          </cell>
          <cell r="C331" t="str">
            <v>15Ø</v>
          </cell>
          <cell r="D331" t="str">
            <v>개</v>
          </cell>
          <cell r="E331">
            <v>1539</v>
          </cell>
          <cell r="F331">
            <v>0</v>
          </cell>
          <cell r="G331">
            <v>1770</v>
          </cell>
          <cell r="H331">
            <v>535</v>
          </cell>
          <cell r="I331">
            <v>2024</v>
          </cell>
          <cell r="J331">
            <v>477</v>
          </cell>
          <cell r="L331">
            <v>377</v>
          </cell>
        </row>
        <row r="332">
          <cell r="E332">
            <v>0</v>
          </cell>
        </row>
        <row r="333">
          <cell r="E333">
            <v>0</v>
          </cell>
        </row>
        <row r="334">
          <cell r="E334">
            <v>0</v>
          </cell>
        </row>
        <row r="335">
          <cell r="E335">
            <v>0</v>
          </cell>
        </row>
        <row r="336">
          <cell r="E336">
            <v>0</v>
          </cell>
        </row>
        <row r="337">
          <cell r="E337">
            <v>0</v>
          </cell>
        </row>
        <row r="338">
          <cell r="E338">
            <v>0</v>
          </cell>
        </row>
        <row r="339">
          <cell r="E339">
            <v>0</v>
          </cell>
        </row>
        <row r="346">
          <cell r="A346">
            <v>3201</v>
          </cell>
          <cell r="B346" t="str">
            <v>스테인레스관 (3.0t)</v>
          </cell>
          <cell r="C346" t="str">
            <v>100Ø</v>
          </cell>
          <cell r="D346" t="str">
            <v>M</v>
          </cell>
          <cell r="E346">
            <v>22470</v>
          </cell>
          <cell r="F346">
            <v>0</v>
          </cell>
          <cell r="H346">
            <v>480</v>
          </cell>
          <cell r="I346">
            <v>22873</v>
          </cell>
          <cell r="J346">
            <v>480</v>
          </cell>
          <cell r="L346">
            <v>480</v>
          </cell>
        </row>
        <row r="347">
          <cell r="A347">
            <v>3202</v>
          </cell>
          <cell r="B347" t="str">
            <v>스테인레스관 (3.0t)</v>
          </cell>
          <cell r="C347" t="str">
            <v>80Ø</v>
          </cell>
          <cell r="D347" t="str">
            <v>M</v>
          </cell>
          <cell r="E347">
            <v>17370</v>
          </cell>
          <cell r="F347">
            <v>0</v>
          </cell>
          <cell r="H347">
            <v>480</v>
          </cell>
          <cell r="I347">
            <v>17695</v>
          </cell>
          <cell r="J347">
            <v>480</v>
          </cell>
          <cell r="L347">
            <v>480</v>
          </cell>
        </row>
        <row r="348">
          <cell r="A348">
            <v>3203</v>
          </cell>
          <cell r="B348" t="str">
            <v>스테인레스관 (K형)</v>
          </cell>
          <cell r="C348" t="str">
            <v>60Ø</v>
          </cell>
          <cell r="D348" t="str">
            <v>M</v>
          </cell>
          <cell r="E348">
            <v>7260</v>
          </cell>
          <cell r="F348">
            <v>0</v>
          </cell>
          <cell r="G348">
            <v>7640</v>
          </cell>
          <cell r="H348">
            <v>479</v>
          </cell>
          <cell r="I348">
            <v>7160</v>
          </cell>
          <cell r="J348">
            <v>479</v>
          </cell>
          <cell r="L348">
            <v>479</v>
          </cell>
        </row>
        <row r="349">
          <cell r="A349">
            <v>3204</v>
          </cell>
          <cell r="B349" t="str">
            <v>스테인레스관 (K형)</v>
          </cell>
          <cell r="C349" t="str">
            <v>50Ø</v>
          </cell>
          <cell r="D349" t="str">
            <v>M</v>
          </cell>
          <cell r="E349">
            <v>4820</v>
          </cell>
          <cell r="F349">
            <v>0</v>
          </cell>
          <cell r="G349">
            <v>5040</v>
          </cell>
          <cell r="H349">
            <v>479</v>
          </cell>
          <cell r="I349">
            <v>4730</v>
          </cell>
          <cell r="J349">
            <v>479</v>
          </cell>
          <cell r="L349">
            <v>479</v>
          </cell>
        </row>
        <row r="350">
          <cell r="A350">
            <v>3205</v>
          </cell>
          <cell r="B350" t="str">
            <v>스테인레스관 (K형)</v>
          </cell>
          <cell r="C350" t="str">
            <v>40Ø</v>
          </cell>
          <cell r="D350" t="str">
            <v>M</v>
          </cell>
          <cell r="E350">
            <v>4280</v>
          </cell>
          <cell r="F350">
            <v>0</v>
          </cell>
          <cell r="G350">
            <v>4480</v>
          </cell>
          <cell r="H350">
            <v>479</v>
          </cell>
          <cell r="I350">
            <v>4220</v>
          </cell>
          <cell r="J350">
            <v>479</v>
          </cell>
          <cell r="L350">
            <v>479</v>
          </cell>
        </row>
        <row r="351">
          <cell r="A351">
            <v>3206</v>
          </cell>
          <cell r="B351" t="str">
            <v>스테인레스관 (K형)</v>
          </cell>
          <cell r="C351" t="str">
            <v>30Ø</v>
          </cell>
          <cell r="D351" t="str">
            <v>M</v>
          </cell>
          <cell r="E351">
            <v>3540</v>
          </cell>
          <cell r="F351">
            <v>0</v>
          </cell>
          <cell r="G351">
            <v>3700</v>
          </cell>
          <cell r="H351">
            <v>479</v>
          </cell>
          <cell r="I351">
            <v>3470</v>
          </cell>
          <cell r="J351">
            <v>479</v>
          </cell>
          <cell r="L351">
            <v>479</v>
          </cell>
        </row>
        <row r="352">
          <cell r="A352">
            <v>3207</v>
          </cell>
          <cell r="B352" t="str">
            <v>스테인레스관 (K형)</v>
          </cell>
          <cell r="C352" t="str">
            <v>25Ø</v>
          </cell>
          <cell r="D352" t="str">
            <v>M</v>
          </cell>
          <cell r="E352">
            <v>2850</v>
          </cell>
          <cell r="F352">
            <v>0</v>
          </cell>
          <cell r="G352">
            <v>2750</v>
          </cell>
          <cell r="H352">
            <v>479</v>
          </cell>
          <cell r="I352">
            <v>2500</v>
          </cell>
          <cell r="J352">
            <v>479</v>
          </cell>
          <cell r="L352">
            <v>479</v>
          </cell>
        </row>
        <row r="353">
          <cell r="A353">
            <v>3208</v>
          </cell>
          <cell r="B353" t="str">
            <v>스테인레스관 (K형)</v>
          </cell>
          <cell r="C353" t="str">
            <v>20Ø</v>
          </cell>
          <cell r="D353" t="str">
            <v>M</v>
          </cell>
          <cell r="E353">
            <v>2070</v>
          </cell>
          <cell r="F353">
            <v>0</v>
          </cell>
          <cell r="G353">
            <v>2200</v>
          </cell>
          <cell r="H353">
            <v>479</v>
          </cell>
          <cell r="I353">
            <v>2000</v>
          </cell>
          <cell r="J353">
            <v>479</v>
          </cell>
          <cell r="L353">
            <v>479</v>
          </cell>
        </row>
        <row r="354">
          <cell r="A354">
            <v>3209</v>
          </cell>
          <cell r="B354" t="str">
            <v>스테인레스관 (K형)</v>
          </cell>
          <cell r="C354" t="str">
            <v>13Ø</v>
          </cell>
          <cell r="D354" t="str">
            <v>M</v>
          </cell>
          <cell r="E354">
            <v>1320</v>
          </cell>
          <cell r="F354">
            <v>0</v>
          </cell>
          <cell r="G354">
            <v>1390</v>
          </cell>
          <cell r="H354">
            <v>479</v>
          </cell>
          <cell r="I354">
            <v>1280</v>
          </cell>
          <cell r="J354">
            <v>479</v>
          </cell>
          <cell r="L354">
            <v>479</v>
          </cell>
        </row>
        <row r="355">
          <cell r="A355">
            <v>3211</v>
          </cell>
          <cell r="B355" t="str">
            <v>엘보 (용접식 S20S)</v>
          </cell>
          <cell r="C355" t="str">
            <v>100Ø</v>
          </cell>
          <cell r="D355" t="str">
            <v>개</v>
          </cell>
          <cell r="E355">
            <v>18400</v>
          </cell>
          <cell r="F355">
            <v>0</v>
          </cell>
          <cell r="H355">
            <v>482</v>
          </cell>
          <cell r="I355">
            <v>18400</v>
          </cell>
          <cell r="J355">
            <v>482</v>
          </cell>
          <cell r="L355">
            <v>482</v>
          </cell>
        </row>
        <row r="356">
          <cell r="A356">
            <v>3212</v>
          </cell>
          <cell r="B356" t="str">
            <v>엘보 (용접식 S20S)</v>
          </cell>
          <cell r="C356" t="str">
            <v>80Ø</v>
          </cell>
          <cell r="D356" t="str">
            <v>개</v>
          </cell>
          <cell r="E356">
            <v>11200</v>
          </cell>
          <cell r="F356">
            <v>0</v>
          </cell>
          <cell r="H356">
            <v>482</v>
          </cell>
          <cell r="I356">
            <v>11200</v>
          </cell>
          <cell r="J356">
            <v>482</v>
          </cell>
          <cell r="L356">
            <v>482</v>
          </cell>
        </row>
        <row r="357">
          <cell r="A357">
            <v>3213</v>
          </cell>
          <cell r="B357" t="str">
            <v>엘보 (SR죠인트)</v>
          </cell>
          <cell r="C357" t="str">
            <v>60Ø</v>
          </cell>
          <cell r="D357" t="str">
            <v>개</v>
          </cell>
          <cell r="E357">
            <v>11520</v>
          </cell>
          <cell r="F357">
            <v>0</v>
          </cell>
          <cell r="H357">
            <v>486</v>
          </cell>
          <cell r="I357">
            <v>11510</v>
          </cell>
          <cell r="J357">
            <v>486</v>
          </cell>
          <cell r="L357">
            <v>486</v>
          </cell>
        </row>
        <row r="358">
          <cell r="A358">
            <v>3214</v>
          </cell>
          <cell r="B358" t="str">
            <v>엘보 (SR죠인트)</v>
          </cell>
          <cell r="C358" t="str">
            <v>50Ø</v>
          </cell>
          <cell r="D358" t="str">
            <v>개</v>
          </cell>
          <cell r="E358">
            <v>9030</v>
          </cell>
          <cell r="F358">
            <v>0</v>
          </cell>
          <cell r="H358">
            <v>486</v>
          </cell>
          <cell r="I358">
            <v>9030</v>
          </cell>
          <cell r="J358">
            <v>486</v>
          </cell>
          <cell r="L358">
            <v>486</v>
          </cell>
        </row>
        <row r="359">
          <cell r="A359">
            <v>3215</v>
          </cell>
          <cell r="B359" t="str">
            <v>엘보 (SR죠인트)</v>
          </cell>
          <cell r="C359" t="str">
            <v>40Ø</v>
          </cell>
          <cell r="D359" t="str">
            <v>개</v>
          </cell>
          <cell r="E359">
            <v>6820</v>
          </cell>
          <cell r="F359">
            <v>0</v>
          </cell>
          <cell r="H359">
            <v>486</v>
          </cell>
          <cell r="I359">
            <v>6810</v>
          </cell>
          <cell r="J359">
            <v>486</v>
          </cell>
          <cell r="L359">
            <v>486</v>
          </cell>
        </row>
        <row r="360">
          <cell r="A360">
            <v>3216</v>
          </cell>
          <cell r="B360" t="str">
            <v>엘보 (SR죠인트)</v>
          </cell>
          <cell r="C360" t="str">
            <v>30Ø</v>
          </cell>
          <cell r="D360" t="str">
            <v>개</v>
          </cell>
          <cell r="E360">
            <v>5510</v>
          </cell>
          <cell r="F360">
            <v>0</v>
          </cell>
          <cell r="H360">
            <v>486</v>
          </cell>
          <cell r="I360">
            <v>5510</v>
          </cell>
          <cell r="J360">
            <v>486</v>
          </cell>
          <cell r="L360">
            <v>486</v>
          </cell>
        </row>
        <row r="361">
          <cell r="A361">
            <v>3217</v>
          </cell>
          <cell r="B361" t="str">
            <v>엘보 (SR죠인트)</v>
          </cell>
          <cell r="C361" t="str">
            <v>25Ø</v>
          </cell>
          <cell r="D361" t="str">
            <v>개</v>
          </cell>
          <cell r="E361">
            <v>2580</v>
          </cell>
          <cell r="F361">
            <v>0</v>
          </cell>
          <cell r="H361">
            <v>486</v>
          </cell>
          <cell r="I361">
            <v>2580</v>
          </cell>
          <cell r="J361">
            <v>486</v>
          </cell>
          <cell r="L361">
            <v>486</v>
          </cell>
        </row>
        <row r="362">
          <cell r="A362">
            <v>3218</v>
          </cell>
          <cell r="B362" t="str">
            <v>엘보 (SR죠인트)</v>
          </cell>
          <cell r="C362" t="str">
            <v>20Ø</v>
          </cell>
          <cell r="D362" t="str">
            <v>개</v>
          </cell>
          <cell r="E362">
            <v>1980</v>
          </cell>
          <cell r="F362">
            <v>0</v>
          </cell>
          <cell r="H362">
            <v>486</v>
          </cell>
          <cell r="I362">
            <v>1980</v>
          </cell>
          <cell r="J362">
            <v>486</v>
          </cell>
          <cell r="L362">
            <v>486</v>
          </cell>
        </row>
        <row r="363">
          <cell r="A363">
            <v>3219</v>
          </cell>
          <cell r="B363" t="str">
            <v>엘보 (SR죠인트)</v>
          </cell>
          <cell r="C363" t="str">
            <v>13Ø</v>
          </cell>
          <cell r="D363" t="str">
            <v>개</v>
          </cell>
          <cell r="E363">
            <v>1370</v>
          </cell>
          <cell r="F363">
            <v>0</v>
          </cell>
          <cell r="H363">
            <v>486</v>
          </cell>
          <cell r="I363">
            <v>1370</v>
          </cell>
          <cell r="J363">
            <v>486</v>
          </cell>
          <cell r="L363">
            <v>486</v>
          </cell>
        </row>
        <row r="364">
          <cell r="A364">
            <v>3221</v>
          </cell>
          <cell r="B364" t="str">
            <v>티 (용접식 S20S)</v>
          </cell>
          <cell r="C364" t="str">
            <v>100Ø</v>
          </cell>
          <cell r="D364" t="str">
            <v>개</v>
          </cell>
          <cell r="E364">
            <v>26720</v>
          </cell>
          <cell r="F364">
            <v>0</v>
          </cell>
          <cell r="H364">
            <v>482</v>
          </cell>
          <cell r="I364">
            <v>26720</v>
          </cell>
          <cell r="J364">
            <v>482</v>
          </cell>
          <cell r="L364">
            <v>482</v>
          </cell>
        </row>
        <row r="365">
          <cell r="A365">
            <v>3222</v>
          </cell>
          <cell r="B365" t="str">
            <v>티 (용접식 S20S)</v>
          </cell>
          <cell r="C365" t="str">
            <v>80Ø</v>
          </cell>
          <cell r="D365" t="str">
            <v>개</v>
          </cell>
          <cell r="E365">
            <v>17760</v>
          </cell>
          <cell r="F365">
            <v>0</v>
          </cell>
          <cell r="H365">
            <v>482</v>
          </cell>
          <cell r="I365">
            <v>17760</v>
          </cell>
          <cell r="J365">
            <v>482</v>
          </cell>
          <cell r="L365">
            <v>482</v>
          </cell>
        </row>
        <row r="366">
          <cell r="A366">
            <v>3223</v>
          </cell>
          <cell r="B366" t="str">
            <v>티 (SR죠인트)</v>
          </cell>
          <cell r="C366" t="str">
            <v>60Ø</v>
          </cell>
          <cell r="D366" t="str">
            <v>개</v>
          </cell>
          <cell r="E366">
            <v>23310</v>
          </cell>
          <cell r="F366">
            <v>0</v>
          </cell>
          <cell r="H366">
            <v>486</v>
          </cell>
          <cell r="I366">
            <v>23310</v>
          </cell>
          <cell r="J366">
            <v>486</v>
          </cell>
          <cell r="L366">
            <v>486</v>
          </cell>
        </row>
        <row r="367">
          <cell r="A367">
            <v>3224</v>
          </cell>
          <cell r="B367" t="str">
            <v>티 (SR죠인트)</v>
          </cell>
          <cell r="C367" t="str">
            <v>50Ø</v>
          </cell>
          <cell r="D367" t="str">
            <v>개</v>
          </cell>
          <cell r="E367">
            <v>20850</v>
          </cell>
          <cell r="F367">
            <v>0</v>
          </cell>
          <cell r="H367">
            <v>486</v>
          </cell>
          <cell r="I367">
            <v>20850</v>
          </cell>
          <cell r="J367">
            <v>486</v>
          </cell>
          <cell r="L367">
            <v>486</v>
          </cell>
        </row>
        <row r="368">
          <cell r="A368">
            <v>3225</v>
          </cell>
          <cell r="B368" t="str">
            <v>티 (SR죠인트)</v>
          </cell>
          <cell r="C368" t="str">
            <v>40Ø</v>
          </cell>
          <cell r="D368" t="str">
            <v>개</v>
          </cell>
          <cell r="E368">
            <v>15610</v>
          </cell>
          <cell r="F368">
            <v>0</v>
          </cell>
          <cell r="H368">
            <v>486</v>
          </cell>
          <cell r="I368">
            <v>15610</v>
          </cell>
          <cell r="J368">
            <v>486</v>
          </cell>
          <cell r="L368">
            <v>486</v>
          </cell>
        </row>
        <row r="369">
          <cell r="A369">
            <v>3226</v>
          </cell>
          <cell r="B369" t="str">
            <v>티 (SR죠인트)</v>
          </cell>
          <cell r="C369" t="str">
            <v>30Ø</v>
          </cell>
          <cell r="D369" t="str">
            <v>개</v>
          </cell>
          <cell r="E369">
            <v>12120</v>
          </cell>
          <cell r="F369">
            <v>0</v>
          </cell>
          <cell r="H369">
            <v>486</v>
          </cell>
          <cell r="I369">
            <v>12120</v>
          </cell>
          <cell r="J369">
            <v>486</v>
          </cell>
          <cell r="L369">
            <v>486</v>
          </cell>
        </row>
        <row r="370">
          <cell r="A370">
            <v>3227</v>
          </cell>
          <cell r="B370" t="str">
            <v>티 (SR죠인트)</v>
          </cell>
          <cell r="C370" t="str">
            <v>25Ø</v>
          </cell>
          <cell r="D370" t="str">
            <v>개</v>
          </cell>
          <cell r="E370">
            <v>7620</v>
          </cell>
          <cell r="F370">
            <v>0</v>
          </cell>
          <cell r="H370">
            <v>486</v>
          </cell>
          <cell r="I370">
            <v>7620</v>
          </cell>
          <cell r="J370">
            <v>486</v>
          </cell>
          <cell r="L370">
            <v>486</v>
          </cell>
        </row>
        <row r="371">
          <cell r="A371">
            <v>3228</v>
          </cell>
          <cell r="B371" t="str">
            <v>티 (SR죠인트)</v>
          </cell>
          <cell r="C371" t="str">
            <v>20Ø</v>
          </cell>
          <cell r="D371" t="str">
            <v>개</v>
          </cell>
          <cell r="E371">
            <v>5070</v>
          </cell>
          <cell r="F371">
            <v>0</v>
          </cell>
          <cell r="H371">
            <v>486</v>
          </cell>
          <cell r="I371">
            <v>5070</v>
          </cell>
          <cell r="J371">
            <v>486</v>
          </cell>
          <cell r="L371">
            <v>486</v>
          </cell>
        </row>
        <row r="372">
          <cell r="A372">
            <v>3229</v>
          </cell>
          <cell r="B372" t="str">
            <v>티 (SR죠인트)</v>
          </cell>
          <cell r="C372" t="str">
            <v>13Ø</v>
          </cell>
          <cell r="D372" t="str">
            <v>개</v>
          </cell>
          <cell r="E372">
            <v>3470</v>
          </cell>
          <cell r="F372">
            <v>0</v>
          </cell>
          <cell r="H372">
            <v>486</v>
          </cell>
          <cell r="I372">
            <v>3470</v>
          </cell>
          <cell r="J372">
            <v>486</v>
          </cell>
          <cell r="L372">
            <v>486</v>
          </cell>
        </row>
        <row r="373">
          <cell r="A373">
            <v>3232</v>
          </cell>
          <cell r="B373" t="str">
            <v>레듀샤 (용접식 S20S)</v>
          </cell>
          <cell r="C373" t="str">
            <v>100Ø</v>
          </cell>
          <cell r="D373" t="str">
            <v>개</v>
          </cell>
          <cell r="E373">
            <v>15200</v>
          </cell>
          <cell r="F373">
            <v>0</v>
          </cell>
          <cell r="H373">
            <v>482</v>
          </cell>
          <cell r="I373">
            <v>15200</v>
          </cell>
          <cell r="J373">
            <v>482</v>
          </cell>
          <cell r="L373">
            <v>482</v>
          </cell>
        </row>
        <row r="374">
          <cell r="A374">
            <v>3232</v>
          </cell>
          <cell r="B374" t="str">
            <v>레듀샤 (용접식 S20S)</v>
          </cell>
          <cell r="C374" t="str">
            <v>80Ø</v>
          </cell>
          <cell r="D374" t="str">
            <v>개</v>
          </cell>
          <cell r="E374">
            <v>10640</v>
          </cell>
          <cell r="F374">
            <v>0</v>
          </cell>
          <cell r="H374">
            <v>482</v>
          </cell>
          <cell r="I374">
            <v>10640</v>
          </cell>
          <cell r="J374">
            <v>482</v>
          </cell>
          <cell r="L374">
            <v>482</v>
          </cell>
        </row>
        <row r="375">
          <cell r="A375">
            <v>3233</v>
          </cell>
          <cell r="B375" t="str">
            <v>레듀샤 (SR죠인트)</v>
          </cell>
          <cell r="C375" t="str">
            <v>60Ø</v>
          </cell>
          <cell r="D375" t="str">
            <v>개</v>
          </cell>
          <cell r="E375">
            <v>13000</v>
          </cell>
          <cell r="F375">
            <v>0</v>
          </cell>
          <cell r="H375">
            <v>486</v>
          </cell>
          <cell r="I375">
            <v>13000</v>
          </cell>
          <cell r="J375">
            <v>486</v>
          </cell>
          <cell r="L375">
            <v>486</v>
          </cell>
        </row>
        <row r="376">
          <cell r="A376">
            <v>3234</v>
          </cell>
          <cell r="B376" t="str">
            <v>레듀샤 (SR죠인트)</v>
          </cell>
          <cell r="C376" t="str">
            <v>50Ø</v>
          </cell>
          <cell r="D376" t="str">
            <v>개</v>
          </cell>
          <cell r="E376">
            <v>11150</v>
          </cell>
          <cell r="F376">
            <v>0</v>
          </cell>
          <cell r="H376">
            <v>486</v>
          </cell>
          <cell r="I376">
            <v>11150</v>
          </cell>
          <cell r="J376">
            <v>486</v>
          </cell>
          <cell r="L376">
            <v>486</v>
          </cell>
        </row>
        <row r="377">
          <cell r="A377">
            <v>3235</v>
          </cell>
          <cell r="B377" t="str">
            <v>레듀샤 (SR죠인트)</v>
          </cell>
          <cell r="C377" t="str">
            <v>40Ø</v>
          </cell>
          <cell r="D377" t="str">
            <v>개</v>
          </cell>
          <cell r="E377">
            <v>9170</v>
          </cell>
          <cell r="F377">
            <v>0</v>
          </cell>
          <cell r="H377">
            <v>486</v>
          </cell>
          <cell r="I377">
            <v>9170</v>
          </cell>
          <cell r="J377">
            <v>486</v>
          </cell>
          <cell r="L377">
            <v>486</v>
          </cell>
        </row>
        <row r="378">
          <cell r="A378">
            <v>3236</v>
          </cell>
          <cell r="B378" t="str">
            <v>레듀샤 (SR죠인트)</v>
          </cell>
          <cell r="C378" t="str">
            <v>30Ø</v>
          </cell>
          <cell r="D378" t="str">
            <v>개</v>
          </cell>
          <cell r="E378">
            <v>7080</v>
          </cell>
          <cell r="F378">
            <v>0</v>
          </cell>
          <cell r="H378">
            <v>486</v>
          </cell>
          <cell r="I378">
            <v>7080</v>
          </cell>
          <cell r="J378">
            <v>486</v>
          </cell>
          <cell r="L378">
            <v>486</v>
          </cell>
        </row>
        <row r="379">
          <cell r="A379">
            <v>3237</v>
          </cell>
          <cell r="B379" t="str">
            <v>레듀샤 (SR죠인트)</v>
          </cell>
          <cell r="C379" t="str">
            <v>25Ø</v>
          </cell>
          <cell r="D379" t="str">
            <v>개</v>
          </cell>
          <cell r="E379">
            <v>3830</v>
          </cell>
          <cell r="F379">
            <v>0</v>
          </cell>
          <cell r="H379">
            <v>486</v>
          </cell>
          <cell r="I379">
            <v>3830</v>
          </cell>
          <cell r="J379">
            <v>486</v>
          </cell>
          <cell r="L379">
            <v>486</v>
          </cell>
        </row>
        <row r="380">
          <cell r="A380">
            <v>3238</v>
          </cell>
          <cell r="B380" t="str">
            <v>레듀샤 (SR죠인트)</v>
          </cell>
          <cell r="C380" t="str">
            <v>20Ø</v>
          </cell>
          <cell r="D380" t="str">
            <v>개</v>
          </cell>
          <cell r="E380">
            <v>2210</v>
          </cell>
          <cell r="F380">
            <v>0</v>
          </cell>
          <cell r="H380">
            <v>486</v>
          </cell>
          <cell r="I380">
            <v>2210</v>
          </cell>
          <cell r="J380">
            <v>486</v>
          </cell>
          <cell r="L380">
            <v>486</v>
          </cell>
        </row>
        <row r="381">
          <cell r="A381">
            <v>3241</v>
          </cell>
          <cell r="B381" t="str">
            <v>소켓 (SR죠인트)</v>
          </cell>
          <cell r="C381" t="str">
            <v>60Ø</v>
          </cell>
          <cell r="D381" t="str">
            <v>개</v>
          </cell>
          <cell r="E381">
            <v>8820</v>
          </cell>
          <cell r="F381">
            <v>0</v>
          </cell>
          <cell r="H381">
            <v>486</v>
          </cell>
          <cell r="I381">
            <v>8820</v>
          </cell>
          <cell r="J381">
            <v>486</v>
          </cell>
          <cell r="L381">
            <v>486</v>
          </cell>
        </row>
        <row r="382">
          <cell r="A382">
            <v>3242</v>
          </cell>
          <cell r="B382" t="str">
            <v>소켓 (SR죠인트)</v>
          </cell>
          <cell r="C382" t="str">
            <v>50Ø</v>
          </cell>
          <cell r="D382" t="str">
            <v>개</v>
          </cell>
          <cell r="E382">
            <v>7660</v>
          </cell>
          <cell r="F382">
            <v>0</v>
          </cell>
          <cell r="H382">
            <v>486</v>
          </cell>
          <cell r="I382">
            <v>7660</v>
          </cell>
          <cell r="J382">
            <v>486</v>
          </cell>
          <cell r="L382">
            <v>486</v>
          </cell>
        </row>
        <row r="383">
          <cell r="A383">
            <v>3243</v>
          </cell>
          <cell r="B383" t="str">
            <v>소켓 (SR죠인트)</v>
          </cell>
          <cell r="C383" t="str">
            <v>40Ø</v>
          </cell>
          <cell r="D383" t="str">
            <v>개</v>
          </cell>
          <cell r="E383">
            <v>5140</v>
          </cell>
          <cell r="F383">
            <v>0</v>
          </cell>
          <cell r="H383">
            <v>486</v>
          </cell>
          <cell r="I383">
            <v>5140</v>
          </cell>
          <cell r="J383">
            <v>486</v>
          </cell>
          <cell r="L383">
            <v>486</v>
          </cell>
        </row>
        <row r="384">
          <cell r="A384">
            <v>3244</v>
          </cell>
          <cell r="B384" t="str">
            <v>소켓 (SR죠인트)</v>
          </cell>
          <cell r="C384" t="str">
            <v>30Ø</v>
          </cell>
          <cell r="D384" t="str">
            <v>개</v>
          </cell>
          <cell r="E384">
            <v>3960</v>
          </cell>
          <cell r="F384">
            <v>0</v>
          </cell>
          <cell r="H384">
            <v>486</v>
          </cell>
          <cell r="I384">
            <v>3960</v>
          </cell>
          <cell r="J384">
            <v>486</v>
          </cell>
          <cell r="L384">
            <v>486</v>
          </cell>
        </row>
        <row r="385">
          <cell r="A385">
            <v>3245</v>
          </cell>
          <cell r="B385" t="str">
            <v>소켓 (SR죠인트)</v>
          </cell>
          <cell r="C385" t="str">
            <v>25Ø</v>
          </cell>
          <cell r="D385" t="str">
            <v>개</v>
          </cell>
          <cell r="E385">
            <v>2130</v>
          </cell>
          <cell r="F385">
            <v>0</v>
          </cell>
          <cell r="H385">
            <v>486</v>
          </cell>
          <cell r="I385">
            <v>2130</v>
          </cell>
          <cell r="J385">
            <v>486</v>
          </cell>
          <cell r="L385">
            <v>486</v>
          </cell>
        </row>
        <row r="386">
          <cell r="A386">
            <v>3246</v>
          </cell>
          <cell r="B386" t="str">
            <v>소켓 (SR죠인트)</v>
          </cell>
          <cell r="C386" t="str">
            <v>20Ø</v>
          </cell>
          <cell r="D386" t="str">
            <v>개</v>
          </cell>
          <cell r="E386">
            <v>1570</v>
          </cell>
          <cell r="F386">
            <v>0</v>
          </cell>
          <cell r="H386">
            <v>486</v>
          </cell>
          <cell r="I386">
            <v>1570</v>
          </cell>
          <cell r="J386">
            <v>486</v>
          </cell>
          <cell r="L386">
            <v>486</v>
          </cell>
        </row>
        <row r="387">
          <cell r="A387">
            <v>3247</v>
          </cell>
          <cell r="B387" t="str">
            <v>소켓 (SR죠인트)</v>
          </cell>
          <cell r="C387" t="str">
            <v>13Ø</v>
          </cell>
          <cell r="D387" t="str">
            <v>개</v>
          </cell>
          <cell r="E387">
            <v>1250</v>
          </cell>
          <cell r="F387">
            <v>0</v>
          </cell>
          <cell r="H387">
            <v>486</v>
          </cell>
          <cell r="I387">
            <v>1250</v>
          </cell>
          <cell r="J387">
            <v>486</v>
          </cell>
          <cell r="L387">
            <v>486</v>
          </cell>
        </row>
        <row r="388">
          <cell r="A388">
            <v>3251</v>
          </cell>
          <cell r="B388" t="str">
            <v>캡 (용접식 S20S)</v>
          </cell>
          <cell r="C388" t="str">
            <v>100Ø</v>
          </cell>
          <cell r="D388" t="str">
            <v>개</v>
          </cell>
          <cell r="E388">
            <v>8960</v>
          </cell>
          <cell r="F388">
            <v>0</v>
          </cell>
          <cell r="H388">
            <v>482</v>
          </cell>
          <cell r="I388">
            <v>8960</v>
          </cell>
          <cell r="J388">
            <v>482</v>
          </cell>
          <cell r="L388">
            <v>482</v>
          </cell>
        </row>
        <row r="389">
          <cell r="A389">
            <v>3252</v>
          </cell>
          <cell r="B389" t="str">
            <v>캡 (용접식 S20S)</v>
          </cell>
          <cell r="C389" t="str">
            <v>80Ø</v>
          </cell>
          <cell r="D389" t="str">
            <v>개</v>
          </cell>
          <cell r="E389">
            <v>6110</v>
          </cell>
          <cell r="F389">
            <v>0</v>
          </cell>
          <cell r="H389">
            <v>482</v>
          </cell>
          <cell r="I389">
            <v>6110</v>
          </cell>
          <cell r="J389">
            <v>482</v>
          </cell>
          <cell r="L389">
            <v>482</v>
          </cell>
        </row>
        <row r="390">
          <cell r="A390">
            <v>3253</v>
          </cell>
          <cell r="B390" t="str">
            <v>캡 (SR죠인트)</v>
          </cell>
          <cell r="C390" t="str">
            <v>60Ø</v>
          </cell>
          <cell r="D390" t="str">
            <v>개</v>
          </cell>
          <cell r="E390">
            <v>10600</v>
          </cell>
          <cell r="F390">
            <v>0</v>
          </cell>
          <cell r="H390">
            <v>486</v>
          </cell>
          <cell r="I390">
            <v>10600</v>
          </cell>
          <cell r="J390">
            <v>486</v>
          </cell>
          <cell r="L390">
            <v>486</v>
          </cell>
        </row>
        <row r="391">
          <cell r="A391">
            <v>3254</v>
          </cell>
          <cell r="B391" t="str">
            <v>캡 (SR죠인트)</v>
          </cell>
          <cell r="C391" t="str">
            <v>50Ø</v>
          </cell>
          <cell r="D391" t="str">
            <v>개</v>
          </cell>
          <cell r="E391">
            <v>8430</v>
          </cell>
          <cell r="F391">
            <v>0</v>
          </cell>
          <cell r="H391">
            <v>486</v>
          </cell>
          <cell r="I391">
            <v>8430</v>
          </cell>
          <cell r="J391">
            <v>486</v>
          </cell>
          <cell r="L391">
            <v>486</v>
          </cell>
        </row>
        <row r="392">
          <cell r="A392">
            <v>3255</v>
          </cell>
          <cell r="B392" t="str">
            <v>캡 (SR죠인트)</v>
          </cell>
          <cell r="C392" t="str">
            <v>40Ø</v>
          </cell>
          <cell r="D392" t="str">
            <v>개</v>
          </cell>
          <cell r="E392">
            <v>7610</v>
          </cell>
          <cell r="F392">
            <v>0</v>
          </cell>
          <cell r="H392">
            <v>486</v>
          </cell>
          <cell r="I392">
            <v>7610</v>
          </cell>
          <cell r="J392">
            <v>486</v>
          </cell>
          <cell r="L392">
            <v>486</v>
          </cell>
        </row>
        <row r="393">
          <cell r="A393">
            <v>3256</v>
          </cell>
          <cell r="B393" t="str">
            <v>캡 (SR죠인트)</v>
          </cell>
          <cell r="C393" t="str">
            <v>30Ø</v>
          </cell>
          <cell r="D393" t="str">
            <v>개</v>
          </cell>
          <cell r="E393">
            <v>5430</v>
          </cell>
          <cell r="F393">
            <v>0</v>
          </cell>
          <cell r="H393">
            <v>486</v>
          </cell>
          <cell r="I393">
            <v>5430</v>
          </cell>
          <cell r="J393">
            <v>486</v>
          </cell>
          <cell r="L393">
            <v>486</v>
          </cell>
        </row>
        <row r="394">
          <cell r="A394">
            <v>3257</v>
          </cell>
          <cell r="B394" t="str">
            <v>캡 (SR죠인트)</v>
          </cell>
          <cell r="C394" t="str">
            <v>25Ø</v>
          </cell>
          <cell r="D394" t="str">
            <v>개</v>
          </cell>
          <cell r="E394">
            <v>3050</v>
          </cell>
          <cell r="F394">
            <v>0</v>
          </cell>
          <cell r="H394">
            <v>486</v>
          </cell>
          <cell r="I394">
            <v>3050</v>
          </cell>
          <cell r="J394">
            <v>486</v>
          </cell>
          <cell r="L394">
            <v>486</v>
          </cell>
        </row>
        <row r="395">
          <cell r="A395">
            <v>3258</v>
          </cell>
          <cell r="B395" t="str">
            <v>캡 (SR죠인트)</v>
          </cell>
          <cell r="C395" t="str">
            <v>20Ø</v>
          </cell>
          <cell r="D395" t="str">
            <v>개</v>
          </cell>
          <cell r="E395">
            <v>2340</v>
          </cell>
          <cell r="F395">
            <v>0</v>
          </cell>
          <cell r="H395">
            <v>486</v>
          </cell>
          <cell r="I395">
            <v>2340</v>
          </cell>
          <cell r="J395">
            <v>486</v>
          </cell>
          <cell r="L395">
            <v>486</v>
          </cell>
        </row>
        <row r="396">
          <cell r="A396">
            <v>3259</v>
          </cell>
          <cell r="B396" t="str">
            <v>캡 (SR죠인트)</v>
          </cell>
          <cell r="C396" t="str">
            <v>13Ø</v>
          </cell>
          <cell r="D396" t="str">
            <v>개</v>
          </cell>
          <cell r="E396">
            <v>1920</v>
          </cell>
          <cell r="F396">
            <v>0</v>
          </cell>
          <cell r="H396">
            <v>486</v>
          </cell>
          <cell r="I396">
            <v>1920</v>
          </cell>
          <cell r="J396">
            <v>486</v>
          </cell>
          <cell r="L396">
            <v>486</v>
          </cell>
        </row>
        <row r="397">
          <cell r="A397">
            <v>3261</v>
          </cell>
          <cell r="B397" t="str">
            <v>SUS용접 합 후렌지</v>
          </cell>
          <cell r="C397" t="str">
            <v>100Ø</v>
          </cell>
          <cell r="D397" t="str">
            <v>개</v>
          </cell>
          <cell r="E397">
            <v>12300</v>
          </cell>
          <cell r="F397">
            <v>0</v>
          </cell>
          <cell r="H397">
            <v>0</v>
          </cell>
          <cell r="I397">
            <v>12300</v>
          </cell>
          <cell r="J397">
            <v>0</v>
          </cell>
          <cell r="L397">
            <v>0</v>
          </cell>
        </row>
        <row r="398">
          <cell r="A398">
            <v>3262</v>
          </cell>
          <cell r="B398" t="str">
            <v>SUS용접 합 후렌지</v>
          </cell>
          <cell r="C398" t="str">
            <v>80Ø</v>
          </cell>
          <cell r="D398" t="str">
            <v>개</v>
          </cell>
          <cell r="E398">
            <v>10300</v>
          </cell>
          <cell r="F398">
            <v>0</v>
          </cell>
          <cell r="H398">
            <v>0</v>
          </cell>
          <cell r="I398">
            <v>10300</v>
          </cell>
          <cell r="J398">
            <v>0</v>
          </cell>
          <cell r="L398">
            <v>0</v>
          </cell>
        </row>
        <row r="399">
          <cell r="A399">
            <v>3263</v>
          </cell>
          <cell r="B399" t="str">
            <v>유니온 (SR죠인트)</v>
          </cell>
          <cell r="C399" t="str">
            <v>60Ø</v>
          </cell>
          <cell r="D399" t="str">
            <v>개</v>
          </cell>
          <cell r="E399">
            <v>17460</v>
          </cell>
          <cell r="F399">
            <v>0</v>
          </cell>
          <cell r="H399">
            <v>486</v>
          </cell>
          <cell r="I399">
            <v>17460</v>
          </cell>
          <cell r="J399">
            <v>486</v>
          </cell>
          <cell r="L399">
            <v>486</v>
          </cell>
        </row>
        <row r="400">
          <cell r="A400">
            <v>3264</v>
          </cell>
          <cell r="B400" t="str">
            <v>유니온 (SR죠인트)</v>
          </cell>
          <cell r="C400" t="str">
            <v>50Ø</v>
          </cell>
          <cell r="D400" t="str">
            <v>개</v>
          </cell>
          <cell r="E400">
            <v>14000</v>
          </cell>
          <cell r="F400">
            <v>0</v>
          </cell>
          <cell r="H400">
            <v>486</v>
          </cell>
          <cell r="I400">
            <v>14000</v>
          </cell>
          <cell r="J400">
            <v>486</v>
          </cell>
          <cell r="L400">
            <v>486</v>
          </cell>
        </row>
        <row r="401">
          <cell r="A401">
            <v>3265</v>
          </cell>
          <cell r="B401" t="str">
            <v>유니온 (SR죠인트)</v>
          </cell>
          <cell r="C401" t="str">
            <v>40Ø</v>
          </cell>
          <cell r="D401" t="str">
            <v>개</v>
          </cell>
          <cell r="E401">
            <v>10470</v>
          </cell>
          <cell r="F401">
            <v>0</v>
          </cell>
          <cell r="H401">
            <v>486</v>
          </cell>
          <cell r="I401">
            <v>10470</v>
          </cell>
          <cell r="J401">
            <v>486</v>
          </cell>
          <cell r="L401">
            <v>486</v>
          </cell>
        </row>
        <row r="402">
          <cell r="A402">
            <v>3266</v>
          </cell>
          <cell r="B402" t="str">
            <v>유니온 (SR죠인트)</v>
          </cell>
          <cell r="C402" t="str">
            <v>30Ø</v>
          </cell>
          <cell r="D402" t="str">
            <v>개</v>
          </cell>
          <cell r="E402">
            <v>6980</v>
          </cell>
          <cell r="F402">
            <v>0</v>
          </cell>
          <cell r="H402">
            <v>486</v>
          </cell>
          <cell r="I402">
            <v>6980</v>
          </cell>
          <cell r="J402">
            <v>486</v>
          </cell>
          <cell r="L402">
            <v>486</v>
          </cell>
        </row>
        <row r="403">
          <cell r="A403">
            <v>3267</v>
          </cell>
          <cell r="B403" t="str">
            <v>유니온 (SR죠인트)</v>
          </cell>
          <cell r="C403" t="str">
            <v>25Ø</v>
          </cell>
          <cell r="D403" t="str">
            <v>개</v>
          </cell>
          <cell r="E403">
            <v>4660</v>
          </cell>
          <cell r="F403">
            <v>0</v>
          </cell>
          <cell r="H403">
            <v>486</v>
          </cell>
          <cell r="I403">
            <v>4660</v>
          </cell>
          <cell r="J403">
            <v>486</v>
          </cell>
          <cell r="L403">
            <v>486</v>
          </cell>
        </row>
        <row r="404">
          <cell r="A404">
            <v>3268</v>
          </cell>
          <cell r="B404" t="str">
            <v>유니온 (SR죠인트)</v>
          </cell>
          <cell r="C404" t="str">
            <v>20Ø</v>
          </cell>
          <cell r="D404" t="str">
            <v>개</v>
          </cell>
          <cell r="E404">
            <v>3490</v>
          </cell>
          <cell r="F404">
            <v>0</v>
          </cell>
          <cell r="H404">
            <v>486</v>
          </cell>
          <cell r="I404">
            <v>3490</v>
          </cell>
          <cell r="J404">
            <v>486</v>
          </cell>
          <cell r="L404">
            <v>486</v>
          </cell>
        </row>
        <row r="405">
          <cell r="A405">
            <v>3269</v>
          </cell>
          <cell r="B405" t="str">
            <v>유니온 (SR죠인트)</v>
          </cell>
          <cell r="C405" t="str">
            <v>13Ø</v>
          </cell>
          <cell r="D405" t="str">
            <v>개</v>
          </cell>
          <cell r="E405">
            <v>2330</v>
          </cell>
          <cell r="F405">
            <v>0</v>
          </cell>
          <cell r="H405">
            <v>486</v>
          </cell>
          <cell r="I405">
            <v>2330</v>
          </cell>
          <cell r="J405">
            <v>486</v>
          </cell>
          <cell r="L405">
            <v>486</v>
          </cell>
        </row>
        <row r="406">
          <cell r="A406">
            <v>3271</v>
          </cell>
          <cell r="B406" t="str">
            <v>밸브소켓 (SR죠인트)</v>
          </cell>
          <cell r="C406" t="str">
            <v>60Ø</v>
          </cell>
          <cell r="D406" t="str">
            <v>개</v>
          </cell>
          <cell r="E406">
            <v>9200</v>
          </cell>
          <cell r="F406">
            <v>0</v>
          </cell>
          <cell r="H406">
            <v>486</v>
          </cell>
          <cell r="I406">
            <v>9200</v>
          </cell>
          <cell r="J406">
            <v>486</v>
          </cell>
          <cell r="L406">
            <v>486</v>
          </cell>
        </row>
        <row r="407">
          <cell r="A407">
            <v>3272</v>
          </cell>
          <cell r="B407" t="str">
            <v>밸브소켓 (SR죠인트)</v>
          </cell>
          <cell r="C407" t="str">
            <v>50Ø</v>
          </cell>
          <cell r="D407" t="str">
            <v>개</v>
          </cell>
          <cell r="E407">
            <v>7850</v>
          </cell>
          <cell r="F407">
            <v>0</v>
          </cell>
          <cell r="H407">
            <v>486</v>
          </cell>
          <cell r="I407">
            <v>7850</v>
          </cell>
          <cell r="J407">
            <v>486</v>
          </cell>
          <cell r="L407">
            <v>486</v>
          </cell>
        </row>
        <row r="408">
          <cell r="A408">
            <v>3273</v>
          </cell>
          <cell r="B408" t="str">
            <v>밸브소켓 (SR죠인트)</v>
          </cell>
          <cell r="C408" t="str">
            <v>40Ø</v>
          </cell>
          <cell r="D408" t="str">
            <v>개</v>
          </cell>
          <cell r="E408">
            <v>6770</v>
          </cell>
          <cell r="F408">
            <v>0</v>
          </cell>
          <cell r="H408">
            <v>486</v>
          </cell>
          <cell r="I408">
            <v>6770</v>
          </cell>
          <cell r="J408">
            <v>486</v>
          </cell>
          <cell r="L408">
            <v>486</v>
          </cell>
        </row>
        <row r="409">
          <cell r="A409">
            <v>3274</v>
          </cell>
          <cell r="B409" t="str">
            <v>밸브소켓 (SR죠인트)</v>
          </cell>
          <cell r="C409" t="str">
            <v>30Ø</v>
          </cell>
          <cell r="D409" t="str">
            <v>개</v>
          </cell>
          <cell r="E409">
            <v>4630</v>
          </cell>
          <cell r="F409">
            <v>0</v>
          </cell>
          <cell r="H409">
            <v>486</v>
          </cell>
          <cell r="I409">
            <v>4630</v>
          </cell>
          <cell r="J409">
            <v>486</v>
          </cell>
          <cell r="L409">
            <v>486</v>
          </cell>
        </row>
        <row r="410">
          <cell r="A410">
            <v>3275</v>
          </cell>
          <cell r="B410" t="str">
            <v>밸브소켓 (SR죠인트)</v>
          </cell>
          <cell r="C410" t="str">
            <v>25Ø</v>
          </cell>
          <cell r="D410" t="str">
            <v>개</v>
          </cell>
          <cell r="E410">
            <v>2860</v>
          </cell>
          <cell r="F410">
            <v>0</v>
          </cell>
          <cell r="H410">
            <v>486</v>
          </cell>
          <cell r="I410">
            <v>2860</v>
          </cell>
          <cell r="J410">
            <v>486</v>
          </cell>
          <cell r="L410">
            <v>486</v>
          </cell>
        </row>
        <row r="411">
          <cell r="A411">
            <v>3276</v>
          </cell>
          <cell r="B411" t="str">
            <v>밸브소켓 (SR죠인트)</v>
          </cell>
          <cell r="C411" t="str">
            <v>20Ø</v>
          </cell>
          <cell r="D411" t="str">
            <v>개</v>
          </cell>
          <cell r="E411">
            <v>1980</v>
          </cell>
          <cell r="F411">
            <v>0</v>
          </cell>
          <cell r="H411">
            <v>486</v>
          </cell>
          <cell r="I411">
            <v>1980</v>
          </cell>
          <cell r="J411">
            <v>486</v>
          </cell>
          <cell r="L411">
            <v>486</v>
          </cell>
        </row>
        <row r="412">
          <cell r="A412">
            <v>3277</v>
          </cell>
          <cell r="B412" t="str">
            <v>밸브소켓 (SR죠인트)</v>
          </cell>
          <cell r="C412" t="str">
            <v>13Ø</v>
          </cell>
          <cell r="D412" t="str">
            <v>개</v>
          </cell>
          <cell r="E412">
            <v>1260</v>
          </cell>
          <cell r="F412">
            <v>0</v>
          </cell>
          <cell r="H412">
            <v>486</v>
          </cell>
          <cell r="I412">
            <v>1260</v>
          </cell>
          <cell r="J412">
            <v>486</v>
          </cell>
          <cell r="L412">
            <v>486</v>
          </cell>
        </row>
        <row r="413">
          <cell r="A413">
            <v>3281</v>
          </cell>
          <cell r="B413" t="str">
            <v>수전소켓 (SR죠인트)</v>
          </cell>
          <cell r="C413" t="str">
            <v>25Ø</v>
          </cell>
          <cell r="D413" t="str">
            <v>개</v>
          </cell>
          <cell r="E413">
            <v>4220</v>
          </cell>
          <cell r="F413">
            <v>0</v>
          </cell>
          <cell r="H413">
            <v>486</v>
          </cell>
          <cell r="I413">
            <v>4220</v>
          </cell>
          <cell r="J413">
            <v>486</v>
          </cell>
          <cell r="L413">
            <v>486</v>
          </cell>
        </row>
        <row r="414">
          <cell r="A414">
            <v>3282</v>
          </cell>
          <cell r="B414" t="str">
            <v>수전소켓 (SR죠인트)</v>
          </cell>
          <cell r="C414" t="str">
            <v>20Ø</v>
          </cell>
          <cell r="D414" t="str">
            <v>개</v>
          </cell>
          <cell r="E414">
            <v>3390</v>
          </cell>
          <cell r="F414">
            <v>0</v>
          </cell>
          <cell r="H414">
            <v>486</v>
          </cell>
          <cell r="I414">
            <v>3390</v>
          </cell>
          <cell r="J414">
            <v>486</v>
          </cell>
          <cell r="L414">
            <v>486</v>
          </cell>
        </row>
        <row r="415">
          <cell r="A415">
            <v>3283</v>
          </cell>
          <cell r="B415" t="str">
            <v>수전소켓 (SR죠인트)</v>
          </cell>
          <cell r="C415" t="str">
            <v>13Ø</v>
          </cell>
          <cell r="D415" t="str">
            <v>개</v>
          </cell>
          <cell r="E415">
            <v>2860</v>
          </cell>
          <cell r="F415">
            <v>0</v>
          </cell>
          <cell r="H415">
            <v>486</v>
          </cell>
          <cell r="I415">
            <v>2860</v>
          </cell>
          <cell r="J415">
            <v>486</v>
          </cell>
          <cell r="L415">
            <v>486</v>
          </cell>
        </row>
        <row r="416">
          <cell r="A416">
            <v>3291</v>
          </cell>
          <cell r="B416" t="str">
            <v>아답타엘보(SR죠인트)</v>
          </cell>
          <cell r="C416" t="str">
            <v>25Ø</v>
          </cell>
          <cell r="D416" t="str">
            <v>개</v>
          </cell>
          <cell r="E416">
            <v>5710</v>
          </cell>
          <cell r="F416">
            <v>0</v>
          </cell>
          <cell r="H416">
            <v>486</v>
          </cell>
          <cell r="I416">
            <v>5710</v>
          </cell>
          <cell r="J416">
            <v>486</v>
          </cell>
          <cell r="L416">
            <v>486</v>
          </cell>
        </row>
        <row r="417">
          <cell r="A417">
            <v>3292</v>
          </cell>
          <cell r="B417" t="str">
            <v>아답타엘보(SR죠인트)</v>
          </cell>
          <cell r="C417" t="str">
            <v>20Ø</v>
          </cell>
          <cell r="D417" t="str">
            <v>개</v>
          </cell>
          <cell r="E417">
            <v>4010</v>
          </cell>
          <cell r="F417">
            <v>0</v>
          </cell>
          <cell r="H417">
            <v>486</v>
          </cell>
          <cell r="I417">
            <v>4010</v>
          </cell>
          <cell r="J417">
            <v>486</v>
          </cell>
          <cell r="L417">
            <v>486</v>
          </cell>
        </row>
        <row r="418">
          <cell r="A418">
            <v>3293</v>
          </cell>
          <cell r="B418" t="str">
            <v>아답타엘보(SR죠인트)</v>
          </cell>
          <cell r="C418" t="str">
            <v>13Ø</v>
          </cell>
          <cell r="D418" t="str">
            <v>개</v>
          </cell>
          <cell r="E418">
            <v>3440</v>
          </cell>
          <cell r="F418">
            <v>0</v>
          </cell>
          <cell r="H418">
            <v>486</v>
          </cell>
          <cell r="I418">
            <v>3440</v>
          </cell>
          <cell r="J418">
            <v>486</v>
          </cell>
          <cell r="L418">
            <v>486</v>
          </cell>
        </row>
        <row r="419">
          <cell r="E419">
            <v>0</v>
          </cell>
        </row>
        <row r="420">
          <cell r="E420">
            <v>0</v>
          </cell>
        </row>
        <row r="421">
          <cell r="E421">
            <v>0</v>
          </cell>
        </row>
        <row r="444">
          <cell r="A444">
            <v>3299</v>
          </cell>
          <cell r="B444" t="str">
            <v>백강관</v>
          </cell>
          <cell r="C444" t="str">
            <v>150Ø</v>
          </cell>
          <cell r="D444" t="str">
            <v>M</v>
          </cell>
          <cell r="E444">
            <v>12628</v>
          </cell>
          <cell r="F444">
            <v>0</v>
          </cell>
          <cell r="H444">
            <v>457</v>
          </cell>
          <cell r="I444">
            <v>12628</v>
          </cell>
          <cell r="J444">
            <v>457</v>
          </cell>
          <cell r="L444">
            <v>457</v>
          </cell>
        </row>
        <row r="445">
          <cell r="A445">
            <v>3300</v>
          </cell>
          <cell r="B445" t="str">
            <v>백강관</v>
          </cell>
          <cell r="C445" t="str">
            <v>125Ø</v>
          </cell>
          <cell r="D445" t="str">
            <v>M</v>
          </cell>
          <cell r="E445">
            <v>10605</v>
          </cell>
          <cell r="F445">
            <v>0</v>
          </cell>
          <cell r="H445">
            <v>457</v>
          </cell>
          <cell r="I445">
            <v>10605</v>
          </cell>
          <cell r="J445">
            <v>457</v>
          </cell>
          <cell r="L445">
            <v>457</v>
          </cell>
        </row>
        <row r="446">
          <cell r="A446">
            <v>3301</v>
          </cell>
          <cell r="B446" t="str">
            <v>백강관</v>
          </cell>
          <cell r="C446" t="str">
            <v>100Ø</v>
          </cell>
          <cell r="D446" t="str">
            <v>M</v>
          </cell>
          <cell r="E446">
            <v>7822</v>
          </cell>
          <cell r="F446">
            <v>0</v>
          </cell>
          <cell r="H446">
            <v>457</v>
          </cell>
          <cell r="I446">
            <v>7822</v>
          </cell>
          <cell r="J446">
            <v>457</v>
          </cell>
          <cell r="L446">
            <v>457</v>
          </cell>
        </row>
        <row r="447">
          <cell r="A447">
            <v>3302</v>
          </cell>
          <cell r="B447" t="str">
            <v>백강관</v>
          </cell>
          <cell r="C447" t="str">
            <v>80Ø</v>
          </cell>
          <cell r="D447" t="str">
            <v>M</v>
          </cell>
          <cell r="E447">
            <v>5487</v>
          </cell>
          <cell r="F447">
            <v>0</v>
          </cell>
          <cell r="H447">
            <v>457</v>
          </cell>
          <cell r="I447">
            <v>5487</v>
          </cell>
          <cell r="J447">
            <v>457</v>
          </cell>
          <cell r="L447">
            <v>457</v>
          </cell>
        </row>
        <row r="448">
          <cell r="A448">
            <v>3303</v>
          </cell>
          <cell r="B448" t="str">
            <v>백강관</v>
          </cell>
          <cell r="C448" t="str">
            <v>65Ø</v>
          </cell>
          <cell r="D448" t="str">
            <v>M</v>
          </cell>
          <cell r="E448">
            <v>4402</v>
          </cell>
          <cell r="F448">
            <v>0</v>
          </cell>
          <cell r="H448">
            <v>457</v>
          </cell>
          <cell r="I448">
            <v>4402</v>
          </cell>
          <cell r="J448">
            <v>457</v>
          </cell>
          <cell r="L448">
            <v>457</v>
          </cell>
        </row>
        <row r="449">
          <cell r="A449">
            <v>3304</v>
          </cell>
          <cell r="B449" t="str">
            <v>백강관</v>
          </cell>
          <cell r="C449" t="str">
            <v>50Ø</v>
          </cell>
          <cell r="D449" t="str">
            <v>M</v>
          </cell>
          <cell r="E449">
            <v>3450</v>
          </cell>
          <cell r="F449">
            <v>0</v>
          </cell>
          <cell r="H449">
            <v>457</v>
          </cell>
          <cell r="I449">
            <v>3450</v>
          </cell>
          <cell r="J449">
            <v>457</v>
          </cell>
          <cell r="L449">
            <v>457</v>
          </cell>
        </row>
        <row r="450">
          <cell r="A450">
            <v>3305</v>
          </cell>
          <cell r="B450" t="str">
            <v>백강관</v>
          </cell>
          <cell r="C450" t="str">
            <v>40Ø</v>
          </cell>
          <cell r="D450" t="str">
            <v>M</v>
          </cell>
          <cell r="E450">
            <v>2513</v>
          </cell>
          <cell r="F450">
            <v>0</v>
          </cell>
          <cell r="H450">
            <v>457</v>
          </cell>
          <cell r="I450">
            <v>2513</v>
          </cell>
          <cell r="J450">
            <v>457</v>
          </cell>
          <cell r="L450">
            <v>457</v>
          </cell>
        </row>
        <row r="451">
          <cell r="A451">
            <v>3306</v>
          </cell>
          <cell r="B451" t="str">
            <v>백강관</v>
          </cell>
          <cell r="C451" t="str">
            <v>32Ø</v>
          </cell>
          <cell r="D451" t="str">
            <v>M</v>
          </cell>
          <cell r="E451">
            <v>2187</v>
          </cell>
          <cell r="F451">
            <v>0</v>
          </cell>
          <cell r="H451">
            <v>457</v>
          </cell>
          <cell r="I451">
            <v>2187</v>
          </cell>
          <cell r="J451">
            <v>457</v>
          </cell>
          <cell r="L451">
            <v>457</v>
          </cell>
        </row>
        <row r="452">
          <cell r="A452">
            <v>3307</v>
          </cell>
          <cell r="B452" t="str">
            <v>백강관</v>
          </cell>
          <cell r="C452" t="str">
            <v>25Ø</v>
          </cell>
          <cell r="D452" t="str">
            <v>M</v>
          </cell>
          <cell r="E452">
            <v>1782</v>
          </cell>
          <cell r="F452">
            <v>0</v>
          </cell>
          <cell r="H452">
            <v>457</v>
          </cell>
          <cell r="I452">
            <v>1782</v>
          </cell>
          <cell r="J452">
            <v>457</v>
          </cell>
          <cell r="L452">
            <v>457</v>
          </cell>
        </row>
        <row r="453">
          <cell r="A453">
            <v>3308</v>
          </cell>
          <cell r="B453" t="str">
            <v>백강관</v>
          </cell>
          <cell r="C453" t="str">
            <v>20Ø</v>
          </cell>
          <cell r="D453" t="str">
            <v>M</v>
          </cell>
          <cell r="E453">
            <v>1252</v>
          </cell>
          <cell r="F453">
            <v>0</v>
          </cell>
          <cell r="H453">
            <v>457</v>
          </cell>
          <cell r="I453">
            <v>1252</v>
          </cell>
          <cell r="J453">
            <v>457</v>
          </cell>
          <cell r="L453">
            <v>457</v>
          </cell>
        </row>
        <row r="454">
          <cell r="A454">
            <v>3309</v>
          </cell>
          <cell r="B454" t="str">
            <v>백강관</v>
          </cell>
          <cell r="C454" t="str">
            <v>15Ø</v>
          </cell>
          <cell r="D454" t="str">
            <v>M</v>
          </cell>
          <cell r="E454">
            <v>993</v>
          </cell>
          <cell r="F454">
            <v>0</v>
          </cell>
          <cell r="H454">
            <v>457</v>
          </cell>
          <cell r="I454">
            <v>993</v>
          </cell>
          <cell r="J454">
            <v>457</v>
          </cell>
          <cell r="L454">
            <v>457</v>
          </cell>
        </row>
        <row r="455">
          <cell r="A455">
            <v>3310</v>
          </cell>
          <cell r="B455" t="str">
            <v>백엘보 (용접식)</v>
          </cell>
          <cell r="C455" t="str">
            <v>150Ø</v>
          </cell>
          <cell r="D455" t="str">
            <v>개</v>
          </cell>
          <cell r="E455">
            <v>16800</v>
          </cell>
          <cell r="F455">
            <v>0</v>
          </cell>
          <cell r="H455">
            <v>461</v>
          </cell>
          <cell r="I455">
            <v>16800</v>
          </cell>
          <cell r="J455">
            <v>461</v>
          </cell>
          <cell r="L455">
            <v>461</v>
          </cell>
        </row>
        <row r="456">
          <cell r="A456">
            <v>3311</v>
          </cell>
          <cell r="B456" t="str">
            <v>백엘보 (용접식)</v>
          </cell>
          <cell r="C456" t="str">
            <v>100Ø</v>
          </cell>
          <cell r="D456" t="str">
            <v>개</v>
          </cell>
          <cell r="E456">
            <v>6440</v>
          </cell>
          <cell r="F456">
            <v>0</v>
          </cell>
          <cell r="H456">
            <v>461</v>
          </cell>
          <cell r="I456">
            <v>6440</v>
          </cell>
          <cell r="J456">
            <v>461</v>
          </cell>
          <cell r="L456">
            <v>461</v>
          </cell>
        </row>
        <row r="457">
          <cell r="A457">
            <v>3312</v>
          </cell>
          <cell r="B457" t="str">
            <v>백엘보 (용접식)</v>
          </cell>
          <cell r="C457" t="str">
            <v>80Ø</v>
          </cell>
          <cell r="D457" t="str">
            <v>개</v>
          </cell>
          <cell r="E457">
            <v>3780</v>
          </cell>
          <cell r="F457">
            <v>0</v>
          </cell>
          <cell r="H457">
            <v>461</v>
          </cell>
          <cell r="I457">
            <v>3780</v>
          </cell>
          <cell r="J457">
            <v>461</v>
          </cell>
          <cell r="L457">
            <v>461</v>
          </cell>
        </row>
        <row r="458">
          <cell r="A458">
            <v>3313</v>
          </cell>
          <cell r="B458" t="str">
            <v>백엘보 (용접식)</v>
          </cell>
          <cell r="C458" t="str">
            <v>65Ø</v>
          </cell>
          <cell r="D458" t="str">
            <v>개</v>
          </cell>
          <cell r="E458">
            <v>2760</v>
          </cell>
          <cell r="F458">
            <v>0</v>
          </cell>
          <cell r="H458">
            <v>461</v>
          </cell>
          <cell r="I458">
            <v>2760</v>
          </cell>
          <cell r="J458">
            <v>461</v>
          </cell>
          <cell r="L458">
            <v>461</v>
          </cell>
        </row>
        <row r="459">
          <cell r="A459">
            <v>3314</v>
          </cell>
          <cell r="B459" t="str">
            <v>백엘보 (나사식)</v>
          </cell>
          <cell r="C459" t="str">
            <v>50Ø</v>
          </cell>
          <cell r="D459" t="str">
            <v>개</v>
          </cell>
          <cell r="E459">
            <v>1498</v>
          </cell>
          <cell r="F459">
            <v>0</v>
          </cell>
          <cell r="H459">
            <v>460</v>
          </cell>
          <cell r="I459">
            <v>1498</v>
          </cell>
          <cell r="J459">
            <v>460</v>
          </cell>
          <cell r="L459">
            <v>460</v>
          </cell>
        </row>
        <row r="460">
          <cell r="A460">
            <v>3315</v>
          </cell>
          <cell r="B460" t="str">
            <v>백엘보 (나사식)</v>
          </cell>
          <cell r="C460" t="str">
            <v>40Ø</v>
          </cell>
          <cell r="D460" t="str">
            <v>개</v>
          </cell>
          <cell r="E460">
            <v>957</v>
          </cell>
          <cell r="F460">
            <v>0</v>
          </cell>
          <cell r="H460">
            <v>460</v>
          </cell>
          <cell r="I460">
            <v>957</v>
          </cell>
          <cell r="J460">
            <v>460</v>
          </cell>
          <cell r="L460">
            <v>460</v>
          </cell>
        </row>
        <row r="461">
          <cell r="A461">
            <v>3316</v>
          </cell>
          <cell r="B461" t="str">
            <v>백엘보 (나사식)</v>
          </cell>
          <cell r="C461" t="str">
            <v>32Ø</v>
          </cell>
          <cell r="D461" t="str">
            <v>개</v>
          </cell>
          <cell r="E461">
            <v>805</v>
          </cell>
          <cell r="F461">
            <v>0</v>
          </cell>
          <cell r="H461">
            <v>460</v>
          </cell>
          <cell r="I461">
            <v>805</v>
          </cell>
          <cell r="J461">
            <v>460</v>
          </cell>
          <cell r="L461">
            <v>460</v>
          </cell>
        </row>
        <row r="462">
          <cell r="A462">
            <v>3317</v>
          </cell>
          <cell r="B462" t="str">
            <v>백엘보 (나사식)</v>
          </cell>
          <cell r="C462" t="str">
            <v>25Ø</v>
          </cell>
          <cell r="D462" t="str">
            <v>개</v>
          </cell>
          <cell r="E462">
            <v>523</v>
          </cell>
          <cell r="F462">
            <v>0</v>
          </cell>
          <cell r="H462">
            <v>460</v>
          </cell>
          <cell r="I462">
            <v>523</v>
          </cell>
          <cell r="J462">
            <v>460</v>
          </cell>
          <cell r="L462">
            <v>460</v>
          </cell>
        </row>
        <row r="463">
          <cell r="A463">
            <v>3318</v>
          </cell>
          <cell r="B463" t="str">
            <v>백엘보 (나사식)</v>
          </cell>
          <cell r="C463" t="str">
            <v>20Ø</v>
          </cell>
          <cell r="D463" t="str">
            <v>개</v>
          </cell>
          <cell r="E463">
            <v>326</v>
          </cell>
          <cell r="F463">
            <v>0</v>
          </cell>
          <cell r="H463">
            <v>460</v>
          </cell>
          <cell r="I463">
            <v>326</v>
          </cell>
          <cell r="J463">
            <v>460</v>
          </cell>
          <cell r="L463">
            <v>460</v>
          </cell>
        </row>
        <row r="464">
          <cell r="A464">
            <v>3319</v>
          </cell>
          <cell r="B464" t="str">
            <v>백엘보 (나사식)</v>
          </cell>
          <cell r="C464" t="str">
            <v>15Ø</v>
          </cell>
          <cell r="D464" t="str">
            <v>개</v>
          </cell>
          <cell r="E464">
            <v>221</v>
          </cell>
          <cell r="F464">
            <v>0</v>
          </cell>
          <cell r="H464">
            <v>460</v>
          </cell>
          <cell r="I464">
            <v>221</v>
          </cell>
          <cell r="J464">
            <v>460</v>
          </cell>
          <cell r="L464">
            <v>460</v>
          </cell>
        </row>
        <row r="465">
          <cell r="A465">
            <v>3320</v>
          </cell>
          <cell r="B465" t="str">
            <v>백티 (용접식)</v>
          </cell>
          <cell r="C465" t="str">
            <v>150Ø</v>
          </cell>
          <cell r="D465" t="str">
            <v>개</v>
          </cell>
          <cell r="E465">
            <v>21000</v>
          </cell>
          <cell r="F465">
            <v>0</v>
          </cell>
          <cell r="H465">
            <v>461</v>
          </cell>
          <cell r="I465">
            <v>21000</v>
          </cell>
          <cell r="J465">
            <v>461</v>
          </cell>
          <cell r="L465">
            <v>461</v>
          </cell>
        </row>
        <row r="466">
          <cell r="A466">
            <v>3321</v>
          </cell>
          <cell r="B466" t="str">
            <v>백티 (용접식)</v>
          </cell>
          <cell r="C466" t="str">
            <v>100Ø</v>
          </cell>
          <cell r="D466" t="str">
            <v>개</v>
          </cell>
          <cell r="E466">
            <v>9030</v>
          </cell>
          <cell r="F466">
            <v>0</v>
          </cell>
          <cell r="H466">
            <v>461</v>
          </cell>
          <cell r="I466">
            <v>9030</v>
          </cell>
          <cell r="J466">
            <v>461</v>
          </cell>
          <cell r="L466">
            <v>461</v>
          </cell>
        </row>
        <row r="467">
          <cell r="A467">
            <v>3322</v>
          </cell>
          <cell r="B467" t="str">
            <v>백티 (용접식)</v>
          </cell>
          <cell r="C467" t="str">
            <v>80Ø</v>
          </cell>
          <cell r="D467" t="str">
            <v>개</v>
          </cell>
          <cell r="E467">
            <v>5480</v>
          </cell>
          <cell r="F467">
            <v>0</v>
          </cell>
          <cell r="H467">
            <v>461</v>
          </cell>
          <cell r="I467">
            <v>5480</v>
          </cell>
          <cell r="J467">
            <v>461</v>
          </cell>
          <cell r="L467">
            <v>461</v>
          </cell>
        </row>
        <row r="468">
          <cell r="A468">
            <v>3323</v>
          </cell>
          <cell r="B468" t="str">
            <v>백티 (용접식)</v>
          </cell>
          <cell r="C468" t="str">
            <v>65Ø</v>
          </cell>
          <cell r="D468" t="str">
            <v>개</v>
          </cell>
          <cell r="E468">
            <v>4060</v>
          </cell>
          <cell r="F468">
            <v>0</v>
          </cell>
          <cell r="H468">
            <v>461</v>
          </cell>
          <cell r="I468">
            <v>4060</v>
          </cell>
          <cell r="J468">
            <v>461</v>
          </cell>
          <cell r="L468">
            <v>461</v>
          </cell>
        </row>
        <row r="469">
          <cell r="A469">
            <v>3324</v>
          </cell>
          <cell r="B469" t="str">
            <v>백티 (나사식)</v>
          </cell>
          <cell r="C469" t="str">
            <v>50Ø</v>
          </cell>
          <cell r="D469" t="str">
            <v>개</v>
          </cell>
          <cell r="E469">
            <v>1957</v>
          </cell>
          <cell r="F469">
            <v>0</v>
          </cell>
          <cell r="H469">
            <v>460</v>
          </cell>
          <cell r="I469">
            <v>1957</v>
          </cell>
          <cell r="J469">
            <v>460</v>
          </cell>
          <cell r="L469">
            <v>460</v>
          </cell>
        </row>
        <row r="470">
          <cell r="A470">
            <v>3325</v>
          </cell>
          <cell r="B470" t="str">
            <v>백티 (나사식)</v>
          </cell>
          <cell r="C470" t="str">
            <v>40Ø</v>
          </cell>
          <cell r="D470" t="str">
            <v>개</v>
          </cell>
          <cell r="E470">
            <v>1338</v>
          </cell>
          <cell r="F470">
            <v>0</v>
          </cell>
          <cell r="H470">
            <v>460</v>
          </cell>
          <cell r="I470">
            <v>1338</v>
          </cell>
          <cell r="J470">
            <v>460</v>
          </cell>
          <cell r="L470">
            <v>460</v>
          </cell>
        </row>
        <row r="471">
          <cell r="A471">
            <v>3326</v>
          </cell>
          <cell r="B471" t="str">
            <v>백티 (나사식)</v>
          </cell>
          <cell r="C471" t="str">
            <v>32Ø</v>
          </cell>
          <cell r="D471" t="str">
            <v>개</v>
          </cell>
          <cell r="E471">
            <v>1000</v>
          </cell>
          <cell r="F471">
            <v>0</v>
          </cell>
          <cell r="H471">
            <v>460</v>
          </cell>
          <cell r="I471">
            <v>1000</v>
          </cell>
          <cell r="J471">
            <v>460</v>
          </cell>
          <cell r="L471">
            <v>460</v>
          </cell>
        </row>
        <row r="472">
          <cell r="A472">
            <v>3327</v>
          </cell>
          <cell r="B472" t="str">
            <v>백티 (나사식)</v>
          </cell>
          <cell r="C472" t="str">
            <v>25Ø</v>
          </cell>
          <cell r="D472" t="str">
            <v>개</v>
          </cell>
          <cell r="E472">
            <v>724</v>
          </cell>
          <cell r="F472">
            <v>0</v>
          </cell>
          <cell r="H472">
            <v>460</v>
          </cell>
          <cell r="I472">
            <v>724</v>
          </cell>
          <cell r="J472">
            <v>460</v>
          </cell>
          <cell r="L472">
            <v>460</v>
          </cell>
        </row>
        <row r="473">
          <cell r="A473">
            <v>3328</v>
          </cell>
          <cell r="B473" t="str">
            <v>백티 (나사식)</v>
          </cell>
          <cell r="C473" t="str">
            <v>20Ø</v>
          </cell>
          <cell r="D473" t="str">
            <v>개</v>
          </cell>
          <cell r="E473">
            <v>483</v>
          </cell>
          <cell r="F473">
            <v>0</v>
          </cell>
          <cell r="H473">
            <v>460</v>
          </cell>
          <cell r="I473">
            <v>483</v>
          </cell>
          <cell r="J473">
            <v>460</v>
          </cell>
          <cell r="L473">
            <v>460</v>
          </cell>
        </row>
        <row r="474">
          <cell r="A474">
            <v>3329</v>
          </cell>
          <cell r="B474" t="str">
            <v>백티 (나사식)</v>
          </cell>
          <cell r="C474" t="str">
            <v>15Ø</v>
          </cell>
          <cell r="D474" t="str">
            <v>개</v>
          </cell>
          <cell r="E474">
            <v>330</v>
          </cell>
          <cell r="F474">
            <v>0</v>
          </cell>
          <cell r="H474">
            <v>460</v>
          </cell>
          <cell r="I474">
            <v>330</v>
          </cell>
          <cell r="J474">
            <v>460</v>
          </cell>
          <cell r="L474">
            <v>460</v>
          </cell>
        </row>
        <row r="475">
          <cell r="A475">
            <v>3330</v>
          </cell>
          <cell r="B475" t="str">
            <v>백레듀샤 (용접식)</v>
          </cell>
          <cell r="C475" t="str">
            <v>150Ø</v>
          </cell>
          <cell r="D475" t="str">
            <v>개</v>
          </cell>
          <cell r="E475">
            <v>11200</v>
          </cell>
          <cell r="F475">
            <v>0</v>
          </cell>
          <cell r="H475">
            <v>461</v>
          </cell>
          <cell r="I475">
            <v>11200</v>
          </cell>
          <cell r="J475">
            <v>461</v>
          </cell>
          <cell r="L475">
            <v>461</v>
          </cell>
        </row>
        <row r="476">
          <cell r="A476">
            <v>3331</v>
          </cell>
          <cell r="B476" t="str">
            <v>백레듀샤 (용접식)</v>
          </cell>
          <cell r="C476" t="str">
            <v>100Ø</v>
          </cell>
          <cell r="D476" t="str">
            <v>개</v>
          </cell>
          <cell r="E476">
            <v>5390</v>
          </cell>
          <cell r="F476">
            <v>0</v>
          </cell>
          <cell r="H476">
            <v>461</v>
          </cell>
          <cell r="I476">
            <v>5390</v>
          </cell>
          <cell r="J476">
            <v>461</v>
          </cell>
          <cell r="L476">
            <v>461</v>
          </cell>
        </row>
        <row r="477">
          <cell r="A477">
            <v>3332</v>
          </cell>
          <cell r="B477" t="str">
            <v>백레듀샤 (용접식)</v>
          </cell>
          <cell r="C477" t="str">
            <v>80Ø</v>
          </cell>
          <cell r="D477" t="str">
            <v>개</v>
          </cell>
          <cell r="E477">
            <v>3780</v>
          </cell>
          <cell r="F477">
            <v>0</v>
          </cell>
          <cell r="H477">
            <v>461</v>
          </cell>
          <cell r="I477">
            <v>3780</v>
          </cell>
          <cell r="J477">
            <v>461</v>
          </cell>
          <cell r="L477">
            <v>461</v>
          </cell>
        </row>
        <row r="478">
          <cell r="A478">
            <v>3333</v>
          </cell>
          <cell r="B478" t="str">
            <v>백레듀샤 (용접식)</v>
          </cell>
          <cell r="C478" t="str">
            <v>65Ø</v>
          </cell>
          <cell r="D478" t="str">
            <v>개</v>
          </cell>
          <cell r="E478">
            <v>3360</v>
          </cell>
          <cell r="F478">
            <v>0</v>
          </cell>
          <cell r="H478">
            <v>461</v>
          </cell>
          <cell r="I478">
            <v>3360</v>
          </cell>
          <cell r="J478">
            <v>461</v>
          </cell>
          <cell r="L478">
            <v>461</v>
          </cell>
        </row>
        <row r="479">
          <cell r="A479">
            <v>3334</v>
          </cell>
          <cell r="B479" t="str">
            <v>백레듀샤 (나사식)</v>
          </cell>
          <cell r="C479" t="str">
            <v>50Ø</v>
          </cell>
          <cell r="D479" t="str">
            <v>개</v>
          </cell>
          <cell r="E479">
            <v>884</v>
          </cell>
          <cell r="F479">
            <v>0</v>
          </cell>
          <cell r="H479">
            <v>460</v>
          </cell>
          <cell r="I479">
            <v>884</v>
          </cell>
          <cell r="J479">
            <v>460</v>
          </cell>
          <cell r="L479">
            <v>460</v>
          </cell>
        </row>
        <row r="480">
          <cell r="A480">
            <v>3335</v>
          </cell>
          <cell r="B480" t="str">
            <v>백레듀샤 (나사식)</v>
          </cell>
          <cell r="C480" t="str">
            <v>40Ø</v>
          </cell>
          <cell r="D480" t="str">
            <v>개</v>
          </cell>
          <cell r="E480">
            <v>685</v>
          </cell>
          <cell r="F480">
            <v>0</v>
          </cell>
          <cell r="H480">
            <v>460</v>
          </cell>
          <cell r="I480">
            <v>685</v>
          </cell>
          <cell r="J480">
            <v>460</v>
          </cell>
          <cell r="L480">
            <v>460</v>
          </cell>
        </row>
        <row r="481">
          <cell r="A481">
            <v>3336</v>
          </cell>
          <cell r="B481" t="str">
            <v>백레듀샤 (나사식)</v>
          </cell>
          <cell r="C481" t="str">
            <v>32Ø</v>
          </cell>
          <cell r="D481" t="str">
            <v>개</v>
          </cell>
          <cell r="E481">
            <v>530</v>
          </cell>
          <cell r="F481">
            <v>0</v>
          </cell>
          <cell r="H481">
            <v>460</v>
          </cell>
          <cell r="I481">
            <v>530</v>
          </cell>
          <cell r="J481">
            <v>460</v>
          </cell>
          <cell r="L481">
            <v>460</v>
          </cell>
        </row>
        <row r="482">
          <cell r="A482">
            <v>3337</v>
          </cell>
          <cell r="B482" t="str">
            <v>백레듀샤 (나사식)</v>
          </cell>
          <cell r="C482" t="str">
            <v>25Ø</v>
          </cell>
          <cell r="D482" t="str">
            <v>개</v>
          </cell>
          <cell r="E482">
            <v>400</v>
          </cell>
          <cell r="F482">
            <v>0</v>
          </cell>
          <cell r="H482">
            <v>460</v>
          </cell>
          <cell r="I482">
            <v>400</v>
          </cell>
          <cell r="J482">
            <v>460</v>
          </cell>
          <cell r="L482">
            <v>460</v>
          </cell>
        </row>
        <row r="483">
          <cell r="A483">
            <v>3338</v>
          </cell>
          <cell r="B483" t="str">
            <v>백레듀샤 (나사식)</v>
          </cell>
          <cell r="C483" t="str">
            <v>20Ø</v>
          </cell>
          <cell r="D483" t="str">
            <v>개</v>
          </cell>
          <cell r="E483">
            <v>277</v>
          </cell>
          <cell r="F483">
            <v>0</v>
          </cell>
          <cell r="H483">
            <v>460</v>
          </cell>
          <cell r="I483">
            <v>277</v>
          </cell>
          <cell r="J483">
            <v>460</v>
          </cell>
          <cell r="L483">
            <v>460</v>
          </cell>
        </row>
        <row r="484">
          <cell r="A484">
            <v>3341</v>
          </cell>
          <cell r="B484" t="str">
            <v>백소켓 (나사식)</v>
          </cell>
          <cell r="C484" t="str">
            <v>80Ø</v>
          </cell>
          <cell r="D484" t="str">
            <v>개</v>
          </cell>
          <cell r="E484">
            <v>2633</v>
          </cell>
          <cell r="F484">
            <v>0</v>
          </cell>
          <cell r="H484">
            <v>460</v>
          </cell>
          <cell r="I484">
            <v>2633</v>
          </cell>
          <cell r="J484">
            <v>460</v>
          </cell>
          <cell r="L484">
            <v>460</v>
          </cell>
        </row>
        <row r="485">
          <cell r="A485">
            <v>3342</v>
          </cell>
          <cell r="B485" t="str">
            <v>백소켓 (나사식)</v>
          </cell>
          <cell r="C485" t="str">
            <v>65Ø</v>
          </cell>
          <cell r="D485" t="str">
            <v>개</v>
          </cell>
          <cell r="E485">
            <v>2103</v>
          </cell>
          <cell r="F485">
            <v>0</v>
          </cell>
          <cell r="H485">
            <v>460</v>
          </cell>
          <cell r="I485">
            <v>2103</v>
          </cell>
          <cell r="J485">
            <v>460</v>
          </cell>
          <cell r="L485">
            <v>460</v>
          </cell>
        </row>
        <row r="486">
          <cell r="A486">
            <v>3343</v>
          </cell>
          <cell r="B486" t="str">
            <v>백소켓 (나사식)</v>
          </cell>
          <cell r="C486" t="str">
            <v>50Ø</v>
          </cell>
          <cell r="D486" t="str">
            <v>개</v>
          </cell>
          <cell r="E486">
            <v>1197</v>
          </cell>
          <cell r="F486">
            <v>0</v>
          </cell>
          <cell r="H486">
            <v>460</v>
          </cell>
          <cell r="I486">
            <v>1197</v>
          </cell>
          <cell r="J486">
            <v>460</v>
          </cell>
          <cell r="L486">
            <v>460</v>
          </cell>
        </row>
        <row r="487">
          <cell r="A487">
            <v>3344</v>
          </cell>
          <cell r="B487" t="str">
            <v>백소켓 (나사식)</v>
          </cell>
          <cell r="C487" t="str">
            <v>40Ø</v>
          </cell>
          <cell r="D487" t="str">
            <v>개</v>
          </cell>
          <cell r="E487">
            <v>748</v>
          </cell>
          <cell r="F487">
            <v>0</v>
          </cell>
          <cell r="H487">
            <v>460</v>
          </cell>
          <cell r="I487">
            <v>748</v>
          </cell>
          <cell r="J487">
            <v>460</v>
          </cell>
          <cell r="L487">
            <v>460</v>
          </cell>
        </row>
        <row r="488">
          <cell r="A488">
            <v>3345</v>
          </cell>
          <cell r="B488" t="str">
            <v>백소켓 (나사식)</v>
          </cell>
          <cell r="C488" t="str">
            <v>32Ø</v>
          </cell>
          <cell r="D488" t="str">
            <v>개</v>
          </cell>
          <cell r="E488">
            <v>627</v>
          </cell>
          <cell r="F488">
            <v>0</v>
          </cell>
          <cell r="H488">
            <v>460</v>
          </cell>
          <cell r="I488">
            <v>627</v>
          </cell>
          <cell r="J488">
            <v>460</v>
          </cell>
          <cell r="L488">
            <v>460</v>
          </cell>
        </row>
        <row r="489">
          <cell r="A489">
            <v>3346</v>
          </cell>
          <cell r="B489" t="str">
            <v>백소켓 (나사식)</v>
          </cell>
          <cell r="C489" t="str">
            <v>25Ø</v>
          </cell>
          <cell r="D489" t="str">
            <v>개</v>
          </cell>
          <cell r="E489">
            <v>490</v>
          </cell>
          <cell r="F489">
            <v>0</v>
          </cell>
          <cell r="H489">
            <v>460</v>
          </cell>
          <cell r="I489">
            <v>490</v>
          </cell>
          <cell r="J489">
            <v>460</v>
          </cell>
          <cell r="L489">
            <v>460</v>
          </cell>
        </row>
        <row r="490">
          <cell r="A490">
            <v>3347</v>
          </cell>
          <cell r="B490" t="str">
            <v>백소켓 (나사식)</v>
          </cell>
          <cell r="C490" t="str">
            <v>20Ø</v>
          </cell>
          <cell r="D490" t="str">
            <v>개</v>
          </cell>
          <cell r="E490">
            <v>303</v>
          </cell>
          <cell r="F490">
            <v>0</v>
          </cell>
          <cell r="H490">
            <v>460</v>
          </cell>
          <cell r="I490">
            <v>303</v>
          </cell>
          <cell r="J490">
            <v>460</v>
          </cell>
          <cell r="L490">
            <v>460</v>
          </cell>
        </row>
        <row r="491">
          <cell r="A491">
            <v>3348</v>
          </cell>
          <cell r="B491" t="str">
            <v>백소켓 (나사식)</v>
          </cell>
          <cell r="C491" t="str">
            <v>15Ø</v>
          </cell>
          <cell r="D491" t="str">
            <v>개</v>
          </cell>
          <cell r="E491">
            <v>249</v>
          </cell>
          <cell r="F491">
            <v>0</v>
          </cell>
          <cell r="H491">
            <v>460</v>
          </cell>
          <cell r="I491">
            <v>249</v>
          </cell>
          <cell r="J491">
            <v>460</v>
          </cell>
          <cell r="L491">
            <v>460</v>
          </cell>
        </row>
        <row r="492">
          <cell r="A492">
            <v>3350</v>
          </cell>
          <cell r="B492" t="str">
            <v>백캡 (용접식)</v>
          </cell>
          <cell r="C492" t="str">
            <v>150Ø</v>
          </cell>
          <cell r="D492" t="str">
            <v>개</v>
          </cell>
          <cell r="E492">
            <v>8120</v>
          </cell>
          <cell r="F492">
            <v>0</v>
          </cell>
          <cell r="H492">
            <v>461</v>
          </cell>
          <cell r="I492">
            <v>8120</v>
          </cell>
          <cell r="J492">
            <v>461</v>
          </cell>
          <cell r="L492">
            <v>461</v>
          </cell>
        </row>
        <row r="493">
          <cell r="A493">
            <v>3351</v>
          </cell>
          <cell r="B493" t="str">
            <v>백캡 (용접식)</v>
          </cell>
          <cell r="C493" t="str">
            <v>100Ø</v>
          </cell>
          <cell r="D493" t="str">
            <v>개</v>
          </cell>
          <cell r="E493">
            <v>5600</v>
          </cell>
          <cell r="F493">
            <v>0</v>
          </cell>
          <cell r="H493">
            <v>461</v>
          </cell>
          <cell r="I493">
            <v>5600</v>
          </cell>
          <cell r="J493">
            <v>461</v>
          </cell>
          <cell r="L493">
            <v>461</v>
          </cell>
        </row>
        <row r="494">
          <cell r="A494">
            <v>3352</v>
          </cell>
          <cell r="B494" t="str">
            <v>백캡 (용접식)</v>
          </cell>
          <cell r="C494" t="str">
            <v>80Ø</v>
          </cell>
          <cell r="D494" t="str">
            <v>개</v>
          </cell>
          <cell r="E494">
            <v>3360</v>
          </cell>
          <cell r="F494">
            <v>0</v>
          </cell>
          <cell r="H494">
            <v>461</v>
          </cell>
          <cell r="I494">
            <v>3360</v>
          </cell>
          <cell r="J494">
            <v>461</v>
          </cell>
          <cell r="L494">
            <v>461</v>
          </cell>
        </row>
        <row r="495">
          <cell r="A495">
            <v>3353</v>
          </cell>
          <cell r="B495" t="str">
            <v>백캡 (용접식)</v>
          </cell>
          <cell r="C495" t="str">
            <v>65Ø</v>
          </cell>
          <cell r="D495" t="str">
            <v>개</v>
          </cell>
          <cell r="E495">
            <v>2450</v>
          </cell>
          <cell r="F495">
            <v>0</v>
          </cell>
          <cell r="H495">
            <v>461</v>
          </cell>
          <cell r="I495">
            <v>2450</v>
          </cell>
          <cell r="J495">
            <v>461</v>
          </cell>
          <cell r="L495">
            <v>461</v>
          </cell>
        </row>
        <row r="496">
          <cell r="A496">
            <v>3354</v>
          </cell>
          <cell r="B496" t="str">
            <v>백캡 (나사식)</v>
          </cell>
          <cell r="C496" t="str">
            <v>50Ø</v>
          </cell>
          <cell r="D496" t="str">
            <v>개</v>
          </cell>
          <cell r="E496">
            <v>1132</v>
          </cell>
          <cell r="F496">
            <v>0</v>
          </cell>
          <cell r="H496">
            <v>460</v>
          </cell>
          <cell r="I496">
            <v>1132</v>
          </cell>
          <cell r="J496">
            <v>460</v>
          </cell>
          <cell r="L496">
            <v>460</v>
          </cell>
        </row>
        <row r="497">
          <cell r="A497">
            <v>3355</v>
          </cell>
          <cell r="B497" t="str">
            <v>백캡 (나사식)</v>
          </cell>
          <cell r="C497" t="str">
            <v>40Ø</v>
          </cell>
          <cell r="D497" t="str">
            <v>개</v>
          </cell>
          <cell r="E497">
            <v>757</v>
          </cell>
          <cell r="F497">
            <v>0</v>
          </cell>
          <cell r="H497">
            <v>460</v>
          </cell>
          <cell r="I497">
            <v>757</v>
          </cell>
          <cell r="J497">
            <v>460</v>
          </cell>
          <cell r="L497">
            <v>460</v>
          </cell>
        </row>
        <row r="498">
          <cell r="A498">
            <v>3356</v>
          </cell>
          <cell r="B498" t="str">
            <v>백캡 (나사식)</v>
          </cell>
          <cell r="C498" t="str">
            <v>32Ø</v>
          </cell>
          <cell r="D498" t="str">
            <v>개</v>
          </cell>
          <cell r="E498">
            <v>571</v>
          </cell>
          <cell r="F498">
            <v>0</v>
          </cell>
          <cell r="H498">
            <v>460</v>
          </cell>
          <cell r="I498">
            <v>571</v>
          </cell>
          <cell r="J498">
            <v>460</v>
          </cell>
          <cell r="L498">
            <v>460</v>
          </cell>
        </row>
        <row r="499">
          <cell r="A499">
            <v>3357</v>
          </cell>
          <cell r="B499" t="str">
            <v>백캡 (나사식)</v>
          </cell>
          <cell r="C499" t="str">
            <v>25Ø</v>
          </cell>
          <cell r="D499" t="str">
            <v>개</v>
          </cell>
          <cell r="E499">
            <v>364</v>
          </cell>
          <cell r="F499">
            <v>0</v>
          </cell>
          <cell r="H499">
            <v>460</v>
          </cell>
          <cell r="I499">
            <v>364</v>
          </cell>
          <cell r="J499">
            <v>460</v>
          </cell>
          <cell r="L499">
            <v>460</v>
          </cell>
        </row>
        <row r="500">
          <cell r="A500">
            <v>3358</v>
          </cell>
          <cell r="B500" t="str">
            <v>백캡 (나사식)</v>
          </cell>
          <cell r="C500" t="str">
            <v>20Ø</v>
          </cell>
          <cell r="D500" t="str">
            <v>개</v>
          </cell>
          <cell r="E500">
            <v>304</v>
          </cell>
          <cell r="F500">
            <v>0</v>
          </cell>
          <cell r="H500">
            <v>460</v>
          </cell>
          <cell r="I500">
            <v>304</v>
          </cell>
          <cell r="J500">
            <v>460</v>
          </cell>
          <cell r="L500">
            <v>460</v>
          </cell>
        </row>
        <row r="501">
          <cell r="A501">
            <v>3359</v>
          </cell>
          <cell r="B501" t="str">
            <v>백캡 (나사식)</v>
          </cell>
          <cell r="C501" t="str">
            <v>15Ø</v>
          </cell>
          <cell r="D501" t="str">
            <v>개</v>
          </cell>
          <cell r="E501">
            <v>198</v>
          </cell>
          <cell r="F501">
            <v>0</v>
          </cell>
          <cell r="H501">
            <v>460</v>
          </cell>
          <cell r="I501">
            <v>198</v>
          </cell>
          <cell r="J501">
            <v>460</v>
          </cell>
          <cell r="L501">
            <v>460</v>
          </cell>
        </row>
        <row r="502">
          <cell r="A502">
            <v>3360</v>
          </cell>
          <cell r="B502" t="str">
            <v>용접 합 후렌지</v>
          </cell>
          <cell r="C502" t="str">
            <v>150Ø</v>
          </cell>
          <cell r="D502" t="str">
            <v>개</v>
          </cell>
          <cell r="E502">
            <v>16559</v>
          </cell>
          <cell r="F502">
            <v>13583</v>
          </cell>
          <cell r="H502">
            <v>0</v>
          </cell>
          <cell r="I502">
            <v>16559</v>
          </cell>
          <cell r="J502">
            <v>0</v>
          </cell>
          <cell r="L502">
            <v>0</v>
          </cell>
        </row>
        <row r="503">
          <cell r="A503">
            <v>3361</v>
          </cell>
          <cell r="B503" t="str">
            <v>용접 합 후렌지</v>
          </cell>
          <cell r="C503" t="str">
            <v>100Ø</v>
          </cell>
          <cell r="D503" t="str">
            <v>개</v>
          </cell>
          <cell r="E503">
            <v>11296</v>
          </cell>
          <cell r="F503">
            <v>10564</v>
          </cell>
          <cell r="H503">
            <v>0</v>
          </cell>
          <cell r="I503">
            <v>11296</v>
          </cell>
          <cell r="J503">
            <v>0</v>
          </cell>
          <cell r="L503">
            <v>0</v>
          </cell>
        </row>
        <row r="504">
          <cell r="A504">
            <v>3362</v>
          </cell>
          <cell r="B504" t="str">
            <v>용접 합 후렌지</v>
          </cell>
          <cell r="C504" t="str">
            <v>80Ø</v>
          </cell>
          <cell r="D504" t="str">
            <v>개</v>
          </cell>
          <cell r="E504">
            <v>10455</v>
          </cell>
          <cell r="F504">
            <v>9055</v>
          </cell>
          <cell r="H504">
            <v>0</v>
          </cell>
          <cell r="I504">
            <v>10455</v>
          </cell>
          <cell r="J504">
            <v>0</v>
          </cell>
          <cell r="L504">
            <v>0</v>
          </cell>
        </row>
        <row r="505">
          <cell r="A505">
            <v>3363</v>
          </cell>
          <cell r="B505" t="str">
            <v>용접 합 후렌지</v>
          </cell>
          <cell r="C505" t="str">
            <v>65Ø</v>
          </cell>
          <cell r="D505" t="str">
            <v>개</v>
          </cell>
          <cell r="E505">
            <v>5909</v>
          </cell>
          <cell r="F505">
            <v>8331</v>
          </cell>
          <cell r="H505">
            <v>0</v>
          </cell>
          <cell r="I505">
            <v>5909</v>
          </cell>
          <cell r="J505">
            <v>0</v>
          </cell>
          <cell r="L505">
            <v>0</v>
          </cell>
        </row>
        <row r="506">
          <cell r="A506">
            <v>3364</v>
          </cell>
          <cell r="B506" t="str">
            <v>백유니온 (나사식)</v>
          </cell>
          <cell r="C506" t="str">
            <v>50Ø</v>
          </cell>
          <cell r="D506" t="str">
            <v>개</v>
          </cell>
          <cell r="E506">
            <v>3701</v>
          </cell>
          <cell r="F506">
            <v>0</v>
          </cell>
          <cell r="H506">
            <v>460</v>
          </cell>
          <cell r="I506">
            <v>3701</v>
          </cell>
          <cell r="J506">
            <v>460</v>
          </cell>
          <cell r="L506">
            <v>460</v>
          </cell>
        </row>
        <row r="507">
          <cell r="A507">
            <v>3365</v>
          </cell>
          <cell r="B507" t="str">
            <v>백유니온 (나사식)</v>
          </cell>
          <cell r="C507" t="str">
            <v>40Ø</v>
          </cell>
          <cell r="D507" t="str">
            <v>개</v>
          </cell>
          <cell r="E507">
            <v>2876</v>
          </cell>
          <cell r="F507">
            <v>0</v>
          </cell>
          <cell r="H507">
            <v>460</v>
          </cell>
          <cell r="I507">
            <v>2876</v>
          </cell>
          <cell r="J507">
            <v>460</v>
          </cell>
          <cell r="L507">
            <v>460</v>
          </cell>
        </row>
        <row r="508">
          <cell r="A508">
            <v>3366</v>
          </cell>
          <cell r="B508" t="str">
            <v>백유니온 (나사식)</v>
          </cell>
          <cell r="C508" t="str">
            <v>32Ø</v>
          </cell>
          <cell r="D508" t="str">
            <v>개</v>
          </cell>
          <cell r="E508">
            <v>2223</v>
          </cell>
          <cell r="F508">
            <v>0</v>
          </cell>
          <cell r="H508">
            <v>460</v>
          </cell>
          <cell r="I508">
            <v>2223</v>
          </cell>
          <cell r="J508">
            <v>460</v>
          </cell>
          <cell r="L508">
            <v>460</v>
          </cell>
        </row>
        <row r="509">
          <cell r="A509">
            <v>3367</v>
          </cell>
          <cell r="B509" t="str">
            <v>백유니온 (나사식)</v>
          </cell>
          <cell r="C509" t="str">
            <v>25Ø</v>
          </cell>
          <cell r="D509" t="str">
            <v>개</v>
          </cell>
          <cell r="E509">
            <v>1754</v>
          </cell>
          <cell r="F509">
            <v>0</v>
          </cell>
          <cell r="H509">
            <v>460</v>
          </cell>
          <cell r="I509">
            <v>1754</v>
          </cell>
          <cell r="J509">
            <v>460</v>
          </cell>
          <cell r="L509">
            <v>460</v>
          </cell>
        </row>
        <row r="510">
          <cell r="A510">
            <v>3368</v>
          </cell>
          <cell r="B510" t="str">
            <v>백유니온 (나사식)</v>
          </cell>
          <cell r="C510" t="str">
            <v>20Ø</v>
          </cell>
          <cell r="D510" t="str">
            <v>개</v>
          </cell>
          <cell r="E510">
            <v>1253</v>
          </cell>
          <cell r="F510">
            <v>0</v>
          </cell>
          <cell r="H510">
            <v>460</v>
          </cell>
          <cell r="I510">
            <v>1253</v>
          </cell>
          <cell r="J510">
            <v>460</v>
          </cell>
          <cell r="L510">
            <v>460</v>
          </cell>
        </row>
        <row r="511">
          <cell r="A511">
            <v>3369</v>
          </cell>
          <cell r="B511" t="str">
            <v>백유니온 (나사식)</v>
          </cell>
          <cell r="C511" t="str">
            <v>15Ø</v>
          </cell>
          <cell r="D511" t="str">
            <v>개</v>
          </cell>
          <cell r="E511">
            <v>1149</v>
          </cell>
          <cell r="F511">
            <v>0</v>
          </cell>
          <cell r="H511">
            <v>460</v>
          </cell>
          <cell r="I511">
            <v>1149</v>
          </cell>
          <cell r="J511">
            <v>460</v>
          </cell>
          <cell r="L511">
            <v>460</v>
          </cell>
        </row>
        <row r="512">
          <cell r="A512">
            <v>3371</v>
          </cell>
          <cell r="B512" t="str">
            <v>백니플 (나사식)</v>
          </cell>
          <cell r="C512" t="str">
            <v>80Ø</v>
          </cell>
          <cell r="D512" t="str">
            <v>개</v>
          </cell>
          <cell r="E512">
            <v>2542</v>
          </cell>
          <cell r="F512">
            <v>0</v>
          </cell>
          <cell r="H512">
            <v>460</v>
          </cell>
          <cell r="I512">
            <v>2542</v>
          </cell>
          <cell r="J512">
            <v>460</v>
          </cell>
          <cell r="L512">
            <v>460</v>
          </cell>
        </row>
        <row r="513">
          <cell r="A513">
            <v>3372</v>
          </cell>
          <cell r="B513" t="str">
            <v>백니플 (나사식)</v>
          </cell>
          <cell r="C513" t="str">
            <v>65Ø</v>
          </cell>
          <cell r="D513" t="str">
            <v>개</v>
          </cell>
          <cell r="E513">
            <v>1699</v>
          </cell>
          <cell r="F513">
            <v>0</v>
          </cell>
          <cell r="H513">
            <v>460</v>
          </cell>
          <cell r="I513">
            <v>1699</v>
          </cell>
          <cell r="J513">
            <v>460</v>
          </cell>
          <cell r="L513">
            <v>460</v>
          </cell>
        </row>
        <row r="514">
          <cell r="A514">
            <v>3373</v>
          </cell>
          <cell r="B514" t="str">
            <v>백니플 (나사식)</v>
          </cell>
          <cell r="C514" t="str">
            <v>50Ø</v>
          </cell>
          <cell r="D514" t="str">
            <v>개</v>
          </cell>
          <cell r="E514">
            <v>1099</v>
          </cell>
          <cell r="F514">
            <v>0</v>
          </cell>
          <cell r="H514">
            <v>460</v>
          </cell>
          <cell r="I514">
            <v>1099</v>
          </cell>
          <cell r="J514">
            <v>460</v>
          </cell>
          <cell r="L514">
            <v>460</v>
          </cell>
        </row>
        <row r="515">
          <cell r="A515">
            <v>3374</v>
          </cell>
          <cell r="B515" t="str">
            <v>백니플 (나사식)</v>
          </cell>
          <cell r="C515" t="str">
            <v>40Ø</v>
          </cell>
          <cell r="D515" t="str">
            <v>개</v>
          </cell>
          <cell r="E515">
            <v>913</v>
          </cell>
          <cell r="F515">
            <v>0</v>
          </cell>
          <cell r="H515">
            <v>460</v>
          </cell>
          <cell r="I515">
            <v>913</v>
          </cell>
          <cell r="J515">
            <v>460</v>
          </cell>
          <cell r="L515">
            <v>460</v>
          </cell>
        </row>
        <row r="516">
          <cell r="A516">
            <v>3375</v>
          </cell>
          <cell r="B516" t="str">
            <v>백니플 (나사식)</v>
          </cell>
          <cell r="C516" t="str">
            <v>32Ø</v>
          </cell>
          <cell r="D516" t="str">
            <v>개</v>
          </cell>
          <cell r="E516">
            <v>644</v>
          </cell>
          <cell r="F516">
            <v>0</v>
          </cell>
          <cell r="H516">
            <v>460</v>
          </cell>
          <cell r="I516">
            <v>644</v>
          </cell>
          <cell r="J516">
            <v>460</v>
          </cell>
          <cell r="L516">
            <v>460</v>
          </cell>
        </row>
        <row r="517">
          <cell r="A517">
            <v>3376</v>
          </cell>
          <cell r="B517" t="str">
            <v>백니플 (나사식)</v>
          </cell>
          <cell r="C517" t="str">
            <v>25Ø</v>
          </cell>
          <cell r="D517" t="str">
            <v>개</v>
          </cell>
          <cell r="E517">
            <v>505</v>
          </cell>
          <cell r="F517">
            <v>0</v>
          </cell>
          <cell r="H517">
            <v>460</v>
          </cell>
          <cell r="I517">
            <v>505</v>
          </cell>
          <cell r="J517">
            <v>460</v>
          </cell>
          <cell r="L517">
            <v>460</v>
          </cell>
        </row>
        <row r="518">
          <cell r="A518">
            <v>3377</v>
          </cell>
          <cell r="B518" t="str">
            <v>백니플 (나사식)</v>
          </cell>
          <cell r="C518" t="str">
            <v>20Ø</v>
          </cell>
          <cell r="D518" t="str">
            <v>개</v>
          </cell>
          <cell r="E518">
            <v>353</v>
          </cell>
          <cell r="F518">
            <v>0</v>
          </cell>
          <cell r="H518">
            <v>460</v>
          </cell>
          <cell r="I518">
            <v>353</v>
          </cell>
          <cell r="J518">
            <v>460</v>
          </cell>
          <cell r="L518">
            <v>460</v>
          </cell>
        </row>
        <row r="519">
          <cell r="A519">
            <v>3378</v>
          </cell>
          <cell r="B519" t="str">
            <v>백니플 (나사식)</v>
          </cell>
          <cell r="C519" t="str">
            <v>15Ø</v>
          </cell>
          <cell r="D519" t="str">
            <v>개</v>
          </cell>
          <cell r="E519">
            <v>305</v>
          </cell>
          <cell r="F519">
            <v>0</v>
          </cell>
          <cell r="H519">
            <v>460</v>
          </cell>
          <cell r="I519">
            <v>305</v>
          </cell>
          <cell r="J519">
            <v>460</v>
          </cell>
          <cell r="L519">
            <v>460</v>
          </cell>
        </row>
        <row r="542">
          <cell r="A542">
            <v>3400</v>
          </cell>
          <cell r="B542" t="str">
            <v>흑강관</v>
          </cell>
          <cell r="C542" t="str">
            <v>150Ø</v>
          </cell>
          <cell r="D542" t="str">
            <v>M</v>
          </cell>
          <cell r="E542">
            <v>9755</v>
          </cell>
          <cell r="F542">
            <v>0</v>
          </cell>
          <cell r="H542">
            <v>458</v>
          </cell>
          <cell r="I542">
            <v>9755</v>
          </cell>
          <cell r="J542">
            <v>458</v>
          </cell>
          <cell r="L542">
            <v>458</v>
          </cell>
        </row>
        <row r="543">
          <cell r="A543">
            <v>3401</v>
          </cell>
          <cell r="B543" t="str">
            <v>흑강관</v>
          </cell>
          <cell r="C543" t="str">
            <v>100Ø</v>
          </cell>
          <cell r="D543" t="str">
            <v>M</v>
          </cell>
          <cell r="E543">
            <v>5962</v>
          </cell>
          <cell r="F543">
            <v>0</v>
          </cell>
          <cell r="H543">
            <v>458</v>
          </cell>
          <cell r="I543">
            <v>5962</v>
          </cell>
          <cell r="J543">
            <v>458</v>
          </cell>
          <cell r="L543">
            <v>458</v>
          </cell>
        </row>
        <row r="544">
          <cell r="A544">
            <v>3402</v>
          </cell>
          <cell r="B544" t="str">
            <v>흑강관</v>
          </cell>
          <cell r="C544" t="str">
            <v>80Ø</v>
          </cell>
          <cell r="D544" t="str">
            <v>M</v>
          </cell>
          <cell r="E544">
            <v>4173</v>
          </cell>
          <cell r="F544">
            <v>0</v>
          </cell>
          <cell r="H544">
            <v>458</v>
          </cell>
          <cell r="I544">
            <v>4173</v>
          </cell>
          <cell r="J544">
            <v>458</v>
          </cell>
          <cell r="L544">
            <v>458</v>
          </cell>
        </row>
        <row r="545">
          <cell r="A545">
            <v>3403</v>
          </cell>
          <cell r="B545" t="str">
            <v>흑강관</v>
          </cell>
          <cell r="C545" t="str">
            <v>65Ø</v>
          </cell>
          <cell r="D545" t="str">
            <v>M</v>
          </cell>
          <cell r="E545">
            <v>3223</v>
          </cell>
          <cell r="F545">
            <v>0</v>
          </cell>
          <cell r="H545">
            <v>458</v>
          </cell>
          <cell r="I545">
            <v>3223</v>
          </cell>
          <cell r="J545">
            <v>458</v>
          </cell>
          <cell r="L545">
            <v>458</v>
          </cell>
        </row>
        <row r="546">
          <cell r="A546">
            <v>3404</v>
          </cell>
          <cell r="B546" t="str">
            <v>흑강관</v>
          </cell>
          <cell r="C546" t="str">
            <v>50Ø</v>
          </cell>
          <cell r="D546" t="str">
            <v>M</v>
          </cell>
          <cell r="E546">
            <v>2530</v>
          </cell>
          <cell r="F546">
            <v>0</v>
          </cell>
          <cell r="H546">
            <v>458</v>
          </cell>
          <cell r="I546">
            <v>2530</v>
          </cell>
          <cell r="J546">
            <v>458</v>
          </cell>
          <cell r="L546">
            <v>458</v>
          </cell>
        </row>
        <row r="547">
          <cell r="A547">
            <v>3405</v>
          </cell>
          <cell r="B547" t="str">
            <v>흑강관</v>
          </cell>
          <cell r="C547" t="str">
            <v>40Ø</v>
          </cell>
          <cell r="D547" t="str">
            <v>M</v>
          </cell>
          <cell r="E547">
            <v>1794</v>
          </cell>
          <cell r="F547">
            <v>0</v>
          </cell>
          <cell r="H547">
            <v>458</v>
          </cell>
          <cell r="I547">
            <v>1794</v>
          </cell>
          <cell r="J547">
            <v>458</v>
          </cell>
          <cell r="L547">
            <v>458</v>
          </cell>
        </row>
        <row r="548">
          <cell r="A548">
            <v>3406</v>
          </cell>
          <cell r="B548" t="str">
            <v>흑강관</v>
          </cell>
          <cell r="C548" t="str">
            <v>32Ø</v>
          </cell>
          <cell r="D548" t="str">
            <v>M</v>
          </cell>
          <cell r="E548">
            <v>1553</v>
          </cell>
          <cell r="F548">
            <v>0</v>
          </cell>
          <cell r="H548">
            <v>458</v>
          </cell>
          <cell r="I548">
            <v>1553</v>
          </cell>
          <cell r="J548">
            <v>458</v>
          </cell>
          <cell r="L548">
            <v>458</v>
          </cell>
        </row>
        <row r="549">
          <cell r="A549">
            <v>3407</v>
          </cell>
          <cell r="B549" t="str">
            <v>흑강관</v>
          </cell>
          <cell r="C549" t="str">
            <v>25Ø</v>
          </cell>
          <cell r="D549" t="str">
            <v>M</v>
          </cell>
          <cell r="E549">
            <v>1233</v>
          </cell>
          <cell r="F549">
            <v>0</v>
          </cell>
          <cell r="H549">
            <v>458</v>
          </cell>
          <cell r="I549">
            <v>1233</v>
          </cell>
          <cell r="J549">
            <v>458</v>
          </cell>
          <cell r="L549">
            <v>458</v>
          </cell>
        </row>
        <row r="550">
          <cell r="A550">
            <v>3408</v>
          </cell>
          <cell r="B550" t="str">
            <v>흑강관</v>
          </cell>
          <cell r="C550" t="str">
            <v>20Ø</v>
          </cell>
          <cell r="D550" t="str">
            <v>M</v>
          </cell>
          <cell r="E550">
            <v>821</v>
          </cell>
          <cell r="F550">
            <v>0</v>
          </cell>
          <cell r="H550">
            <v>458</v>
          </cell>
          <cell r="I550">
            <v>821</v>
          </cell>
          <cell r="J550">
            <v>458</v>
          </cell>
          <cell r="L550">
            <v>458</v>
          </cell>
        </row>
        <row r="551">
          <cell r="A551">
            <v>3409</v>
          </cell>
          <cell r="B551" t="str">
            <v>흑강관</v>
          </cell>
          <cell r="C551" t="str">
            <v>15Ø</v>
          </cell>
          <cell r="D551" t="str">
            <v>M</v>
          </cell>
          <cell r="E551">
            <v>672</v>
          </cell>
          <cell r="F551">
            <v>0</v>
          </cell>
          <cell r="H551">
            <v>458</v>
          </cell>
          <cell r="I551">
            <v>672</v>
          </cell>
          <cell r="J551">
            <v>458</v>
          </cell>
          <cell r="L551">
            <v>458</v>
          </cell>
        </row>
        <row r="552">
          <cell r="A552">
            <v>3410</v>
          </cell>
          <cell r="B552" t="str">
            <v>흑엘보 (용접식)</v>
          </cell>
          <cell r="C552" t="str">
            <v>150Ø</v>
          </cell>
          <cell r="D552" t="str">
            <v>개</v>
          </cell>
          <cell r="E552">
            <v>13300</v>
          </cell>
          <cell r="F552">
            <v>0</v>
          </cell>
          <cell r="H552">
            <v>465</v>
          </cell>
          <cell r="I552">
            <v>13300</v>
          </cell>
          <cell r="J552">
            <v>465</v>
          </cell>
          <cell r="L552">
            <v>465</v>
          </cell>
        </row>
        <row r="553">
          <cell r="A553">
            <v>3411</v>
          </cell>
          <cell r="B553" t="str">
            <v>흑엘보 (용접식)</v>
          </cell>
          <cell r="C553" t="str">
            <v>100Ø</v>
          </cell>
          <cell r="D553" t="str">
            <v>개</v>
          </cell>
          <cell r="E553">
            <v>5110</v>
          </cell>
          <cell r="F553">
            <v>0</v>
          </cell>
          <cell r="H553">
            <v>465</v>
          </cell>
          <cell r="I553">
            <v>5110</v>
          </cell>
          <cell r="J553">
            <v>465</v>
          </cell>
          <cell r="L553">
            <v>465</v>
          </cell>
        </row>
        <row r="554">
          <cell r="A554">
            <v>3412</v>
          </cell>
          <cell r="B554" t="str">
            <v>흑엘보 (용접식)</v>
          </cell>
          <cell r="C554" t="str">
            <v>80Ø</v>
          </cell>
          <cell r="D554" t="str">
            <v>개</v>
          </cell>
          <cell r="E554">
            <v>3080</v>
          </cell>
          <cell r="F554">
            <v>0</v>
          </cell>
          <cell r="H554">
            <v>463</v>
          </cell>
          <cell r="I554">
            <v>3080</v>
          </cell>
          <cell r="J554">
            <v>463</v>
          </cell>
          <cell r="L554">
            <v>463</v>
          </cell>
        </row>
        <row r="555">
          <cell r="A555">
            <v>3413</v>
          </cell>
          <cell r="B555" t="str">
            <v>흑엘보 (용접식)</v>
          </cell>
          <cell r="C555" t="str">
            <v>65Ø</v>
          </cell>
          <cell r="D555" t="str">
            <v>개</v>
          </cell>
          <cell r="E555">
            <v>2310</v>
          </cell>
          <cell r="F555">
            <v>0</v>
          </cell>
          <cell r="H555">
            <v>463</v>
          </cell>
          <cell r="I555">
            <v>2310</v>
          </cell>
          <cell r="J555">
            <v>463</v>
          </cell>
          <cell r="L555">
            <v>463</v>
          </cell>
        </row>
        <row r="556">
          <cell r="A556">
            <v>3414</v>
          </cell>
          <cell r="B556" t="str">
            <v>흑엘보 (나사식)</v>
          </cell>
          <cell r="C556" t="str">
            <v>50Ø</v>
          </cell>
          <cell r="D556" t="str">
            <v>개</v>
          </cell>
          <cell r="E556">
            <v>1363</v>
          </cell>
          <cell r="F556">
            <v>0</v>
          </cell>
          <cell r="H556">
            <v>463</v>
          </cell>
          <cell r="I556">
            <v>1363</v>
          </cell>
          <cell r="J556">
            <v>463</v>
          </cell>
          <cell r="L556">
            <v>463</v>
          </cell>
        </row>
        <row r="557">
          <cell r="A557">
            <v>3415</v>
          </cell>
          <cell r="B557" t="str">
            <v>흑엘보 (나사식)</v>
          </cell>
          <cell r="C557" t="str">
            <v>40Ø</v>
          </cell>
          <cell r="D557" t="str">
            <v>개</v>
          </cell>
          <cell r="E557">
            <v>868</v>
          </cell>
          <cell r="F557">
            <v>0</v>
          </cell>
          <cell r="H557">
            <v>463</v>
          </cell>
          <cell r="I557">
            <v>868</v>
          </cell>
          <cell r="J557">
            <v>463</v>
          </cell>
          <cell r="L557">
            <v>463</v>
          </cell>
        </row>
        <row r="558">
          <cell r="A558">
            <v>3416</v>
          </cell>
          <cell r="B558" t="str">
            <v>흑엘보 (나사식)</v>
          </cell>
          <cell r="C558" t="str">
            <v>32Ø</v>
          </cell>
          <cell r="D558" t="str">
            <v>개</v>
          </cell>
          <cell r="E558">
            <v>732</v>
          </cell>
          <cell r="F558">
            <v>0</v>
          </cell>
          <cell r="H558">
            <v>463</v>
          </cell>
          <cell r="I558">
            <v>732</v>
          </cell>
          <cell r="J558">
            <v>463</v>
          </cell>
          <cell r="L558">
            <v>463</v>
          </cell>
        </row>
        <row r="559">
          <cell r="A559">
            <v>3417</v>
          </cell>
          <cell r="B559" t="str">
            <v>흑엘보 (나사식)</v>
          </cell>
          <cell r="C559" t="str">
            <v>25Ø</v>
          </cell>
          <cell r="D559" t="str">
            <v>개</v>
          </cell>
          <cell r="E559">
            <v>475</v>
          </cell>
          <cell r="F559">
            <v>0</v>
          </cell>
          <cell r="H559">
            <v>463</v>
          </cell>
          <cell r="I559">
            <v>475</v>
          </cell>
          <cell r="J559">
            <v>463</v>
          </cell>
          <cell r="L559">
            <v>463</v>
          </cell>
        </row>
        <row r="560">
          <cell r="A560">
            <v>3418</v>
          </cell>
          <cell r="B560" t="str">
            <v>흑엘보 (나사식)</v>
          </cell>
          <cell r="C560" t="str">
            <v>20Ø</v>
          </cell>
          <cell r="D560" t="str">
            <v>개</v>
          </cell>
          <cell r="E560">
            <v>299</v>
          </cell>
          <cell r="F560">
            <v>0</v>
          </cell>
          <cell r="H560">
            <v>463</v>
          </cell>
          <cell r="I560">
            <v>299</v>
          </cell>
          <cell r="J560">
            <v>463</v>
          </cell>
          <cell r="L560">
            <v>463</v>
          </cell>
        </row>
        <row r="561">
          <cell r="A561">
            <v>3419</v>
          </cell>
          <cell r="B561" t="str">
            <v>흑엘보 (나사식)</v>
          </cell>
          <cell r="C561" t="str">
            <v>15Ø</v>
          </cell>
          <cell r="D561" t="str">
            <v>개</v>
          </cell>
          <cell r="E561">
            <v>200</v>
          </cell>
          <cell r="F561">
            <v>0</v>
          </cell>
          <cell r="H561">
            <v>463</v>
          </cell>
          <cell r="I561">
            <v>200</v>
          </cell>
          <cell r="J561">
            <v>463</v>
          </cell>
          <cell r="L561">
            <v>463</v>
          </cell>
        </row>
        <row r="562">
          <cell r="A562">
            <v>3420</v>
          </cell>
          <cell r="B562" t="str">
            <v>흑티 (용접식)</v>
          </cell>
          <cell r="C562" t="str">
            <v>150Ø</v>
          </cell>
          <cell r="D562" t="str">
            <v>개</v>
          </cell>
          <cell r="E562">
            <v>17500</v>
          </cell>
          <cell r="F562">
            <v>0</v>
          </cell>
          <cell r="H562">
            <v>465</v>
          </cell>
          <cell r="I562">
            <v>17500</v>
          </cell>
          <cell r="J562">
            <v>465</v>
          </cell>
          <cell r="L562">
            <v>465</v>
          </cell>
        </row>
        <row r="563">
          <cell r="A563">
            <v>3421</v>
          </cell>
          <cell r="B563" t="str">
            <v>흑티 (용접식)</v>
          </cell>
          <cell r="C563" t="str">
            <v>100Ø</v>
          </cell>
          <cell r="D563" t="str">
            <v>개</v>
          </cell>
          <cell r="E563">
            <v>7280</v>
          </cell>
          <cell r="F563">
            <v>0</v>
          </cell>
          <cell r="H563">
            <v>465</v>
          </cell>
          <cell r="I563">
            <v>7280</v>
          </cell>
          <cell r="J563">
            <v>465</v>
          </cell>
          <cell r="L563">
            <v>465</v>
          </cell>
        </row>
        <row r="564">
          <cell r="A564">
            <v>3422</v>
          </cell>
          <cell r="B564" t="str">
            <v>흑티 (용접식)</v>
          </cell>
          <cell r="C564" t="str">
            <v>80Ø</v>
          </cell>
          <cell r="D564" t="str">
            <v>개</v>
          </cell>
          <cell r="E564">
            <v>4620</v>
          </cell>
          <cell r="F564">
            <v>0</v>
          </cell>
          <cell r="H564">
            <v>463</v>
          </cell>
          <cell r="I564">
            <v>4620</v>
          </cell>
          <cell r="J564">
            <v>463</v>
          </cell>
          <cell r="L564">
            <v>463</v>
          </cell>
        </row>
        <row r="565">
          <cell r="A565">
            <v>3423</v>
          </cell>
          <cell r="B565" t="str">
            <v>흑티 (용접식)</v>
          </cell>
          <cell r="C565" t="str">
            <v>65Ø</v>
          </cell>
          <cell r="D565" t="str">
            <v>개</v>
          </cell>
          <cell r="E565">
            <v>3360</v>
          </cell>
          <cell r="F565">
            <v>0</v>
          </cell>
          <cell r="H565">
            <v>463</v>
          </cell>
          <cell r="I565">
            <v>3360</v>
          </cell>
          <cell r="J565">
            <v>463</v>
          </cell>
          <cell r="L565">
            <v>463</v>
          </cell>
        </row>
        <row r="566">
          <cell r="A566">
            <v>3424</v>
          </cell>
          <cell r="B566" t="str">
            <v>흑티 (나사식)</v>
          </cell>
          <cell r="C566" t="str">
            <v>50Ø</v>
          </cell>
          <cell r="D566" t="str">
            <v>개</v>
          </cell>
          <cell r="E566">
            <v>1778</v>
          </cell>
          <cell r="F566">
            <v>0</v>
          </cell>
          <cell r="H566">
            <v>463</v>
          </cell>
          <cell r="I566">
            <v>1778</v>
          </cell>
          <cell r="J566">
            <v>463</v>
          </cell>
          <cell r="L566">
            <v>463</v>
          </cell>
        </row>
        <row r="567">
          <cell r="A567">
            <v>3437</v>
          </cell>
          <cell r="B567" t="str">
            <v>흑티 (나사식)</v>
          </cell>
          <cell r="C567" t="str">
            <v>40Ø</v>
          </cell>
          <cell r="D567" t="str">
            <v>개</v>
          </cell>
          <cell r="E567">
            <v>1218</v>
          </cell>
          <cell r="F567">
            <v>0</v>
          </cell>
          <cell r="H567">
            <v>463</v>
          </cell>
          <cell r="I567">
            <v>1218</v>
          </cell>
          <cell r="J567">
            <v>463</v>
          </cell>
          <cell r="L567">
            <v>463</v>
          </cell>
        </row>
        <row r="568">
          <cell r="A568">
            <v>3426</v>
          </cell>
          <cell r="B568" t="str">
            <v>흑티 (나사식)</v>
          </cell>
          <cell r="C568" t="str">
            <v>32Ø</v>
          </cell>
          <cell r="D568" t="str">
            <v>개</v>
          </cell>
          <cell r="E568">
            <v>911</v>
          </cell>
          <cell r="F568">
            <v>0</v>
          </cell>
          <cell r="H568">
            <v>463</v>
          </cell>
          <cell r="I568">
            <v>911</v>
          </cell>
          <cell r="J568">
            <v>463</v>
          </cell>
          <cell r="L568">
            <v>463</v>
          </cell>
        </row>
        <row r="569">
          <cell r="A569">
            <v>3427</v>
          </cell>
          <cell r="B569" t="str">
            <v>흑티 (나사식)</v>
          </cell>
          <cell r="C569" t="str">
            <v>25Ø</v>
          </cell>
          <cell r="D569" t="str">
            <v>개</v>
          </cell>
          <cell r="E569">
            <v>661</v>
          </cell>
          <cell r="F569">
            <v>0</v>
          </cell>
          <cell r="H569">
            <v>463</v>
          </cell>
          <cell r="I569">
            <v>661</v>
          </cell>
          <cell r="J569">
            <v>463</v>
          </cell>
          <cell r="L569">
            <v>463</v>
          </cell>
        </row>
        <row r="570">
          <cell r="A570">
            <v>3428</v>
          </cell>
          <cell r="B570" t="str">
            <v>흑티 (나사식)</v>
          </cell>
          <cell r="C570" t="str">
            <v>20Ø</v>
          </cell>
          <cell r="D570" t="str">
            <v>개</v>
          </cell>
          <cell r="E570">
            <v>440</v>
          </cell>
          <cell r="F570">
            <v>0</v>
          </cell>
          <cell r="H570">
            <v>463</v>
          </cell>
          <cell r="I570">
            <v>440</v>
          </cell>
          <cell r="J570">
            <v>463</v>
          </cell>
          <cell r="L570">
            <v>463</v>
          </cell>
        </row>
        <row r="571">
          <cell r="A571">
            <v>3429</v>
          </cell>
          <cell r="B571" t="str">
            <v>흑티 (나사식)</v>
          </cell>
          <cell r="C571" t="str">
            <v>15Ø</v>
          </cell>
          <cell r="D571" t="str">
            <v>개</v>
          </cell>
          <cell r="E571">
            <v>302</v>
          </cell>
          <cell r="F571">
            <v>0</v>
          </cell>
          <cell r="H571">
            <v>463</v>
          </cell>
          <cell r="I571">
            <v>302</v>
          </cell>
          <cell r="J571">
            <v>463</v>
          </cell>
          <cell r="L571">
            <v>463</v>
          </cell>
        </row>
        <row r="572">
          <cell r="A572">
            <v>3430</v>
          </cell>
          <cell r="B572" t="str">
            <v>흑레듀샤 (용접식)</v>
          </cell>
          <cell r="C572" t="str">
            <v>150Ø</v>
          </cell>
          <cell r="D572" t="str">
            <v>개</v>
          </cell>
          <cell r="E572">
            <v>16100</v>
          </cell>
          <cell r="F572">
            <v>0</v>
          </cell>
          <cell r="H572">
            <v>465</v>
          </cell>
          <cell r="I572">
            <v>16100</v>
          </cell>
          <cell r="J572">
            <v>465</v>
          </cell>
          <cell r="L572">
            <v>465</v>
          </cell>
        </row>
        <row r="573">
          <cell r="A573">
            <v>3431</v>
          </cell>
          <cell r="B573" t="str">
            <v>흑레듀샤 (용접식)</v>
          </cell>
          <cell r="C573" t="str">
            <v>100Ø</v>
          </cell>
          <cell r="D573" t="str">
            <v>개</v>
          </cell>
          <cell r="E573">
            <v>6440</v>
          </cell>
          <cell r="F573">
            <v>0</v>
          </cell>
          <cell r="H573">
            <v>465</v>
          </cell>
          <cell r="I573">
            <v>6440</v>
          </cell>
          <cell r="J573">
            <v>465</v>
          </cell>
          <cell r="L573">
            <v>465</v>
          </cell>
        </row>
        <row r="574">
          <cell r="A574">
            <v>3432</v>
          </cell>
          <cell r="B574" t="str">
            <v>흑레듀샤 (용접식)</v>
          </cell>
          <cell r="C574" t="str">
            <v>80Ø</v>
          </cell>
          <cell r="D574" t="str">
            <v>개</v>
          </cell>
          <cell r="E574">
            <v>4200</v>
          </cell>
          <cell r="F574">
            <v>0</v>
          </cell>
          <cell r="H574">
            <v>463</v>
          </cell>
          <cell r="I574">
            <v>4200</v>
          </cell>
          <cell r="J574">
            <v>463</v>
          </cell>
          <cell r="L574">
            <v>463</v>
          </cell>
        </row>
        <row r="575">
          <cell r="A575">
            <v>3433</v>
          </cell>
          <cell r="B575" t="str">
            <v>흑레듀샤 (용접식)</v>
          </cell>
          <cell r="C575" t="str">
            <v>65Ø</v>
          </cell>
          <cell r="D575" t="str">
            <v>개</v>
          </cell>
          <cell r="E575">
            <v>3520</v>
          </cell>
          <cell r="F575">
            <v>0</v>
          </cell>
          <cell r="H575">
            <v>463</v>
          </cell>
          <cell r="I575">
            <v>3520</v>
          </cell>
          <cell r="J575">
            <v>463</v>
          </cell>
          <cell r="L575">
            <v>463</v>
          </cell>
        </row>
        <row r="576">
          <cell r="A576">
            <v>3434</v>
          </cell>
          <cell r="B576" t="str">
            <v>흑레듀샤 (나사식)</v>
          </cell>
          <cell r="C576" t="str">
            <v>50Ø</v>
          </cell>
          <cell r="D576" t="str">
            <v>개</v>
          </cell>
          <cell r="E576">
            <v>884</v>
          </cell>
          <cell r="F576">
            <v>0</v>
          </cell>
          <cell r="H576">
            <v>463</v>
          </cell>
          <cell r="I576">
            <v>884</v>
          </cell>
          <cell r="J576">
            <v>463</v>
          </cell>
          <cell r="L576">
            <v>463</v>
          </cell>
        </row>
        <row r="577">
          <cell r="A577">
            <v>3435</v>
          </cell>
          <cell r="B577" t="str">
            <v>흑레듀샤 (나사식)</v>
          </cell>
          <cell r="C577" t="str">
            <v>40Ø</v>
          </cell>
          <cell r="D577" t="str">
            <v>개</v>
          </cell>
          <cell r="E577">
            <v>685</v>
          </cell>
          <cell r="F577">
            <v>0</v>
          </cell>
          <cell r="H577">
            <v>463</v>
          </cell>
          <cell r="I577">
            <v>685</v>
          </cell>
          <cell r="J577">
            <v>463</v>
          </cell>
          <cell r="L577">
            <v>463</v>
          </cell>
        </row>
        <row r="578">
          <cell r="A578">
            <v>3436</v>
          </cell>
          <cell r="B578" t="str">
            <v>흑레듀샤 (나사식)</v>
          </cell>
          <cell r="C578" t="str">
            <v>32Ø</v>
          </cell>
          <cell r="D578" t="str">
            <v>개</v>
          </cell>
          <cell r="E578">
            <v>530</v>
          </cell>
          <cell r="F578">
            <v>0</v>
          </cell>
          <cell r="H578">
            <v>463</v>
          </cell>
          <cell r="I578">
            <v>530</v>
          </cell>
          <cell r="J578">
            <v>463</v>
          </cell>
          <cell r="L578">
            <v>463</v>
          </cell>
        </row>
        <row r="579">
          <cell r="A579">
            <v>3437</v>
          </cell>
          <cell r="B579" t="str">
            <v>흑레듀샤 (나사식)</v>
          </cell>
          <cell r="C579" t="str">
            <v>25Ø</v>
          </cell>
          <cell r="D579" t="str">
            <v>개</v>
          </cell>
          <cell r="E579">
            <v>400</v>
          </cell>
          <cell r="F579">
            <v>0</v>
          </cell>
          <cell r="H579">
            <v>463</v>
          </cell>
          <cell r="I579">
            <v>400</v>
          </cell>
          <cell r="J579">
            <v>463</v>
          </cell>
          <cell r="L579">
            <v>463</v>
          </cell>
        </row>
        <row r="580">
          <cell r="A580">
            <v>3438</v>
          </cell>
          <cell r="B580" t="str">
            <v>흑레듀샤 (나사식)</v>
          </cell>
          <cell r="C580" t="str">
            <v>20Ø</v>
          </cell>
          <cell r="D580" t="str">
            <v>개</v>
          </cell>
          <cell r="E580">
            <v>277</v>
          </cell>
          <cell r="F580">
            <v>0</v>
          </cell>
          <cell r="H580">
            <v>463</v>
          </cell>
          <cell r="I580">
            <v>277</v>
          </cell>
          <cell r="J580">
            <v>463</v>
          </cell>
          <cell r="L580">
            <v>463</v>
          </cell>
        </row>
        <row r="581">
          <cell r="A581">
            <v>3441</v>
          </cell>
          <cell r="B581" t="str">
            <v>흑소켓 (나사식)</v>
          </cell>
          <cell r="C581" t="str">
            <v>80Ø</v>
          </cell>
          <cell r="D581" t="str">
            <v>개</v>
          </cell>
          <cell r="E581">
            <v>2026</v>
          </cell>
          <cell r="F581">
            <v>0</v>
          </cell>
          <cell r="H581">
            <v>463</v>
          </cell>
          <cell r="I581">
            <v>2026</v>
          </cell>
          <cell r="J581">
            <v>463</v>
          </cell>
          <cell r="L581">
            <v>463</v>
          </cell>
        </row>
        <row r="582">
          <cell r="A582">
            <v>3442</v>
          </cell>
          <cell r="B582" t="str">
            <v>흑소켓 (나사식)</v>
          </cell>
          <cell r="C582" t="str">
            <v>65Ø</v>
          </cell>
          <cell r="D582" t="str">
            <v>개</v>
          </cell>
          <cell r="E582">
            <v>1617</v>
          </cell>
          <cell r="F582">
            <v>0</v>
          </cell>
          <cell r="H582">
            <v>463</v>
          </cell>
          <cell r="I582">
            <v>1617</v>
          </cell>
          <cell r="J582">
            <v>463</v>
          </cell>
          <cell r="L582">
            <v>463</v>
          </cell>
        </row>
        <row r="583">
          <cell r="A583">
            <v>3443</v>
          </cell>
          <cell r="B583" t="str">
            <v>흑소켓 (나사식)</v>
          </cell>
          <cell r="C583" t="str">
            <v>50Ø</v>
          </cell>
          <cell r="D583" t="str">
            <v>개</v>
          </cell>
          <cell r="E583">
            <v>917</v>
          </cell>
          <cell r="F583">
            <v>0</v>
          </cell>
          <cell r="H583">
            <v>463</v>
          </cell>
          <cell r="I583">
            <v>917</v>
          </cell>
          <cell r="J583">
            <v>463</v>
          </cell>
          <cell r="L583">
            <v>463</v>
          </cell>
        </row>
        <row r="584">
          <cell r="A584">
            <v>3444</v>
          </cell>
          <cell r="B584" t="str">
            <v>흑소켓 (나사식)</v>
          </cell>
          <cell r="C584" t="str">
            <v>40Ø</v>
          </cell>
          <cell r="D584" t="str">
            <v>개</v>
          </cell>
          <cell r="E584">
            <v>576</v>
          </cell>
          <cell r="F584">
            <v>0</v>
          </cell>
          <cell r="H584">
            <v>463</v>
          </cell>
          <cell r="I584">
            <v>576</v>
          </cell>
          <cell r="J584">
            <v>463</v>
          </cell>
          <cell r="L584">
            <v>463</v>
          </cell>
        </row>
        <row r="585">
          <cell r="A585">
            <v>3445</v>
          </cell>
          <cell r="B585" t="str">
            <v>흑소켓 (나사식)</v>
          </cell>
          <cell r="C585" t="str">
            <v>32Ø</v>
          </cell>
          <cell r="D585" t="str">
            <v>개</v>
          </cell>
          <cell r="E585">
            <v>483</v>
          </cell>
          <cell r="F585">
            <v>0</v>
          </cell>
          <cell r="H585">
            <v>463</v>
          </cell>
          <cell r="I585">
            <v>483</v>
          </cell>
          <cell r="J585">
            <v>463</v>
          </cell>
          <cell r="L585">
            <v>463</v>
          </cell>
        </row>
        <row r="586">
          <cell r="A586">
            <v>3446</v>
          </cell>
          <cell r="B586" t="str">
            <v>흑소켓 (나사식)</v>
          </cell>
          <cell r="C586" t="str">
            <v>25Ø</v>
          </cell>
          <cell r="D586" t="str">
            <v>개</v>
          </cell>
          <cell r="E586">
            <v>377</v>
          </cell>
          <cell r="F586">
            <v>0</v>
          </cell>
          <cell r="H586">
            <v>463</v>
          </cell>
          <cell r="I586">
            <v>377</v>
          </cell>
          <cell r="J586">
            <v>463</v>
          </cell>
          <cell r="L586">
            <v>463</v>
          </cell>
        </row>
        <row r="587">
          <cell r="A587">
            <v>3447</v>
          </cell>
          <cell r="B587" t="str">
            <v>흑소켓 (나사식)</v>
          </cell>
          <cell r="C587" t="str">
            <v>20Ø</v>
          </cell>
          <cell r="D587" t="str">
            <v>개</v>
          </cell>
          <cell r="E587">
            <v>232</v>
          </cell>
          <cell r="F587">
            <v>0</v>
          </cell>
          <cell r="H587">
            <v>463</v>
          </cell>
          <cell r="I587">
            <v>232</v>
          </cell>
          <cell r="J587">
            <v>463</v>
          </cell>
          <cell r="L587">
            <v>463</v>
          </cell>
        </row>
        <row r="588">
          <cell r="A588">
            <v>3448</v>
          </cell>
          <cell r="B588" t="str">
            <v>흑소켓 (나사식)</v>
          </cell>
          <cell r="C588" t="str">
            <v>15Ø</v>
          </cell>
          <cell r="D588" t="str">
            <v>개</v>
          </cell>
          <cell r="E588">
            <v>193</v>
          </cell>
          <cell r="F588">
            <v>0</v>
          </cell>
          <cell r="H588">
            <v>463</v>
          </cell>
          <cell r="I588">
            <v>193</v>
          </cell>
          <cell r="J588">
            <v>463</v>
          </cell>
          <cell r="L588">
            <v>463</v>
          </cell>
        </row>
        <row r="589">
          <cell r="A589">
            <v>3450</v>
          </cell>
          <cell r="B589" t="str">
            <v>흑캡 (용접식)</v>
          </cell>
          <cell r="C589" t="str">
            <v>150Ø</v>
          </cell>
          <cell r="D589" t="str">
            <v>개</v>
          </cell>
          <cell r="E589">
            <v>7000</v>
          </cell>
          <cell r="F589">
            <v>0</v>
          </cell>
          <cell r="H589">
            <v>465</v>
          </cell>
          <cell r="I589">
            <v>7000</v>
          </cell>
          <cell r="J589">
            <v>465</v>
          </cell>
          <cell r="L589">
            <v>465</v>
          </cell>
        </row>
        <row r="590">
          <cell r="A590">
            <v>3451</v>
          </cell>
          <cell r="B590" t="str">
            <v>흑캡 (용접식)</v>
          </cell>
          <cell r="C590" t="str">
            <v>100Ø</v>
          </cell>
          <cell r="D590" t="str">
            <v>개</v>
          </cell>
          <cell r="E590">
            <v>2940</v>
          </cell>
          <cell r="F590">
            <v>0</v>
          </cell>
          <cell r="H590">
            <v>465</v>
          </cell>
          <cell r="I590">
            <v>2940</v>
          </cell>
          <cell r="J590">
            <v>465</v>
          </cell>
          <cell r="L590">
            <v>465</v>
          </cell>
        </row>
        <row r="591">
          <cell r="A591">
            <v>3452</v>
          </cell>
          <cell r="B591" t="str">
            <v>흑캡 (용접식)</v>
          </cell>
          <cell r="C591" t="str">
            <v>80Ø</v>
          </cell>
          <cell r="D591" t="str">
            <v>개</v>
          </cell>
          <cell r="E591">
            <v>2070</v>
          </cell>
          <cell r="F591">
            <v>0</v>
          </cell>
          <cell r="H591">
            <v>463</v>
          </cell>
          <cell r="I591">
            <v>2070</v>
          </cell>
          <cell r="J591">
            <v>463</v>
          </cell>
          <cell r="L591">
            <v>463</v>
          </cell>
        </row>
        <row r="592">
          <cell r="A592">
            <v>3453</v>
          </cell>
          <cell r="B592" t="str">
            <v>흑캡 (용접식)</v>
          </cell>
          <cell r="C592" t="str">
            <v>65Ø</v>
          </cell>
          <cell r="D592" t="str">
            <v>개</v>
          </cell>
          <cell r="E592">
            <v>1490</v>
          </cell>
          <cell r="F592">
            <v>0</v>
          </cell>
          <cell r="H592">
            <v>463</v>
          </cell>
          <cell r="I592">
            <v>1490</v>
          </cell>
          <cell r="J592">
            <v>463</v>
          </cell>
          <cell r="L592">
            <v>463</v>
          </cell>
        </row>
        <row r="593">
          <cell r="A593">
            <v>3454</v>
          </cell>
          <cell r="B593" t="str">
            <v>흑캡 (나사식)</v>
          </cell>
          <cell r="C593" t="str">
            <v>50Ø</v>
          </cell>
          <cell r="D593" t="str">
            <v>개</v>
          </cell>
          <cell r="E593">
            <v>872</v>
          </cell>
          <cell r="F593">
            <v>0</v>
          </cell>
          <cell r="H593">
            <v>463</v>
          </cell>
          <cell r="I593">
            <v>872</v>
          </cell>
          <cell r="J593">
            <v>463</v>
          </cell>
          <cell r="L593">
            <v>463</v>
          </cell>
        </row>
        <row r="594">
          <cell r="A594">
            <v>3455</v>
          </cell>
          <cell r="B594" t="str">
            <v>흑캡 (나사식)</v>
          </cell>
          <cell r="C594" t="str">
            <v>40Ø</v>
          </cell>
          <cell r="D594" t="str">
            <v>개</v>
          </cell>
          <cell r="E594">
            <v>583</v>
          </cell>
          <cell r="F594">
            <v>0</v>
          </cell>
          <cell r="H594">
            <v>463</v>
          </cell>
          <cell r="I594">
            <v>583</v>
          </cell>
          <cell r="J594">
            <v>463</v>
          </cell>
          <cell r="L594">
            <v>463</v>
          </cell>
        </row>
        <row r="595">
          <cell r="A595">
            <v>3456</v>
          </cell>
          <cell r="B595" t="str">
            <v>흑캡 (나사식)</v>
          </cell>
          <cell r="C595" t="str">
            <v>32Ø</v>
          </cell>
          <cell r="D595" t="str">
            <v>개</v>
          </cell>
          <cell r="E595">
            <v>440</v>
          </cell>
          <cell r="F595">
            <v>0</v>
          </cell>
          <cell r="H595">
            <v>463</v>
          </cell>
          <cell r="I595">
            <v>440</v>
          </cell>
          <cell r="J595">
            <v>463</v>
          </cell>
          <cell r="L595">
            <v>463</v>
          </cell>
        </row>
        <row r="596">
          <cell r="A596">
            <v>3457</v>
          </cell>
          <cell r="B596" t="str">
            <v>흑캡 (나사식)</v>
          </cell>
          <cell r="C596" t="str">
            <v>25Ø</v>
          </cell>
          <cell r="D596" t="str">
            <v>개</v>
          </cell>
          <cell r="E596">
            <v>278</v>
          </cell>
          <cell r="F596">
            <v>0</v>
          </cell>
          <cell r="H596">
            <v>463</v>
          </cell>
          <cell r="I596">
            <v>278</v>
          </cell>
          <cell r="J596">
            <v>463</v>
          </cell>
          <cell r="L596">
            <v>463</v>
          </cell>
        </row>
        <row r="597">
          <cell r="A597">
            <v>3458</v>
          </cell>
          <cell r="B597" t="str">
            <v>흑캡 (나사식)</v>
          </cell>
          <cell r="C597" t="str">
            <v>20Ø</v>
          </cell>
          <cell r="D597" t="str">
            <v>개</v>
          </cell>
          <cell r="E597">
            <v>234</v>
          </cell>
          <cell r="F597">
            <v>0</v>
          </cell>
          <cell r="H597">
            <v>463</v>
          </cell>
          <cell r="I597">
            <v>234</v>
          </cell>
          <cell r="J597">
            <v>463</v>
          </cell>
          <cell r="L597">
            <v>463</v>
          </cell>
        </row>
        <row r="598">
          <cell r="A598">
            <v>3459</v>
          </cell>
          <cell r="B598" t="str">
            <v>흑캡 (나사식)</v>
          </cell>
          <cell r="C598" t="str">
            <v>15Ø</v>
          </cell>
          <cell r="D598" t="str">
            <v>개</v>
          </cell>
          <cell r="E598">
            <v>151</v>
          </cell>
          <cell r="F598">
            <v>0</v>
          </cell>
          <cell r="H598">
            <v>463</v>
          </cell>
          <cell r="I598">
            <v>151</v>
          </cell>
          <cell r="J598">
            <v>463</v>
          </cell>
          <cell r="L598">
            <v>463</v>
          </cell>
        </row>
        <row r="599">
          <cell r="A599">
            <v>3461</v>
          </cell>
          <cell r="B599" t="str">
            <v>흑유니온 (나사식)</v>
          </cell>
          <cell r="C599" t="str">
            <v>80Ø</v>
          </cell>
          <cell r="D599" t="str">
            <v>개</v>
          </cell>
          <cell r="E599">
            <v>6843</v>
          </cell>
          <cell r="F599">
            <v>0</v>
          </cell>
          <cell r="H599">
            <v>463</v>
          </cell>
          <cell r="I599">
            <v>6843</v>
          </cell>
          <cell r="J599">
            <v>463</v>
          </cell>
          <cell r="L599">
            <v>463</v>
          </cell>
        </row>
        <row r="600">
          <cell r="A600">
            <v>3462</v>
          </cell>
          <cell r="B600" t="str">
            <v>흑유니온 (나사식)</v>
          </cell>
          <cell r="C600" t="str">
            <v>65Ø</v>
          </cell>
          <cell r="D600" t="str">
            <v>개</v>
          </cell>
          <cell r="E600">
            <v>5353</v>
          </cell>
          <cell r="F600">
            <v>0</v>
          </cell>
          <cell r="H600">
            <v>463</v>
          </cell>
          <cell r="I600">
            <v>5353</v>
          </cell>
          <cell r="J600">
            <v>463</v>
          </cell>
          <cell r="L600">
            <v>463</v>
          </cell>
        </row>
        <row r="601">
          <cell r="A601">
            <v>3463</v>
          </cell>
          <cell r="B601" t="str">
            <v>흑유니온 (나사식)</v>
          </cell>
          <cell r="C601" t="str">
            <v>50Ø</v>
          </cell>
          <cell r="D601" t="str">
            <v>개</v>
          </cell>
          <cell r="E601">
            <v>2848</v>
          </cell>
          <cell r="F601">
            <v>0</v>
          </cell>
          <cell r="H601">
            <v>463</v>
          </cell>
          <cell r="I601">
            <v>2848</v>
          </cell>
          <cell r="J601">
            <v>463</v>
          </cell>
          <cell r="L601">
            <v>463</v>
          </cell>
        </row>
        <row r="602">
          <cell r="A602">
            <v>3464</v>
          </cell>
          <cell r="B602" t="str">
            <v>흑유니온 (나사식)</v>
          </cell>
          <cell r="C602" t="str">
            <v>40Ø</v>
          </cell>
          <cell r="D602" t="str">
            <v>개</v>
          </cell>
          <cell r="E602">
            <v>2213</v>
          </cell>
          <cell r="F602">
            <v>0</v>
          </cell>
          <cell r="H602">
            <v>463</v>
          </cell>
          <cell r="I602">
            <v>2213</v>
          </cell>
          <cell r="J602">
            <v>463</v>
          </cell>
          <cell r="L602">
            <v>463</v>
          </cell>
        </row>
        <row r="603">
          <cell r="A603">
            <v>3465</v>
          </cell>
          <cell r="B603" t="str">
            <v>흑유니온 (나사식)</v>
          </cell>
          <cell r="C603" t="str">
            <v>32Ø</v>
          </cell>
          <cell r="D603" t="str">
            <v>개</v>
          </cell>
          <cell r="E603">
            <v>1712</v>
          </cell>
          <cell r="F603">
            <v>0</v>
          </cell>
          <cell r="H603">
            <v>463</v>
          </cell>
          <cell r="I603">
            <v>1712</v>
          </cell>
          <cell r="J603">
            <v>463</v>
          </cell>
          <cell r="L603">
            <v>463</v>
          </cell>
        </row>
        <row r="604">
          <cell r="A604">
            <v>3466</v>
          </cell>
          <cell r="B604" t="str">
            <v>흑유니온 (나사식)</v>
          </cell>
          <cell r="C604" t="str">
            <v>25Ø</v>
          </cell>
          <cell r="D604" t="str">
            <v>개</v>
          </cell>
          <cell r="E604">
            <v>1351</v>
          </cell>
          <cell r="F604">
            <v>0</v>
          </cell>
          <cell r="H604">
            <v>463</v>
          </cell>
          <cell r="I604">
            <v>1351</v>
          </cell>
          <cell r="J604">
            <v>463</v>
          </cell>
          <cell r="L604">
            <v>463</v>
          </cell>
        </row>
        <row r="605">
          <cell r="A605">
            <v>3467</v>
          </cell>
          <cell r="B605" t="str">
            <v>흑유니온 (나사식)</v>
          </cell>
          <cell r="C605" t="str">
            <v>20Ø</v>
          </cell>
          <cell r="D605" t="str">
            <v>개</v>
          </cell>
          <cell r="E605">
            <v>963</v>
          </cell>
          <cell r="F605">
            <v>0</v>
          </cell>
          <cell r="H605">
            <v>463</v>
          </cell>
          <cell r="I605">
            <v>963</v>
          </cell>
          <cell r="J605">
            <v>463</v>
          </cell>
          <cell r="L605">
            <v>463</v>
          </cell>
        </row>
        <row r="606">
          <cell r="A606">
            <v>3467</v>
          </cell>
          <cell r="B606" t="str">
            <v>흑유니온 (나사식)</v>
          </cell>
          <cell r="C606" t="str">
            <v>15Ø</v>
          </cell>
          <cell r="D606" t="str">
            <v>개</v>
          </cell>
          <cell r="E606">
            <v>883</v>
          </cell>
          <cell r="F606">
            <v>0</v>
          </cell>
          <cell r="H606">
            <v>463</v>
          </cell>
          <cell r="I606">
            <v>883</v>
          </cell>
          <cell r="J606">
            <v>463</v>
          </cell>
          <cell r="L606">
            <v>463</v>
          </cell>
        </row>
        <row r="607">
          <cell r="A607">
            <v>3471</v>
          </cell>
          <cell r="B607" t="str">
            <v>흑니플 (나사식)</v>
          </cell>
          <cell r="C607" t="str">
            <v>80Ø</v>
          </cell>
          <cell r="D607" t="str">
            <v>개</v>
          </cell>
          <cell r="E607">
            <v>1955</v>
          </cell>
          <cell r="F607">
            <v>0</v>
          </cell>
          <cell r="H607">
            <v>463</v>
          </cell>
          <cell r="I607">
            <v>1955</v>
          </cell>
          <cell r="J607">
            <v>463</v>
          </cell>
          <cell r="L607">
            <v>463</v>
          </cell>
        </row>
        <row r="608">
          <cell r="A608">
            <v>3472</v>
          </cell>
          <cell r="B608" t="str">
            <v>흑니플 (나사식)</v>
          </cell>
          <cell r="C608" t="str">
            <v>65Ø</v>
          </cell>
          <cell r="D608" t="str">
            <v>개</v>
          </cell>
          <cell r="E608">
            <v>1308</v>
          </cell>
          <cell r="F608">
            <v>0</v>
          </cell>
          <cell r="H608">
            <v>463</v>
          </cell>
          <cell r="I608">
            <v>1308</v>
          </cell>
          <cell r="J608">
            <v>463</v>
          </cell>
          <cell r="L608">
            <v>463</v>
          </cell>
        </row>
        <row r="609">
          <cell r="A609">
            <v>3473</v>
          </cell>
          <cell r="B609" t="str">
            <v>흑니플 (나사식)</v>
          </cell>
          <cell r="C609" t="str">
            <v>50Ø</v>
          </cell>
          <cell r="D609" t="str">
            <v>개</v>
          </cell>
          <cell r="E609">
            <v>845</v>
          </cell>
          <cell r="F609">
            <v>0</v>
          </cell>
          <cell r="H609">
            <v>463</v>
          </cell>
          <cell r="I609">
            <v>845</v>
          </cell>
          <cell r="J609">
            <v>463</v>
          </cell>
          <cell r="L609">
            <v>463</v>
          </cell>
        </row>
        <row r="610">
          <cell r="A610">
            <v>3474</v>
          </cell>
          <cell r="B610" t="str">
            <v>흑니플 (나사식)</v>
          </cell>
          <cell r="C610" t="str">
            <v>40Ø</v>
          </cell>
          <cell r="D610" t="str">
            <v>개</v>
          </cell>
          <cell r="E610">
            <v>706</v>
          </cell>
          <cell r="F610">
            <v>0</v>
          </cell>
          <cell r="H610">
            <v>463</v>
          </cell>
          <cell r="I610">
            <v>706</v>
          </cell>
          <cell r="J610">
            <v>463</v>
          </cell>
          <cell r="L610">
            <v>463</v>
          </cell>
        </row>
        <row r="611">
          <cell r="A611">
            <v>3475</v>
          </cell>
          <cell r="B611" t="str">
            <v>흑니플 (나사식)</v>
          </cell>
          <cell r="C611" t="str">
            <v>32Ø</v>
          </cell>
          <cell r="D611" t="str">
            <v>개</v>
          </cell>
          <cell r="E611">
            <v>495</v>
          </cell>
          <cell r="F611">
            <v>0</v>
          </cell>
          <cell r="H611">
            <v>463</v>
          </cell>
          <cell r="I611">
            <v>495</v>
          </cell>
          <cell r="J611">
            <v>463</v>
          </cell>
          <cell r="L611">
            <v>463</v>
          </cell>
        </row>
        <row r="612">
          <cell r="A612">
            <v>3476</v>
          </cell>
          <cell r="B612" t="str">
            <v>흑니플 (나사식)</v>
          </cell>
          <cell r="C612" t="str">
            <v>25Ø</v>
          </cell>
          <cell r="D612" t="str">
            <v>개</v>
          </cell>
          <cell r="E612">
            <v>390</v>
          </cell>
          <cell r="F612">
            <v>0</v>
          </cell>
          <cell r="H612">
            <v>463</v>
          </cell>
          <cell r="I612">
            <v>390</v>
          </cell>
          <cell r="J612">
            <v>463</v>
          </cell>
          <cell r="L612">
            <v>463</v>
          </cell>
        </row>
        <row r="613">
          <cell r="A613">
            <v>3477</v>
          </cell>
          <cell r="B613" t="str">
            <v>흑니플 (나사식)</v>
          </cell>
          <cell r="C613" t="str">
            <v>20Ø</v>
          </cell>
          <cell r="D613" t="str">
            <v>개</v>
          </cell>
          <cell r="E613">
            <v>273</v>
          </cell>
          <cell r="F613">
            <v>0</v>
          </cell>
          <cell r="H613">
            <v>463</v>
          </cell>
          <cell r="I613">
            <v>273</v>
          </cell>
          <cell r="J613">
            <v>463</v>
          </cell>
          <cell r="L613">
            <v>463</v>
          </cell>
        </row>
        <row r="614">
          <cell r="A614">
            <v>3478</v>
          </cell>
          <cell r="B614" t="str">
            <v>흑니플 (나사식)</v>
          </cell>
          <cell r="C614" t="str">
            <v>15Ø</v>
          </cell>
          <cell r="D614" t="str">
            <v>개</v>
          </cell>
          <cell r="E614">
            <v>234</v>
          </cell>
          <cell r="F614">
            <v>0</v>
          </cell>
          <cell r="H614">
            <v>463</v>
          </cell>
          <cell r="I614">
            <v>234</v>
          </cell>
          <cell r="J614">
            <v>463</v>
          </cell>
          <cell r="L614">
            <v>463</v>
          </cell>
        </row>
        <row r="615">
          <cell r="E615">
            <v>0</v>
          </cell>
        </row>
        <row r="616">
          <cell r="E616">
            <v>0</v>
          </cell>
        </row>
        <row r="617">
          <cell r="E617">
            <v>0</v>
          </cell>
        </row>
        <row r="640">
          <cell r="A640">
            <v>3501</v>
          </cell>
          <cell r="B640" t="str">
            <v>PFP관 (D형)</v>
          </cell>
          <cell r="C640" t="str">
            <v>100Ø</v>
          </cell>
          <cell r="D640" t="str">
            <v>M</v>
          </cell>
          <cell r="E640">
            <v>17861</v>
          </cell>
          <cell r="F640">
            <v>0</v>
          </cell>
          <cell r="H640">
            <v>520</v>
          </cell>
          <cell r="I640">
            <v>16237</v>
          </cell>
          <cell r="J640">
            <v>466</v>
          </cell>
          <cell r="L640">
            <v>366</v>
          </cell>
        </row>
        <row r="641">
          <cell r="A641">
            <v>3502</v>
          </cell>
          <cell r="B641" t="str">
            <v>PFP관 (D형)</v>
          </cell>
          <cell r="C641" t="str">
            <v>80Ø</v>
          </cell>
          <cell r="D641" t="str">
            <v>M</v>
          </cell>
          <cell r="E641">
            <v>13148</v>
          </cell>
          <cell r="F641">
            <v>0</v>
          </cell>
          <cell r="H641">
            <v>520</v>
          </cell>
          <cell r="I641">
            <v>11953</v>
          </cell>
          <cell r="J641">
            <v>466</v>
          </cell>
          <cell r="L641">
            <v>366</v>
          </cell>
        </row>
        <row r="642">
          <cell r="A642">
            <v>3503</v>
          </cell>
          <cell r="B642" t="str">
            <v>PFP관 (D형)</v>
          </cell>
          <cell r="C642" t="str">
            <v>65Ø</v>
          </cell>
          <cell r="D642" t="str">
            <v>M</v>
          </cell>
          <cell r="E642">
            <v>10097</v>
          </cell>
          <cell r="F642">
            <v>0</v>
          </cell>
          <cell r="H642">
            <v>520</v>
          </cell>
          <cell r="I642">
            <v>9179</v>
          </cell>
          <cell r="J642">
            <v>466</v>
          </cell>
          <cell r="L642">
            <v>366</v>
          </cell>
        </row>
        <row r="643">
          <cell r="A643">
            <v>3504</v>
          </cell>
          <cell r="B643" t="str">
            <v>PFP관 (D형)</v>
          </cell>
          <cell r="C643" t="str">
            <v>50Ø</v>
          </cell>
          <cell r="D643" t="str">
            <v>M</v>
          </cell>
          <cell r="E643">
            <v>7806</v>
          </cell>
          <cell r="F643">
            <v>0</v>
          </cell>
          <cell r="H643">
            <v>520</v>
          </cell>
          <cell r="I643">
            <v>7096</v>
          </cell>
          <cell r="J643">
            <v>466</v>
          </cell>
          <cell r="L643">
            <v>366</v>
          </cell>
        </row>
        <row r="644">
          <cell r="A644">
            <v>3505</v>
          </cell>
          <cell r="B644" t="str">
            <v>PFP관 (D형)</v>
          </cell>
          <cell r="C644" t="str">
            <v>40Ø</v>
          </cell>
          <cell r="D644" t="str">
            <v>M</v>
          </cell>
          <cell r="E644">
            <v>5721</v>
          </cell>
          <cell r="F644">
            <v>0</v>
          </cell>
          <cell r="H644">
            <v>520</v>
          </cell>
          <cell r="I644">
            <v>5201</v>
          </cell>
          <cell r="J644">
            <v>466</v>
          </cell>
          <cell r="L644">
            <v>366</v>
          </cell>
        </row>
        <row r="645">
          <cell r="A645">
            <v>3506</v>
          </cell>
          <cell r="B645" t="str">
            <v>PFP관 (D형)</v>
          </cell>
          <cell r="C645" t="str">
            <v>32Ø</v>
          </cell>
          <cell r="D645" t="str">
            <v>M</v>
          </cell>
          <cell r="E645">
            <v>5239</v>
          </cell>
          <cell r="F645">
            <v>0</v>
          </cell>
          <cell r="H645">
            <v>520</v>
          </cell>
          <cell r="I645">
            <v>4763</v>
          </cell>
          <cell r="J645">
            <v>466</v>
          </cell>
          <cell r="L645">
            <v>366</v>
          </cell>
        </row>
        <row r="646">
          <cell r="A646">
            <v>3507</v>
          </cell>
          <cell r="B646" t="str">
            <v>PFP관 (D형)</v>
          </cell>
          <cell r="C646" t="str">
            <v>25Ø</v>
          </cell>
          <cell r="D646" t="str">
            <v>M</v>
          </cell>
          <cell r="E646">
            <v>4004</v>
          </cell>
          <cell r="F646">
            <v>0</v>
          </cell>
          <cell r="H646">
            <v>520</v>
          </cell>
          <cell r="I646">
            <v>3640</v>
          </cell>
          <cell r="J646">
            <v>466</v>
          </cell>
          <cell r="L646">
            <v>366</v>
          </cell>
        </row>
        <row r="647">
          <cell r="A647">
            <v>3508</v>
          </cell>
          <cell r="B647" t="str">
            <v>PFP관 (D형)</v>
          </cell>
          <cell r="C647" t="str">
            <v>20Ø</v>
          </cell>
          <cell r="D647" t="str">
            <v>M</v>
          </cell>
          <cell r="E647">
            <v>2888</v>
          </cell>
          <cell r="F647">
            <v>0</v>
          </cell>
          <cell r="H647">
            <v>520</v>
          </cell>
          <cell r="I647">
            <v>2625</v>
          </cell>
          <cell r="J647">
            <v>466</v>
          </cell>
          <cell r="L647">
            <v>366</v>
          </cell>
        </row>
        <row r="648">
          <cell r="A648">
            <v>3509</v>
          </cell>
          <cell r="B648" t="str">
            <v>PFP관 (D형)</v>
          </cell>
          <cell r="C648" t="str">
            <v>15Ø</v>
          </cell>
          <cell r="D648" t="str">
            <v>M</v>
          </cell>
          <cell r="E648">
            <v>2395</v>
          </cell>
          <cell r="F648">
            <v>0</v>
          </cell>
          <cell r="H648">
            <v>520</v>
          </cell>
          <cell r="I648">
            <v>2177</v>
          </cell>
          <cell r="J648">
            <v>466</v>
          </cell>
          <cell r="L648">
            <v>366</v>
          </cell>
        </row>
        <row r="649">
          <cell r="A649">
            <v>3511</v>
          </cell>
          <cell r="B649" t="str">
            <v>PM엘보 (무나사)</v>
          </cell>
          <cell r="C649" t="str">
            <v>100Ø</v>
          </cell>
          <cell r="D649" t="str">
            <v>개</v>
          </cell>
          <cell r="E649">
            <v>29287</v>
          </cell>
          <cell r="F649">
            <v>0</v>
          </cell>
          <cell r="H649">
            <v>520</v>
          </cell>
          <cell r="I649">
            <v>25589</v>
          </cell>
          <cell r="J649">
            <v>466</v>
          </cell>
          <cell r="L649">
            <v>366</v>
          </cell>
        </row>
        <row r="650">
          <cell r="A650">
            <v>3512</v>
          </cell>
          <cell r="B650" t="str">
            <v>PM엘보 (무나사)</v>
          </cell>
          <cell r="C650" t="str">
            <v>80Ø</v>
          </cell>
          <cell r="D650" t="str">
            <v>개</v>
          </cell>
          <cell r="E650">
            <v>20242</v>
          </cell>
          <cell r="F650">
            <v>0</v>
          </cell>
          <cell r="H650">
            <v>520</v>
          </cell>
          <cell r="I650">
            <v>17868</v>
          </cell>
          <cell r="J650">
            <v>466</v>
          </cell>
          <cell r="L650">
            <v>366</v>
          </cell>
        </row>
        <row r="651">
          <cell r="A651">
            <v>3513</v>
          </cell>
          <cell r="B651" t="str">
            <v>PM엘보 (무나사)</v>
          </cell>
          <cell r="C651" t="str">
            <v>65Ø</v>
          </cell>
          <cell r="D651" t="str">
            <v>개</v>
          </cell>
          <cell r="E651">
            <v>16710</v>
          </cell>
          <cell r="F651">
            <v>0</v>
          </cell>
          <cell r="H651">
            <v>520</v>
          </cell>
          <cell r="I651">
            <v>12223</v>
          </cell>
          <cell r="J651">
            <v>466</v>
          </cell>
          <cell r="L651">
            <v>366</v>
          </cell>
        </row>
        <row r="652">
          <cell r="A652">
            <v>3514</v>
          </cell>
          <cell r="B652" t="str">
            <v>PM엘보 (무나사)</v>
          </cell>
          <cell r="C652" t="str">
            <v>50Ø</v>
          </cell>
          <cell r="D652" t="str">
            <v>개</v>
          </cell>
          <cell r="E652">
            <v>8706</v>
          </cell>
          <cell r="F652">
            <v>0</v>
          </cell>
          <cell r="H652">
            <v>520</v>
          </cell>
          <cell r="I652">
            <v>7606</v>
          </cell>
          <cell r="J652">
            <v>466</v>
          </cell>
          <cell r="L652">
            <v>366</v>
          </cell>
        </row>
        <row r="653">
          <cell r="A653">
            <v>3515</v>
          </cell>
          <cell r="B653" t="str">
            <v>PM엘보 (무나사)</v>
          </cell>
          <cell r="C653" t="str">
            <v>40Ø</v>
          </cell>
          <cell r="D653" t="str">
            <v>개</v>
          </cell>
          <cell r="E653">
            <v>6600</v>
          </cell>
          <cell r="F653">
            <v>0</v>
          </cell>
          <cell r="H653">
            <v>520</v>
          </cell>
          <cell r="I653">
            <v>5767</v>
          </cell>
          <cell r="J653">
            <v>466</v>
          </cell>
          <cell r="L653">
            <v>366</v>
          </cell>
        </row>
        <row r="654">
          <cell r="A654">
            <v>3516</v>
          </cell>
          <cell r="B654" t="str">
            <v>PM엘보 (무나사)</v>
          </cell>
          <cell r="C654" t="str">
            <v>32Ø</v>
          </cell>
          <cell r="D654" t="str">
            <v>개</v>
          </cell>
          <cell r="E654">
            <v>5352</v>
          </cell>
          <cell r="F654">
            <v>0</v>
          </cell>
          <cell r="H654">
            <v>520</v>
          </cell>
          <cell r="I654">
            <v>4676</v>
          </cell>
          <cell r="J654">
            <v>466</v>
          </cell>
          <cell r="L654">
            <v>366</v>
          </cell>
        </row>
        <row r="655">
          <cell r="A655">
            <v>3517</v>
          </cell>
          <cell r="B655" t="str">
            <v>PM엘보 (무나사)</v>
          </cell>
          <cell r="C655" t="str">
            <v>25Ø</v>
          </cell>
          <cell r="D655" t="str">
            <v>개</v>
          </cell>
          <cell r="E655">
            <v>4112</v>
          </cell>
          <cell r="F655">
            <v>0</v>
          </cell>
          <cell r="H655">
            <v>520</v>
          </cell>
          <cell r="I655">
            <v>3593</v>
          </cell>
          <cell r="J655">
            <v>466</v>
          </cell>
          <cell r="L655">
            <v>366</v>
          </cell>
        </row>
        <row r="656">
          <cell r="A656">
            <v>3518</v>
          </cell>
          <cell r="B656" t="str">
            <v>PM엘보 (무나사)</v>
          </cell>
          <cell r="C656" t="str">
            <v>20Ø</v>
          </cell>
          <cell r="D656" t="str">
            <v>개</v>
          </cell>
          <cell r="E656">
            <v>3021</v>
          </cell>
          <cell r="F656">
            <v>0</v>
          </cell>
          <cell r="H656">
            <v>520</v>
          </cell>
          <cell r="I656">
            <v>2639</v>
          </cell>
          <cell r="J656">
            <v>466</v>
          </cell>
          <cell r="L656">
            <v>366</v>
          </cell>
        </row>
        <row r="657">
          <cell r="A657">
            <v>3519</v>
          </cell>
          <cell r="B657" t="str">
            <v>PM엘보 (무나사)</v>
          </cell>
          <cell r="C657" t="str">
            <v>15Ø</v>
          </cell>
          <cell r="D657" t="str">
            <v>개</v>
          </cell>
          <cell r="E657">
            <v>2744</v>
          </cell>
          <cell r="F657">
            <v>0</v>
          </cell>
          <cell r="H657">
            <v>520</v>
          </cell>
          <cell r="I657">
            <v>2397</v>
          </cell>
          <cell r="J657">
            <v>466</v>
          </cell>
          <cell r="L657">
            <v>366</v>
          </cell>
        </row>
        <row r="658">
          <cell r="A658">
            <v>3521</v>
          </cell>
          <cell r="B658" t="str">
            <v>PM티 (무나사)</v>
          </cell>
          <cell r="C658" t="str">
            <v>100Ø</v>
          </cell>
          <cell r="D658" t="str">
            <v>개</v>
          </cell>
          <cell r="E658">
            <v>40462</v>
          </cell>
          <cell r="F658">
            <v>0</v>
          </cell>
          <cell r="H658">
            <v>520</v>
          </cell>
          <cell r="I658">
            <v>35353</v>
          </cell>
          <cell r="J658">
            <v>466</v>
          </cell>
          <cell r="L658">
            <v>366</v>
          </cell>
        </row>
        <row r="659">
          <cell r="A659">
            <v>3522</v>
          </cell>
          <cell r="B659" t="str">
            <v>PM티 (무나사)</v>
          </cell>
          <cell r="C659" t="str">
            <v>80Ø</v>
          </cell>
          <cell r="D659" t="str">
            <v>개</v>
          </cell>
          <cell r="E659">
            <v>29634</v>
          </cell>
          <cell r="F659">
            <v>0</v>
          </cell>
          <cell r="H659">
            <v>520</v>
          </cell>
          <cell r="I659">
            <v>25893</v>
          </cell>
          <cell r="J659">
            <v>466</v>
          </cell>
          <cell r="L659">
            <v>366</v>
          </cell>
        </row>
        <row r="660">
          <cell r="A660">
            <v>3523</v>
          </cell>
          <cell r="B660" t="str">
            <v>PM티 (무나사)</v>
          </cell>
          <cell r="C660" t="str">
            <v>65Ø</v>
          </cell>
          <cell r="D660" t="str">
            <v>개</v>
          </cell>
          <cell r="E660">
            <v>25914</v>
          </cell>
          <cell r="F660">
            <v>0</v>
          </cell>
          <cell r="H660">
            <v>520</v>
          </cell>
          <cell r="I660">
            <v>16967</v>
          </cell>
          <cell r="J660">
            <v>466</v>
          </cell>
          <cell r="L660">
            <v>366</v>
          </cell>
        </row>
        <row r="661">
          <cell r="A661">
            <v>3524</v>
          </cell>
          <cell r="B661" t="str">
            <v>PM티 (무나사)</v>
          </cell>
          <cell r="C661" t="str">
            <v>50Ø</v>
          </cell>
          <cell r="D661" t="str">
            <v>개</v>
          </cell>
          <cell r="E661">
            <v>9866</v>
          </cell>
          <cell r="F661">
            <v>0</v>
          </cell>
          <cell r="H661">
            <v>520</v>
          </cell>
          <cell r="I661">
            <v>8620</v>
          </cell>
          <cell r="J661">
            <v>466</v>
          </cell>
          <cell r="L661">
            <v>366</v>
          </cell>
        </row>
        <row r="662">
          <cell r="A662">
            <v>3525</v>
          </cell>
          <cell r="B662" t="str">
            <v>PM티 (무나사)</v>
          </cell>
          <cell r="C662" t="str">
            <v>40Ø</v>
          </cell>
          <cell r="D662" t="str">
            <v>개</v>
          </cell>
          <cell r="E662">
            <v>7677</v>
          </cell>
          <cell r="F662">
            <v>0</v>
          </cell>
          <cell r="H662">
            <v>520</v>
          </cell>
          <cell r="I662">
            <v>6707</v>
          </cell>
          <cell r="J662">
            <v>466</v>
          </cell>
          <cell r="L662">
            <v>366</v>
          </cell>
        </row>
        <row r="663">
          <cell r="A663">
            <v>3526</v>
          </cell>
          <cell r="B663" t="str">
            <v>PM티 (무나사)</v>
          </cell>
          <cell r="C663" t="str">
            <v>32Ø</v>
          </cell>
          <cell r="D663" t="str">
            <v>개</v>
          </cell>
          <cell r="E663">
            <v>6377</v>
          </cell>
          <cell r="F663">
            <v>0</v>
          </cell>
          <cell r="H663">
            <v>520</v>
          </cell>
          <cell r="I663">
            <v>5572</v>
          </cell>
          <cell r="J663">
            <v>466</v>
          </cell>
          <cell r="L663">
            <v>366</v>
          </cell>
        </row>
        <row r="664">
          <cell r="A664">
            <v>3527</v>
          </cell>
          <cell r="B664" t="str">
            <v>PM티 (무나사)</v>
          </cell>
          <cell r="C664" t="str">
            <v>25Ø</v>
          </cell>
          <cell r="D664" t="str">
            <v>개</v>
          </cell>
          <cell r="E664">
            <v>4784</v>
          </cell>
          <cell r="F664">
            <v>0</v>
          </cell>
          <cell r="H664">
            <v>520</v>
          </cell>
          <cell r="I664">
            <v>4180</v>
          </cell>
          <cell r="J664">
            <v>466</v>
          </cell>
          <cell r="L664">
            <v>366</v>
          </cell>
        </row>
        <row r="665">
          <cell r="A665">
            <v>3528</v>
          </cell>
          <cell r="B665" t="str">
            <v>PM티 (무나사)</v>
          </cell>
          <cell r="C665" t="str">
            <v>20Ø</v>
          </cell>
          <cell r="D665" t="str">
            <v>개</v>
          </cell>
          <cell r="E665">
            <v>3693</v>
          </cell>
          <cell r="F665">
            <v>0</v>
          </cell>
          <cell r="H665">
            <v>520</v>
          </cell>
          <cell r="I665">
            <v>3227</v>
          </cell>
          <cell r="J665">
            <v>466</v>
          </cell>
          <cell r="L665">
            <v>366</v>
          </cell>
        </row>
        <row r="666">
          <cell r="A666">
            <v>3529</v>
          </cell>
          <cell r="B666" t="str">
            <v>PM티 (무나사)</v>
          </cell>
          <cell r="C666" t="str">
            <v>15Ø</v>
          </cell>
          <cell r="D666" t="str">
            <v>개</v>
          </cell>
          <cell r="E666">
            <v>3354</v>
          </cell>
          <cell r="F666">
            <v>0</v>
          </cell>
          <cell r="H666">
            <v>520</v>
          </cell>
          <cell r="I666">
            <v>2930</v>
          </cell>
          <cell r="J666">
            <v>466</v>
          </cell>
          <cell r="L666">
            <v>366</v>
          </cell>
        </row>
        <row r="667">
          <cell r="A667">
            <v>3531</v>
          </cell>
          <cell r="B667" t="str">
            <v>PM소켓 (무나사)</v>
          </cell>
          <cell r="C667" t="str">
            <v>100Ø</v>
          </cell>
          <cell r="D667" t="str">
            <v>개</v>
          </cell>
          <cell r="E667">
            <v>27325</v>
          </cell>
          <cell r="F667">
            <v>0</v>
          </cell>
          <cell r="H667">
            <v>520</v>
          </cell>
          <cell r="I667">
            <v>23875</v>
          </cell>
          <cell r="J667">
            <v>466</v>
          </cell>
          <cell r="L667">
            <v>366</v>
          </cell>
        </row>
        <row r="668">
          <cell r="A668">
            <v>3532</v>
          </cell>
          <cell r="B668" t="str">
            <v>PM소켓 (무나사)</v>
          </cell>
          <cell r="C668" t="str">
            <v>80Ø</v>
          </cell>
          <cell r="D668" t="str">
            <v>개</v>
          </cell>
          <cell r="E668">
            <v>20020</v>
          </cell>
          <cell r="F668">
            <v>0</v>
          </cell>
          <cell r="H668">
            <v>520</v>
          </cell>
          <cell r="I668">
            <v>17504</v>
          </cell>
          <cell r="J668">
            <v>466</v>
          </cell>
          <cell r="L668">
            <v>366</v>
          </cell>
        </row>
        <row r="669">
          <cell r="A669">
            <v>3533</v>
          </cell>
          <cell r="B669" t="str">
            <v>PM소켓 (무나사)</v>
          </cell>
          <cell r="C669" t="str">
            <v>65Ø</v>
          </cell>
          <cell r="D669" t="str">
            <v>개</v>
          </cell>
          <cell r="E669">
            <v>14764</v>
          </cell>
          <cell r="F669">
            <v>0</v>
          </cell>
          <cell r="H669">
            <v>520</v>
          </cell>
          <cell r="I669">
            <v>12900</v>
          </cell>
          <cell r="J669">
            <v>466</v>
          </cell>
          <cell r="L669">
            <v>366</v>
          </cell>
        </row>
        <row r="670">
          <cell r="A670">
            <v>3534</v>
          </cell>
          <cell r="B670" t="str">
            <v>PM소켓 (무나사)</v>
          </cell>
          <cell r="C670" t="str">
            <v>50Ø</v>
          </cell>
          <cell r="D670" t="str">
            <v>개</v>
          </cell>
          <cell r="E670">
            <v>6660</v>
          </cell>
          <cell r="F670">
            <v>0</v>
          </cell>
          <cell r="H670">
            <v>520</v>
          </cell>
          <cell r="I670">
            <v>5819</v>
          </cell>
          <cell r="J670">
            <v>466</v>
          </cell>
          <cell r="L670">
            <v>366</v>
          </cell>
        </row>
        <row r="671">
          <cell r="A671">
            <v>3535</v>
          </cell>
          <cell r="B671" t="str">
            <v>PM소켓 (무나사)</v>
          </cell>
          <cell r="C671" t="str">
            <v>40Ø</v>
          </cell>
          <cell r="D671" t="str">
            <v>개</v>
          </cell>
          <cell r="E671">
            <v>5180</v>
          </cell>
          <cell r="F671">
            <v>0</v>
          </cell>
          <cell r="H671">
            <v>520</v>
          </cell>
          <cell r="I671">
            <v>4526</v>
          </cell>
          <cell r="J671">
            <v>466</v>
          </cell>
          <cell r="L671">
            <v>366</v>
          </cell>
        </row>
        <row r="672">
          <cell r="A672">
            <v>3536</v>
          </cell>
          <cell r="B672" t="str">
            <v>PM소켓 (무나사)</v>
          </cell>
          <cell r="C672" t="str">
            <v>32Ø</v>
          </cell>
          <cell r="D672" t="str">
            <v>개</v>
          </cell>
          <cell r="E672">
            <v>4304</v>
          </cell>
          <cell r="F672">
            <v>0</v>
          </cell>
          <cell r="H672">
            <v>520</v>
          </cell>
          <cell r="I672">
            <v>3761</v>
          </cell>
          <cell r="J672">
            <v>466</v>
          </cell>
          <cell r="L672">
            <v>366</v>
          </cell>
        </row>
        <row r="673">
          <cell r="A673">
            <v>3537</v>
          </cell>
          <cell r="B673" t="str">
            <v>PM소켓 (무나사)</v>
          </cell>
          <cell r="C673" t="str">
            <v>25Ø</v>
          </cell>
          <cell r="D673" t="str">
            <v>개</v>
          </cell>
          <cell r="E673">
            <v>3448</v>
          </cell>
          <cell r="F673">
            <v>0</v>
          </cell>
          <cell r="H673">
            <v>520</v>
          </cell>
          <cell r="I673">
            <v>3013</v>
          </cell>
          <cell r="J673">
            <v>466</v>
          </cell>
          <cell r="L673">
            <v>366</v>
          </cell>
        </row>
        <row r="674">
          <cell r="A674">
            <v>3538</v>
          </cell>
          <cell r="B674" t="str">
            <v>PM소켓 (무나사)</v>
          </cell>
          <cell r="C674" t="str">
            <v>20Ø</v>
          </cell>
          <cell r="D674" t="str">
            <v>개</v>
          </cell>
          <cell r="E674">
            <v>2655</v>
          </cell>
          <cell r="F674">
            <v>0</v>
          </cell>
          <cell r="H674">
            <v>520</v>
          </cell>
          <cell r="I674">
            <v>2320</v>
          </cell>
          <cell r="J674">
            <v>466</v>
          </cell>
          <cell r="L674">
            <v>366</v>
          </cell>
        </row>
        <row r="675">
          <cell r="A675">
            <v>3539</v>
          </cell>
          <cell r="B675" t="str">
            <v>PM소켓 (무나사)</v>
          </cell>
          <cell r="C675" t="str">
            <v>15Ø</v>
          </cell>
          <cell r="D675" t="str">
            <v>개</v>
          </cell>
          <cell r="E675">
            <v>2288</v>
          </cell>
          <cell r="F675">
            <v>0</v>
          </cell>
          <cell r="H675">
            <v>520</v>
          </cell>
          <cell r="I675">
            <v>1999</v>
          </cell>
          <cell r="J675">
            <v>466</v>
          </cell>
          <cell r="L675">
            <v>366</v>
          </cell>
        </row>
        <row r="676">
          <cell r="A676">
            <v>3541</v>
          </cell>
          <cell r="B676" t="str">
            <v>PM계 (플렌지)</v>
          </cell>
          <cell r="C676" t="str">
            <v>100Ø</v>
          </cell>
          <cell r="D676" t="str">
            <v>개</v>
          </cell>
          <cell r="E676">
            <v>18999</v>
          </cell>
          <cell r="F676">
            <v>0</v>
          </cell>
          <cell r="H676">
            <v>520</v>
          </cell>
          <cell r="I676">
            <v>14435</v>
          </cell>
          <cell r="J676">
            <v>466</v>
          </cell>
          <cell r="L676">
            <v>366</v>
          </cell>
        </row>
        <row r="677">
          <cell r="A677">
            <v>3542</v>
          </cell>
          <cell r="B677" t="str">
            <v>PM계 (플렌지)</v>
          </cell>
          <cell r="C677" t="str">
            <v>80Ø</v>
          </cell>
          <cell r="D677" t="str">
            <v>개</v>
          </cell>
          <cell r="E677">
            <v>16224</v>
          </cell>
          <cell r="F677">
            <v>0</v>
          </cell>
          <cell r="H677">
            <v>520</v>
          </cell>
          <cell r="I677">
            <v>12326</v>
          </cell>
          <cell r="J677">
            <v>466</v>
          </cell>
          <cell r="L677">
            <v>366</v>
          </cell>
        </row>
        <row r="678">
          <cell r="A678">
            <v>3543</v>
          </cell>
          <cell r="B678" t="str">
            <v>PM계 (플렌지)</v>
          </cell>
          <cell r="C678" t="str">
            <v>65Ø</v>
          </cell>
          <cell r="D678" t="str">
            <v>개</v>
          </cell>
          <cell r="E678">
            <v>13864</v>
          </cell>
          <cell r="F678">
            <v>0</v>
          </cell>
          <cell r="H678">
            <v>520</v>
          </cell>
          <cell r="I678">
            <v>10534</v>
          </cell>
          <cell r="J678">
            <v>466</v>
          </cell>
          <cell r="L678">
            <v>366</v>
          </cell>
        </row>
        <row r="679">
          <cell r="A679">
            <v>3544</v>
          </cell>
          <cell r="B679" t="str">
            <v>PM계 (니플)</v>
          </cell>
          <cell r="C679" t="str">
            <v>50Ø</v>
          </cell>
          <cell r="D679" t="str">
            <v>개</v>
          </cell>
          <cell r="E679">
            <v>3213</v>
          </cell>
          <cell r="F679">
            <v>0</v>
          </cell>
          <cell r="H679">
            <v>520</v>
          </cell>
          <cell r="I679">
            <v>2807</v>
          </cell>
          <cell r="J679">
            <v>466</v>
          </cell>
          <cell r="L679">
            <v>366</v>
          </cell>
        </row>
        <row r="680">
          <cell r="A680">
            <v>3545</v>
          </cell>
          <cell r="B680" t="str">
            <v>PM계 (니플)</v>
          </cell>
          <cell r="C680" t="str">
            <v>40Ø</v>
          </cell>
          <cell r="D680" t="str">
            <v>개</v>
          </cell>
          <cell r="E680">
            <v>2428</v>
          </cell>
          <cell r="F680">
            <v>0</v>
          </cell>
          <cell r="H680">
            <v>520</v>
          </cell>
          <cell r="I680">
            <v>2121</v>
          </cell>
          <cell r="J680">
            <v>466</v>
          </cell>
          <cell r="L680">
            <v>366</v>
          </cell>
        </row>
        <row r="681">
          <cell r="A681">
            <v>3546</v>
          </cell>
          <cell r="B681" t="str">
            <v>PM계 (니플)</v>
          </cell>
          <cell r="C681" t="str">
            <v>32Ø</v>
          </cell>
          <cell r="D681" t="str">
            <v>개</v>
          </cell>
          <cell r="E681">
            <v>2009</v>
          </cell>
          <cell r="F681">
            <v>0</v>
          </cell>
          <cell r="H681">
            <v>520</v>
          </cell>
          <cell r="I681">
            <v>1755</v>
          </cell>
          <cell r="J681">
            <v>466</v>
          </cell>
          <cell r="L681">
            <v>366</v>
          </cell>
        </row>
        <row r="682">
          <cell r="A682">
            <v>3547</v>
          </cell>
          <cell r="B682" t="str">
            <v>PM계 (니플)</v>
          </cell>
          <cell r="C682" t="str">
            <v>25Ø</v>
          </cell>
          <cell r="D682" t="str">
            <v>개</v>
          </cell>
          <cell r="E682">
            <v>1641</v>
          </cell>
          <cell r="F682">
            <v>0</v>
          </cell>
          <cell r="H682">
            <v>520</v>
          </cell>
          <cell r="I682">
            <v>1434</v>
          </cell>
          <cell r="J682">
            <v>466</v>
          </cell>
          <cell r="L682">
            <v>366</v>
          </cell>
        </row>
        <row r="683">
          <cell r="A683">
            <v>3548</v>
          </cell>
          <cell r="B683" t="str">
            <v>PM계 (니플)</v>
          </cell>
          <cell r="C683" t="str">
            <v>20Ø</v>
          </cell>
          <cell r="D683" t="str">
            <v>개</v>
          </cell>
          <cell r="E683">
            <v>1170</v>
          </cell>
          <cell r="F683">
            <v>0</v>
          </cell>
          <cell r="H683">
            <v>520</v>
          </cell>
          <cell r="I683">
            <v>1022</v>
          </cell>
          <cell r="J683">
            <v>466</v>
          </cell>
          <cell r="L683">
            <v>366</v>
          </cell>
        </row>
        <row r="684">
          <cell r="A684">
            <v>3549</v>
          </cell>
          <cell r="B684" t="str">
            <v>PM계 (니플)</v>
          </cell>
          <cell r="C684" t="str">
            <v>15Ø</v>
          </cell>
          <cell r="D684" t="str">
            <v>개</v>
          </cell>
          <cell r="E684">
            <v>925</v>
          </cell>
          <cell r="F684">
            <v>0</v>
          </cell>
          <cell r="H684">
            <v>520</v>
          </cell>
          <cell r="I684">
            <v>808</v>
          </cell>
          <cell r="J684">
            <v>466</v>
          </cell>
          <cell r="L684">
            <v>366</v>
          </cell>
        </row>
        <row r="685">
          <cell r="A685">
            <v>3554</v>
          </cell>
          <cell r="B685" t="str">
            <v>PM계 (캡)</v>
          </cell>
          <cell r="C685" t="str">
            <v>50Ø</v>
          </cell>
          <cell r="D685" t="str">
            <v>개</v>
          </cell>
          <cell r="E685">
            <v>6637</v>
          </cell>
          <cell r="F685">
            <v>0</v>
          </cell>
          <cell r="H685">
            <v>520</v>
          </cell>
          <cell r="I685">
            <v>2807</v>
          </cell>
          <cell r="J685">
            <v>466</v>
          </cell>
          <cell r="L685">
            <v>366</v>
          </cell>
        </row>
        <row r="686">
          <cell r="A686">
            <v>3555</v>
          </cell>
          <cell r="B686" t="str">
            <v>PM계 (캡)</v>
          </cell>
          <cell r="C686" t="str">
            <v>40Ø</v>
          </cell>
          <cell r="D686" t="str">
            <v>개</v>
          </cell>
          <cell r="E686">
            <v>5161</v>
          </cell>
          <cell r="F686">
            <v>0</v>
          </cell>
          <cell r="H686">
            <v>520</v>
          </cell>
          <cell r="I686">
            <v>2121</v>
          </cell>
          <cell r="J686">
            <v>466</v>
          </cell>
          <cell r="L686">
            <v>366</v>
          </cell>
        </row>
        <row r="687">
          <cell r="A687">
            <v>3556</v>
          </cell>
          <cell r="B687" t="str">
            <v>PM계 (캡)</v>
          </cell>
          <cell r="C687" t="str">
            <v>32Ø</v>
          </cell>
          <cell r="D687" t="str">
            <v>개</v>
          </cell>
          <cell r="E687">
            <v>4004</v>
          </cell>
          <cell r="F687">
            <v>0</v>
          </cell>
          <cell r="H687">
            <v>520</v>
          </cell>
          <cell r="I687">
            <v>1755</v>
          </cell>
          <cell r="J687">
            <v>466</v>
          </cell>
          <cell r="L687">
            <v>366</v>
          </cell>
        </row>
        <row r="688">
          <cell r="A688">
            <v>3557</v>
          </cell>
          <cell r="B688" t="str">
            <v>PM계 (캡)</v>
          </cell>
          <cell r="C688" t="str">
            <v>25Ø</v>
          </cell>
          <cell r="D688" t="str">
            <v>개</v>
          </cell>
          <cell r="E688">
            <v>3114</v>
          </cell>
          <cell r="F688">
            <v>0</v>
          </cell>
          <cell r="H688">
            <v>520</v>
          </cell>
          <cell r="I688">
            <v>1434</v>
          </cell>
          <cell r="J688">
            <v>466</v>
          </cell>
          <cell r="L688">
            <v>366</v>
          </cell>
        </row>
        <row r="689">
          <cell r="A689">
            <v>3558</v>
          </cell>
          <cell r="B689" t="str">
            <v>PM계 (캡)</v>
          </cell>
          <cell r="C689" t="str">
            <v>20Ø</v>
          </cell>
          <cell r="D689" t="str">
            <v>개</v>
          </cell>
          <cell r="E689">
            <v>2459</v>
          </cell>
          <cell r="F689">
            <v>0</v>
          </cell>
          <cell r="H689">
            <v>520</v>
          </cell>
          <cell r="I689">
            <v>1022</v>
          </cell>
          <cell r="J689">
            <v>466</v>
          </cell>
          <cell r="L689">
            <v>366</v>
          </cell>
        </row>
        <row r="690">
          <cell r="A690">
            <v>3559</v>
          </cell>
          <cell r="B690" t="str">
            <v>PM계 (캡)</v>
          </cell>
          <cell r="C690" t="str">
            <v>15Ø</v>
          </cell>
          <cell r="D690" t="str">
            <v>개</v>
          </cell>
          <cell r="E690">
            <v>2357</v>
          </cell>
          <cell r="F690">
            <v>0</v>
          </cell>
          <cell r="H690">
            <v>520</v>
          </cell>
          <cell r="I690">
            <v>808</v>
          </cell>
          <cell r="J690">
            <v>466</v>
          </cell>
          <cell r="L690">
            <v>366</v>
          </cell>
        </row>
        <row r="691">
          <cell r="E691">
            <v>0</v>
          </cell>
        </row>
        <row r="695">
          <cell r="A695">
            <v>3600</v>
          </cell>
          <cell r="B695" t="str">
            <v>PVC관 (VG1)</v>
          </cell>
          <cell r="C695" t="str">
            <v>200Ø</v>
          </cell>
          <cell r="D695" t="str">
            <v>M</v>
          </cell>
          <cell r="E695">
            <v>15485</v>
          </cell>
          <cell r="G695">
            <v>14685</v>
          </cell>
          <cell r="H695">
            <v>542</v>
          </cell>
          <cell r="I695">
            <v>18433</v>
          </cell>
          <cell r="J695">
            <v>485</v>
          </cell>
          <cell r="L695">
            <v>485</v>
          </cell>
          <cell r="N695">
            <v>15485</v>
          </cell>
        </row>
        <row r="696">
          <cell r="A696">
            <v>3601</v>
          </cell>
          <cell r="B696" t="str">
            <v>PVC관 (VG1)</v>
          </cell>
          <cell r="C696" t="str">
            <v>150Ø</v>
          </cell>
          <cell r="D696" t="str">
            <v>M</v>
          </cell>
          <cell r="E696">
            <v>10243</v>
          </cell>
          <cell r="G696">
            <v>9715</v>
          </cell>
          <cell r="H696">
            <v>542</v>
          </cell>
          <cell r="I696">
            <v>12195</v>
          </cell>
          <cell r="J696">
            <v>485</v>
          </cell>
          <cell r="L696">
            <v>385</v>
          </cell>
          <cell r="N696">
            <v>10243</v>
          </cell>
        </row>
        <row r="697">
          <cell r="A697">
            <v>3602</v>
          </cell>
          <cell r="B697" t="str">
            <v>PVC관 (VG1)</v>
          </cell>
          <cell r="C697" t="str">
            <v>125Ø</v>
          </cell>
          <cell r="D697" t="str">
            <v>M</v>
          </cell>
          <cell r="E697">
            <v>6823</v>
          </cell>
          <cell r="G697">
            <v>6472</v>
          </cell>
          <cell r="H697">
            <v>542</v>
          </cell>
          <cell r="I697">
            <v>8123</v>
          </cell>
          <cell r="J697">
            <v>485</v>
          </cell>
          <cell r="L697">
            <v>385</v>
          </cell>
          <cell r="N697">
            <v>6823</v>
          </cell>
        </row>
        <row r="698">
          <cell r="A698">
            <v>3603</v>
          </cell>
          <cell r="B698" t="str">
            <v>PVC관 (VG1)</v>
          </cell>
          <cell r="C698" t="str">
            <v>100Ø</v>
          </cell>
          <cell r="D698" t="str">
            <v>M</v>
          </cell>
          <cell r="E698">
            <v>5210</v>
          </cell>
          <cell r="G698">
            <v>4942</v>
          </cell>
          <cell r="H698">
            <v>542</v>
          </cell>
          <cell r="I698">
            <v>6203</v>
          </cell>
          <cell r="J698">
            <v>485</v>
          </cell>
          <cell r="L698">
            <v>385</v>
          </cell>
          <cell r="N698">
            <v>5210</v>
          </cell>
        </row>
        <row r="699">
          <cell r="A699">
            <v>3604</v>
          </cell>
          <cell r="B699" t="str">
            <v>PVC관 (VG1)</v>
          </cell>
          <cell r="C699" t="str">
            <v>75Ø</v>
          </cell>
          <cell r="D699" t="str">
            <v>M</v>
          </cell>
          <cell r="E699">
            <v>3365</v>
          </cell>
          <cell r="G699">
            <v>3192</v>
          </cell>
          <cell r="H699">
            <v>542</v>
          </cell>
          <cell r="I699">
            <v>4008</v>
          </cell>
          <cell r="J699">
            <v>485</v>
          </cell>
          <cell r="L699">
            <v>385</v>
          </cell>
          <cell r="N699">
            <v>3365</v>
          </cell>
        </row>
        <row r="700">
          <cell r="A700">
            <v>3605</v>
          </cell>
          <cell r="B700" t="str">
            <v>PVC관 (VG1)</v>
          </cell>
          <cell r="C700" t="str">
            <v>50Ø</v>
          </cell>
          <cell r="D700" t="str">
            <v>M</v>
          </cell>
          <cell r="E700">
            <v>1710</v>
          </cell>
          <cell r="G700">
            <v>1625</v>
          </cell>
          <cell r="H700">
            <v>542</v>
          </cell>
          <cell r="I700">
            <v>2040</v>
          </cell>
          <cell r="J700">
            <v>485</v>
          </cell>
          <cell r="L700">
            <v>385</v>
          </cell>
          <cell r="N700">
            <v>1710</v>
          </cell>
        </row>
        <row r="701">
          <cell r="A701">
            <v>3610</v>
          </cell>
          <cell r="B701" t="str">
            <v>90˚곡관(접착재접합)</v>
          </cell>
          <cell r="C701" t="str">
            <v>150Ø</v>
          </cell>
          <cell r="D701" t="str">
            <v>개</v>
          </cell>
          <cell r="E701">
            <v>3278</v>
          </cell>
          <cell r="G701">
            <v>4500</v>
          </cell>
          <cell r="H701">
            <v>544</v>
          </cell>
          <cell r="I701">
            <v>4610</v>
          </cell>
          <cell r="J701">
            <v>486</v>
          </cell>
          <cell r="L701">
            <v>0</v>
          </cell>
          <cell r="N701">
            <v>5266</v>
          </cell>
        </row>
        <row r="702">
          <cell r="A702">
            <v>3611</v>
          </cell>
          <cell r="B702" t="str">
            <v>90˚곡관(접착재접합)</v>
          </cell>
          <cell r="C702" t="str">
            <v>125Ø</v>
          </cell>
          <cell r="D702" t="str">
            <v>개</v>
          </cell>
          <cell r="E702">
            <v>1852</v>
          </cell>
          <cell r="G702">
            <v>2540</v>
          </cell>
          <cell r="H702">
            <v>544</v>
          </cell>
          <cell r="I702">
            <v>2610</v>
          </cell>
          <cell r="J702">
            <v>486</v>
          </cell>
          <cell r="L702">
            <v>0</v>
          </cell>
          <cell r="N702">
            <v>3278</v>
          </cell>
        </row>
        <row r="703">
          <cell r="A703">
            <v>3612</v>
          </cell>
          <cell r="B703" t="str">
            <v>90˚곡관(접착재접합)</v>
          </cell>
          <cell r="C703" t="str">
            <v>100Ø</v>
          </cell>
          <cell r="D703" t="str">
            <v>개</v>
          </cell>
          <cell r="E703">
            <v>1138</v>
          </cell>
          <cell r="G703">
            <v>1550</v>
          </cell>
          <cell r="H703">
            <v>544</v>
          </cell>
          <cell r="I703">
            <v>1600</v>
          </cell>
          <cell r="J703">
            <v>486</v>
          </cell>
          <cell r="L703">
            <v>0</v>
          </cell>
          <cell r="N703">
            <v>1852</v>
          </cell>
        </row>
        <row r="704">
          <cell r="A704">
            <v>3613</v>
          </cell>
          <cell r="B704" t="str">
            <v>90˚곡관(접착재접합)</v>
          </cell>
          <cell r="C704" t="str">
            <v>75Ø</v>
          </cell>
          <cell r="D704" t="str">
            <v>개</v>
          </cell>
          <cell r="E704">
            <v>569</v>
          </cell>
          <cell r="G704">
            <v>780</v>
          </cell>
          <cell r="H704">
            <v>544</v>
          </cell>
          <cell r="I704">
            <v>810</v>
          </cell>
          <cell r="J704">
            <v>486</v>
          </cell>
          <cell r="L704">
            <v>0</v>
          </cell>
        </row>
        <row r="705">
          <cell r="A705">
            <v>3614</v>
          </cell>
          <cell r="B705" t="str">
            <v>90˚곡관(접착재접합)</v>
          </cell>
          <cell r="C705" t="str">
            <v>50Ø</v>
          </cell>
          <cell r="D705" t="str">
            <v>개</v>
          </cell>
          <cell r="E705">
            <v>230</v>
          </cell>
          <cell r="G705">
            <v>310</v>
          </cell>
          <cell r="H705">
            <v>544</v>
          </cell>
          <cell r="I705">
            <v>350</v>
          </cell>
          <cell r="J705">
            <v>486</v>
          </cell>
          <cell r="L705">
            <v>0</v>
          </cell>
        </row>
        <row r="706">
          <cell r="A706">
            <v>3615</v>
          </cell>
          <cell r="B706" t="str">
            <v>45˚곡관(접착재접합)</v>
          </cell>
          <cell r="C706" t="str">
            <v>150Ø</v>
          </cell>
          <cell r="D706" t="str">
            <v>개</v>
          </cell>
          <cell r="E706">
            <v>3278</v>
          </cell>
          <cell r="F706">
            <v>0</v>
          </cell>
          <cell r="G706">
            <v>4500</v>
          </cell>
          <cell r="H706">
            <v>544</v>
          </cell>
          <cell r="I706">
            <v>4610</v>
          </cell>
          <cell r="J706">
            <v>486</v>
          </cell>
          <cell r="L706">
            <v>0</v>
          </cell>
        </row>
        <row r="707">
          <cell r="A707">
            <v>3616</v>
          </cell>
          <cell r="B707" t="str">
            <v>45˚곡관(접착재접합)</v>
          </cell>
          <cell r="C707" t="str">
            <v>125Ø</v>
          </cell>
          <cell r="D707" t="str">
            <v>개</v>
          </cell>
          <cell r="E707">
            <v>1852</v>
          </cell>
          <cell r="F707">
            <v>0</v>
          </cell>
          <cell r="G707">
            <v>2540</v>
          </cell>
          <cell r="H707">
            <v>544</v>
          </cell>
          <cell r="I707">
            <v>2610</v>
          </cell>
          <cell r="J707">
            <v>486</v>
          </cell>
          <cell r="L707">
            <v>0</v>
          </cell>
        </row>
        <row r="708">
          <cell r="A708">
            <v>3617</v>
          </cell>
          <cell r="B708" t="str">
            <v>45˚곡관(접착재접합)</v>
          </cell>
          <cell r="C708" t="str">
            <v>100Ø</v>
          </cell>
          <cell r="D708" t="str">
            <v>개</v>
          </cell>
          <cell r="E708">
            <v>1138</v>
          </cell>
          <cell r="F708">
            <v>0</v>
          </cell>
          <cell r="G708">
            <v>1560</v>
          </cell>
          <cell r="H708">
            <v>544</v>
          </cell>
          <cell r="I708">
            <v>1600</v>
          </cell>
          <cell r="J708">
            <v>486</v>
          </cell>
          <cell r="L708">
            <v>0</v>
          </cell>
        </row>
        <row r="709">
          <cell r="A709">
            <v>3618</v>
          </cell>
          <cell r="B709" t="str">
            <v>45˚곡관(접착재접합)</v>
          </cell>
          <cell r="C709" t="str">
            <v>75Ø</v>
          </cell>
          <cell r="D709" t="str">
            <v>개</v>
          </cell>
          <cell r="E709">
            <v>624</v>
          </cell>
          <cell r="F709">
            <v>0</v>
          </cell>
          <cell r="G709">
            <v>850</v>
          </cell>
          <cell r="H709">
            <v>544</v>
          </cell>
          <cell r="I709">
            <v>870</v>
          </cell>
          <cell r="J709">
            <v>486</v>
          </cell>
          <cell r="L709">
            <v>0</v>
          </cell>
        </row>
        <row r="710">
          <cell r="A710">
            <v>3619</v>
          </cell>
          <cell r="B710" t="str">
            <v>45˚곡관(접착재접합)</v>
          </cell>
          <cell r="C710" t="str">
            <v>50Ø</v>
          </cell>
          <cell r="D710" t="str">
            <v>개</v>
          </cell>
          <cell r="E710">
            <v>396</v>
          </cell>
          <cell r="F710">
            <v>0</v>
          </cell>
          <cell r="G710">
            <v>360</v>
          </cell>
          <cell r="H710">
            <v>544</v>
          </cell>
          <cell r="I710">
            <v>400</v>
          </cell>
          <cell r="J710">
            <v>486</v>
          </cell>
          <cell r="L710">
            <v>0</v>
          </cell>
        </row>
        <row r="711">
          <cell r="A711">
            <v>3620</v>
          </cell>
          <cell r="B711" t="str">
            <v>LT관(접착재접합)</v>
          </cell>
          <cell r="C711" t="str">
            <v>150Øx150Ø</v>
          </cell>
          <cell r="D711" t="str">
            <v>개</v>
          </cell>
          <cell r="E711">
            <v>8441</v>
          </cell>
          <cell r="G711">
            <v>11560</v>
          </cell>
          <cell r="H711">
            <v>544</v>
          </cell>
          <cell r="I711">
            <v>11870</v>
          </cell>
          <cell r="J711">
            <v>486</v>
          </cell>
          <cell r="L711">
            <v>0</v>
          </cell>
        </row>
        <row r="712">
          <cell r="A712">
            <v>3621</v>
          </cell>
          <cell r="B712" t="str">
            <v>LT관(접착재접합)</v>
          </cell>
          <cell r="C712" t="str">
            <v>150Øx125Ø</v>
          </cell>
          <cell r="D712" t="str">
            <v>개</v>
          </cell>
          <cell r="E712">
            <v>5243</v>
          </cell>
          <cell r="G712">
            <v>7180</v>
          </cell>
          <cell r="H712">
            <v>544</v>
          </cell>
          <cell r="I712">
            <v>7980</v>
          </cell>
          <cell r="J712">
            <v>486</v>
          </cell>
          <cell r="L712">
            <v>0</v>
          </cell>
        </row>
        <row r="713">
          <cell r="A713">
            <v>3622</v>
          </cell>
          <cell r="B713" t="str">
            <v>LT관(접착재접합)</v>
          </cell>
          <cell r="C713" t="str">
            <v>150Øx100Ø</v>
          </cell>
          <cell r="D713" t="str">
            <v>개</v>
          </cell>
          <cell r="E713">
            <v>4604</v>
          </cell>
          <cell r="G713">
            <v>6300</v>
          </cell>
          <cell r="H713">
            <v>544</v>
          </cell>
          <cell r="I713">
            <v>7010</v>
          </cell>
          <cell r="J713">
            <v>486</v>
          </cell>
          <cell r="L713">
            <v>0</v>
          </cell>
        </row>
        <row r="714">
          <cell r="A714">
            <v>3623</v>
          </cell>
          <cell r="B714" t="str">
            <v>LT관(접착재접합)</v>
          </cell>
          <cell r="C714" t="str">
            <v>150Øx 75Ø</v>
          </cell>
          <cell r="D714" t="str">
            <v>개</v>
          </cell>
          <cell r="E714">
            <v>3717</v>
          </cell>
          <cell r="G714">
            <v>5090</v>
          </cell>
          <cell r="H714">
            <v>544</v>
          </cell>
          <cell r="I714">
            <v>5660</v>
          </cell>
          <cell r="J714">
            <v>486</v>
          </cell>
          <cell r="L714">
            <v>0</v>
          </cell>
        </row>
        <row r="715">
          <cell r="A715">
            <v>3624</v>
          </cell>
          <cell r="B715" t="str">
            <v>LT관(접착재접합)</v>
          </cell>
          <cell r="C715" t="str">
            <v>125Øx125Ø</v>
          </cell>
          <cell r="D715" t="str">
            <v>개</v>
          </cell>
          <cell r="E715">
            <v>3728</v>
          </cell>
          <cell r="G715">
            <v>5100</v>
          </cell>
          <cell r="H715">
            <v>544</v>
          </cell>
          <cell r="I715">
            <v>5240</v>
          </cell>
          <cell r="J715">
            <v>486</v>
          </cell>
          <cell r="L715">
            <v>0</v>
          </cell>
        </row>
        <row r="716">
          <cell r="A716">
            <v>3625</v>
          </cell>
          <cell r="B716" t="str">
            <v>LT관(접착재접합)</v>
          </cell>
          <cell r="C716" t="str">
            <v>125Øx100Ø</v>
          </cell>
          <cell r="D716" t="str">
            <v>개</v>
          </cell>
          <cell r="E716">
            <v>3168</v>
          </cell>
          <cell r="G716">
            <v>4340</v>
          </cell>
          <cell r="H716">
            <v>544</v>
          </cell>
          <cell r="I716">
            <v>4820</v>
          </cell>
          <cell r="J716">
            <v>486</v>
          </cell>
          <cell r="L716">
            <v>0</v>
          </cell>
        </row>
        <row r="717">
          <cell r="A717">
            <v>3626</v>
          </cell>
          <cell r="B717" t="str">
            <v>LT관(접착재접합)</v>
          </cell>
          <cell r="C717" t="str">
            <v>125Øx 75Ø</v>
          </cell>
          <cell r="D717" t="str">
            <v>개</v>
          </cell>
          <cell r="E717">
            <v>2919</v>
          </cell>
          <cell r="G717">
            <v>4000</v>
          </cell>
          <cell r="H717">
            <v>544</v>
          </cell>
          <cell r="I717">
            <v>4440</v>
          </cell>
          <cell r="J717">
            <v>486</v>
          </cell>
          <cell r="L717">
            <v>0</v>
          </cell>
        </row>
        <row r="718">
          <cell r="A718">
            <v>3627</v>
          </cell>
          <cell r="B718" t="str">
            <v>Y관(접착재접합)</v>
          </cell>
          <cell r="C718" t="str">
            <v>100Øx100Ø</v>
          </cell>
          <cell r="D718" t="str">
            <v>개</v>
          </cell>
          <cell r="E718">
            <v>2128</v>
          </cell>
          <cell r="G718">
            <v>2910</v>
          </cell>
          <cell r="H718">
            <v>544</v>
          </cell>
          <cell r="I718">
            <v>3240</v>
          </cell>
          <cell r="J718">
            <v>486</v>
          </cell>
          <cell r="L718">
            <v>0</v>
          </cell>
        </row>
        <row r="719">
          <cell r="A719">
            <v>3628</v>
          </cell>
          <cell r="B719" t="str">
            <v>Y관(접착재접합)</v>
          </cell>
          <cell r="C719" t="str">
            <v>100Øx 75Ø</v>
          </cell>
          <cell r="D719" t="str">
            <v>개</v>
          </cell>
          <cell r="E719">
            <v>2702</v>
          </cell>
          <cell r="G719">
            <v>3700</v>
          </cell>
          <cell r="H719">
            <v>544</v>
          </cell>
          <cell r="I719">
            <v>4110</v>
          </cell>
          <cell r="J719">
            <v>486</v>
          </cell>
          <cell r="L719">
            <v>0</v>
          </cell>
        </row>
        <row r="720">
          <cell r="A720">
            <v>3629</v>
          </cell>
          <cell r="B720" t="str">
            <v>Y관(접착재접합)</v>
          </cell>
          <cell r="C720" t="str">
            <v>100Øx 50Ø</v>
          </cell>
          <cell r="D720" t="str">
            <v>개</v>
          </cell>
          <cell r="E720">
            <v>2201</v>
          </cell>
          <cell r="G720">
            <v>3010</v>
          </cell>
          <cell r="H720">
            <v>544</v>
          </cell>
          <cell r="I720">
            <v>3350</v>
          </cell>
          <cell r="J720">
            <v>486</v>
          </cell>
          <cell r="L720">
            <v>0</v>
          </cell>
        </row>
        <row r="721">
          <cell r="A721">
            <v>3630</v>
          </cell>
          <cell r="B721" t="str">
            <v>Y관(접착재접합)</v>
          </cell>
          <cell r="C721" t="str">
            <v xml:space="preserve"> 75Øx 75Ø</v>
          </cell>
          <cell r="D721" t="str">
            <v>개</v>
          </cell>
          <cell r="E721">
            <v>1084</v>
          </cell>
          <cell r="G721">
            <v>1480</v>
          </cell>
          <cell r="H721">
            <v>544</v>
          </cell>
          <cell r="I721">
            <v>1650</v>
          </cell>
          <cell r="J721">
            <v>486</v>
          </cell>
          <cell r="L721">
            <v>0</v>
          </cell>
        </row>
        <row r="722">
          <cell r="A722">
            <v>3631</v>
          </cell>
          <cell r="B722" t="str">
            <v>Y관(접착재접합)</v>
          </cell>
          <cell r="C722" t="str">
            <v xml:space="preserve"> 75Øx 50Ø</v>
          </cell>
          <cell r="D722" t="str">
            <v>개</v>
          </cell>
          <cell r="E722">
            <v>996</v>
          </cell>
          <cell r="G722">
            <v>1370</v>
          </cell>
          <cell r="H722">
            <v>544</v>
          </cell>
          <cell r="I722">
            <v>1520</v>
          </cell>
          <cell r="J722">
            <v>486</v>
          </cell>
          <cell r="L722">
            <v>0</v>
          </cell>
        </row>
        <row r="723">
          <cell r="A723">
            <v>3632</v>
          </cell>
          <cell r="B723" t="str">
            <v>Y관(접착재접합)</v>
          </cell>
          <cell r="C723" t="str">
            <v xml:space="preserve"> 50Øx 50Ø</v>
          </cell>
          <cell r="D723" t="str">
            <v>개</v>
          </cell>
          <cell r="E723">
            <v>660</v>
          </cell>
          <cell r="G723">
            <v>640</v>
          </cell>
          <cell r="H723">
            <v>544</v>
          </cell>
          <cell r="I723">
            <v>710</v>
          </cell>
          <cell r="J723">
            <v>486</v>
          </cell>
          <cell r="L723">
            <v>0</v>
          </cell>
        </row>
        <row r="724">
          <cell r="A724">
            <v>3633</v>
          </cell>
          <cell r="B724" t="str">
            <v>인크리져(접착재접합)</v>
          </cell>
          <cell r="C724" t="str">
            <v>100Øx 75Ø</v>
          </cell>
          <cell r="D724" t="str">
            <v>개</v>
          </cell>
          <cell r="E724">
            <v>633</v>
          </cell>
          <cell r="G724">
            <v>870</v>
          </cell>
          <cell r="H724">
            <v>544</v>
          </cell>
          <cell r="I724">
            <v>900</v>
          </cell>
          <cell r="J724">
            <v>486</v>
          </cell>
          <cell r="L724">
            <v>0</v>
          </cell>
        </row>
        <row r="725">
          <cell r="A725">
            <v>3634</v>
          </cell>
          <cell r="B725" t="str">
            <v>인크리져(접착재접합)</v>
          </cell>
          <cell r="C725" t="str">
            <v>100Øx 50Ø</v>
          </cell>
          <cell r="D725" t="str">
            <v>개</v>
          </cell>
          <cell r="E725">
            <v>528</v>
          </cell>
          <cell r="G725">
            <v>730</v>
          </cell>
          <cell r="H725">
            <v>544</v>
          </cell>
          <cell r="I725">
            <v>750</v>
          </cell>
          <cell r="J725">
            <v>486</v>
          </cell>
          <cell r="L725">
            <v>0</v>
          </cell>
        </row>
        <row r="726">
          <cell r="A726">
            <v>3635</v>
          </cell>
          <cell r="B726" t="str">
            <v>소켓</v>
          </cell>
          <cell r="C726" t="str">
            <v>150Ø</v>
          </cell>
          <cell r="D726" t="str">
            <v>개</v>
          </cell>
          <cell r="E726">
            <v>1805</v>
          </cell>
          <cell r="G726">
            <v>2470</v>
          </cell>
          <cell r="H726">
            <v>544</v>
          </cell>
          <cell r="I726">
            <v>2540</v>
          </cell>
          <cell r="J726">
            <v>486</v>
          </cell>
          <cell r="L726">
            <v>0</v>
          </cell>
        </row>
        <row r="727">
          <cell r="A727">
            <v>3636</v>
          </cell>
          <cell r="B727" t="str">
            <v>소켓</v>
          </cell>
          <cell r="C727" t="str">
            <v>125Ø</v>
          </cell>
          <cell r="D727" t="str">
            <v>개</v>
          </cell>
          <cell r="E727">
            <v>1094</v>
          </cell>
          <cell r="G727">
            <v>1500</v>
          </cell>
          <cell r="H727">
            <v>544</v>
          </cell>
          <cell r="I727">
            <v>1540</v>
          </cell>
          <cell r="J727">
            <v>486</v>
          </cell>
          <cell r="L727">
            <v>0</v>
          </cell>
        </row>
        <row r="728">
          <cell r="A728">
            <v>3637</v>
          </cell>
          <cell r="B728" t="str">
            <v>소켓</v>
          </cell>
          <cell r="C728" t="str">
            <v>100Ø</v>
          </cell>
          <cell r="D728" t="str">
            <v>개</v>
          </cell>
          <cell r="E728">
            <v>621</v>
          </cell>
          <cell r="G728">
            <v>850</v>
          </cell>
          <cell r="H728">
            <v>544</v>
          </cell>
          <cell r="I728">
            <v>880</v>
          </cell>
          <cell r="J728">
            <v>486</v>
          </cell>
          <cell r="L728">
            <v>0</v>
          </cell>
        </row>
        <row r="729">
          <cell r="A729">
            <v>3638</v>
          </cell>
          <cell r="B729" t="str">
            <v>소켓</v>
          </cell>
          <cell r="C729" t="str">
            <v>75Ø</v>
          </cell>
          <cell r="D729" t="str">
            <v>개</v>
          </cell>
          <cell r="E729">
            <v>338</v>
          </cell>
          <cell r="G729">
            <v>470</v>
          </cell>
          <cell r="H729">
            <v>544</v>
          </cell>
          <cell r="I729">
            <v>480</v>
          </cell>
          <cell r="J729">
            <v>486</v>
          </cell>
          <cell r="L729">
            <v>0</v>
          </cell>
        </row>
        <row r="730">
          <cell r="A730">
            <v>3639</v>
          </cell>
          <cell r="B730" t="str">
            <v>소켓</v>
          </cell>
          <cell r="C730" t="str">
            <v>50Ø</v>
          </cell>
          <cell r="D730" t="str">
            <v>개</v>
          </cell>
          <cell r="E730">
            <v>198</v>
          </cell>
          <cell r="G730">
            <v>180</v>
          </cell>
          <cell r="H730">
            <v>544</v>
          </cell>
          <cell r="I730">
            <v>200</v>
          </cell>
          <cell r="J730">
            <v>486</v>
          </cell>
          <cell r="L730">
            <v>0</v>
          </cell>
        </row>
        <row r="731">
          <cell r="A731">
            <v>3641</v>
          </cell>
          <cell r="B731" t="str">
            <v>90˚곡관(고무링접합)</v>
          </cell>
          <cell r="C731" t="str">
            <v>125Ø</v>
          </cell>
          <cell r="D731" t="str">
            <v>개</v>
          </cell>
          <cell r="E731">
            <v>9501</v>
          </cell>
          <cell r="F731">
            <v>0</v>
          </cell>
          <cell r="G731">
            <v>8121</v>
          </cell>
          <cell r="H731">
            <v>546</v>
          </cell>
          <cell r="I731">
            <v>7471</v>
          </cell>
          <cell r="J731">
            <v>487</v>
          </cell>
          <cell r="L731">
            <v>487</v>
          </cell>
        </row>
        <row r="732">
          <cell r="A732">
            <v>3642</v>
          </cell>
          <cell r="B732" t="str">
            <v>90˚곡관(고무링접합)</v>
          </cell>
          <cell r="C732" t="str">
            <v>100Ø</v>
          </cell>
          <cell r="D732" t="str">
            <v>개</v>
          </cell>
          <cell r="E732">
            <v>5108</v>
          </cell>
          <cell r="F732">
            <v>0</v>
          </cell>
          <cell r="G732">
            <v>4366</v>
          </cell>
          <cell r="H732">
            <v>546</v>
          </cell>
          <cell r="I732">
            <v>4016</v>
          </cell>
          <cell r="J732">
            <v>487</v>
          </cell>
          <cell r="L732">
            <v>487</v>
          </cell>
        </row>
        <row r="733">
          <cell r="A733">
            <v>3643</v>
          </cell>
          <cell r="B733" t="str">
            <v>90˚곡관(고무링접합)</v>
          </cell>
          <cell r="C733" t="str">
            <v>75Ø</v>
          </cell>
          <cell r="D733" t="str">
            <v>개</v>
          </cell>
          <cell r="E733">
            <v>2826</v>
          </cell>
          <cell r="F733">
            <v>0</v>
          </cell>
          <cell r="G733">
            <v>2416</v>
          </cell>
          <cell r="H733">
            <v>546</v>
          </cell>
          <cell r="I733">
            <v>2222</v>
          </cell>
          <cell r="J733">
            <v>487</v>
          </cell>
          <cell r="L733">
            <v>487</v>
          </cell>
        </row>
        <row r="734">
          <cell r="A734">
            <v>3644</v>
          </cell>
          <cell r="B734" t="str">
            <v>90˚곡관(고무링접합)</v>
          </cell>
          <cell r="C734" t="str">
            <v>50Ø</v>
          </cell>
          <cell r="D734" t="str">
            <v>개</v>
          </cell>
          <cell r="E734">
            <v>1416</v>
          </cell>
          <cell r="F734">
            <v>0</v>
          </cell>
          <cell r="G734">
            <v>1211</v>
          </cell>
          <cell r="H734">
            <v>546</v>
          </cell>
          <cell r="I734">
            <v>1114</v>
          </cell>
          <cell r="J734">
            <v>487</v>
          </cell>
          <cell r="L734">
            <v>487</v>
          </cell>
        </row>
        <row r="735">
          <cell r="A735">
            <v>3646</v>
          </cell>
          <cell r="B735" t="str">
            <v>45˚곡관(고무링접합)</v>
          </cell>
          <cell r="C735" t="str">
            <v>125Ø</v>
          </cell>
          <cell r="D735" t="str">
            <v>개</v>
          </cell>
          <cell r="E735">
            <v>6769</v>
          </cell>
          <cell r="F735">
            <v>0</v>
          </cell>
          <cell r="G735">
            <v>5786</v>
          </cell>
          <cell r="H735">
            <v>546</v>
          </cell>
          <cell r="I735">
            <v>5323</v>
          </cell>
          <cell r="J735">
            <v>487</v>
          </cell>
          <cell r="L735">
            <v>487</v>
          </cell>
        </row>
        <row r="736">
          <cell r="A736">
            <v>3647</v>
          </cell>
          <cell r="B736" t="str">
            <v>45˚곡관(고무링접합)</v>
          </cell>
          <cell r="C736" t="str">
            <v>100Ø</v>
          </cell>
          <cell r="D736" t="str">
            <v>개</v>
          </cell>
          <cell r="E736">
            <v>3739</v>
          </cell>
          <cell r="F736">
            <v>0</v>
          </cell>
          <cell r="G736">
            <v>3196</v>
          </cell>
          <cell r="H736">
            <v>546</v>
          </cell>
          <cell r="I736">
            <v>2940</v>
          </cell>
          <cell r="J736">
            <v>487</v>
          </cell>
          <cell r="L736">
            <v>487</v>
          </cell>
        </row>
        <row r="737">
          <cell r="A737">
            <v>3648</v>
          </cell>
          <cell r="B737" t="str">
            <v>45˚곡관(고무링접합)</v>
          </cell>
          <cell r="C737" t="str">
            <v>75Ø</v>
          </cell>
          <cell r="D737" t="str">
            <v>개</v>
          </cell>
          <cell r="E737">
            <v>2285</v>
          </cell>
          <cell r="F737">
            <v>0</v>
          </cell>
          <cell r="G737">
            <v>1953</v>
          </cell>
          <cell r="H737">
            <v>546</v>
          </cell>
          <cell r="I737">
            <v>1796</v>
          </cell>
          <cell r="J737">
            <v>487</v>
          </cell>
          <cell r="L737">
            <v>487</v>
          </cell>
        </row>
        <row r="738">
          <cell r="A738">
            <v>3649</v>
          </cell>
          <cell r="B738" t="str">
            <v>45˚곡관(고무링접합)</v>
          </cell>
          <cell r="C738" t="str">
            <v>50Ø</v>
          </cell>
          <cell r="D738" t="str">
            <v>개</v>
          </cell>
          <cell r="E738">
            <v>1251</v>
          </cell>
          <cell r="F738">
            <v>0</v>
          </cell>
          <cell r="G738">
            <v>1070</v>
          </cell>
          <cell r="H738">
            <v>546</v>
          </cell>
          <cell r="I738">
            <v>984</v>
          </cell>
          <cell r="J738">
            <v>487</v>
          </cell>
          <cell r="L738">
            <v>487</v>
          </cell>
        </row>
        <row r="739">
          <cell r="A739">
            <v>3650</v>
          </cell>
          <cell r="B739" t="str">
            <v>LT관(고무링접합)</v>
          </cell>
          <cell r="C739" t="str">
            <v>125Øx125Ø</v>
          </cell>
          <cell r="D739" t="str">
            <v>개</v>
          </cell>
          <cell r="E739">
            <v>11983</v>
          </cell>
          <cell r="F739">
            <v>0</v>
          </cell>
          <cell r="G739">
            <v>11287</v>
          </cell>
          <cell r="H739">
            <v>546</v>
          </cell>
          <cell r="I739">
            <v>10384</v>
          </cell>
          <cell r="J739">
            <v>487</v>
          </cell>
          <cell r="L739">
            <v>487</v>
          </cell>
        </row>
        <row r="740">
          <cell r="A740">
            <v>3651</v>
          </cell>
          <cell r="B740" t="str">
            <v>LT관(고무링접합)</v>
          </cell>
          <cell r="C740" t="str">
            <v>125Øx100Ø</v>
          </cell>
          <cell r="D740" t="str">
            <v>개</v>
          </cell>
          <cell r="E740">
            <v>10519</v>
          </cell>
          <cell r="F740">
            <v>0</v>
          </cell>
          <cell r="G740">
            <v>8991</v>
          </cell>
          <cell r="H740">
            <v>546</v>
          </cell>
          <cell r="I740">
            <v>8271</v>
          </cell>
          <cell r="J740">
            <v>487</v>
          </cell>
          <cell r="L740">
            <v>487</v>
          </cell>
        </row>
        <row r="741">
          <cell r="A741">
            <v>3652</v>
          </cell>
          <cell r="B741" t="str">
            <v>Y관(고무링접합)</v>
          </cell>
          <cell r="C741" t="str">
            <v>100Øx100Ø</v>
          </cell>
          <cell r="D741" t="str">
            <v>개</v>
          </cell>
          <cell r="E741">
            <v>6486</v>
          </cell>
          <cell r="F741">
            <v>0</v>
          </cell>
          <cell r="G741">
            <v>5544</v>
          </cell>
          <cell r="H741">
            <v>546</v>
          </cell>
          <cell r="I741">
            <v>5062</v>
          </cell>
          <cell r="J741">
            <v>487</v>
          </cell>
          <cell r="L741">
            <v>487</v>
          </cell>
        </row>
        <row r="742">
          <cell r="A742">
            <v>3653</v>
          </cell>
          <cell r="B742" t="str">
            <v>Y관(고무링접합)</v>
          </cell>
          <cell r="C742" t="str">
            <v>100Øx 75Ø</v>
          </cell>
          <cell r="D742" t="str">
            <v>개</v>
          </cell>
          <cell r="E742">
            <v>5426</v>
          </cell>
          <cell r="F742">
            <v>0</v>
          </cell>
          <cell r="G742">
            <v>4638</v>
          </cell>
          <cell r="H742">
            <v>546</v>
          </cell>
          <cell r="I742">
            <v>4292</v>
          </cell>
          <cell r="J742">
            <v>487</v>
          </cell>
          <cell r="L742">
            <v>487</v>
          </cell>
        </row>
        <row r="743">
          <cell r="A743">
            <v>3654</v>
          </cell>
          <cell r="B743" t="str">
            <v>Y관(고무링접합)</v>
          </cell>
          <cell r="C743" t="str">
            <v>100Øx 50Ø</v>
          </cell>
          <cell r="D743" t="str">
            <v>개</v>
          </cell>
          <cell r="E743">
            <v>4441</v>
          </cell>
          <cell r="F743">
            <v>0</v>
          </cell>
          <cell r="G743">
            <v>3796</v>
          </cell>
          <cell r="H743">
            <v>546</v>
          </cell>
          <cell r="I743">
            <v>3800</v>
          </cell>
          <cell r="J743">
            <v>487</v>
          </cell>
          <cell r="L743">
            <v>487</v>
          </cell>
        </row>
        <row r="744">
          <cell r="A744">
            <v>3655</v>
          </cell>
          <cell r="B744" t="str">
            <v>Y관(고무링접합)</v>
          </cell>
          <cell r="C744" t="str">
            <v xml:space="preserve"> 75Øx 75Ø</v>
          </cell>
          <cell r="D744" t="str">
            <v>개</v>
          </cell>
          <cell r="E744">
            <v>5164</v>
          </cell>
          <cell r="F744">
            <v>0</v>
          </cell>
          <cell r="G744">
            <v>4414</v>
          </cell>
          <cell r="H744">
            <v>546</v>
          </cell>
          <cell r="I744">
            <v>2985</v>
          </cell>
          <cell r="J744">
            <v>487</v>
          </cell>
          <cell r="L744">
            <v>487</v>
          </cell>
        </row>
        <row r="745">
          <cell r="A745">
            <v>3656</v>
          </cell>
          <cell r="B745" t="str">
            <v>Y관(고무링접합)</v>
          </cell>
          <cell r="C745" t="str">
            <v xml:space="preserve"> 75Øx 50Ø</v>
          </cell>
          <cell r="D745" t="str">
            <v>개</v>
          </cell>
          <cell r="E745">
            <v>4090</v>
          </cell>
          <cell r="F745">
            <v>0</v>
          </cell>
          <cell r="G745">
            <v>3496</v>
          </cell>
          <cell r="H745">
            <v>546</v>
          </cell>
          <cell r="I745">
            <v>3216</v>
          </cell>
          <cell r="J745">
            <v>487</v>
          </cell>
          <cell r="L745">
            <v>487</v>
          </cell>
        </row>
        <row r="746">
          <cell r="A746">
            <v>3657</v>
          </cell>
          <cell r="B746" t="str">
            <v>Y관(고무링접합)</v>
          </cell>
          <cell r="C746" t="str">
            <v xml:space="preserve"> 50Øx 50Ø</v>
          </cell>
          <cell r="D746" t="str">
            <v>개</v>
          </cell>
          <cell r="E746">
            <v>2491</v>
          </cell>
          <cell r="F746">
            <v>0</v>
          </cell>
          <cell r="G746">
            <v>2129</v>
          </cell>
          <cell r="H746">
            <v>546</v>
          </cell>
          <cell r="I746">
            <v>1774</v>
          </cell>
          <cell r="J746">
            <v>487</v>
          </cell>
          <cell r="L746">
            <v>487</v>
          </cell>
        </row>
        <row r="747">
          <cell r="A747">
            <v>3658</v>
          </cell>
          <cell r="B747" t="str">
            <v>인크리져(고무링접합)</v>
          </cell>
          <cell r="C747" t="str">
            <v>100Øx 75Ø</v>
          </cell>
          <cell r="D747" t="str">
            <v>개</v>
          </cell>
          <cell r="E747">
            <v>2913</v>
          </cell>
          <cell r="F747">
            <v>0</v>
          </cell>
          <cell r="G747">
            <v>2490</v>
          </cell>
          <cell r="H747">
            <v>546</v>
          </cell>
          <cell r="I747">
            <v>2290</v>
          </cell>
          <cell r="J747">
            <v>487</v>
          </cell>
          <cell r="L747">
            <v>487</v>
          </cell>
        </row>
        <row r="748">
          <cell r="A748">
            <v>3659</v>
          </cell>
          <cell r="B748" t="str">
            <v>인크리져(고무링접합)</v>
          </cell>
          <cell r="C748" t="str">
            <v>100Øx 50Ø</v>
          </cell>
          <cell r="D748" t="str">
            <v>개</v>
          </cell>
          <cell r="E748">
            <v>2847</v>
          </cell>
          <cell r="F748">
            <v>0</v>
          </cell>
          <cell r="G748">
            <v>2434</v>
          </cell>
          <cell r="H748">
            <v>546</v>
          </cell>
          <cell r="I748">
            <v>2239</v>
          </cell>
          <cell r="J748">
            <v>487</v>
          </cell>
          <cell r="L748">
            <v>487</v>
          </cell>
        </row>
        <row r="749">
          <cell r="A749">
            <v>3661</v>
          </cell>
          <cell r="B749" t="str">
            <v>소제구</v>
          </cell>
          <cell r="C749" t="str">
            <v>150Ø</v>
          </cell>
          <cell r="D749" t="str">
            <v>개</v>
          </cell>
          <cell r="E749">
            <v>3163</v>
          </cell>
          <cell r="G749">
            <v>4330</v>
          </cell>
          <cell r="H749">
            <v>544</v>
          </cell>
          <cell r="I749">
            <v>4450</v>
          </cell>
          <cell r="J749">
            <v>486</v>
          </cell>
          <cell r="L749">
            <v>0</v>
          </cell>
        </row>
        <row r="750">
          <cell r="A750">
            <v>3662</v>
          </cell>
          <cell r="B750" t="str">
            <v>소제구</v>
          </cell>
          <cell r="C750" t="str">
            <v>125Ø</v>
          </cell>
          <cell r="D750" t="str">
            <v>개</v>
          </cell>
          <cell r="E750">
            <v>1823</v>
          </cell>
          <cell r="G750">
            <v>2500</v>
          </cell>
          <cell r="H750">
            <v>544</v>
          </cell>
          <cell r="I750">
            <v>2570</v>
          </cell>
          <cell r="J750">
            <v>486</v>
          </cell>
          <cell r="L750">
            <v>0</v>
          </cell>
        </row>
        <row r="751">
          <cell r="A751">
            <v>3663</v>
          </cell>
          <cell r="B751" t="str">
            <v>소제구</v>
          </cell>
          <cell r="C751" t="str">
            <v>100Ø</v>
          </cell>
          <cell r="D751" t="str">
            <v>개</v>
          </cell>
          <cell r="E751">
            <v>1058</v>
          </cell>
          <cell r="G751">
            <v>1450</v>
          </cell>
          <cell r="H751">
            <v>544</v>
          </cell>
          <cell r="I751">
            <v>1490</v>
          </cell>
          <cell r="J751">
            <v>486</v>
          </cell>
          <cell r="L751">
            <v>0</v>
          </cell>
        </row>
        <row r="752">
          <cell r="A752">
            <v>3664</v>
          </cell>
          <cell r="B752" t="str">
            <v>소제구</v>
          </cell>
          <cell r="C752" t="str">
            <v>75Ø</v>
          </cell>
          <cell r="D752" t="str">
            <v>개</v>
          </cell>
          <cell r="E752">
            <v>759</v>
          </cell>
          <cell r="G752">
            <v>1040</v>
          </cell>
          <cell r="H752">
            <v>544</v>
          </cell>
          <cell r="I752">
            <v>1070</v>
          </cell>
          <cell r="J752">
            <v>486</v>
          </cell>
          <cell r="L752">
            <v>0</v>
          </cell>
        </row>
        <row r="753">
          <cell r="A753">
            <v>3665</v>
          </cell>
          <cell r="B753" t="str">
            <v>소제구</v>
          </cell>
          <cell r="C753" t="str">
            <v>50Ø</v>
          </cell>
          <cell r="D753" t="str">
            <v>개</v>
          </cell>
          <cell r="E753">
            <v>475</v>
          </cell>
          <cell r="G753">
            <v>470</v>
          </cell>
          <cell r="H753">
            <v>544</v>
          </cell>
          <cell r="I753">
            <v>520</v>
          </cell>
          <cell r="J753">
            <v>486</v>
          </cell>
          <cell r="L753">
            <v>0</v>
          </cell>
        </row>
        <row r="754">
          <cell r="A754">
            <v>3666</v>
          </cell>
          <cell r="B754" t="str">
            <v>바닥소제구</v>
          </cell>
          <cell r="C754" t="str">
            <v>150Ø</v>
          </cell>
          <cell r="D754" t="str">
            <v>개</v>
          </cell>
          <cell r="E754">
            <v>24500</v>
          </cell>
          <cell r="F754">
            <v>0</v>
          </cell>
          <cell r="H754">
            <v>0</v>
          </cell>
          <cell r="I754">
            <v>24500</v>
          </cell>
          <cell r="J754">
            <v>0</v>
          </cell>
          <cell r="L754">
            <v>0</v>
          </cell>
        </row>
        <row r="755">
          <cell r="A755">
            <v>3667</v>
          </cell>
          <cell r="B755" t="str">
            <v>바닥소제구</v>
          </cell>
          <cell r="C755" t="str">
            <v>125Ø</v>
          </cell>
          <cell r="D755" t="str">
            <v>개</v>
          </cell>
          <cell r="E755">
            <v>19800</v>
          </cell>
          <cell r="F755">
            <v>0</v>
          </cell>
          <cell r="H755">
            <v>0</v>
          </cell>
          <cell r="I755">
            <v>19800</v>
          </cell>
          <cell r="J755">
            <v>0</v>
          </cell>
          <cell r="L755">
            <v>0</v>
          </cell>
        </row>
        <row r="756">
          <cell r="A756">
            <v>3668</v>
          </cell>
          <cell r="B756" t="str">
            <v>바닥소제구</v>
          </cell>
          <cell r="C756" t="str">
            <v>100Ø</v>
          </cell>
          <cell r="D756" t="str">
            <v>개</v>
          </cell>
          <cell r="E756">
            <v>7000</v>
          </cell>
          <cell r="F756">
            <v>0</v>
          </cell>
          <cell r="H756">
            <v>0</v>
          </cell>
          <cell r="I756">
            <v>7000</v>
          </cell>
          <cell r="J756">
            <v>0</v>
          </cell>
          <cell r="L756">
            <v>0</v>
          </cell>
        </row>
        <row r="757">
          <cell r="A757">
            <v>3671</v>
          </cell>
          <cell r="B757" t="str">
            <v>바닥배수구</v>
          </cell>
          <cell r="C757" t="str">
            <v>100Ø</v>
          </cell>
          <cell r="D757" t="str">
            <v>개</v>
          </cell>
          <cell r="E757">
            <v>41600</v>
          </cell>
          <cell r="F757">
            <v>0</v>
          </cell>
          <cell r="H757">
            <v>0</v>
          </cell>
          <cell r="I757">
            <v>13120</v>
          </cell>
          <cell r="J757">
            <v>534</v>
          </cell>
          <cell r="L757">
            <v>0</v>
          </cell>
        </row>
        <row r="758">
          <cell r="A758">
            <v>3672</v>
          </cell>
          <cell r="B758" t="str">
            <v>바닥배수구</v>
          </cell>
          <cell r="C758" t="str">
            <v>75Ø</v>
          </cell>
          <cell r="D758" t="str">
            <v>개</v>
          </cell>
          <cell r="E758">
            <v>22400</v>
          </cell>
          <cell r="F758">
            <v>0</v>
          </cell>
          <cell r="H758">
            <v>0</v>
          </cell>
          <cell r="I758">
            <v>10500</v>
          </cell>
          <cell r="J758">
            <v>534</v>
          </cell>
          <cell r="L758">
            <v>0</v>
          </cell>
        </row>
        <row r="759">
          <cell r="A759">
            <v>3673</v>
          </cell>
          <cell r="B759" t="str">
            <v>바닥배수구</v>
          </cell>
          <cell r="C759" t="str">
            <v>50Ø</v>
          </cell>
          <cell r="D759" t="str">
            <v>개</v>
          </cell>
          <cell r="E759">
            <v>9600</v>
          </cell>
          <cell r="F759">
            <v>0</v>
          </cell>
          <cell r="H759">
            <v>0</v>
          </cell>
          <cell r="I759">
            <v>4950</v>
          </cell>
          <cell r="J759">
            <v>534</v>
          </cell>
          <cell r="L759">
            <v>0</v>
          </cell>
        </row>
        <row r="760">
          <cell r="A760">
            <v>3674</v>
          </cell>
          <cell r="B760" t="str">
            <v>세탁기용바닥배수구</v>
          </cell>
          <cell r="C760" t="str">
            <v>50Ø</v>
          </cell>
          <cell r="D760" t="str">
            <v>개</v>
          </cell>
          <cell r="E760">
            <v>13000</v>
          </cell>
          <cell r="F760">
            <v>0</v>
          </cell>
          <cell r="H760">
            <v>0</v>
          </cell>
          <cell r="I760">
            <v>6480</v>
          </cell>
          <cell r="J760">
            <v>534</v>
          </cell>
          <cell r="L760">
            <v>0</v>
          </cell>
        </row>
        <row r="761">
          <cell r="A761">
            <v>3681</v>
          </cell>
          <cell r="B761" t="str">
            <v>P-TRAP</v>
          </cell>
          <cell r="C761" t="str">
            <v>100Ø</v>
          </cell>
          <cell r="D761" t="str">
            <v>개</v>
          </cell>
          <cell r="E761">
            <v>5039</v>
          </cell>
          <cell r="G761">
            <v>6900</v>
          </cell>
          <cell r="H761">
            <v>544</v>
          </cell>
          <cell r="I761">
            <v>7670</v>
          </cell>
          <cell r="J761">
            <v>486</v>
          </cell>
          <cell r="L761">
            <v>0</v>
          </cell>
        </row>
        <row r="762">
          <cell r="A762">
            <v>3682</v>
          </cell>
          <cell r="B762" t="str">
            <v>P-TRAP</v>
          </cell>
          <cell r="C762" t="str">
            <v>75Ø</v>
          </cell>
          <cell r="D762" t="str">
            <v>개</v>
          </cell>
          <cell r="E762">
            <v>2520</v>
          </cell>
          <cell r="G762">
            <v>3450</v>
          </cell>
          <cell r="H762">
            <v>544</v>
          </cell>
          <cell r="I762">
            <v>3840</v>
          </cell>
          <cell r="J762">
            <v>486</v>
          </cell>
          <cell r="L762">
            <v>0</v>
          </cell>
        </row>
        <row r="763">
          <cell r="A763">
            <v>3683</v>
          </cell>
          <cell r="B763" t="str">
            <v>P-TRAP</v>
          </cell>
          <cell r="C763" t="str">
            <v>50Ø</v>
          </cell>
          <cell r="D763" t="str">
            <v>개</v>
          </cell>
          <cell r="E763">
            <v>1199</v>
          </cell>
          <cell r="G763">
            <v>1650</v>
          </cell>
          <cell r="H763">
            <v>544</v>
          </cell>
          <cell r="I763">
            <v>1830</v>
          </cell>
          <cell r="J763">
            <v>486</v>
          </cell>
          <cell r="L763">
            <v>0</v>
          </cell>
        </row>
        <row r="764">
          <cell r="A764">
            <v>3691</v>
          </cell>
          <cell r="B764" t="str">
            <v>PVC 스리브</v>
          </cell>
          <cell r="C764" t="str">
            <v>150Ø</v>
          </cell>
          <cell r="D764" t="str">
            <v>개</v>
          </cell>
          <cell r="E764">
            <v>1500</v>
          </cell>
          <cell r="F764">
            <v>0</v>
          </cell>
          <cell r="H764">
            <v>0</v>
          </cell>
          <cell r="I764">
            <v>1500</v>
          </cell>
          <cell r="J764">
            <v>534</v>
          </cell>
          <cell r="L764">
            <v>0</v>
          </cell>
        </row>
        <row r="765">
          <cell r="A765">
            <v>3692</v>
          </cell>
          <cell r="B765" t="str">
            <v>PVC 스리브</v>
          </cell>
          <cell r="C765" t="str">
            <v>125Ø</v>
          </cell>
          <cell r="D765" t="str">
            <v>개</v>
          </cell>
          <cell r="E765">
            <v>1400</v>
          </cell>
          <cell r="F765">
            <v>0</v>
          </cell>
          <cell r="H765">
            <v>0</v>
          </cell>
          <cell r="I765">
            <v>1400</v>
          </cell>
          <cell r="J765">
            <v>534</v>
          </cell>
          <cell r="L765">
            <v>0</v>
          </cell>
        </row>
        <row r="766">
          <cell r="A766">
            <v>3693</v>
          </cell>
          <cell r="B766" t="str">
            <v>PVC 스리브</v>
          </cell>
          <cell r="C766" t="str">
            <v>100Ø</v>
          </cell>
          <cell r="D766" t="str">
            <v>개</v>
          </cell>
          <cell r="E766">
            <v>1300</v>
          </cell>
          <cell r="F766">
            <v>0</v>
          </cell>
          <cell r="H766">
            <v>0</v>
          </cell>
          <cell r="I766">
            <v>1300</v>
          </cell>
          <cell r="J766">
            <v>534</v>
          </cell>
          <cell r="L766">
            <v>0</v>
          </cell>
        </row>
        <row r="767">
          <cell r="A767">
            <v>3694</v>
          </cell>
          <cell r="B767" t="str">
            <v>PVC 스리브</v>
          </cell>
          <cell r="C767" t="str">
            <v>75Ø</v>
          </cell>
          <cell r="D767" t="str">
            <v>개</v>
          </cell>
          <cell r="E767">
            <v>1100</v>
          </cell>
          <cell r="F767">
            <v>0</v>
          </cell>
          <cell r="H767">
            <v>0</v>
          </cell>
          <cell r="I767">
            <v>1100</v>
          </cell>
          <cell r="J767">
            <v>534</v>
          </cell>
          <cell r="L767">
            <v>0</v>
          </cell>
        </row>
        <row r="768">
          <cell r="A768">
            <v>3695</v>
          </cell>
          <cell r="B768" t="str">
            <v>PVC 스리브</v>
          </cell>
          <cell r="C768" t="str">
            <v>50Ø</v>
          </cell>
          <cell r="D768" t="str">
            <v>개</v>
          </cell>
          <cell r="E768">
            <v>800</v>
          </cell>
          <cell r="F768">
            <v>0</v>
          </cell>
          <cell r="H768">
            <v>0</v>
          </cell>
          <cell r="I768">
            <v>800</v>
          </cell>
          <cell r="J768">
            <v>534</v>
          </cell>
          <cell r="L768">
            <v>0</v>
          </cell>
        </row>
        <row r="793">
          <cell r="A793">
            <v>3710</v>
          </cell>
          <cell r="B793" t="str">
            <v>주철 G/V(10kg/㎠)</v>
          </cell>
          <cell r="C793" t="str">
            <v>150Ø</v>
          </cell>
          <cell r="D793" t="str">
            <v>개</v>
          </cell>
          <cell r="E793">
            <v>148000</v>
          </cell>
          <cell r="F793">
            <v>0</v>
          </cell>
          <cell r="G793">
            <v>148000</v>
          </cell>
          <cell r="H793">
            <v>596</v>
          </cell>
          <cell r="I793">
            <v>160000</v>
          </cell>
          <cell r="J793">
            <v>529</v>
          </cell>
          <cell r="L793">
            <v>529</v>
          </cell>
        </row>
        <row r="794">
          <cell r="A794">
            <v>3711</v>
          </cell>
          <cell r="B794" t="str">
            <v>주철 G/V(10kg/㎠)</v>
          </cell>
          <cell r="C794" t="str">
            <v>100Ø</v>
          </cell>
          <cell r="D794" t="str">
            <v>개</v>
          </cell>
          <cell r="E794">
            <v>77700</v>
          </cell>
          <cell r="F794">
            <v>0</v>
          </cell>
          <cell r="G794">
            <v>77700</v>
          </cell>
          <cell r="H794">
            <v>596</v>
          </cell>
          <cell r="I794">
            <v>84000</v>
          </cell>
          <cell r="J794">
            <v>529</v>
          </cell>
          <cell r="L794">
            <v>529</v>
          </cell>
        </row>
        <row r="795">
          <cell r="A795">
            <v>3712</v>
          </cell>
          <cell r="B795" t="str">
            <v>주철 G/V(10kg/㎠)</v>
          </cell>
          <cell r="C795" t="str">
            <v>80Ø</v>
          </cell>
          <cell r="D795" t="str">
            <v>개</v>
          </cell>
          <cell r="E795">
            <v>55500</v>
          </cell>
          <cell r="F795">
            <v>0</v>
          </cell>
          <cell r="G795">
            <v>55500</v>
          </cell>
          <cell r="H795">
            <v>596</v>
          </cell>
          <cell r="I795">
            <v>60000</v>
          </cell>
          <cell r="J795">
            <v>529</v>
          </cell>
          <cell r="L795">
            <v>529</v>
          </cell>
        </row>
        <row r="796">
          <cell r="A796">
            <v>3713</v>
          </cell>
          <cell r="B796" t="str">
            <v>주철 G/V(10kg/㎠)</v>
          </cell>
          <cell r="C796" t="str">
            <v>65Ø</v>
          </cell>
          <cell r="D796" t="str">
            <v>개</v>
          </cell>
          <cell r="E796">
            <v>45880</v>
          </cell>
          <cell r="F796">
            <v>0</v>
          </cell>
          <cell r="G796">
            <v>45880</v>
          </cell>
          <cell r="H796">
            <v>596</v>
          </cell>
          <cell r="I796">
            <v>49600</v>
          </cell>
          <cell r="J796">
            <v>529</v>
          </cell>
          <cell r="L796">
            <v>529</v>
          </cell>
        </row>
        <row r="797">
          <cell r="A797">
            <v>3714</v>
          </cell>
          <cell r="B797" t="str">
            <v>청동 G/V(10kg/㎠)</v>
          </cell>
          <cell r="C797" t="str">
            <v>50Ø</v>
          </cell>
          <cell r="D797" t="str">
            <v>개</v>
          </cell>
          <cell r="E797">
            <v>29690</v>
          </cell>
          <cell r="F797">
            <v>0</v>
          </cell>
          <cell r="G797">
            <v>29690</v>
          </cell>
          <cell r="H797">
            <v>595</v>
          </cell>
          <cell r="I797">
            <v>30120</v>
          </cell>
          <cell r="J797">
            <v>511</v>
          </cell>
          <cell r="L797">
            <v>414</v>
          </cell>
        </row>
        <row r="798">
          <cell r="A798">
            <v>3715</v>
          </cell>
          <cell r="B798" t="str">
            <v>청동 G/V(10kg/㎠)</v>
          </cell>
          <cell r="C798" t="str">
            <v>40Ø</v>
          </cell>
          <cell r="D798" t="str">
            <v>개</v>
          </cell>
          <cell r="E798">
            <v>19260</v>
          </cell>
          <cell r="F798">
            <v>0</v>
          </cell>
          <cell r="G798">
            <v>19260</v>
          </cell>
          <cell r="H798">
            <v>595</v>
          </cell>
          <cell r="I798">
            <v>19540</v>
          </cell>
          <cell r="J798">
            <v>511</v>
          </cell>
          <cell r="L798">
            <v>414</v>
          </cell>
        </row>
        <row r="799">
          <cell r="A799">
            <v>3716</v>
          </cell>
          <cell r="B799" t="str">
            <v>청동 G/V(10kg/㎠)</v>
          </cell>
          <cell r="C799" t="str">
            <v>32Ø</v>
          </cell>
          <cell r="D799" t="str">
            <v>개</v>
          </cell>
          <cell r="E799">
            <v>14370</v>
          </cell>
          <cell r="F799">
            <v>0</v>
          </cell>
          <cell r="G799">
            <v>14370</v>
          </cell>
          <cell r="H799">
            <v>595</v>
          </cell>
          <cell r="I799">
            <v>14580</v>
          </cell>
          <cell r="J799">
            <v>511</v>
          </cell>
          <cell r="L799">
            <v>414</v>
          </cell>
        </row>
        <row r="800">
          <cell r="A800">
            <v>3717</v>
          </cell>
          <cell r="B800" t="str">
            <v>청동 G/V(10kg/㎠)</v>
          </cell>
          <cell r="C800" t="str">
            <v>25Ø</v>
          </cell>
          <cell r="D800" t="str">
            <v>개</v>
          </cell>
          <cell r="E800">
            <v>10100</v>
          </cell>
          <cell r="F800">
            <v>0</v>
          </cell>
          <cell r="G800">
            <v>10100</v>
          </cell>
          <cell r="H800">
            <v>595</v>
          </cell>
          <cell r="I800">
            <v>10250</v>
          </cell>
          <cell r="J800">
            <v>511</v>
          </cell>
          <cell r="L800">
            <v>414</v>
          </cell>
        </row>
        <row r="801">
          <cell r="A801">
            <v>3718</v>
          </cell>
          <cell r="B801" t="str">
            <v>청동 G/V(10kg/㎠)</v>
          </cell>
          <cell r="C801" t="str">
            <v>20Ø</v>
          </cell>
          <cell r="D801" t="str">
            <v>개</v>
          </cell>
          <cell r="E801">
            <v>6620</v>
          </cell>
          <cell r="F801">
            <v>0</v>
          </cell>
          <cell r="G801">
            <v>6620</v>
          </cell>
          <cell r="H801">
            <v>595</v>
          </cell>
          <cell r="I801">
            <v>6710</v>
          </cell>
          <cell r="J801">
            <v>511</v>
          </cell>
          <cell r="L801">
            <v>414</v>
          </cell>
        </row>
        <row r="802">
          <cell r="A802">
            <v>3719</v>
          </cell>
          <cell r="B802" t="str">
            <v>청동 G/V(10kg/㎠)</v>
          </cell>
          <cell r="C802" t="str">
            <v>15Ø</v>
          </cell>
          <cell r="D802" t="str">
            <v>개</v>
          </cell>
          <cell r="E802">
            <v>4610</v>
          </cell>
          <cell r="F802">
            <v>0</v>
          </cell>
          <cell r="G802">
            <v>4610</v>
          </cell>
          <cell r="H802">
            <v>595</v>
          </cell>
          <cell r="I802">
            <v>4680</v>
          </cell>
          <cell r="J802">
            <v>511</v>
          </cell>
          <cell r="L802">
            <v>414</v>
          </cell>
        </row>
        <row r="803">
          <cell r="A803">
            <v>3720</v>
          </cell>
          <cell r="B803" t="str">
            <v>주철볼밸브(10kg/㎠)</v>
          </cell>
          <cell r="C803" t="str">
            <v>150Ø</v>
          </cell>
          <cell r="D803" t="str">
            <v>개</v>
          </cell>
          <cell r="E803">
            <v>197100</v>
          </cell>
          <cell r="F803">
            <v>0</v>
          </cell>
          <cell r="G803">
            <v>197100</v>
          </cell>
          <cell r="H803">
            <v>597</v>
          </cell>
          <cell r="I803">
            <v>580000</v>
          </cell>
          <cell r="J803">
            <v>529</v>
          </cell>
          <cell r="L803">
            <v>529</v>
          </cell>
        </row>
        <row r="804">
          <cell r="A804">
            <v>3721</v>
          </cell>
          <cell r="B804" t="str">
            <v>주철볼밸브(10kg/㎠)</v>
          </cell>
          <cell r="C804" t="str">
            <v>100Ø</v>
          </cell>
          <cell r="D804" t="str">
            <v>개</v>
          </cell>
          <cell r="E804">
            <v>97820</v>
          </cell>
          <cell r="F804">
            <v>0</v>
          </cell>
          <cell r="G804">
            <v>97820</v>
          </cell>
          <cell r="H804">
            <v>597</v>
          </cell>
          <cell r="I804">
            <v>200000</v>
          </cell>
          <cell r="J804">
            <v>529</v>
          </cell>
          <cell r="L804">
            <v>529</v>
          </cell>
        </row>
        <row r="805">
          <cell r="A805">
            <v>3722</v>
          </cell>
          <cell r="B805" t="str">
            <v>주철볼밸브(10kg/㎠)</v>
          </cell>
          <cell r="C805" t="str">
            <v>80Ø</v>
          </cell>
          <cell r="D805" t="str">
            <v>개</v>
          </cell>
          <cell r="E805">
            <v>65700</v>
          </cell>
          <cell r="F805">
            <v>0</v>
          </cell>
          <cell r="G805">
            <v>65700</v>
          </cell>
          <cell r="H805">
            <v>597</v>
          </cell>
          <cell r="I805">
            <v>140800</v>
          </cell>
          <cell r="J805">
            <v>529</v>
          </cell>
          <cell r="L805">
            <v>529</v>
          </cell>
        </row>
        <row r="806">
          <cell r="A806">
            <v>3723</v>
          </cell>
          <cell r="B806" t="str">
            <v>주철볼밸브(10kg/㎠)</v>
          </cell>
          <cell r="C806" t="str">
            <v>65Ø</v>
          </cell>
          <cell r="D806" t="str">
            <v>개</v>
          </cell>
          <cell r="E806">
            <v>52560</v>
          </cell>
          <cell r="F806">
            <v>0</v>
          </cell>
          <cell r="G806">
            <v>52560</v>
          </cell>
          <cell r="H806">
            <v>597</v>
          </cell>
          <cell r="I806">
            <v>107200</v>
          </cell>
          <cell r="J806">
            <v>529</v>
          </cell>
          <cell r="L806">
            <v>529</v>
          </cell>
        </row>
        <row r="807">
          <cell r="A807">
            <v>3724</v>
          </cell>
          <cell r="B807" t="str">
            <v>황동볼밸브(10kg/㎠)</v>
          </cell>
          <cell r="C807" t="str">
            <v>50Ø</v>
          </cell>
          <cell r="D807" t="str">
            <v>개</v>
          </cell>
          <cell r="E807">
            <v>13300</v>
          </cell>
          <cell r="F807">
            <v>0</v>
          </cell>
          <cell r="G807">
            <v>15390</v>
          </cell>
          <cell r="H807">
            <v>597</v>
          </cell>
          <cell r="I807">
            <v>13300</v>
          </cell>
          <cell r="J807">
            <v>529</v>
          </cell>
          <cell r="L807">
            <v>529</v>
          </cell>
        </row>
        <row r="808">
          <cell r="A808">
            <v>3725</v>
          </cell>
          <cell r="B808" t="str">
            <v>황동볼밸브(10kg/㎠)</v>
          </cell>
          <cell r="C808" t="str">
            <v>40Ø</v>
          </cell>
          <cell r="D808" t="str">
            <v>개</v>
          </cell>
          <cell r="E808">
            <v>8750</v>
          </cell>
          <cell r="F808">
            <v>0</v>
          </cell>
          <cell r="G808">
            <v>10120</v>
          </cell>
          <cell r="H808">
            <v>597</v>
          </cell>
          <cell r="I808">
            <v>8750</v>
          </cell>
          <cell r="J808">
            <v>529</v>
          </cell>
          <cell r="L808">
            <v>529</v>
          </cell>
        </row>
        <row r="809">
          <cell r="A809">
            <v>3726</v>
          </cell>
          <cell r="B809" t="str">
            <v>황동볼밸브(10kg/㎠)</v>
          </cell>
          <cell r="C809" t="str">
            <v>32Ø</v>
          </cell>
          <cell r="D809" t="str">
            <v>개</v>
          </cell>
          <cell r="E809">
            <v>6300</v>
          </cell>
          <cell r="F809">
            <v>0</v>
          </cell>
          <cell r="G809">
            <v>7290</v>
          </cell>
          <cell r="H809">
            <v>597</v>
          </cell>
          <cell r="I809">
            <v>6300</v>
          </cell>
          <cell r="J809">
            <v>529</v>
          </cell>
          <cell r="L809">
            <v>529</v>
          </cell>
        </row>
        <row r="810">
          <cell r="A810">
            <v>3727</v>
          </cell>
          <cell r="B810" t="str">
            <v>황동볼밸브(10kg/㎠)</v>
          </cell>
          <cell r="C810" t="str">
            <v>25Ø</v>
          </cell>
          <cell r="D810" t="str">
            <v>개</v>
          </cell>
          <cell r="E810">
            <v>4340</v>
          </cell>
          <cell r="F810">
            <v>0</v>
          </cell>
          <cell r="G810">
            <v>5020</v>
          </cell>
          <cell r="H810">
            <v>597</v>
          </cell>
          <cell r="I810">
            <v>4340</v>
          </cell>
          <cell r="J810">
            <v>529</v>
          </cell>
          <cell r="L810">
            <v>529</v>
          </cell>
        </row>
        <row r="811">
          <cell r="A811">
            <v>3728</v>
          </cell>
          <cell r="B811" t="str">
            <v>황동볼밸브(10kg/㎠)</v>
          </cell>
          <cell r="C811" t="str">
            <v>20Ø</v>
          </cell>
          <cell r="D811" t="str">
            <v>개</v>
          </cell>
          <cell r="E811">
            <v>2450</v>
          </cell>
          <cell r="F811">
            <v>0</v>
          </cell>
          <cell r="G811">
            <v>2830</v>
          </cell>
          <cell r="H811">
            <v>597</v>
          </cell>
          <cell r="I811">
            <v>2450</v>
          </cell>
          <cell r="J811">
            <v>529</v>
          </cell>
          <cell r="L811">
            <v>529</v>
          </cell>
        </row>
        <row r="812">
          <cell r="A812">
            <v>3729</v>
          </cell>
          <cell r="B812" t="str">
            <v>황동볼밸브(10kg/㎠)</v>
          </cell>
          <cell r="C812" t="str">
            <v>15Ø</v>
          </cell>
          <cell r="D812" t="str">
            <v>개</v>
          </cell>
          <cell r="E812">
            <v>1890</v>
          </cell>
          <cell r="F812">
            <v>0</v>
          </cell>
          <cell r="G812">
            <v>2180</v>
          </cell>
          <cell r="H812">
            <v>597</v>
          </cell>
          <cell r="I812">
            <v>1890</v>
          </cell>
          <cell r="J812">
            <v>529</v>
          </cell>
          <cell r="L812">
            <v>529</v>
          </cell>
        </row>
        <row r="813">
          <cell r="A813">
            <v>3730</v>
          </cell>
          <cell r="B813" t="str">
            <v>주강첵크밸브(10kg/㎠)</v>
          </cell>
          <cell r="C813" t="str">
            <v>150Ø</v>
          </cell>
          <cell r="D813" t="str">
            <v>개</v>
          </cell>
          <cell r="E813">
            <v>330750</v>
          </cell>
          <cell r="F813">
            <v>0</v>
          </cell>
          <cell r="G813">
            <v>330750</v>
          </cell>
          <cell r="H813">
            <v>596</v>
          </cell>
          <cell r="I813">
            <v>352800</v>
          </cell>
          <cell r="J813">
            <v>670</v>
          </cell>
          <cell r="L813">
            <v>670</v>
          </cell>
        </row>
        <row r="814">
          <cell r="A814">
            <v>3731</v>
          </cell>
          <cell r="B814" t="str">
            <v>주강첵크밸브(10kg/㎠)</v>
          </cell>
          <cell r="C814" t="str">
            <v>125Ø</v>
          </cell>
          <cell r="D814" t="str">
            <v>개</v>
          </cell>
          <cell r="E814">
            <v>266250</v>
          </cell>
          <cell r="F814">
            <v>0</v>
          </cell>
          <cell r="G814">
            <v>266250</v>
          </cell>
          <cell r="H814">
            <v>596</v>
          </cell>
          <cell r="I814">
            <v>284000</v>
          </cell>
          <cell r="J814">
            <v>670</v>
          </cell>
          <cell r="L814">
            <v>670</v>
          </cell>
        </row>
        <row r="815">
          <cell r="A815">
            <v>3732</v>
          </cell>
          <cell r="B815" t="str">
            <v>주강첵크밸브(10kg/㎠)</v>
          </cell>
          <cell r="C815" t="str">
            <v>100Ø</v>
          </cell>
          <cell r="D815" t="str">
            <v>개</v>
          </cell>
          <cell r="E815">
            <v>189750</v>
          </cell>
          <cell r="F815">
            <v>0</v>
          </cell>
          <cell r="G815">
            <v>189750</v>
          </cell>
          <cell r="H815">
            <v>596</v>
          </cell>
          <cell r="I815">
            <v>202400</v>
          </cell>
          <cell r="J815">
            <v>670</v>
          </cell>
          <cell r="L815">
            <v>670</v>
          </cell>
        </row>
        <row r="816">
          <cell r="A816">
            <v>3733</v>
          </cell>
          <cell r="B816" t="str">
            <v>주강첵크밸브(10kg/㎠)</v>
          </cell>
          <cell r="C816" t="str">
            <v>80Ø</v>
          </cell>
          <cell r="D816" t="str">
            <v>개</v>
          </cell>
          <cell r="E816">
            <v>132600</v>
          </cell>
          <cell r="F816">
            <v>0</v>
          </cell>
          <cell r="G816">
            <v>132600</v>
          </cell>
          <cell r="H816">
            <v>596</v>
          </cell>
          <cell r="I816">
            <v>141400</v>
          </cell>
          <cell r="J816">
            <v>670</v>
          </cell>
          <cell r="L816">
            <v>670</v>
          </cell>
        </row>
        <row r="817">
          <cell r="A817">
            <v>3734</v>
          </cell>
          <cell r="B817" t="str">
            <v>주강첵크밸브(10kg/㎠)</v>
          </cell>
          <cell r="C817" t="str">
            <v>65Ø</v>
          </cell>
          <cell r="D817" t="str">
            <v>개</v>
          </cell>
          <cell r="E817">
            <v>115650</v>
          </cell>
          <cell r="F817">
            <v>0</v>
          </cell>
          <cell r="G817">
            <v>115650</v>
          </cell>
          <cell r="H817">
            <v>596</v>
          </cell>
          <cell r="I817">
            <v>123300</v>
          </cell>
          <cell r="J817">
            <v>670</v>
          </cell>
          <cell r="L817">
            <v>670</v>
          </cell>
        </row>
        <row r="818">
          <cell r="A818">
            <v>3735</v>
          </cell>
          <cell r="B818" t="str">
            <v>청동첵크밸브(10kg/㎠)</v>
          </cell>
          <cell r="C818" t="str">
            <v>50Ø</v>
          </cell>
          <cell r="D818" t="str">
            <v>개</v>
          </cell>
          <cell r="E818">
            <v>19440</v>
          </cell>
          <cell r="F818">
            <v>0</v>
          </cell>
          <cell r="G818">
            <v>19440</v>
          </cell>
          <cell r="H818">
            <v>596</v>
          </cell>
          <cell r="I818">
            <v>19450</v>
          </cell>
          <cell r="J818">
            <v>513</v>
          </cell>
          <cell r="L818">
            <v>416</v>
          </cell>
        </row>
        <row r="819">
          <cell r="A819">
            <v>3736</v>
          </cell>
          <cell r="B819" t="str">
            <v>청동첵크밸브(10kg/㎠)</v>
          </cell>
          <cell r="C819" t="str">
            <v>40Ø</v>
          </cell>
          <cell r="D819" t="str">
            <v>개</v>
          </cell>
          <cell r="E819">
            <v>12850</v>
          </cell>
          <cell r="F819">
            <v>0</v>
          </cell>
          <cell r="G819">
            <v>12850</v>
          </cell>
          <cell r="H819">
            <v>596</v>
          </cell>
          <cell r="I819">
            <v>12850</v>
          </cell>
          <cell r="J819">
            <v>670</v>
          </cell>
          <cell r="L819">
            <v>670</v>
          </cell>
        </row>
        <row r="820">
          <cell r="A820">
            <v>3737</v>
          </cell>
          <cell r="B820" t="str">
            <v>청동첵크밸브(10kg/㎠)</v>
          </cell>
          <cell r="C820" t="str">
            <v>32Ø</v>
          </cell>
          <cell r="D820" t="str">
            <v>개</v>
          </cell>
          <cell r="E820">
            <v>10330</v>
          </cell>
          <cell r="F820">
            <v>0</v>
          </cell>
          <cell r="G820">
            <v>10330</v>
          </cell>
          <cell r="H820">
            <v>596</v>
          </cell>
          <cell r="I820">
            <v>10340</v>
          </cell>
          <cell r="J820">
            <v>531</v>
          </cell>
          <cell r="L820">
            <v>531</v>
          </cell>
        </row>
        <row r="821">
          <cell r="A821">
            <v>3738</v>
          </cell>
          <cell r="B821" t="str">
            <v>청동첵크밸브(10kg/㎠)</v>
          </cell>
          <cell r="C821" t="str">
            <v>25Ø</v>
          </cell>
          <cell r="D821" t="str">
            <v>개</v>
          </cell>
          <cell r="E821">
            <v>6920</v>
          </cell>
          <cell r="F821">
            <v>0</v>
          </cell>
          <cell r="G821">
            <v>6920</v>
          </cell>
          <cell r="H821">
            <v>596</v>
          </cell>
          <cell r="I821">
            <v>6930</v>
          </cell>
          <cell r="J821">
            <v>531</v>
          </cell>
          <cell r="L821">
            <v>531</v>
          </cell>
        </row>
        <row r="822">
          <cell r="A822">
            <v>3739</v>
          </cell>
          <cell r="B822" t="str">
            <v>청동첵크밸브(10kg/㎠)</v>
          </cell>
          <cell r="C822" t="str">
            <v>20Ø</v>
          </cell>
          <cell r="D822" t="str">
            <v>개</v>
          </cell>
          <cell r="E822">
            <v>4600</v>
          </cell>
          <cell r="F822">
            <v>0</v>
          </cell>
          <cell r="G822">
            <v>4600</v>
          </cell>
          <cell r="H822">
            <v>596</v>
          </cell>
          <cell r="I822">
            <v>4600</v>
          </cell>
          <cell r="J822">
            <v>531</v>
          </cell>
          <cell r="L822">
            <v>531</v>
          </cell>
        </row>
        <row r="823">
          <cell r="A823">
            <v>3740</v>
          </cell>
          <cell r="B823" t="str">
            <v>청동앵글밸브(10kg/㎠)</v>
          </cell>
          <cell r="C823" t="str">
            <v>25Ø</v>
          </cell>
          <cell r="D823" t="str">
            <v>개</v>
          </cell>
          <cell r="E823">
            <v>8120</v>
          </cell>
          <cell r="F823">
            <v>0</v>
          </cell>
          <cell r="G823">
            <v>8810</v>
          </cell>
          <cell r="H823">
            <v>600</v>
          </cell>
          <cell r="I823">
            <v>8120</v>
          </cell>
          <cell r="J823">
            <v>532</v>
          </cell>
          <cell r="L823">
            <v>532</v>
          </cell>
        </row>
        <row r="824">
          <cell r="A824">
            <v>3741</v>
          </cell>
          <cell r="B824" t="str">
            <v>청동앵글밸브(10kg/㎠)</v>
          </cell>
          <cell r="C824" t="str">
            <v>20Ø</v>
          </cell>
          <cell r="D824" t="str">
            <v>개</v>
          </cell>
          <cell r="E824">
            <v>5390</v>
          </cell>
          <cell r="F824">
            <v>0</v>
          </cell>
          <cell r="G824">
            <v>5850</v>
          </cell>
          <cell r="H824">
            <v>600</v>
          </cell>
          <cell r="I824">
            <v>5390</v>
          </cell>
          <cell r="J824">
            <v>532</v>
          </cell>
          <cell r="L824">
            <v>532</v>
          </cell>
        </row>
        <row r="825">
          <cell r="A825">
            <v>3742</v>
          </cell>
          <cell r="B825" t="str">
            <v>청동앵글밸브(10kg/㎠)</v>
          </cell>
          <cell r="C825" t="str">
            <v>15Ø</v>
          </cell>
          <cell r="D825" t="str">
            <v>개</v>
          </cell>
          <cell r="E825">
            <v>3590</v>
          </cell>
          <cell r="F825">
            <v>0</v>
          </cell>
          <cell r="G825">
            <v>3900</v>
          </cell>
          <cell r="H825">
            <v>600</v>
          </cell>
          <cell r="I825">
            <v>3590</v>
          </cell>
          <cell r="J825">
            <v>532</v>
          </cell>
          <cell r="L825">
            <v>532</v>
          </cell>
        </row>
        <row r="826">
          <cell r="A826">
            <v>3743</v>
          </cell>
          <cell r="B826" t="str">
            <v>안전밸브</v>
          </cell>
          <cell r="C826" t="str">
            <v>80Ø</v>
          </cell>
          <cell r="D826" t="str">
            <v>개</v>
          </cell>
          <cell r="E826">
            <v>712000</v>
          </cell>
          <cell r="F826">
            <v>0</v>
          </cell>
          <cell r="H826">
            <v>537</v>
          </cell>
          <cell r="I826">
            <v>712000</v>
          </cell>
          <cell r="J826">
            <v>537</v>
          </cell>
          <cell r="L826">
            <v>537</v>
          </cell>
        </row>
        <row r="827">
          <cell r="A827">
            <v>3744</v>
          </cell>
          <cell r="B827" t="str">
            <v>안전밸브</v>
          </cell>
          <cell r="C827" t="str">
            <v>65Ø</v>
          </cell>
          <cell r="D827" t="str">
            <v>개</v>
          </cell>
          <cell r="E827">
            <v>540000</v>
          </cell>
          <cell r="F827">
            <v>0</v>
          </cell>
          <cell r="H827">
            <v>537</v>
          </cell>
          <cell r="I827">
            <v>540000</v>
          </cell>
          <cell r="J827">
            <v>537</v>
          </cell>
          <cell r="L827">
            <v>537</v>
          </cell>
        </row>
        <row r="828">
          <cell r="A828">
            <v>3745</v>
          </cell>
          <cell r="B828" t="str">
            <v>안전밸브</v>
          </cell>
          <cell r="C828" t="str">
            <v>40Ø</v>
          </cell>
          <cell r="D828" t="str">
            <v>개</v>
          </cell>
          <cell r="E828">
            <v>398000</v>
          </cell>
          <cell r="F828">
            <v>0</v>
          </cell>
          <cell r="H828">
            <v>537</v>
          </cell>
          <cell r="I828">
            <v>398000</v>
          </cell>
          <cell r="J828">
            <v>537</v>
          </cell>
          <cell r="L828">
            <v>537</v>
          </cell>
        </row>
        <row r="829">
          <cell r="A829">
            <v>3746</v>
          </cell>
          <cell r="B829" t="str">
            <v>안전밸브</v>
          </cell>
          <cell r="C829" t="str">
            <v>32Ø</v>
          </cell>
          <cell r="D829" t="str">
            <v>개</v>
          </cell>
          <cell r="E829">
            <v>0</v>
          </cell>
          <cell r="F829">
            <v>0</v>
          </cell>
          <cell r="H829">
            <v>537</v>
          </cell>
          <cell r="J829">
            <v>537</v>
          </cell>
          <cell r="L829">
            <v>537</v>
          </cell>
        </row>
        <row r="830">
          <cell r="A830">
            <v>3747</v>
          </cell>
          <cell r="B830" t="str">
            <v>안전밸브(저양정)</v>
          </cell>
          <cell r="C830" t="str">
            <v>25Ø</v>
          </cell>
          <cell r="D830" t="str">
            <v>개</v>
          </cell>
          <cell r="E830">
            <v>44100</v>
          </cell>
          <cell r="F830">
            <v>0</v>
          </cell>
          <cell r="H830">
            <v>537</v>
          </cell>
          <cell r="I830">
            <v>44100</v>
          </cell>
          <cell r="J830">
            <v>537</v>
          </cell>
          <cell r="L830">
            <v>537</v>
          </cell>
        </row>
        <row r="831">
          <cell r="A831">
            <v>3748</v>
          </cell>
          <cell r="B831" t="str">
            <v>안전밸브(저양정)</v>
          </cell>
          <cell r="C831" t="str">
            <v>20Ø</v>
          </cell>
          <cell r="D831" t="str">
            <v>개</v>
          </cell>
          <cell r="E831">
            <v>39600</v>
          </cell>
          <cell r="F831">
            <v>0</v>
          </cell>
          <cell r="H831">
            <v>537</v>
          </cell>
          <cell r="I831">
            <v>39600</v>
          </cell>
          <cell r="J831">
            <v>537</v>
          </cell>
          <cell r="L831">
            <v>537</v>
          </cell>
        </row>
        <row r="832">
          <cell r="A832">
            <v>3749</v>
          </cell>
          <cell r="B832" t="str">
            <v>릴리프밸브</v>
          </cell>
          <cell r="C832" t="str">
            <v>25Ø</v>
          </cell>
          <cell r="D832" t="str">
            <v>개</v>
          </cell>
          <cell r="E832">
            <v>216000</v>
          </cell>
          <cell r="F832">
            <v>0</v>
          </cell>
          <cell r="H832">
            <v>670</v>
          </cell>
          <cell r="I832">
            <v>216000</v>
          </cell>
          <cell r="J832">
            <v>670</v>
          </cell>
          <cell r="L832">
            <v>670</v>
          </cell>
        </row>
        <row r="833">
          <cell r="A833">
            <v>3750</v>
          </cell>
          <cell r="B833" t="str">
            <v>판넬밸브</v>
          </cell>
          <cell r="C833" t="str">
            <v>15Ø</v>
          </cell>
          <cell r="D833" t="str">
            <v>개</v>
          </cell>
          <cell r="E833">
            <v>6800</v>
          </cell>
          <cell r="F833">
            <v>0</v>
          </cell>
          <cell r="H833">
            <v>531</v>
          </cell>
          <cell r="I833">
            <v>6800</v>
          </cell>
          <cell r="J833">
            <v>531</v>
          </cell>
          <cell r="L833">
            <v>531</v>
          </cell>
        </row>
        <row r="834">
          <cell r="A834">
            <v>3751</v>
          </cell>
          <cell r="B834" t="str">
            <v>부력식 정수위밸브</v>
          </cell>
          <cell r="C834" t="str">
            <v>80Ø</v>
          </cell>
          <cell r="D834" t="str">
            <v>개</v>
          </cell>
          <cell r="E834">
            <v>317500</v>
          </cell>
          <cell r="F834">
            <v>0</v>
          </cell>
          <cell r="H834">
            <v>551</v>
          </cell>
          <cell r="I834">
            <v>317500</v>
          </cell>
          <cell r="J834">
            <v>551</v>
          </cell>
          <cell r="L834">
            <v>551</v>
          </cell>
        </row>
        <row r="835">
          <cell r="A835">
            <v>3752</v>
          </cell>
          <cell r="B835" t="str">
            <v>부력식 정수위밸브</v>
          </cell>
          <cell r="C835" t="str">
            <v>65Ø</v>
          </cell>
          <cell r="D835" t="str">
            <v>개</v>
          </cell>
          <cell r="E835">
            <v>325000</v>
          </cell>
          <cell r="F835">
            <v>0</v>
          </cell>
          <cell r="G835">
            <v>325000</v>
          </cell>
          <cell r="H835">
            <v>618</v>
          </cell>
          <cell r="J835">
            <v>551</v>
          </cell>
          <cell r="L835">
            <v>551</v>
          </cell>
        </row>
        <row r="836">
          <cell r="A836">
            <v>3753</v>
          </cell>
          <cell r="B836" t="str">
            <v>부력식 정수위밸브</v>
          </cell>
          <cell r="C836" t="str">
            <v>50Ø</v>
          </cell>
          <cell r="D836" t="str">
            <v>개</v>
          </cell>
          <cell r="E836">
            <v>253000</v>
          </cell>
          <cell r="F836">
            <v>0</v>
          </cell>
          <cell r="G836">
            <v>253000</v>
          </cell>
          <cell r="H836">
            <v>618</v>
          </cell>
          <cell r="J836">
            <v>551</v>
          </cell>
          <cell r="L836">
            <v>551</v>
          </cell>
        </row>
        <row r="837">
          <cell r="A837">
            <v>3754</v>
          </cell>
          <cell r="B837" t="str">
            <v>부력식 정수위밸브</v>
          </cell>
          <cell r="C837" t="str">
            <v>40Ø</v>
          </cell>
          <cell r="D837" t="str">
            <v>개</v>
          </cell>
          <cell r="E837">
            <v>168700</v>
          </cell>
          <cell r="F837">
            <v>0</v>
          </cell>
          <cell r="G837">
            <v>168700</v>
          </cell>
          <cell r="H837">
            <v>618</v>
          </cell>
          <cell r="J837">
            <v>551</v>
          </cell>
          <cell r="L837">
            <v>551</v>
          </cell>
        </row>
        <row r="838">
          <cell r="A838">
            <v>3755</v>
          </cell>
          <cell r="B838" t="str">
            <v>부력식 정수위밸브</v>
          </cell>
          <cell r="C838" t="str">
            <v>32Ø</v>
          </cell>
          <cell r="D838" t="str">
            <v>개</v>
          </cell>
          <cell r="E838">
            <v>139000</v>
          </cell>
          <cell r="F838">
            <v>0</v>
          </cell>
          <cell r="G838">
            <v>139000</v>
          </cell>
          <cell r="H838">
            <v>618</v>
          </cell>
          <cell r="J838">
            <v>551</v>
          </cell>
          <cell r="L838">
            <v>551</v>
          </cell>
        </row>
        <row r="839">
          <cell r="A839">
            <v>3756</v>
          </cell>
          <cell r="B839" t="str">
            <v>부력식 정수위밸브</v>
          </cell>
          <cell r="C839" t="str">
            <v>25Ø</v>
          </cell>
          <cell r="D839" t="str">
            <v>개</v>
          </cell>
          <cell r="E839">
            <v>114500</v>
          </cell>
          <cell r="F839">
            <v>0</v>
          </cell>
          <cell r="G839">
            <v>114500</v>
          </cell>
          <cell r="H839">
            <v>618</v>
          </cell>
          <cell r="J839">
            <v>551</v>
          </cell>
          <cell r="L839">
            <v>551</v>
          </cell>
        </row>
        <row r="840">
          <cell r="A840">
            <v>3757</v>
          </cell>
          <cell r="B840" t="str">
            <v>부력식 정수위밸브</v>
          </cell>
          <cell r="C840" t="str">
            <v>20Ø</v>
          </cell>
          <cell r="D840" t="str">
            <v>개</v>
          </cell>
          <cell r="E840">
            <v>81500</v>
          </cell>
          <cell r="F840">
            <v>0</v>
          </cell>
          <cell r="G840">
            <v>81500</v>
          </cell>
          <cell r="H840">
            <v>618</v>
          </cell>
          <cell r="J840">
            <v>551</v>
          </cell>
          <cell r="L840">
            <v>551</v>
          </cell>
        </row>
        <row r="841">
          <cell r="A841">
            <v>3758</v>
          </cell>
          <cell r="B841" t="str">
            <v>부력식 정수위밸브</v>
          </cell>
          <cell r="C841" t="str">
            <v>15Ø</v>
          </cell>
          <cell r="D841" t="str">
            <v>개</v>
          </cell>
          <cell r="E841">
            <v>63200</v>
          </cell>
          <cell r="F841">
            <v>0</v>
          </cell>
          <cell r="G841">
            <v>63200</v>
          </cell>
          <cell r="H841">
            <v>618</v>
          </cell>
          <cell r="J841">
            <v>551</v>
          </cell>
          <cell r="L841">
            <v>551</v>
          </cell>
        </row>
        <row r="842">
          <cell r="A842">
            <v>3759</v>
          </cell>
          <cell r="B842" t="str">
            <v>공기빼기밸브</v>
          </cell>
          <cell r="C842" t="str">
            <v>20Ø</v>
          </cell>
          <cell r="D842" t="str">
            <v>개</v>
          </cell>
          <cell r="E842">
            <v>22000</v>
          </cell>
          <cell r="F842">
            <v>0</v>
          </cell>
          <cell r="H842">
            <v>541</v>
          </cell>
          <cell r="I842">
            <v>22000</v>
          </cell>
          <cell r="J842">
            <v>541</v>
          </cell>
          <cell r="L842">
            <v>541</v>
          </cell>
        </row>
        <row r="843">
          <cell r="A843">
            <v>3761</v>
          </cell>
          <cell r="B843" t="str">
            <v>알람밸브</v>
          </cell>
          <cell r="C843" t="str">
            <v>150Ø</v>
          </cell>
          <cell r="D843" t="str">
            <v>개</v>
          </cell>
          <cell r="E843">
            <v>450000</v>
          </cell>
          <cell r="F843">
            <v>0</v>
          </cell>
          <cell r="H843">
            <v>670</v>
          </cell>
          <cell r="I843">
            <v>450000</v>
          </cell>
          <cell r="J843">
            <v>670</v>
          </cell>
          <cell r="L843">
            <v>670</v>
          </cell>
        </row>
        <row r="844">
          <cell r="A844">
            <v>3762</v>
          </cell>
          <cell r="B844" t="str">
            <v>알람밸브</v>
          </cell>
          <cell r="C844" t="str">
            <v>125Ø</v>
          </cell>
          <cell r="D844" t="str">
            <v>개</v>
          </cell>
          <cell r="E844">
            <v>400000</v>
          </cell>
          <cell r="F844">
            <v>0</v>
          </cell>
          <cell r="H844">
            <v>670</v>
          </cell>
          <cell r="I844">
            <v>400000</v>
          </cell>
          <cell r="J844">
            <v>670</v>
          </cell>
          <cell r="L844">
            <v>670</v>
          </cell>
        </row>
        <row r="845">
          <cell r="A845">
            <v>3763</v>
          </cell>
          <cell r="B845" t="str">
            <v>알람밸브</v>
          </cell>
          <cell r="C845" t="str">
            <v>100Ø</v>
          </cell>
          <cell r="D845" t="str">
            <v>개</v>
          </cell>
          <cell r="E845">
            <v>350000</v>
          </cell>
          <cell r="F845">
            <v>0</v>
          </cell>
          <cell r="H845">
            <v>670</v>
          </cell>
          <cell r="I845">
            <v>350000</v>
          </cell>
          <cell r="J845">
            <v>670</v>
          </cell>
          <cell r="L845">
            <v>670</v>
          </cell>
        </row>
        <row r="846">
          <cell r="A846">
            <v>3764</v>
          </cell>
          <cell r="B846" t="str">
            <v>프리엑션밸브</v>
          </cell>
          <cell r="C846" t="str">
            <v>150Ø</v>
          </cell>
          <cell r="D846" t="str">
            <v>개</v>
          </cell>
          <cell r="E846">
            <v>1188000</v>
          </cell>
          <cell r="F846">
            <v>0</v>
          </cell>
          <cell r="H846">
            <v>670</v>
          </cell>
          <cell r="I846">
            <v>1188000</v>
          </cell>
          <cell r="J846">
            <v>670</v>
          </cell>
          <cell r="L846">
            <v>670</v>
          </cell>
        </row>
        <row r="847">
          <cell r="A847">
            <v>3765</v>
          </cell>
          <cell r="B847" t="str">
            <v>프리엑션밸브</v>
          </cell>
          <cell r="C847" t="str">
            <v>125Ø</v>
          </cell>
          <cell r="D847" t="str">
            <v>개</v>
          </cell>
          <cell r="E847">
            <v>1028000</v>
          </cell>
          <cell r="F847">
            <v>0</v>
          </cell>
          <cell r="H847">
            <v>670</v>
          </cell>
          <cell r="I847">
            <v>1028000</v>
          </cell>
          <cell r="J847">
            <v>670</v>
          </cell>
          <cell r="L847">
            <v>670</v>
          </cell>
        </row>
        <row r="848">
          <cell r="A848">
            <v>3766</v>
          </cell>
          <cell r="B848" t="str">
            <v>프리엑션밸브</v>
          </cell>
          <cell r="C848" t="str">
            <v>100Ø</v>
          </cell>
          <cell r="D848" t="str">
            <v>개</v>
          </cell>
          <cell r="E848">
            <v>869000</v>
          </cell>
          <cell r="F848">
            <v>0</v>
          </cell>
          <cell r="H848">
            <v>670</v>
          </cell>
          <cell r="I848">
            <v>869000</v>
          </cell>
          <cell r="J848">
            <v>670</v>
          </cell>
          <cell r="L848">
            <v>670</v>
          </cell>
        </row>
        <row r="849">
          <cell r="A849">
            <v>3767</v>
          </cell>
          <cell r="B849" t="str">
            <v>자동배수밸브장치</v>
          </cell>
          <cell r="C849" t="str">
            <v>20Ø</v>
          </cell>
          <cell r="D849" t="str">
            <v>개</v>
          </cell>
          <cell r="E849">
            <v>13000</v>
          </cell>
          <cell r="F849">
            <v>0</v>
          </cell>
          <cell r="H849">
            <v>668</v>
          </cell>
          <cell r="I849">
            <v>13000</v>
          </cell>
          <cell r="J849">
            <v>668</v>
          </cell>
          <cell r="L849">
            <v>668</v>
          </cell>
        </row>
        <row r="850">
          <cell r="A850">
            <v>3768</v>
          </cell>
          <cell r="B850" t="str">
            <v>자동제한밸브장치</v>
          </cell>
          <cell r="C850" t="str">
            <v>40Ø</v>
          </cell>
          <cell r="D850" t="str">
            <v>개</v>
          </cell>
          <cell r="E850">
            <v>15000</v>
          </cell>
          <cell r="F850">
            <v>0</v>
          </cell>
          <cell r="H850">
            <v>668</v>
          </cell>
          <cell r="I850">
            <v>15000</v>
          </cell>
          <cell r="J850">
            <v>668</v>
          </cell>
          <cell r="L850">
            <v>668</v>
          </cell>
        </row>
        <row r="851">
          <cell r="A851">
            <v>3771</v>
          </cell>
          <cell r="B851" t="str">
            <v>수격방지기(10kg/㎠)</v>
          </cell>
          <cell r="C851" t="str">
            <v>150Ø</v>
          </cell>
          <cell r="D851" t="str">
            <v>개</v>
          </cell>
          <cell r="E851">
            <v>60000</v>
          </cell>
          <cell r="F851">
            <v>0</v>
          </cell>
          <cell r="H851">
            <v>670</v>
          </cell>
          <cell r="I851">
            <v>60000</v>
          </cell>
          <cell r="J851">
            <v>670</v>
          </cell>
          <cell r="L851">
            <v>670</v>
          </cell>
        </row>
        <row r="852">
          <cell r="A852">
            <v>3772</v>
          </cell>
          <cell r="B852" t="str">
            <v>수격방지기(10kg/㎠)</v>
          </cell>
          <cell r="C852" t="str">
            <v>125Ø</v>
          </cell>
          <cell r="D852" t="str">
            <v>개</v>
          </cell>
          <cell r="E852">
            <v>56000</v>
          </cell>
          <cell r="F852">
            <v>0</v>
          </cell>
          <cell r="H852">
            <v>670</v>
          </cell>
          <cell r="I852">
            <v>56000</v>
          </cell>
          <cell r="J852">
            <v>670</v>
          </cell>
          <cell r="L852">
            <v>670</v>
          </cell>
        </row>
        <row r="853">
          <cell r="A853">
            <v>3773</v>
          </cell>
          <cell r="B853" t="str">
            <v>수격방지기(10kg/㎠)</v>
          </cell>
          <cell r="C853" t="str">
            <v>100Ø</v>
          </cell>
          <cell r="D853" t="str">
            <v>개</v>
          </cell>
          <cell r="E853">
            <v>52000</v>
          </cell>
          <cell r="F853">
            <v>0</v>
          </cell>
          <cell r="H853">
            <v>670</v>
          </cell>
          <cell r="I853">
            <v>52000</v>
          </cell>
          <cell r="J853">
            <v>670</v>
          </cell>
          <cell r="L853">
            <v>670</v>
          </cell>
        </row>
        <row r="854">
          <cell r="A854">
            <v>3774</v>
          </cell>
          <cell r="B854" t="str">
            <v>수격방지기(10kg/㎠)</v>
          </cell>
          <cell r="C854" t="str">
            <v>80Ø</v>
          </cell>
          <cell r="D854" t="str">
            <v>개</v>
          </cell>
          <cell r="E854">
            <v>44000</v>
          </cell>
          <cell r="F854">
            <v>0</v>
          </cell>
          <cell r="H854">
            <v>670</v>
          </cell>
          <cell r="I854">
            <v>44000</v>
          </cell>
          <cell r="J854">
            <v>670</v>
          </cell>
          <cell r="L854">
            <v>670</v>
          </cell>
        </row>
        <row r="855">
          <cell r="A855">
            <v>3775</v>
          </cell>
          <cell r="B855" t="str">
            <v>수격방지기(10kg/㎠)</v>
          </cell>
          <cell r="C855" t="str">
            <v>65Ø</v>
          </cell>
          <cell r="D855" t="str">
            <v>개</v>
          </cell>
          <cell r="E855">
            <v>40000</v>
          </cell>
          <cell r="F855">
            <v>0</v>
          </cell>
          <cell r="H855">
            <v>670</v>
          </cell>
          <cell r="I855">
            <v>40000</v>
          </cell>
          <cell r="J855">
            <v>670</v>
          </cell>
          <cell r="L855">
            <v>670</v>
          </cell>
        </row>
        <row r="856">
          <cell r="A856">
            <v>3776</v>
          </cell>
          <cell r="B856" t="str">
            <v>수격방지기(10kg/㎠)</v>
          </cell>
          <cell r="C856" t="str">
            <v>50Ø</v>
          </cell>
          <cell r="D856" t="str">
            <v>개</v>
          </cell>
          <cell r="E856">
            <v>36000</v>
          </cell>
          <cell r="F856">
            <v>0</v>
          </cell>
          <cell r="H856">
            <v>670</v>
          </cell>
          <cell r="I856">
            <v>36000</v>
          </cell>
          <cell r="J856">
            <v>670</v>
          </cell>
          <cell r="L856">
            <v>670</v>
          </cell>
        </row>
        <row r="857">
          <cell r="A857">
            <v>3777</v>
          </cell>
          <cell r="B857" t="str">
            <v>수격방지기(10kg/㎠)</v>
          </cell>
          <cell r="C857" t="str">
            <v>40Ø</v>
          </cell>
          <cell r="D857" t="str">
            <v>개</v>
          </cell>
          <cell r="E857">
            <v>32000</v>
          </cell>
          <cell r="F857">
            <v>0</v>
          </cell>
          <cell r="H857">
            <v>670</v>
          </cell>
          <cell r="I857">
            <v>32000</v>
          </cell>
          <cell r="J857">
            <v>670</v>
          </cell>
          <cell r="L857">
            <v>670</v>
          </cell>
        </row>
        <row r="858">
          <cell r="A858">
            <v>3780</v>
          </cell>
          <cell r="B858" t="str">
            <v>스트레이너(후렌지)</v>
          </cell>
          <cell r="C858" t="str">
            <v>150Ø</v>
          </cell>
          <cell r="D858" t="str">
            <v>개</v>
          </cell>
          <cell r="E858">
            <v>180000</v>
          </cell>
          <cell r="F858">
            <v>0</v>
          </cell>
          <cell r="G858">
            <v>180000</v>
          </cell>
          <cell r="H858">
            <v>598</v>
          </cell>
          <cell r="J858">
            <v>533</v>
          </cell>
          <cell r="L858">
            <v>533</v>
          </cell>
        </row>
        <row r="859">
          <cell r="A859">
            <v>3781</v>
          </cell>
          <cell r="B859" t="str">
            <v>스트레이너(후렌지)</v>
          </cell>
          <cell r="C859" t="str">
            <v>100Ø</v>
          </cell>
          <cell r="D859" t="str">
            <v>개</v>
          </cell>
          <cell r="E859">
            <v>85000</v>
          </cell>
          <cell r="F859">
            <v>0</v>
          </cell>
          <cell r="G859">
            <v>85000</v>
          </cell>
          <cell r="H859">
            <v>598</v>
          </cell>
          <cell r="J859">
            <v>533</v>
          </cell>
          <cell r="L859">
            <v>533</v>
          </cell>
        </row>
        <row r="860">
          <cell r="A860">
            <v>3782</v>
          </cell>
          <cell r="B860" t="str">
            <v>스트레이너(후렌지)</v>
          </cell>
          <cell r="C860" t="str">
            <v>80Ø</v>
          </cell>
          <cell r="D860" t="str">
            <v>개</v>
          </cell>
          <cell r="E860">
            <v>56000</v>
          </cell>
          <cell r="F860">
            <v>0</v>
          </cell>
          <cell r="G860">
            <v>56000</v>
          </cell>
          <cell r="H860">
            <v>598</v>
          </cell>
          <cell r="J860">
            <v>533</v>
          </cell>
          <cell r="L860">
            <v>533</v>
          </cell>
        </row>
        <row r="861">
          <cell r="A861">
            <v>3783</v>
          </cell>
          <cell r="B861" t="str">
            <v>스트레이너(후렌지)</v>
          </cell>
          <cell r="C861" t="str">
            <v>65Ø</v>
          </cell>
          <cell r="D861" t="str">
            <v>개</v>
          </cell>
          <cell r="E861">
            <v>41000</v>
          </cell>
          <cell r="F861">
            <v>0</v>
          </cell>
          <cell r="G861">
            <v>41000</v>
          </cell>
          <cell r="H861">
            <v>598</v>
          </cell>
          <cell r="J861">
            <v>533</v>
          </cell>
          <cell r="L861">
            <v>533</v>
          </cell>
        </row>
        <row r="862">
          <cell r="A862">
            <v>3784</v>
          </cell>
          <cell r="B862" t="str">
            <v>스트레이너(나사식)</v>
          </cell>
          <cell r="C862" t="str">
            <v>50Ø</v>
          </cell>
          <cell r="D862" t="str">
            <v>개</v>
          </cell>
          <cell r="E862">
            <v>25000</v>
          </cell>
          <cell r="F862">
            <v>0</v>
          </cell>
          <cell r="G862">
            <v>25000</v>
          </cell>
          <cell r="H862">
            <v>598</v>
          </cell>
          <cell r="J862">
            <v>533</v>
          </cell>
          <cell r="L862">
            <v>533</v>
          </cell>
        </row>
        <row r="863">
          <cell r="A863">
            <v>3785</v>
          </cell>
          <cell r="B863" t="str">
            <v>스트레이너(나사식)</v>
          </cell>
          <cell r="C863" t="str">
            <v>40Ø</v>
          </cell>
          <cell r="D863" t="str">
            <v>개</v>
          </cell>
          <cell r="E863">
            <v>17000</v>
          </cell>
          <cell r="F863">
            <v>0</v>
          </cell>
          <cell r="G863">
            <v>17000</v>
          </cell>
          <cell r="H863">
            <v>598</v>
          </cell>
          <cell r="J863">
            <v>533</v>
          </cell>
          <cell r="L863">
            <v>533</v>
          </cell>
        </row>
        <row r="864">
          <cell r="A864">
            <v>3786</v>
          </cell>
          <cell r="B864" t="str">
            <v>스트레이너(나사식)</v>
          </cell>
          <cell r="C864" t="str">
            <v>32Ø</v>
          </cell>
          <cell r="D864" t="str">
            <v>개</v>
          </cell>
          <cell r="E864">
            <v>13000</v>
          </cell>
          <cell r="F864">
            <v>0</v>
          </cell>
          <cell r="G864">
            <v>13000</v>
          </cell>
          <cell r="H864">
            <v>598</v>
          </cell>
          <cell r="J864">
            <v>533</v>
          </cell>
          <cell r="L864">
            <v>533</v>
          </cell>
        </row>
        <row r="865">
          <cell r="A865">
            <v>3787</v>
          </cell>
          <cell r="B865" t="str">
            <v>스트레이너(나사식)</v>
          </cell>
          <cell r="C865" t="str">
            <v>25Ø</v>
          </cell>
          <cell r="D865" t="str">
            <v>개</v>
          </cell>
          <cell r="E865">
            <v>7900</v>
          </cell>
          <cell r="F865">
            <v>0</v>
          </cell>
          <cell r="G865">
            <v>7900</v>
          </cell>
          <cell r="H865">
            <v>598</v>
          </cell>
          <cell r="J865">
            <v>533</v>
          </cell>
          <cell r="L865">
            <v>533</v>
          </cell>
        </row>
        <row r="866">
          <cell r="A866">
            <v>3788</v>
          </cell>
          <cell r="B866" t="str">
            <v>스트레이너(나사식)</v>
          </cell>
          <cell r="C866" t="str">
            <v>20Ø</v>
          </cell>
          <cell r="D866" t="str">
            <v>개</v>
          </cell>
          <cell r="E866">
            <v>5600</v>
          </cell>
          <cell r="F866">
            <v>0</v>
          </cell>
          <cell r="G866">
            <v>5600</v>
          </cell>
          <cell r="H866">
            <v>598</v>
          </cell>
          <cell r="J866">
            <v>533</v>
          </cell>
          <cell r="L866">
            <v>533</v>
          </cell>
        </row>
        <row r="867">
          <cell r="A867">
            <v>3789</v>
          </cell>
          <cell r="B867" t="str">
            <v>스트레이너(나사식)</v>
          </cell>
          <cell r="C867" t="str">
            <v>15Ø</v>
          </cell>
          <cell r="D867" t="str">
            <v>개</v>
          </cell>
          <cell r="E867">
            <v>4800</v>
          </cell>
          <cell r="F867">
            <v>0</v>
          </cell>
          <cell r="G867">
            <v>4800</v>
          </cell>
          <cell r="H867">
            <v>598</v>
          </cell>
          <cell r="J867">
            <v>533</v>
          </cell>
          <cell r="L867">
            <v>533</v>
          </cell>
        </row>
        <row r="868">
          <cell r="A868">
            <v>3791</v>
          </cell>
          <cell r="B868" t="str">
            <v>옥외수도메타기</v>
          </cell>
          <cell r="C868" t="str">
            <v>40Øx1,100</v>
          </cell>
          <cell r="D868" t="str">
            <v>개</v>
          </cell>
          <cell r="E868">
            <v>231840</v>
          </cell>
          <cell r="F868">
            <v>0</v>
          </cell>
          <cell r="H868">
            <v>552</v>
          </cell>
          <cell r="I868">
            <v>231840</v>
          </cell>
          <cell r="J868">
            <v>552</v>
          </cell>
          <cell r="L868">
            <v>552</v>
          </cell>
        </row>
        <row r="869">
          <cell r="A869">
            <v>3792</v>
          </cell>
          <cell r="B869" t="str">
            <v>옥외수도메타기</v>
          </cell>
          <cell r="C869" t="str">
            <v>32Øx1,100</v>
          </cell>
          <cell r="D869" t="str">
            <v>개</v>
          </cell>
          <cell r="E869">
            <v>126800</v>
          </cell>
          <cell r="F869">
            <v>0</v>
          </cell>
          <cell r="H869">
            <v>552</v>
          </cell>
          <cell r="I869">
            <v>126800</v>
          </cell>
          <cell r="J869">
            <v>552</v>
          </cell>
          <cell r="L869">
            <v>552</v>
          </cell>
        </row>
        <row r="870">
          <cell r="A870">
            <v>3793</v>
          </cell>
          <cell r="B870" t="str">
            <v>옥외수도메타기</v>
          </cell>
          <cell r="C870" t="str">
            <v>25Øx1,100</v>
          </cell>
          <cell r="D870" t="str">
            <v>개</v>
          </cell>
          <cell r="E870">
            <v>97450</v>
          </cell>
          <cell r="F870">
            <v>0</v>
          </cell>
          <cell r="H870">
            <v>552</v>
          </cell>
          <cell r="I870">
            <v>97450</v>
          </cell>
          <cell r="J870">
            <v>552</v>
          </cell>
          <cell r="L870">
            <v>552</v>
          </cell>
        </row>
        <row r="871">
          <cell r="A871">
            <v>3794</v>
          </cell>
          <cell r="B871" t="str">
            <v>옥외수도메타기</v>
          </cell>
          <cell r="C871" t="str">
            <v>20Øx1,100</v>
          </cell>
          <cell r="D871" t="str">
            <v>개</v>
          </cell>
          <cell r="E871">
            <v>89760</v>
          </cell>
          <cell r="F871">
            <v>0</v>
          </cell>
          <cell r="H871">
            <v>552</v>
          </cell>
          <cell r="I871">
            <v>89760</v>
          </cell>
          <cell r="J871">
            <v>552</v>
          </cell>
          <cell r="L871">
            <v>552</v>
          </cell>
        </row>
        <row r="872">
          <cell r="A872">
            <v>3795</v>
          </cell>
          <cell r="B872" t="str">
            <v>옥외수도메타기</v>
          </cell>
          <cell r="C872" t="str">
            <v>13Øx1,100</v>
          </cell>
          <cell r="D872" t="str">
            <v>개</v>
          </cell>
          <cell r="E872">
            <v>61730</v>
          </cell>
          <cell r="F872">
            <v>0</v>
          </cell>
          <cell r="H872">
            <v>552</v>
          </cell>
          <cell r="I872">
            <v>61730</v>
          </cell>
          <cell r="J872">
            <v>552</v>
          </cell>
          <cell r="L872">
            <v>552</v>
          </cell>
        </row>
        <row r="873">
          <cell r="A873">
            <v>3796</v>
          </cell>
          <cell r="B873" t="str">
            <v>퇴수밸브맨홀</v>
          </cell>
          <cell r="C873" t="str">
            <v>900Øx1,500L</v>
          </cell>
          <cell r="D873" t="str">
            <v>개</v>
          </cell>
          <cell r="E873">
            <v>149500</v>
          </cell>
          <cell r="F873">
            <v>0</v>
          </cell>
          <cell r="H873">
            <v>170</v>
          </cell>
          <cell r="I873">
            <v>149500</v>
          </cell>
          <cell r="J873">
            <v>170</v>
          </cell>
          <cell r="L873">
            <v>170</v>
          </cell>
        </row>
        <row r="874">
          <cell r="A874">
            <v>3797</v>
          </cell>
          <cell r="B874" t="str">
            <v>주철맨홀덮개</v>
          </cell>
          <cell r="C874" t="str">
            <v>648Ø</v>
          </cell>
          <cell r="D874" t="str">
            <v>개</v>
          </cell>
          <cell r="E874">
            <v>95000</v>
          </cell>
          <cell r="F874">
            <v>0</v>
          </cell>
          <cell r="H874">
            <v>171</v>
          </cell>
          <cell r="I874">
            <v>95000</v>
          </cell>
          <cell r="J874">
            <v>171</v>
          </cell>
          <cell r="L874">
            <v>171</v>
          </cell>
        </row>
        <row r="875">
          <cell r="A875">
            <v>3798</v>
          </cell>
          <cell r="B875" t="str">
            <v>강판맨홀덮개</v>
          </cell>
          <cell r="C875" t="str">
            <v>1.0t</v>
          </cell>
          <cell r="D875" t="str">
            <v>개</v>
          </cell>
          <cell r="E875">
            <v>95000</v>
          </cell>
          <cell r="F875">
            <v>0</v>
          </cell>
          <cell r="H875">
            <v>0</v>
          </cell>
          <cell r="I875">
            <v>95000</v>
          </cell>
          <cell r="J875">
            <v>0</v>
          </cell>
          <cell r="L875">
            <v>0</v>
          </cell>
        </row>
        <row r="876">
          <cell r="A876">
            <v>3799</v>
          </cell>
          <cell r="B876" t="str">
            <v>퇴수맨홀설치(THP)</v>
          </cell>
          <cell r="C876" t="str">
            <v>400Ø</v>
          </cell>
          <cell r="D876" t="str">
            <v>조</v>
          </cell>
          <cell r="E876">
            <v>17011</v>
          </cell>
          <cell r="F876">
            <v>72355</v>
          </cell>
          <cell r="H876">
            <v>0</v>
          </cell>
          <cell r="I876">
            <v>17011</v>
          </cell>
          <cell r="J876">
            <v>0</v>
          </cell>
          <cell r="L876">
            <v>0</v>
          </cell>
        </row>
        <row r="877">
          <cell r="A877">
            <v>3810</v>
          </cell>
          <cell r="B877" t="str">
            <v>후렉시블죠인트</v>
          </cell>
          <cell r="C877" t="str">
            <v>150Ø</v>
          </cell>
          <cell r="D877" t="str">
            <v>개</v>
          </cell>
          <cell r="E877">
            <v>144000</v>
          </cell>
          <cell r="F877">
            <v>0</v>
          </cell>
          <cell r="H877">
            <v>525</v>
          </cell>
          <cell r="I877">
            <v>144000</v>
          </cell>
          <cell r="J877">
            <v>525</v>
          </cell>
          <cell r="L877">
            <v>525</v>
          </cell>
        </row>
        <row r="878">
          <cell r="A878">
            <v>3811</v>
          </cell>
          <cell r="B878" t="str">
            <v>후렉시블죠인트</v>
          </cell>
          <cell r="C878" t="str">
            <v>125Ø</v>
          </cell>
          <cell r="D878" t="str">
            <v>개</v>
          </cell>
          <cell r="E878">
            <v>116400</v>
          </cell>
          <cell r="F878">
            <v>0</v>
          </cell>
          <cell r="H878">
            <v>525</v>
          </cell>
          <cell r="I878">
            <v>116400</v>
          </cell>
          <cell r="J878">
            <v>525</v>
          </cell>
          <cell r="L878">
            <v>525</v>
          </cell>
        </row>
        <row r="879">
          <cell r="A879">
            <v>3812</v>
          </cell>
          <cell r="B879" t="str">
            <v>후렉시블죠인트</v>
          </cell>
          <cell r="C879" t="str">
            <v>100Ø</v>
          </cell>
          <cell r="D879" t="str">
            <v>개</v>
          </cell>
          <cell r="E879">
            <v>70800</v>
          </cell>
          <cell r="F879">
            <v>0</v>
          </cell>
          <cell r="H879">
            <v>525</v>
          </cell>
          <cell r="I879">
            <v>70800</v>
          </cell>
          <cell r="J879">
            <v>525</v>
          </cell>
          <cell r="L879">
            <v>525</v>
          </cell>
        </row>
        <row r="880">
          <cell r="A880">
            <v>3813</v>
          </cell>
          <cell r="B880" t="str">
            <v>후렉시블죠인트</v>
          </cell>
          <cell r="C880" t="str">
            <v>80Ø</v>
          </cell>
          <cell r="D880" t="str">
            <v>개</v>
          </cell>
          <cell r="E880">
            <v>52800</v>
          </cell>
          <cell r="F880">
            <v>0</v>
          </cell>
          <cell r="H880">
            <v>525</v>
          </cell>
          <cell r="I880">
            <v>52800</v>
          </cell>
          <cell r="J880">
            <v>525</v>
          </cell>
          <cell r="L880">
            <v>525</v>
          </cell>
        </row>
        <row r="881">
          <cell r="A881">
            <v>3814</v>
          </cell>
          <cell r="B881" t="str">
            <v>후렉시블죠인트</v>
          </cell>
          <cell r="C881" t="str">
            <v>65Ø</v>
          </cell>
          <cell r="D881" t="str">
            <v>개</v>
          </cell>
          <cell r="E881">
            <v>42000</v>
          </cell>
          <cell r="F881">
            <v>0</v>
          </cell>
          <cell r="H881">
            <v>525</v>
          </cell>
          <cell r="I881">
            <v>42000</v>
          </cell>
          <cell r="J881">
            <v>525</v>
          </cell>
          <cell r="L881">
            <v>525</v>
          </cell>
        </row>
        <row r="882">
          <cell r="A882">
            <v>3815</v>
          </cell>
          <cell r="B882" t="str">
            <v>후렉시블죠인트</v>
          </cell>
          <cell r="C882" t="str">
            <v>50Ø</v>
          </cell>
          <cell r="D882" t="str">
            <v>개</v>
          </cell>
          <cell r="E882">
            <v>33600</v>
          </cell>
          <cell r="F882">
            <v>0</v>
          </cell>
          <cell r="H882">
            <v>525</v>
          </cell>
          <cell r="I882">
            <v>33600</v>
          </cell>
          <cell r="J882">
            <v>525</v>
          </cell>
          <cell r="L882">
            <v>525</v>
          </cell>
        </row>
        <row r="883">
          <cell r="A883">
            <v>3816</v>
          </cell>
          <cell r="B883" t="str">
            <v>후렉시블죠인트</v>
          </cell>
          <cell r="C883" t="str">
            <v>40Ø</v>
          </cell>
          <cell r="D883" t="str">
            <v>개</v>
          </cell>
          <cell r="E883">
            <v>28200</v>
          </cell>
          <cell r="F883">
            <v>0</v>
          </cell>
          <cell r="H883">
            <v>525</v>
          </cell>
          <cell r="I883">
            <v>28200</v>
          </cell>
          <cell r="J883">
            <v>525</v>
          </cell>
          <cell r="L883">
            <v>525</v>
          </cell>
        </row>
        <row r="884">
          <cell r="A884">
            <v>3817</v>
          </cell>
          <cell r="B884" t="str">
            <v>후렉시블죠인트</v>
          </cell>
          <cell r="C884" t="str">
            <v>32Ø</v>
          </cell>
          <cell r="D884" t="str">
            <v>개</v>
          </cell>
          <cell r="E884">
            <v>24600</v>
          </cell>
          <cell r="F884">
            <v>0</v>
          </cell>
          <cell r="H884">
            <v>525</v>
          </cell>
          <cell r="I884">
            <v>24600</v>
          </cell>
          <cell r="J884">
            <v>525</v>
          </cell>
          <cell r="L884">
            <v>525</v>
          </cell>
        </row>
        <row r="885">
          <cell r="A885">
            <v>3818</v>
          </cell>
          <cell r="B885" t="str">
            <v>후렉시블죠인트</v>
          </cell>
          <cell r="C885" t="str">
            <v>25Ø</v>
          </cell>
          <cell r="D885" t="str">
            <v>개</v>
          </cell>
          <cell r="E885">
            <v>22200</v>
          </cell>
          <cell r="F885">
            <v>0</v>
          </cell>
          <cell r="H885">
            <v>525</v>
          </cell>
          <cell r="I885">
            <v>22200</v>
          </cell>
          <cell r="J885">
            <v>525</v>
          </cell>
          <cell r="L885">
            <v>525</v>
          </cell>
        </row>
        <row r="886">
          <cell r="A886">
            <v>3820</v>
          </cell>
          <cell r="B886" t="str">
            <v>신축접수(단식)</v>
          </cell>
          <cell r="C886" t="str">
            <v>150Ø</v>
          </cell>
          <cell r="D886" t="str">
            <v>개</v>
          </cell>
          <cell r="E886">
            <v>157500</v>
          </cell>
          <cell r="F886">
            <v>0</v>
          </cell>
          <cell r="H886">
            <v>525</v>
          </cell>
          <cell r="I886">
            <v>157500</v>
          </cell>
          <cell r="J886">
            <v>525</v>
          </cell>
          <cell r="L886">
            <v>525</v>
          </cell>
        </row>
        <row r="887">
          <cell r="A887">
            <v>3821</v>
          </cell>
          <cell r="B887" t="str">
            <v>신축접수(단식)</v>
          </cell>
          <cell r="C887" t="str">
            <v>125Ø</v>
          </cell>
          <cell r="D887" t="str">
            <v>개</v>
          </cell>
          <cell r="E887">
            <v>126900</v>
          </cell>
          <cell r="F887">
            <v>0</v>
          </cell>
          <cell r="H887">
            <v>525</v>
          </cell>
          <cell r="I887">
            <v>126900</v>
          </cell>
          <cell r="J887">
            <v>525</v>
          </cell>
          <cell r="L887">
            <v>525</v>
          </cell>
        </row>
        <row r="888">
          <cell r="A888">
            <v>3822</v>
          </cell>
          <cell r="B888" t="str">
            <v>신축접수(단식)</v>
          </cell>
          <cell r="C888" t="str">
            <v>100Ø</v>
          </cell>
          <cell r="D888" t="str">
            <v>개</v>
          </cell>
          <cell r="E888">
            <v>152634</v>
          </cell>
          <cell r="F888">
            <v>163547</v>
          </cell>
          <cell r="H888">
            <v>0</v>
          </cell>
          <cell r="I888">
            <v>152634</v>
          </cell>
          <cell r="J888">
            <v>0</v>
          </cell>
          <cell r="L888">
            <v>0</v>
          </cell>
        </row>
        <row r="889">
          <cell r="A889">
            <v>3823</v>
          </cell>
          <cell r="B889" t="str">
            <v>신축접수(단식)</v>
          </cell>
          <cell r="C889" t="str">
            <v>80Ø</v>
          </cell>
          <cell r="D889" t="str">
            <v>개</v>
          </cell>
          <cell r="E889">
            <v>116192</v>
          </cell>
          <cell r="F889">
            <v>111716</v>
          </cell>
          <cell r="H889">
            <v>0</v>
          </cell>
          <cell r="I889">
            <v>116192</v>
          </cell>
          <cell r="J889">
            <v>0</v>
          </cell>
          <cell r="L889">
            <v>0</v>
          </cell>
        </row>
        <row r="890">
          <cell r="A890">
            <v>3824</v>
          </cell>
          <cell r="B890" t="str">
            <v>신축접수(단식)</v>
          </cell>
          <cell r="C890" t="str">
            <v>65Ø</v>
          </cell>
          <cell r="D890" t="str">
            <v>개</v>
          </cell>
          <cell r="E890">
            <v>85384</v>
          </cell>
          <cell r="F890">
            <v>87027</v>
          </cell>
          <cell r="H890">
            <v>0</v>
          </cell>
          <cell r="I890">
            <v>85384</v>
          </cell>
          <cell r="J890">
            <v>0</v>
          </cell>
          <cell r="L890">
            <v>0</v>
          </cell>
        </row>
        <row r="891">
          <cell r="A891">
            <v>3825</v>
          </cell>
          <cell r="B891" t="str">
            <v>신축접수(단식)</v>
          </cell>
          <cell r="C891" t="str">
            <v>50Ø</v>
          </cell>
          <cell r="D891" t="str">
            <v>개</v>
          </cell>
          <cell r="E891">
            <v>45808</v>
          </cell>
          <cell r="F891">
            <v>56952</v>
          </cell>
          <cell r="H891">
            <v>0</v>
          </cell>
          <cell r="I891">
            <v>45808</v>
          </cell>
          <cell r="J891">
            <v>0</v>
          </cell>
          <cell r="L891">
            <v>0</v>
          </cell>
        </row>
        <row r="892">
          <cell r="A892">
            <v>3826</v>
          </cell>
          <cell r="B892" t="str">
            <v>신축접수(단식)</v>
          </cell>
          <cell r="C892" t="str">
            <v>40Ø</v>
          </cell>
          <cell r="D892" t="str">
            <v>개</v>
          </cell>
          <cell r="E892">
            <v>41948</v>
          </cell>
          <cell r="F892">
            <v>48293</v>
          </cell>
          <cell r="H892">
            <v>0</v>
          </cell>
          <cell r="I892">
            <v>41948</v>
          </cell>
          <cell r="J892">
            <v>0</v>
          </cell>
          <cell r="L892">
            <v>0</v>
          </cell>
        </row>
        <row r="893">
          <cell r="A893">
            <v>3827</v>
          </cell>
          <cell r="B893" t="str">
            <v>신축접수(단식)</v>
          </cell>
          <cell r="C893" t="str">
            <v>32Ø</v>
          </cell>
          <cell r="D893" t="str">
            <v>개</v>
          </cell>
          <cell r="E893">
            <v>41948</v>
          </cell>
          <cell r="F893">
            <v>48293</v>
          </cell>
          <cell r="H893">
            <v>0</v>
          </cell>
          <cell r="I893">
            <v>41948</v>
          </cell>
          <cell r="J893">
            <v>0</v>
          </cell>
          <cell r="L893">
            <v>0</v>
          </cell>
        </row>
        <row r="894">
          <cell r="A894">
            <v>3828</v>
          </cell>
          <cell r="B894" t="str">
            <v>신축접수(단식)</v>
          </cell>
          <cell r="C894" t="str">
            <v>25Ø</v>
          </cell>
          <cell r="D894" t="str">
            <v>개</v>
          </cell>
          <cell r="E894">
            <v>32048</v>
          </cell>
          <cell r="F894">
            <v>48293</v>
          </cell>
          <cell r="H894">
            <v>0</v>
          </cell>
          <cell r="I894">
            <v>32048</v>
          </cell>
          <cell r="J894">
            <v>0</v>
          </cell>
          <cell r="L894">
            <v>0</v>
          </cell>
        </row>
        <row r="895">
          <cell r="A895">
            <v>3829</v>
          </cell>
          <cell r="B895" t="str">
            <v>신축접수(단식)</v>
          </cell>
          <cell r="C895" t="str">
            <v>20Ø</v>
          </cell>
          <cell r="D895" t="str">
            <v>개</v>
          </cell>
          <cell r="E895">
            <v>31751</v>
          </cell>
          <cell r="F895">
            <v>38384</v>
          </cell>
          <cell r="H895">
            <v>0</v>
          </cell>
          <cell r="I895">
            <v>31751</v>
          </cell>
          <cell r="J895">
            <v>0</v>
          </cell>
          <cell r="L895">
            <v>0</v>
          </cell>
        </row>
        <row r="896">
          <cell r="A896">
            <v>3830</v>
          </cell>
          <cell r="B896" t="str">
            <v>신축접수(복식)</v>
          </cell>
          <cell r="C896" t="str">
            <v>150Ø</v>
          </cell>
          <cell r="D896" t="str">
            <v>개</v>
          </cell>
          <cell r="E896">
            <v>324000</v>
          </cell>
          <cell r="F896">
            <v>0</v>
          </cell>
          <cell r="H896">
            <v>525</v>
          </cell>
          <cell r="I896">
            <v>324000</v>
          </cell>
          <cell r="J896">
            <v>525</v>
          </cell>
          <cell r="L896">
            <v>525</v>
          </cell>
        </row>
        <row r="897">
          <cell r="A897">
            <v>3831</v>
          </cell>
          <cell r="B897" t="str">
            <v>신축접수(복식)</v>
          </cell>
          <cell r="C897" t="str">
            <v>125Ø</v>
          </cell>
          <cell r="D897" t="str">
            <v>개</v>
          </cell>
          <cell r="E897">
            <v>255600</v>
          </cell>
          <cell r="F897">
            <v>0</v>
          </cell>
          <cell r="H897">
            <v>525</v>
          </cell>
          <cell r="I897">
            <v>255600</v>
          </cell>
          <cell r="J897">
            <v>525</v>
          </cell>
          <cell r="L897">
            <v>525</v>
          </cell>
        </row>
        <row r="898">
          <cell r="A898">
            <v>3832</v>
          </cell>
          <cell r="B898" t="str">
            <v>신축접수(복식)</v>
          </cell>
          <cell r="C898" t="str">
            <v>100Ø</v>
          </cell>
          <cell r="D898" t="str">
            <v>개</v>
          </cell>
          <cell r="E898">
            <v>270534</v>
          </cell>
          <cell r="F898">
            <v>163547</v>
          </cell>
          <cell r="H898">
            <v>0</v>
          </cell>
          <cell r="I898">
            <v>270534</v>
          </cell>
          <cell r="J898">
            <v>0</v>
          </cell>
          <cell r="L898">
            <v>0</v>
          </cell>
        </row>
        <row r="899">
          <cell r="A899">
            <v>3833</v>
          </cell>
          <cell r="B899" t="str">
            <v>신축접수(복식)</v>
          </cell>
          <cell r="C899" t="str">
            <v>80Ø</v>
          </cell>
          <cell r="D899" t="str">
            <v>개</v>
          </cell>
          <cell r="E899">
            <v>116192</v>
          </cell>
          <cell r="F899">
            <v>111716</v>
          </cell>
          <cell r="H899">
            <v>0</v>
          </cell>
          <cell r="I899">
            <v>116192</v>
          </cell>
          <cell r="J899">
            <v>0</v>
          </cell>
          <cell r="L899">
            <v>0</v>
          </cell>
        </row>
        <row r="900">
          <cell r="A900">
            <v>3834</v>
          </cell>
          <cell r="B900" t="str">
            <v>신축접수(복식)</v>
          </cell>
          <cell r="C900" t="str">
            <v>65Ø</v>
          </cell>
          <cell r="D900" t="str">
            <v>개</v>
          </cell>
          <cell r="E900">
            <v>146584</v>
          </cell>
          <cell r="F900">
            <v>87027</v>
          </cell>
          <cell r="H900">
            <v>0</v>
          </cell>
          <cell r="I900">
            <v>146584</v>
          </cell>
          <cell r="J900">
            <v>0</v>
          </cell>
          <cell r="L900">
            <v>0</v>
          </cell>
        </row>
        <row r="901">
          <cell r="A901">
            <v>3835</v>
          </cell>
          <cell r="B901" t="str">
            <v>신축접수(복식)</v>
          </cell>
          <cell r="C901" t="str">
            <v>50Ø</v>
          </cell>
          <cell r="D901" t="str">
            <v>개</v>
          </cell>
          <cell r="E901">
            <v>94408</v>
          </cell>
          <cell r="F901">
            <v>56952</v>
          </cell>
          <cell r="H901">
            <v>0</v>
          </cell>
          <cell r="I901">
            <v>94408</v>
          </cell>
          <cell r="J901">
            <v>0</v>
          </cell>
          <cell r="L901">
            <v>0</v>
          </cell>
        </row>
        <row r="902">
          <cell r="A902">
            <v>3836</v>
          </cell>
          <cell r="B902" t="str">
            <v>신축접수(복식)</v>
          </cell>
          <cell r="C902" t="str">
            <v>40Ø</v>
          </cell>
          <cell r="D902" t="str">
            <v>개</v>
          </cell>
          <cell r="E902">
            <v>41948</v>
          </cell>
          <cell r="F902">
            <v>48293</v>
          </cell>
          <cell r="H902">
            <v>0</v>
          </cell>
          <cell r="I902">
            <v>41948</v>
          </cell>
          <cell r="J902">
            <v>0</v>
          </cell>
          <cell r="L902">
            <v>0</v>
          </cell>
        </row>
        <row r="903">
          <cell r="A903">
            <v>3837</v>
          </cell>
          <cell r="B903" t="str">
            <v>신축접수(복식)</v>
          </cell>
          <cell r="C903" t="str">
            <v>32Ø</v>
          </cell>
          <cell r="D903" t="str">
            <v>개</v>
          </cell>
          <cell r="E903">
            <v>41948</v>
          </cell>
          <cell r="F903">
            <v>48293</v>
          </cell>
          <cell r="H903">
            <v>0</v>
          </cell>
          <cell r="I903">
            <v>41948</v>
          </cell>
          <cell r="J903">
            <v>0</v>
          </cell>
          <cell r="L903">
            <v>0</v>
          </cell>
        </row>
        <row r="904">
          <cell r="A904">
            <v>3838</v>
          </cell>
          <cell r="B904" t="str">
            <v>신축접수(복식)</v>
          </cell>
          <cell r="C904" t="str">
            <v>25Ø</v>
          </cell>
          <cell r="D904" t="str">
            <v>개</v>
          </cell>
          <cell r="E904">
            <v>32048</v>
          </cell>
          <cell r="F904">
            <v>48293</v>
          </cell>
          <cell r="H904">
            <v>0</v>
          </cell>
          <cell r="I904">
            <v>32048</v>
          </cell>
          <cell r="J904">
            <v>0</v>
          </cell>
          <cell r="L904">
            <v>0</v>
          </cell>
        </row>
        <row r="905">
          <cell r="A905">
            <v>3839</v>
          </cell>
          <cell r="B905" t="str">
            <v>신축접수(복식)</v>
          </cell>
          <cell r="C905" t="str">
            <v>20Ø</v>
          </cell>
          <cell r="D905" t="str">
            <v>개</v>
          </cell>
          <cell r="E905">
            <v>66851</v>
          </cell>
          <cell r="F905">
            <v>38384</v>
          </cell>
          <cell r="H905">
            <v>0</v>
          </cell>
          <cell r="I905">
            <v>66851</v>
          </cell>
          <cell r="J905">
            <v>0</v>
          </cell>
          <cell r="L905">
            <v>0</v>
          </cell>
        </row>
        <row r="906">
          <cell r="A906">
            <v>3841</v>
          </cell>
          <cell r="B906" t="str">
            <v>유량계</v>
          </cell>
          <cell r="C906" t="str">
            <v>50Ø</v>
          </cell>
          <cell r="D906" t="str">
            <v>대</v>
          </cell>
          <cell r="E906">
            <v>510000</v>
          </cell>
          <cell r="F906">
            <v>0</v>
          </cell>
          <cell r="H906">
            <v>556</v>
          </cell>
          <cell r="I906">
            <v>510000</v>
          </cell>
          <cell r="J906">
            <v>556</v>
          </cell>
          <cell r="L906">
            <v>556</v>
          </cell>
        </row>
        <row r="907">
          <cell r="A907">
            <v>3842</v>
          </cell>
          <cell r="B907" t="str">
            <v>유량계</v>
          </cell>
          <cell r="C907" t="str">
            <v>40Ø</v>
          </cell>
          <cell r="D907" t="str">
            <v>대</v>
          </cell>
          <cell r="E907">
            <v>310000</v>
          </cell>
          <cell r="F907">
            <v>0</v>
          </cell>
          <cell r="H907">
            <v>556</v>
          </cell>
          <cell r="I907">
            <v>310000</v>
          </cell>
          <cell r="J907">
            <v>556</v>
          </cell>
          <cell r="L907">
            <v>556</v>
          </cell>
        </row>
        <row r="908">
          <cell r="A908">
            <v>3843</v>
          </cell>
          <cell r="B908" t="str">
            <v>유량계</v>
          </cell>
          <cell r="C908" t="str">
            <v>25Ø</v>
          </cell>
          <cell r="D908" t="str">
            <v>대</v>
          </cell>
          <cell r="E908">
            <v>190000</v>
          </cell>
          <cell r="F908">
            <v>0</v>
          </cell>
          <cell r="H908">
            <v>556</v>
          </cell>
          <cell r="I908">
            <v>190000</v>
          </cell>
          <cell r="J908">
            <v>556</v>
          </cell>
          <cell r="L908">
            <v>556</v>
          </cell>
        </row>
        <row r="909">
          <cell r="A909">
            <v>3844</v>
          </cell>
          <cell r="B909" t="str">
            <v>유량계</v>
          </cell>
          <cell r="C909" t="str">
            <v>20Ø</v>
          </cell>
          <cell r="D909" t="str">
            <v>대</v>
          </cell>
          <cell r="E909">
            <v>180000</v>
          </cell>
          <cell r="F909">
            <v>0</v>
          </cell>
          <cell r="H909">
            <v>556</v>
          </cell>
          <cell r="I909">
            <v>180000</v>
          </cell>
          <cell r="J909">
            <v>556</v>
          </cell>
          <cell r="L909">
            <v>556</v>
          </cell>
        </row>
        <row r="910">
          <cell r="A910">
            <v>3845</v>
          </cell>
          <cell r="B910" t="str">
            <v>유량계</v>
          </cell>
          <cell r="C910" t="str">
            <v>15Ø</v>
          </cell>
          <cell r="D910" t="str">
            <v>대</v>
          </cell>
          <cell r="E910">
            <v>100000</v>
          </cell>
          <cell r="F910">
            <v>0</v>
          </cell>
          <cell r="H910">
            <v>556</v>
          </cell>
          <cell r="I910">
            <v>100000</v>
          </cell>
          <cell r="J910">
            <v>556</v>
          </cell>
          <cell r="L910">
            <v>556</v>
          </cell>
        </row>
        <row r="911">
          <cell r="A911">
            <v>3850</v>
          </cell>
          <cell r="B911" t="str">
            <v>주철글로우브밸브</v>
          </cell>
          <cell r="C911" t="str">
            <v>150Ø</v>
          </cell>
          <cell r="D911" t="str">
            <v>개</v>
          </cell>
          <cell r="E911">
            <v>264000</v>
          </cell>
          <cell r="F911">
            <v>0</v>
          </cell>
          <cell r="H911">
            <v>529</v>
          </cell>
          <cell r="I911">
            <v>264000</v>
          </cell>
          <cell r="J911">
            <v>529</v>
          </cell>
          <cell r="L911">
            <v>529</v>
          </cell>
        </row>
        <row r="912">
          <cell r="A912">
            <v>3851</v>
          </cell>
          <cell r="B912" t="str">
            <v>주철글로우브밸브</v>
          </cell>
          <cell r="C912" t="str">
            <v>100Ø</v>
          </cell>
          <cell r="D912" t="str">
            <v>개</v>
          </cell>
          <cell r="E912">
            <v>128000</v>
          </cell>
          <cell r="F912">
            <v>0</v>
          </cell>
          <cell r="H912">
            <v>529</v>
          </cell>
          <cell r="I912">
            <v>128000</v>
          </cell>
          <cell r="J912">
            <v>529</v>
          </cell>
          <cell r="L912">
            <v>529</v>
          </cell>
        </row>
        <row r="913">
          <cell r="A913">
            <v>3852</v>
          </cell>
          <cell r="B913" t="str">
            <v>주철글로우브밸브</v>
          </cell>
          <cell r="C913" t="str">
            <v>80Ø</v>
          </cell>
          <cell r="D913" t="str">
            <v>개</v>
          </cell>
          <cell r="E913">
            <v>96000</v>
          </cell>
          <cell r="F913">
            <v>0</v>
          </cell>
          <cell r="H913">
            <v>529</v>
          </cell>
          <cell r="I913">
            <v>96000</v>
          </cell>
          <cell r="J913">
            <v>529</v>
          </cell>
          <cell r="L913">
            <v>529</v>
          </cell>
        </row>
        <row r="914">
          <cell r="A914">
            <v>3853</v>
          </cell>
          <cell r="B914" t="str">
            <v>주철글로우브밸브</v>
          </cell>
          <cell r="C914" t="str">
            <v>65Ø</v>
          </cell>
          <cell r="D914" t="str">
            <v>개</v>
          </cell>
          <cell r="E914">
            <v>77600</v>
          </cell>
          <cell r="F914">
            <v>0</v>
          </cell>
          <cell r="H914">
            <v>529</v>
          </cell>
          <cell r="I914">
            <v>77600</v>
          </cell>
          <cell r="J914">
            <v>529</v>
          </cell>
          <cell r="L914">
            <v>529</v>
          </cell>
        </row>
        <row r="915">
          <cell r="A915">
            <v>3854</v>
          </cell>
          <cell r="B915" t="str">
            <v>청동글로우브밸브</v>
          </cell>
          <cell r="C915" t="str">
            <v>50Ø</v>
          </cell>
          <cell r="D915" t="str">
            <v>개</v>
          </cell>
          <cell r="E915">
            <v>26650</v>
          </cell>
          <cell r="F915">
            <v>0</v>
          </cell>
          <cell r="H915">
            <v>528</v>
          </cell>
          <cell r="I915">
            <v>26650</v>
          </cell>
          <cell r="J915">
            <v>528</v>
          </cell>
          <cell r="L915">
            <v>528</v>
          </cell>
        </row>
        <row r="916">
          <cell r="A916">
            <v>3855</v>
          </cell>
          <cell r="B916" t="str">
            <v>청동글로우브밸브</v>
          </cell>
          <cell r="C916" t="str">
            <v>40Ø</v>
          </cell>
          <cell r="D916" t="str">
            <v>개</v>
          </cell>
          <cell r="E916">
            <v>17600</v>
          </cell>
          <cell r="F916">
            <v>0</v>
          </cell>
          <cell r="H916">
            <v>528</v>
          </cell>
          <cell r="I916">
            <v>17600</v>
          </cell>
          <cell r="J916">
            <v>528</v>
          </cell>
          <cell r="L916">
            <v>528</v>
          </cell>
        </row>
        <row r="917">
          <cell r="A917">
            <v>3856</v>
          </cell>
          <cell r="B917" t="str">
            <v>청동글로우브밸브</v>
          </cell>
          <cell r="C917" t="str">
            <v>32Ø</v>
          </cell>
          <cell r="D917" t="str">
            <v>개</v>
          </cell>
          <cell r="E917">
            <v>14230</v>
          </cell>
          <cell r="F917">
            <v>0</v>
          </cell>
          <cell r="H917">
            <v>528</v>
          </cell>
          <cell r="I917">
            <v>14230</v>
          </cell>
          <cell r="J917">
            <v>528</v>
          </cell>
          <cell r="L917">
            <v>528</v>
          </cell>
        </row>
        <row r="918">
          <cell r="A918">
            <v>3857</v>
          </cell>
          <cell r="B918" t="str">
            <v>청동글로우브밸브</v>
          </cell>
          <cell r="C918" t="str">
            <v>25Ø</v>
          </cell>
          <cell r="D918" t="str">
            <v>개</v>
          </cell>
          <cell r="E918">
            <v>9570</v>
          </cell>
          <cell r="F918">
            <v>0</v>
          </cell>
          <cell r="H918">
            <v>528</v>
          </cell>
          <cell r="I918">
            <v>9570</v>
          </cell>
          <cell r="J918">
            <v>528</v>
          </cell>
          <cell r="L918">
            <v>528</v>
          </cell>
        </row>
        <row r="919">
          <cell r="A919">
            <v>3858</v>
          </cell>
          <cell r="B919" t="str">
            <v>청동글로우브밸브</v>
          </cell>
          <cell r="C919" t="str">
            <v>20Ø</v>
          </cell>
          <cell r="D919" t="str">
            <v>개</v>
          </cell>
          <cell r="E919">
            <v>6590</v>
          </cell>
          <cell r="F919">
            <v>0</v>
          </cell>
          <cell r="H919">
            <v>528</v>
          </cell>
          <cell r="I919">
            <v>6590</v>
          </cell>
          <cell r="J919">
            <v>528</v>
          </cell>
          <cell r="L919">
            <v>528</v>
          </cell>
        </row>
        <row r="920">
          <cell r="A920">
            <v>3859</v>
          </cell>
          <cell r="B920" t="str">
            <v>청동글로우브밸브</v>
          </cell>
          <cell r="C920" t="str">
            <v>15Ø</v>
          </cell>
          <cell r="D920" t="str">
            <v>개</v>
          </cell>
          <cell r="E920">
            <v>4170</v>
          </cell>
          <cell r="F920">
            <v>0</v>
          </cell>
          <cell r="H920">
            <v>528</v>
          </cell>
          <cell r="I920">
            <v>4170</v>
          </cell>
          <cell r="J920">
            <v>528</v>
          </cell>
          <cell r="L920">
            <v>528</v>
          </cell>
        </row>
        <row r="921">
          <cell r="E921">
            <v>0</v>
          </cell>
        </row>
        <row r="922">
          <cell r="E922">
            <v>0</v>
          </cell>
        </row>
        <row r="923">
          <cell r="E923">
            <v>0</v>
          </cell>
        </row>
        <row r="924">
          <cell r="E924">
            <v>0</v>
          </cell>
        </row>
        <row r="925">
          <cell r="E925">
            <v>0</v>
          </cell>
        </row>
        <row r="926">
          <cell r="E926">
            <v>0</v>
          </cell>
        </row>
        <row r="927">
          <cell r="E927">
            <v>0</v>
          </cell>
        </row>
        <row r="928">
          <cell r="E928">
            <v>0</v>
          </cell>
        </row>
        <row r="929">
          <cell r="E929">
            <v>0</v>
          </cell>
        </row>
        <row r="930">
          <cell r="E930">
            <v>0</v>
          </cell>
        </row>
        <row r="940">
          <cell r="A940">
            <v>4101</v>
          </cell>
          <cell r="B940" t="str">
            <v>소방호스(단일피)</v>
          </cell>
          <cell r="C940" t="str">
            <v>40Ø x 15m</v>
          </cell>
          <cell r="D940" t="str">
            <v>개</v>
          </cell>
          <cell r="E940">
            <v>33000</v>
          </cell>
          <cell r="F940">
            <v>0</v>
          </cell>
          <cell r="H940">
            <v>665</v>
          </cell>
          <cell r="I940">
            <v>33000</v>
          </cell>
          <cell r="J940">
            <v>665</v>
          </cell>
          <cell r="L940">
            <v>665</v>
          </cell>
        </row>
        <row r="941">
          <cell r="A941">
            <v>4102</v>
          </cell>
          <cell r="B941" t="str">
            <v>앵글밸브</v>
          </cell>
          <cell r="C941" t="str">
            <v>65Ø</v>
          </cell>
          <cell r="D941" t="str">
            <v>개</v>
          </cell>
          <cell r="E941">
            <v>24000</v>
          </cell>
          <cell r="F941">
            <v>0</v>
          </cell>
          <cell r="H941">
            <v>665</v>
          </cell>
          <cell r="I941">
            <v>24000</v>
          </cell>
          <cell r="J941">
            <v>665</v>
          </cell>
          <cell r="L941">
            <v>665</v>
          </cell>
        </row>
        <row r="942">
          <cell r="A942">
            <v>4103</v>
          </cell>
          <cell r="B942" t="str">
            <v>앵글밸브</v>
          </cell>
          <cell r="C942" t="str">
            <v>40Ø</v>
          </cell>
          <cell r="D942" t="str">
            <v>개</v>
          </cell>
          <cell r="E942">
            <v>14000</v>
          </cell>
          <cell r="F942">
            <v>0</v>
          </cell>
          <cell r="H942">
            <v>665</v>
          </cell>
          <cell r="I942">
            <v>14000</v>
          </cell>
          <cell r="J942">
            <v>665</v>
          </cell>
          <cell r="L942">
            <v>665</v>
          </cell>
        </row>
        <row r="943">
          <cell r="A943">
            <v>4104</v>
          </cell>
          <cell r="B943" t="str">
            <v>노즐(직,분사형)</v>
          </cell>
          <cell r="C943" t="str">
            <v>65Ø</v>
          </cell>
          <cell r="D943" t="str">
            <v>개</v>
          </cell>
          <cell r="E943">
            <v>34000</v>
          </cell>
          <cell r="F943">
            <v>0</v>
          </cell>
          <cell r="H943">
            <v>665</v>
          </cell>
          <cell r="I943">
            <v>34000</v>
          </cell>
          <cell r="J943">
            <v>665</v>
          </cell>
          <cell r="L943">
            <v>665</v>
          </cell>
        </row>
        <row r="944">
          <cell r="A944">
            <v>4105</v>
          </cell>
          <cell r="B944" t="str">
            <v>노즐(직,분사형)</v>
          </cell>
          <cell r="C944" t="str">
            <v>40Ø</v>
          </cell>
          <cell r="D944" t="str">
            <v>개</v>
          </cell>
          <cell r="E944">
            <v>25000</v>
          </cell>
          <cell r="F944">
            <v>0</v>
          </cell>
          <cell r="H944">
            <v>665</v>
          </cell>
          <cell r="I944">
            <v>25000</v>
          </cell>
          <cell r="J944">
            <v>665</v>
          </cell>
          <cell r="L944">
            <v>665</v>
          </cell>
        </row>
        <row r="945">
          <cell r="A945">
            <v>4106</v>
          </cell>
          <cell r="B945" t="str">
            <v>ABC분말소화기</v>
          </cell>
          <cell r="C945" t="str">
            <v>3.3kg</v>
          </cell>
          <cell r="D945" t="str">
            <v>개</v>
          </cell>
          <cell r="E945">
            <v>20000</v>
          </cell>
          <cell r="F945">
            <v>0</v>
          </cell>
          <cell r="H945">
            <v>665</v>
          </cell>
          <cell r="I945">
            <v>20000</v>
          </cell>
          <cell r="J945">
            <v>665</v>
          </cell>
          <cell r="L945">
            <v>665</v>
          </cell>
        </row>
        <row r="946">
          <cell r="A946">
            <v>4107</v>
          </cell>
          <cell r="B946" t="str">
            <v>자동확산소화기</v>
          </cell>
          <cell r="C946" t="str">
            <v>3kg</v>
          </cell>
          <cell r="D946" t="str">
            <v>개</v>
          </cell>
          <cell r="E946">
            <v>24000</v>
          </cell>
          <cell r="F946">
            <v>0</v>
          </cell>
          <cell r="H946">
            <v>665</v>
          </cell>
          <cell r="I946">
            <v>24000</v>
          </cell>
          <cell r="J946">
            <v>665</v>
          </cell>
          <cell r="L946">
            <v>665</v>
          </cell>
        </row>
        <row r="947">
          <cell r="A947">
            <v>4108</v>
          </cell>
          <cell r="B947" t="str">
            <v>하론가스소화기</v>
          </cell>
          <cell r="C947" t="str">
            <v>3kg</v>
          </cell>
          <cell r="D947" t="str">
            <v>개</v>
          </cell>
          <cell r="E947">
            <v>140000</v>
          </cell>
          <cell r="F947">
            <v>0</v>
          </cell>
          <cell r="H947">
            <v>665</v>
          </cell>
          <cell r="I947">
            <v>140000</v>
          </cell>
          <cell r="J947">
            <v>665</v>
          </cell>
          <cell r="L947">
            <v>665</v>
          </cell>
        </row>
        <row r="948">
          <cell r="A948">
            <v>4109</v>
          </cell>
          <cell r="B948" t="str">
            <v>ABC중형소화기</v>
          </cell>
          <cell r="C948" t="str">
            <v>20kg</v>
          </cell>
          <cell r="D948" t="str">
            <v>개</v>
          </cell>
          <cell r="E948">
            <v>160000</v>
          </cell>
          <cell r="F948">
            <v>0</v>
          </cell>
          <cell r="H948">
            <v>665</v>
          </cell>
          <cell r="I948">
            <v>160000</v>
          </cell>
          <cell r="J948">
            <v>665</v>
          </cell>
          <cell r="L948">
            <v>665</v>
          </cell>
        </row>
        <row r="949">
          <cell r="A949">
            <v>4110</v>
          </cell>
          <cell r="B949" t="str">
            <v>옥내소화전</v>
          </cell>
          <cell r="C949" t="str">
            <v>내:STE,외:SUS</v>
          </cell>
          <cell r="D949" t="str">
            <v>조</v>
          </cell>
          <cell r="E949">
            <v>292307</v>
          </cell>
          <cell r="F949">
            <v>76908</v>
          </cell>
          <cell r="H949">
            <v>0</v>
          </cell>
          <cell r="I949">
            <v>292307</v>
          </cell>
          <cell r="J949">
            <v>0</v>
          </cell>
          <cell r="L949">
            <v>0</v>
          </cell>
        </row>
        <row r="950">
          <cell r="A950">
            <v>4111</v>
          </cell>
          <cell r="B950" t="str">
            <v>옥내소화전함</v>
          </cell>
          <cell r="C950" t="str">
            <v>내:STE,외:SUS</v>
          </cell>
          <cell r="D950" t="str">
            <v>개</v>
          </cell>
          <cell r="E950">
            <v>120000</v>
          </cell>
          <cell r="F950">
            <v>0</v>
          </cell>
          <cell r="H950">
            <v>0</v>
          </cell>
          <cell r="I950">
            <v>120000</v>
          </cell>
          <cell r="J950">
            <v>0</v>
          </cell>
          <cell r="L950">
            <v>0</v>
          </cell>
        </row>
        <row r="951">
          <cell r="A951">
            <v>4110</v>
          </cell>
          <cell r="B951" t="str">
            <v>옥내소화전</v>
          </cell>
          <cell r="C951" t="str">
            <v>내,외:SUS</v>
          </cell>
          <cell r="D951" t="str">
            <v>조</v>
          </cell>
          <cell r="E951">
            <v>482307</v>
          </cell>
          <cell r="F951">
            <v>76908</v>
          </cell>
          <cell r="H951">
            <v>0</v>
          </cell>
          <cell r="I951">
            <v>482307</v>
          </cell>
          <cell r="J951">
            <v>0</v>
          </cell>
          <cell r="L951">
            <v>0</v>
          </cell>
        </row>
        <row r="952">
          <cell r="A952">
            <v>4113</v>
          </cell>
          <cell r="B952" t="str">
            <v>옥외지상식소화전</v>
          </cell>
          <cell r="C952" t="str">
            <v>100x65x65</v>
          </cell>
          <cell r="D952" t="str">
            <v>개</v>
          </cell>
          <cell r="E952">
            <v>260000</v>
          </cell>
          <cell r="F952">
            <v>0</v>
          </cell>
          <cell r="H952">
            <v>665</v>
          </cell>
          <cell r="I952">
            <v>260000</v>
          </cell>
          <cell r="J952">
            <v>665</v>
          </cell>
          <cell r="L952">
            <v>665</v>
          </cell>
        </row>
        <row r="953">
          <cell r="A953">
            <v>4114</v>
          </cell>
          <cell r="B953" t="str">
            <v>옥외지하식소화전</v>
          </cell>
          <cell r="C953" t="str">
            <v>100x65x65</v>
          </cell>
          <cell r="D953" t="str">
            <v>개</v>
          </cell>
          <cell r="E953">
            <v>0</v>
          </cell>
          <cell r="F953">
            <v>0</v>
          </cell>
          <cell r="H953">
            <v>665</v>
          </cell>
          <cell r="I953">
            <v>0</v>
          </cell>
          <cell r="J953">
            <v>665</v>
          </cell>
          <cell r="L953">
            <v>665</v>
          </cell>
        </row>
        <row r="954">
          <cell r="A954">
            <v>4115</v>
          </cell>
          <cell r="B954" t="str">
            <v>방수구함</v>
          </cell>
          <cell r="C954" t="str">
            <v>400x500x200</v>
          </cell>
          <cell r="D954" t="str">
            <v>개</v>
          </cell>
          <cell r="E954">
            <v>90000</v>
          </cell>
          <cell r="F954">
            <v>0</v>
          </cell>
          <cell r="H954">
            <v>665</v>
          </cell>
          <cell r="I954">
            <v>90000</v>
          </cell>
          <cell r="J954">
            <v>665</v>
          </cell>
          <cell r="L954">
            <v>665</v>
          </cell>
        </row>
        <row r="955">
          <cell r="A955">
            <v>4116</v>
          </cell>
          <cell r="B955" t="str">
            <v>시험밸브함</v>
          </cell>
          <cell r="C955" t="str">
            <v>300x500x180</v>
          </cell>
          <cell r="D955" t="str">
            <v>개</v>
          </cell>
          <cell r="E955">
            <v>80000</v>
          </cell>
          <cell r="F955">
            <v>0</v>
          </cell>
          <cell r="H955">
            <v>665</v>
          </cell>
          <cell r="I955">
            <v>80000</v>
          </cell>
          <cell r="J955">
            <v>665</v>
          </cell>
          <cell r="L955">
            <v>665</v>
          </cell>
        </row>
        <row r="956">
          <cell r="A956">
            <v>4117</v>
          </cell>
          <cell r="B956" t="str">
            <v>쌍구형송수구(매립형)</v>
          </cell>
          <cell r="C956" t="str">
            <v>100x65x65</v>
          </cell>
          <cell r="D956" t="str">
            <v>개</v>
          </cell>
          <cell r="E956">
            <v>170000</v>
          </cell>
          <cell r="F956">
            <v>0</v>
          </cell>
          <cell r="H956">
            <v>665</v>
          </cell>
          <cell r="I956">
            <v>170000</v>
          </cell>
          <cell r="J956">
            <v>665</v>
          </cell>
          <cell r="L956">
            <v>665</v>
          </cell>
        </row>
        <row r="957">
          <cell r="A957">
            <v>4118</v>
          </cell>
          <cell r="B957" t="str">
            <v>쌍구형송수구(노출형)</v>
          </cell>
          <cell r="C957" t="str">
            <v>100x65x65</v>
          </cell>
          <cell r="D957" t="str">
            <v>개</v>
          </cell>
          <cell r="E957">
            <v>130000</v>
          </cell>
          <cell r="F957">
            <v>0</v>
          </cell>
          <cell r="H957">
            <v>665</v>
          </cell>
          <cell r="I957">
            <v>130000</v>
          </cell>
          <cell r="J957">
            <v>665</v>
          </cell>
          <cell r="L957">
            <v>665</v>
          </cell>
        </row>
        <row r="958">
          <cell r="A958">
            <v>4121</v>
          </cell>
          <cell r="B958" t="str">
            <v>순간소방유량계</v>
          </cell>
          <cell r="C958" t="str">
            <v>3,900 LPM</v>
          </cell>
          <cell r="D958" t="str">
            <v>개</v>
          </cell>
          <cell r="E958">
            <v>80000</v>
          </cell>
          <cell r="F958">
            <v>0</v>
          </cell>
          <cell r="H958">
            <v>668</v>
          </cell>
          <cell r="I958">
            <v>80000</v>
          </cell>
          <cell r="J958">
            <v>668</v>
          </cell>
          <cell r="L958">
            <v>668</v>
          </cell>
        </row>
        <row r="959">
          <cell r="A959">
            <v>4122</v>
          </cell>
          <cell r="B959" t="str">
            <v>순간소방유량계</v>
          </cell>
          <cell r="C959" t="str">
            <v>2,800 LPM</v>
          </cell>
          <cell r="D959" t="str">
            <v>개</v>
          </cell>
          <cell r="E959">
            <v>70000</v>
          </cell>
          <cell r="F959">
            <v>0</v>
          </cell>
          <cell r="H959">
            <v>668</v>
          </cell>
          <cell r="I959">
            <v>70000</v>
          </cell>
          <cell r="J959">
            <v>668</v>
          </cell>
          <cell r="L959">
            <v>668</v>
          </cell>
        </row>
        <row r="960">
          <cell r="A960">
            <v>4123</v>
          </cell>
          <cell r="B960" t="str">
            <v>순간소방유량계</v>
          </cell>
          <cell r="C960" t="str">
            <v>2,000 LPM</v>
          </cell>
          <cell r="D960" t="str">
            <v>개</v>
          </cell>
          <cell r="E960">
            <v>60000</v>
          </cell>
          <cell r="F960">
            <v>0</v>
          </cell>
          <cell r="H960">
            <v>668</v>
          </cell>
          <cell r="I960">
            <v>60000</v>
          </cell>
          <cell r="J960">
            <v>668</v>
          </cell>
          <cell r="L960">
            <v>668</v>
          </cell>
        </row>
        <row r="961">
          <cell r="A961">
            <v>4124</v>
          </cell>
          <cell r="B961" t="str">
            <v>순간소방유량계</v>
          </cell>
          <cell r="C961" t="str">
            <v>1,125 LPM</v>
          </cell>
          <cell r="D961" t="str">
            <v>개</v>
          </cell>
          <cell r="E961">
            <v>55000</v>
          </cell>
          <cell r="F961">
            <v>0</v>
          </cell>
          <cell r="H961">
            <v>668</v>
          </cell>
          <cell r="I961">
            <v>55000</v>
          </cell>
          <cell r="J961">
            <v>668</v>
          </cell>
          <cell r="L961">
            <v>668</v>
          </cell>
        </row>
        <row r="962">
          <cell r="A962">
            <v>4125</v>
          </cell>
          <cell r="B962" t="str">
            <v>순간소방유량계</v>
          </cell>
          <cell r="C962" t="str">
            <v>900 LPM</v>
          </cell>
          <cell r="D962" t="str">
            <v>개</v>
          </cell>
          <cell r="E962">
            <v>50000</v>
          </cell>
          <cell r="F962">
            <v>0</v>
          </cell>
          <cell r="H962">
            <v>668</v>
          </cell>
          <cell r="I962">
            <v>50000</v>
          </cell>
          <cell r="J962">
            <v>668</v>
          </cell>
          <cell r="L962">
            <v>668</v>
          </cell>
        </row>
        <row r="963">
          <cell r="A963">
            <v>4126</v>
          </cell>
          <cell r="B963" t="str">
            <v>순간소방유량계</v>
          </cell>
          <cell r="C963" t="str">
            <v>550 LPM</v>
          </cell>
          <cell r="D963" t="str">
            <v>개</v>
          </cell>
          <cell r="E963">
            <v>45000</v>
          </cell>
          <cell r="F963">
            <v>0</v>
          </cell>
          <cell r="H963">
            <v>668</v>
          </cell>
          <cell r="I963">
            <v>45000</v>
          </cell>
          <cell r="J963">
            <v>668</v>
          </cell>
          <cell r="L963">
            <v>668</v>
          </cell>
        </row>
        <row r="964">
          <cell r="A964">
            <v>4127</v>
          </cell>
          <cell r="B964" t="str">
            <v>순간소방유량계</v>
          </cell>
          <cell r="C964" t="str">
            <v>375 LPM</v>
          </cell>
          <cell r="D964" t="str">
            <v>개</v>
          </cell>
          <cell r="E964">
            <v>40000</v>
          </cell>
          <cell r="F964">
            <v>0</v>
          </cell>
          <cell r="H964">
            <v>668</v>
          </cell>
          <cell r="I964">
            <v>40000</v>
          </cell>
          <cell r="J964">
            <v>668</v>
          </cell>
          <cell r="L964">
            <v>668</v>
          </cell>
        </row>
        <row r="965">
          <cell r="A965">
            <v>4131</v>
          </cell>
          <cell r="B965" t="str">
            <v>압력탱크</v>
          </cell>
          <cell r="C965" t="str">
            <v>200 Lit</v>
          </cell>
          <cell r="D965" t="str">
            <v>개</v>
          </cell>
          <cell r="E965">
            <v>600000</v>
          </cell>
          <cell r="F965">
            <v>0</v>
          </cell>
          <cell r="H965">
            <v>668</v>
          </cell>
          <cell r="I965">
            <v>600000</v>
          </cell>
          <cell r="J965">
            <v>668</v>
          </cell>
          <cell r="L965">
            <v>668</v>
          </cell>
        </row>
        <row r="966">
          <cell r="A966">
            <v>4132</v>
          </cell>
          <cell r="B966" t="str">
            <v>압력탱크</v>
          </cell>
          <cell r="C966" t="str">
            <v>100 Lit</v>
          </cell>
          <cell r="D966" t="str">
            <v>개</v>
          </cell>
          <cell r="E966">
            <v>400000</v>
          </cell>
          <cell r="F966">
            <v>0</v>
          </cell>
          <cell r="H966">
            <v>668</v>
          </cell>
          <cell r="I966">
            <v>400000</v>
          </cell>
          <cell r="J966">
            <v>668</v>
          </cell>
          <cell r="L966">
            <v>668</v>
          </cell>
        </row>
        <row r="967">
          <cell r="A967">
            <v>4133</v>
          </cell>
          <cell r="B967" t="str">
            <v>호수조(벽부형)</v>
          </cell>
          <cell r="C967" t="str">
            <v>100 Lit</v>
          </cell>
          <cell r="D967" t="str">
            <v>개</v>
          </cell>
          <cell r="E967">
            <v>200000</v>
          </cell>
          <cell r="F967">
            <v>0</v>
          </cell>
          <cell r="H967">
            <v>668</v>
          </cell>
          <cell r="I967">
            <v>200000</v>
          </cell>
          <cell r="J967">
            <v>668</v>
          </cell>
          <cell r="L967">
            <v>668</v>
          </cell>
        </row>
        <row r="968">
          <cell r="A968">
            <v>4140</v>
          </cell>
          <cell r="B968" t="str">
            <v>연결살수헤드</v>
          </cell>
          <cell r="C968" t="str">
            <v>20Ø</v>
          </cell>
          <cell r="D968" t="str">
            <v>개</v>
          </cell>
          <cell r="E968">
            <v>9000</v>
          </cell>
          <cell r="F968">
            <v>0</v>
          </cell>
          <cell r="H968">
            <v>670</v>
          </cell>
          <cell r="I968">
            <v>9000</v>
          </cell>
          <cell r="J968">
            <v>670</v>
          </cell>
          <cell r="L968">
            <v>670</v>
          </cell>
        </row>
        <row r="969">
          <cell r="A969">
            <v>4141</v>
          </cell>
          <cell r="B969" t="str">
            <v>개방형스프링클러헤드</v>
          </cell>
          <cell r="C969" t="str">
            <v>20Ø</v>
          </cell>
          <cell r="D969" t="str">
            <v>개</v>
          </cell>
          <cell r="E969">
            <v>4100</v>
          </cell>
          <cell r="F969">
            <v>0</v>
          </cell>
          <cell r="H969">
            <v>670</v>
          </cell>
          <cell r="I969">
            <v>4100</v>
          </cell>
          <cell r="J969">
            <v>670</v>
          </cell>
          <cell r="L969">
            <v>670</v>
          </cell>
        </row>
        <row r="970">
          <cell r="A970">
            <v>4142</v>
          </cell>
          <cell r="B970" t="str">
            <v>개방형스프링클러헤드</v>
          </cell>
          <cell r="C970" t="str">
            <v>15Ø</v>
          </cell>
          <cell r="D970" t="str">
            <v>개</v>
          </cell>
          <cell r="E970">
            <v>3000</v>
          </cell>
          <cell r="F970">
            <v>0</v>
          </cell>
          <cell r="H970">
            <v>670</v>
          </cell>
          <cell r="I970">
            <v>3000</v>
          </cell>
          <cell r="J970">
            <v>670</v>
          </cell>
          <cell r="L970">
            <v>670</v>
          </cell>
        </row>
        <row r="971">
          <cell r="A971">
            <v>4143</v>
          </cell>
          <cell r="B971" t="str">
            <v>폐쇄형스프링클러헤드</v>
          </cell>
          <cell r="C971" t="str">
            <v>15Øx143℃</v>
          </cell>
          <cell r="D971" t="str">
            <v>개</v>
          </cell>
          <cell r="E971">
            <v>8800</v>
          </cell>
          <cell r="F971">
            <v>0</v>
          </cell>
          <cell r="H971">
            <v>670</v>
          </cell>
          <cell r="I971">
            <v>8800</v>
          </cell>
          <cell r="J971">
            <v>670</v>
          </cell>
          <cell r="L971">
            <v>670</v>
          </cell>
        </row>
        <row r="972">
          <cell r="A972">
            <v>4144</v>
          </cell>
          <cell r="B972" t="str">
            <v>폐쇄형스프링클러헤드</v>
          </cell>
          <cell r="C972" t="str">
            <v>15Øx105℃</v>
          </cell>
          <cell r="D972" t="str">
            <v>개</v>
          </cell>
          <cell r="E972">
            <v>4500</v>
          </cell>
          <cell r="F972">
            <v>0</v>
          </cell>
          <cell r="H972">
            <v>670</v>
          </cell>
          <cell r="I972">
            <v>4500</v>
          </cell>
          <cell r="J972">
            <v>670</v>
          </cell>
          <cell r="L972">
            <v>670</v>
          </cell>
        </row>
        <row r="973">
          <cell r="A973">
            <v>4145</v>
          </cell>
          <cell r="B973" t="str">
            <v>폐쇄형스프링클러헤드</v>
          </cell>
          <cell r="C973" t="str">
            <v>15Øx 72℃</v>
          </cell>
          <cell r="D973" t="str">
            <v>개</v>
          </cell>
          <cell r="E973">
            <v>3700</v>
          </cell>
          <cell r="F973">
            <v>0</v>
          </cell>
          <cell r="H973">
            <v>670</v>
          </cell>
          <cell r="I973">
            <v>3700</v>
          </cell>
          <cell r="J973">
            <v>670</v>
          </cell>
          <cell r="L973">
            <v>670</v>
          </cell>
        </row>
        <row r="974">
          <cell r="A974">
            <v>4146</v>
          </cell>
          <cell r="B974" t="str">
            <v>측벽형스프링클러헤드</v>
          </cell>
          <cell r="C974" t="str">
            <v>15Øx105℃</v>
          </cell>
          <cell r="D974" t="str">
            <v>개</v>
          </cell>
          <cell r="E974">
            <v>6900</v>
          </cell>
          <cell r="F974">
            <v>0</v>
          </cell>
          <cell r="H974">
            <v>670</v>
          </cell>
          <cell r="I974">
            <v>6900</v>
          </cell>
          <cell r="J974">
            <v>670</v>
          </cell>
          <cell r="L974">
            <v>670</v>
          </cell>
        </row>
        <row r="975">
          <cell r="A975">
            <v>4147</v>
          </cell>
          <cell r="B975" t="str">
            <v>측벽형스프링클러헤드</v>
          </cell>
          <cell r="C975" t="str">
            <v>15Øx 72℃</v>
          </cell>
          <cell r="D975" t="str">
            <v>개</v>
          </cell>
          <cell r="E975">
            <v>6000</v>
          </cell>
          <cell r="F975">
            <v>0</v>
          </cell>
          <cell r="H975">
            <v>670</v>
          </cell>
          <cell r="I975">
            <v>6000</v>
          </cell>
          <cell r="J975">
            <v>670</v>
          </cell>
          <cell r="L975">
            <v>670</v>
          </cell>
        </row>
        <row r="976">
          <cell r="A976">
            <v>4148</v>
          </cell>
          <cell r="B976" t="str">
            <v>원형스프링클러헤드</v>
          </cell>
          <cell r="C976" t="str">
            <v>15Øx105℃</v>
          </cell>
          <cell r="D976" t="str">
            <v>개</v>
          </cell>
          <cell r="E976">
            <v>6500</v>
          </cell>
          <cell r="F976">
            <v>0</v>
          </cell>
          <cell r="H976">
            <v>670</v>
          </cell>
          <cell r="I976">
            <v>6500</v>
          </cell>
          <cell r="J976">
            <v>670</v>
          </cell>
          <cell r="L976">
            <v>670</v>
          </cell>
        </row>
        <row r="977">
          <cell r="A977">
            <v>4149</v>
          </cell>
          <cell r="B977" t="str">
            <v>원형스프링클러헤드</v>
          </cell>
          <cell r="C977" t="str">
            <v>15Øx 72℃</v>
          </cell>
          <cell r="D977" t="str">
            <v>개</v>
          </cell>
          <cell r="E977">
            <v>5500</v>
          </cell>
          <cell r="F977">
            <v>0</v>
          </cell>
          <cell r="H977">
            <v>670</v>
          </cell>
          <cell r="I977">
            <v>5500</v>
          </cell>
          <cell r="J977">
            <v>670</v>
          </cell>
          <cell r="L977">
            <v>670</v>
          </cell>
        </row>
        <row r="978">
          <cell r="A978">
            <v>5001</v>
          </cell>
          <cell r="B978" t="str">
            <v>가교폴리에틸렌관(XL)</v>
          </cell>
          <cell r="C978" t="str">
            <v>15Ø</v>
          </cell>
          <cell r="D978" t="str">
            <v>M</v>
          </cell>
          <cell r="E978">
            <v>270</v>
          </cell>
          <cell r="F978">
            <v>0</v>
          </cell>
          <cell r="H978" t="str">
            <v>-</v>
          </cell>
          <cell r="I978">
            <v>270</v>
          </cell>
          <cell r="J978" t="str">
            <v>-</v>
          </cell>
          <cell r="L978" t="str">
            <v>-</v>
          </cell>
        </row>
        <row r="979">
          <cell r="A979">
            <v>5002</v>
          </cell>
          <cell r="B979" t="str">
            <v>가교폴리에틸렌관(XL)</v>
          </cell>
          <cell r="C979" t="str">
            <v>20Ø</v>
          </cell>
          <cell r="D979" t="str">
            <v>M</v>
          </cell>
          <cell r="E979">
            <v>450</v>
          </cell>
          <cell r="F979">
            <v>0</v>
          </cell>
          <cell r="H979" t="str">
            <v>-</v>
          </cell>
          <cell r="I979">
            <v>450</v>
          </cell>
          <cell r="J979" t="str">
            <v>-</v>
          </cell>
          <cell r="L979" t="str">
            <v>-</v>
          </cell>
        </row>
        <row r="980">
          <cell r="A980">
            <v>5111</v>
          </cell>
          <cell r="B980" t="str">
            <v>전기온돌판넬</v>
          </cell>
          <cell r="C980" t="str">
            <v>850x1,700</v>
          </cell>
          <cell r="D980" t="str">
            <v>조</v>
          </cell>
          <cell r="E980">
            <v>60000</v>
          </cell>
          <cell r="F980">
            <v>0</v>
          </cell>
          <cell r="H980">
            <v>611</v>
          </cell>
          <cell r="I980">
            <v>60000</v>
          </cell>
          <cell r="J980">
            <v>611</v>
          </cell>
          <cell r="L980">
            <v>611</v>
          </cell>
        </row>
        <row r="981">
          <cell r="A981">
            <v>5112</v>
          </cell>
          <cell r="B981" t="str">
            <v>전기온돌판넬</v>
          </cell>
          <cell r="C981" t="str">
            <v>400x1,700</v>
          </cell>
          <cell r="D981" t="str">
            <v>조</v>
          </cell>
          <cell r="E981">
            <v>40000</v>
          </cell>
          <cell r="F981">
            <v>0</v>
          </cell>
          <cell r="H981">
            <v>611</v>
          </cell>
          <cell r="I981">
            <v>40000</v>
          </cell>
          <cell r="J981">
            <v>611</v>
          </cell>
          <cell r="L981">
            <v>611</v>
          </cell>
        </row>
        <row r="982">
          <cell r="A982">
            <v>5113</v>
          </cell>
          <cell r="B982" t="str">
            <v>전기온돌판넬</v>
          </cell>
          <cell r="C982" t="str">
            <v>850 x 850</v>
          </cell>
          <cell r="D982" t="str">
            <v>조</v>
          </cell>
          <cell r="E982">
            <v>40000</v>
          </cell>
          <cell r="F982">
            <v>0</v>
          </cell>
          <cell r="H982">
            <v>611</v>
          </cell>
          <cell r="I982">
            <v>40000</v>
          </cell>
          <cell r="J982">
            <v>611</v>
          </cell>
          <cell r="L982">
            <v>611</v>
          </cell>
        </row>
        <row r="983">
          <cell r="A983">
            <v>5114</v>
          </cell>
          <cell r="B983" t="str">
            <v>자동온도조절기</v>
          </cell>
          <cell r="C983" t="str">
            <v>전자식(대형)</v>
          </cell>
          <cell r="D983" t="str">
            <v>개</v>
          </cell>
          <cell r="E983">
            <v>55000</v>
          </cell>
          <cell r="F983">
            <v>0</v>
          </cell>
          <cell r="H983">
            <v>611</v>
          </cell>
          <cell r="I983">
            <v>55000</v>
          </cell>
          <cell r="J983">
            <v>611</v>
          </cell>
          <cell r="L983">
            <v>611</v>
          </cell>
        </row>
        <row r="984">
          <cell r="A984">
            <v>5115</v>
          </cell>
          <cell r="B984" t="str">
            <v>자동온도조절기</v>
          </cell>
          <cell r="C984" t="str">
            <v>전자식(중형)</v>
          </cell>
          <cell r="D984" t="str">
            <v>개</v>
          </cell>
          <cell r="E984">
            <v>40000</v>
          </cell>
          <cell r="F984">
            <v>0</v>
          </cell>
          <cell r="H984">
            <v>611</v>
          </cell>
          <cell r="I984">
            <v>40000</v>
          </cell>
          <cell r="J984">
            <v>611</v>
          </cell>
          <cell r="L984">
            <v>611</v>
          </cell>
        </row>
        <row r="985">
          <cell r="A985">
            <v>5121</v>
          </cell>
          <cell r="B985" t="str">
            <v>분배기(청동밸브포함)</v>
          </cell>
          <cell r="C985" t="str">
            <v>15Øx2구</v>
          </cell>
          <cell r="D985" t="str">
            <v>조</v>
          </cell>
          <cell r="E985">
            <v>11000</v>
          </cell>
          <cell r="F985">
            <v>0</v>
          </cell>
          <cell r="H985">
            <v>613</v>
          </cell>
          <cell r="I985">
            <v>11000</v>
          </cell>
          <cell r="J985">
            <v>613</v>
          </cell>
          <cell r="L985">
            <v>613</v>
          </cell>
        </row>
        <row r="986">
          <cell r="A986">
            <v>5122</v>
          </cell>
          <cell r="B986" t="str">
            <v>분배기(청동밸브포함)</v>
          </cell>
          <cell r="C986" t="str">
            <v>15Øx3구</v>
          </cell>
          <cell r="D986" t="str">
            <v>조</v>
          </cell>
          <cell r="E986">
            <v>20800</v>
          </cell>
          <cell r="F986">
            <v>0</v>
          </cell>
          <cell r="H986">
            <v>613</v>
          </cell>
          <cell r="I986">
            <v>20800</v>
          </cell>
          <cell r="J986">
            <v>613</v>
          </cell>
          <cell r="L986">
            <v>613</v>
          </cell>
        </row>
        <row r="987">
          <cell r="A987">
            <v>5123</v>
          </cell>
          <cell r="B987" t="str">
            <v>분배기(청동밸브포함)</v>
          </cell>
          <cell r="C987" t="str">
            <v>15Øx4구</v>
          </cell>
          <cell r="D987" t="str">
            <v>조</v>
          </cell>
          <cell r="E987">
            <v>30600</v>
          </cell>
          <cell r="F987">
            <v>0</v>
          </cell>
          <cell r="H987">
            <v>613</v>
          </cell>
          <cell r="I987">
            <v>30600</v>
          </cell>
          <cell r="J987">
            <v>613</v>
          </cell>
          <cell r="L987">
            <v>613</v>
          </cell>
        </row>
        <row r="988">
          <cell r="A988">
            <v>5124</v>
          </cell>
          <cell r="B988" t="str">
            <v>분배기(청동밸브포함)</v>
          </cell>
          <cell r="C988" t="str">
            <v>15Øx5구</v>
          </cell>
          <cell r="D988" t="str">
            <v>조</v>
          </cell>
          <cell r="E988">
            <v>40400</v>
          </cell>
          <cell r="F988">
            <v>0</v>
          </cell>
          <cell r="H988">
            <v>613</v>
          </cell>
          <cell r="I988">
            <v>40400</v>
          </cell>
          <cell r="J988">
            <v>613</v>
          </cell>
          <cell r="L988">
            <v>613</v>
          </cell>
        </row>
        <row r="989">
          <cell r="A989">
            <v>5125</v>
          </cell>
          <cell r="B989" t="str">
            <v>분배기(청동밸브포함)</v>
          </cell>
          <cell r="C989" t="str">
            <v>15Øx6구</v>
          </cell>
          <cell r="D989" t="str">
            <v>조</v>
          </cell>
          <cell r="E989">
            <v>50200</v>
          </cell>
          <cell r="F989">
            <v>0</v>
          </cell>
          <cell r="H989">
            <v>613</v>
          </cell>
          <cell r="I989">
            <v>50200</v>
          </cell>
          <cell r="J989">
            <v>613</v>
          </cell>
          <cell r="L989">
            <v>613</v>
          </cell>
        </row>
        <row r="990">
          <cell r="A990">
            <v>5126</v>
          </cell>
          <cell r="B990" t="str">
            <v>분배기(청동밸브포함)</v>
          </cell>
          <cell r="C990" t="str">
            <v>15Øx7구</v>
          </cell>
          <cell r="D990" t="str">
            <v>조</v>
          </cell>
          <cell r="E990">
            <v>60000</v>
          </cell>
          <cell r="F990">
            <v>0</v>
          </cell>
          <cell r="H990">
            <v>613</v>
          </cell>
          <cell r="I990">
            <v>60000</v>
          </cell>
          <cell r="J990">
            <v>613</v>
          </cell>
          <cell r="L990">
            <v>613</v>
          </cell>
        </row>
        <row r="991">
          <cell r="A991">
            <v>5130</v>
          </cell>
          <cell r="B991" t="str">
            <v>강판제방열기</v>
          </cell>
          <cell r="C991" t="str">
            <v>CR-600</v>
          </cell>
          <cell r="D991" t="str">
            <v>쪽</v>
          </cell>
          <cell r="E991">
            <v>9600</v>
          </cell>
          <cell r="F991">
            <v>0</v>
          </cell>
          <cell r="I991">
            <v>9600</v>
          </cell>
        </row>
        <row r="992">
          <cell r="A992">
            <v>5131</v>
          </cell>
          <cell r="B992" t="str">
            <v>주철제방열기</v>
          </cell>
          <cell r="C992" t="str">
            <v>5C-650</v>
          </cell>
          <cell r="D992" t="str">
            <v>쪽</v>
          </cell>
          <cell r="E992">
            <v>10000</v>
          </cell>
          <cell r="F992">
            <v>0</v>
          </cell>
          <cell r="I992">
            <v>10000</v>
          </cell>
        </row>
        <row r="993">
          <cell r="A993">
            <v>5132</v>
          </cell>
          <cell r="B993" t="str">
            <v>알루미늄방열기</v>
          </cell>
          <cell r="C993" t="str">
            <v>AR-600</v>
          </cell>
          <cell r="D993" t="str">
            <v>쪽</v>
          </cell>
          <cell r="E993">
            <v>3500</v>
          </cell>
          <cell r="F993">
            <v>0</v>
          </cell>
          <cell r="H993">
            <v>614</v>
          </cell>
          <cell r="I993">
            <v>3500</v>
          </cell>
          <cell r="J993">
            <v>614</v>
          </cell>
          <cell r="L993">
            <v>614</v>
          </cell>
        </row>
        <row r="994">
          <cell r="A994">
            <v>5133</v>
          </cell>
          <cell r="B994" t="str">
            <v>전기온풍기(심야전력)</v>
          </cell>
          <cell r="C994" t="str">
            <v>6.0kW</v>
          </cell>
          <cell r="D994" t="str">
            <v>대</v>
          </cell>
          <cell r="E994">
            <v>1130000</v>
          </cell>
          <cell r="F994">
            <v>0</v>
          </cell>
          <cell r="G994">
            <v>1130000</v>
          </cell>
          <cell r="H994">
            <v>619</v>
          </cell>
          <cell r="I994">
            <v>1199000</v>
          </cell>
          <cell r="J994">
            <v>619</v>
          </cell>
          <cell r="L994">
            <v>619</v>
          </cell>
        </row>
        <row r="995">
          <cell r="A995">
            <v>5134</v>
          </cell>
          <cell r="B995" t="str">
            <v>전기온풍기(심야전력)</v>
          </cell>
          <cell r="C995" t="str">
            <v>4.8kW</v>
          </cell>
          <cell r="D995" t="str">
            <v>대</v>
          </cell>
          <cell r="E995">
            <v>800000</v>
          </cell>
          <cell r="F995">
            <v>0</v>
          </cell>
          <cell r="G995">
            <v>800000</v>
          </cell>
          <cell r="H995">
            <v>619</v>
          </cell>
          <cell r="I995">
            <v>880000</v>
          </cell>
          <cell r="J995">
            <v>619</v>
          </cell>
          <cell r="L995">
            <v>619</v>
          </cell>
        </row>
        <row r="996">
          <cell r="A996">
            <v>5135</v>
          </cell>
          <cell r="B996" t="str">
            <v>전기온풍기(심야전력)</v>
          </cell>
          <cell r="C996" t="str">
            <v>3.2kW</v>
          </cell>
          <cell r="D996" t="str">
            <v>대</v>
          </cell>
          <cell r="E996">
            <v>610000</v>
          </cell>
          <cell r="F996">
            <v>0</v>
          </cell>
          <cell r="G996">
            <v>610000</v>
          </cell>
          <cell r="H996">
            <v>619</v>
          </cell>
          <cell r="I996">
            <v>699600</v>
          </cell>
          <cell r="J996">
            <v>619</v>
          </cell>
          <cell r="L996">
            <v>619</v>
          </cell>
        </row>
        <row r="997">
          <cell r="A997">
            <v>5136</v>
          </cell>
          <cell r="B997" t="str">
            <v>전기온풍기(심야전력)</v>
          </cell>
          <cell r="C997" t="str">
            <v>2.4kW</v>
          </cell>
          <cell r="D997" t="str">
            <v>대</v>
          </cell>
          <cell r="E997">
            <v>540000</v>
          </cell>
          <cell r="F997">
            <v>0</v>
          </cell>
          <cell r="G997">
            <v>540000</v>
          </cell>
          <cell r="H997">
            <v>619</v>
          </cell>
          <cell r="I997">
            <v>610000</v>
          </cell>
          <cell r="J997">
            <v>619</v>
          </cell>
          <cell r="L997">
            <v>619</v>
          </cell>
        </row>
        <row r="998">
          <cell r="A998">
            <v>5137</v>
          </cell>
          <cell r="B998" t="str">
            <v>전기방열기</v>
          </cell>
          <cell r="C998" t="str">
            <v>2.5kW</v>
          </cell>
          <cell r="D998" t="str">
            <v>대</v>
          </cell>
          <cell r="E998">
            <v>260000</v>
          </cell>
          <cell r="F998">
            <v>0</v>
          </cell>
          <cell r="H998">
            <v>614</v>
          </cell>
          <cell r="I998">
            <v>260000</v>
          </cell>
          <cell r="J998">
            <v>614</v>
          </cell>
          <cell r="L998">
            <v>614</v>
          </cell>
        </row>
        <row r="999">
          <cell r="A999">
            <v>5138</v>
          </cell>
          <cell r="B999" t="str">
            <v>전기방열기</v>
          </cell>
          <cell r="C999" t="str">
            <v>2.0kW</v>
          </cell>
          <cell r="D999" t="str">
            <v>대</v>
          </cell>
          <cell r="E999">
            <v>240000</v>
          </cell>
          <cell r="F999">
            <v>0</v>
          </cell>
          <cell r="H999">
            <v>614</v>
          </cell>
          <cell r="I999">
            <v>240000</v>
          </cell>
          <cell r="J999">
            <v>614</v>
          </cell>
          <cell r="L999">
            <v>614</v>
          </cell>
        </row>
        <row r="1000">
          <cell r="A1000">
            <v>5141</v>
          </cell>
          <cell r="B1000" t="str">
            <v>가스순간온수기</v>
          </cell>
          <cell r="C1000" t="str">
            <v>13 Lit/min</v>
          </cell>
          <cell r="D1000" t="str">
            <v>대</v>
          </cell>
          <cell r="E1000">
            <v>470000</v>
          </cell>
          <cell r="F1000">
            <v>0</v>
          </cell>
          <cell r="H1000">
            <v>587</v>
          </cell>
          <cell r="I1000">
            <v>470000</v>
          </cell>
          <cell r="J1000">
            <v>587</v>
          </cell>
          <cell r="L1000">
            <v>587</v>
          </cell>
        </row>
        <row r="1001">
          <cell r="A1001">
            <v>5142</v>
          </cell>
          <cell r="B1001" t="str">
            <v>가스순간온수기</v>
          </cell>
          <cell r="C1001" t="str">
            <v>16 Lit/min</v>
          </cell>
          <cell r="D1001" t="str">
            <v>대</v>
          </cell>
          <cell r="E1001">
            <v>546000</v>
          </cell>
          <cell r="F1001">
            <v>0</v>
          </cell>
          <cell r="H1001">
            <v>587</v>
          </cell>
          <cell r="I1001">
            <v>546000</v>
          </cell>
          <cell r="J1001">
            <v>587</v>
          </cell>
          <cell r="L1001">
            <v>587</v>
          </cell>
        </row>
        <row r="1002">
          <cell r="A1002">
            <v>5143</v>
          </cell>
          <cell r="B1002" t="str">
            <v>전기순간온수기</v>
          </cell>
          <cell r="C1002" t="str">
            <v>60 Lit/hr</v>
          </cell>
          <cell r="D1002" t="str">
            <v>대</v>
          </cell>
          <cell r="E1002">
            <v>310000</v>
          </cell>
          <cell r="F1002">
            <v>0</v>
          </cell>
          <cell r="H1002">
            <v>591</v>
          </cell>
          <cell r="I1002">
            <v>310000</v>
          </cell>
          <cell r="J1002">
            <v>591</v>
          </cell>
          <cell r="L1002">
            <v>591</v>
          </cell>
        </row>
        <row r="1003">
          <cell r="A1003">
            <v>5144</v>
          </cell>
          <cell r="B1003" t="str">
            <v>전기순간온수기</v>
          </cell>
          <cell r="C1003" t="str">
            <v>80 Lit/hr</v>
          </cell>
          <cell r="D1003" t="str">
            <v>대</v>
          </cell>
          <cell r="E1003">
            <v>350000</v>
          </cell>
          <cell r="F1003">
            <v>0</v>
          </cell>
          <cell r="H1003">
            <v>591</v>
          </cell>
          <cell r="I1003">
            <v>350000</v>
          </cell>
          <cell r="J1003">
            <v>591</v>
          </cell>
          <cell r="L1003">
            <v>591</v>
          </cell>
        </row>
        <row r="1004">
          <cell r="A1004">
            <v>5145</v>
          </cell>
          <cell r="B1004" t="str">
            <v>전기순간온수기</v>
          </cell>
          <cell r="C1004" t="str">
            <v>120 Lit/hr</v>
          </cell>
          <cell r="D1004" t="str">
            <v>대</v>
          </cell>
          <cell r="E1004">
            <v>420000</v>
          </cell>
          <cell r="F1004">
            <v>0</v>
          </cell>
          <cell r="H1004">
            <v>591</v>
          </cell>
          <cell r="I1004">
            <v>420000</v>
          </cell>
          <cell r="J1004">
            <v>591</v>
          </cell>
          <cell r="L1004">
            <v>591</v>
          </cell>
        </row>
        <row r="1005">
          <cell r="A1005">
            <v>5146</v>
          </cell>
          <cell r="B1005" t="str">
            <v>전기순간온수기</v>
          </cell>
          <cell r="C1005" t="str">
            <v>180 Lit/hr</v>
          </cell>
          <cell r="D1005" t="str">
            <v>대</v>
          </cell>
          <cell r="E1005">
            <v>468000</v>
          </cell>
          <cell r="F1005">
            <v>0</v>
          </cell>
          <cell r="H1005">
            <v>591</v>
          </cell>
          <cell r="I1005">
            <v>468000</v>
          </cell>
          <cell r="J1005">
            <v>591</v>
          </cell>
          <cell r="L1005">
            <v>591</v>
          </cell>
        </row>
        <row r="1006">
          <cell r="A1006">
            <v>5147</v>
          </cell>
          <cell r="B1006" t="str">
            <v>전기순간온수기</v>
          </cell>
          <cell r="C1006" t="str">
            <v>260 Lit/hr</v>
          </cell>
          <cell r="D1006" t="str">
            <v>대</v>
          </cell>
          <cell r="E1006">
            <v>559000</v>
          </cell>
          <cell r="F1006">
            <v>0</v>
          </cell>
          <cell r="H1006">
            <v>591</v>
          </cell>
          <cell r="I1006">
            <v>559000</v>
          </cell>
          <cell r="J1006">
            <v>591</v>
          </cell>
          <cell r="L1006">
            <v>591</v>
          </cell>
        </row>
        <row r="1007">
          <cell r="A1007">
            <v>5148</v>
          </cell>
          <cell r="B1007" t="str">
            <v>전기순간온수기</v>
          </cell>
          <cell r="C1007" t="str">
            <v>340 Lit/hr</v>
          </cell>
          <cell r="D1007" t="str">
            <v>대</v>
          </cell>
          <cell r="E1007">
            <v>715000</v>
          </cell>
          <cell r="F1007">
            <v>0</v>
          </cell>
          <cell r="H1007">
            <v>591</v>
          </cell>
          <cell r="I1007">
            <v>715000</v>
          </cell>
          <cell r="J1007">
            <v>591</v>
          </cell>
          <cell r="L1007">
            <v>591</v>
          </cell>
        </row>
        <row r="1008">
          <cell r="A1008">
            <v>5149</v>
          </cell>
          <cell r="B1008" t="str">
            <v>전기순간온수기</v>
          </cell>
          <cell r="C1008" t="str">
            <v>450 Lit/hr</v>
          </cell>
          <cell r="D1008" t="str">
            <v>대</v>
          </cell>
          <cell r="E1008">
            <v>910000</v>
          </cell>
          <cell r="F1008">
            <v>0</v>
          </cell>
          <cell r="H1008">
            <v>591</v>
          </cell>
          <cell r="I1008">
            <v>910000</v>
          </cell>
          <cell r="J1008">
            <v>591</v>
          </cell>
          <cell r="L1008">
            <v>591</v>
          </cell>
        </row>
        <row r="1009">
          <cell r="A1009">
            <v>5151</v>
          </cell>
          <cell r="B1009" t="str">
            <v>전기순간온수기</v>
          </cell>
          <cell r="C1009" t="str">
            <v>5.5 kW</v>
          </cell>
          <cell r="D1009" t="str">
            <v>대</v>
          </cell>
          <cell r="E1009">
            <v>275000</v>
          </cell>
          <cell r="F1009">
            <v>0</v>
          </cell>
          <cell r="H1009">
            <v>587</v>
          </cell>
          <cell r="I1009">
            <v>275000</v>
          </cell>
          <cell r="J1009">
            <v>587</v>
          </cell>
          <cell r="L1009">
            <v>587</v>
          </cell>
        </row>
        <row r="1010">
          <cell r="A1010">
            <v>5152</v>
          </cell>
          <cell r="B1010" t="str">
            <v>전기순간온수기</v>
          </cell>
          <cell r="C1010" t="str">
            <v>5.5 kW</v>
          </cell>
          <cell r="D1010" t="str">
            <v>대</v>
          </cell>
          <cell r="E1010">
            <v>310000</v>
          </cell>
          <cell r="F1010">
            <v>0</v>
          </cell>
          <cell r="H1010">
            <v>587</v>
          </cell>
          <cell r="I1010">
            <v>310000</v>
          </cell>
          <cell r="J1010">
            <v>587</v>
          </cell>
          <cell r="L1010">
            <v>587</v>
          </cell>
        </row>
        <row r="1011">
          <cell r="E1011">
            <v>0</v>
          </cell>
        </row>
        <row r="1012">
          <cell r="E1012">
            <v>0</v>
          </cell>
        </row>
        <row r="1013">
          <cell r="E1013">
            <v>0</v>
          </cell>
        </row>
        <row r="1014">
          <cell r="E1014">
            <v>0</v>
          </cell>
        </row>
        <row r="1015">
          <cell r="E1015">
            <v>0</v>
          </cell>
        </row>
        <row r="1038">
          <cell r="A1038">
            <v>7101</v>
          </cell>
          <cell r="B1038" t="str">
            <v>황색페인트</v>
          </cell>
          <cell r="C1038" t="str">
            <v>2회</v>
          </cell>
          <cell r="D1038" t="str">
            <v>M²</v>
          </cell>
          <cell r="E1038">
            <v>1133</v>
          </cell>
          <cell r="F1038">
            <v>2592</v>
          </cell>
          <cell r="H1038">
            <v>0</v>
          </cell>
          <cell r="I1038">
            <v>1133</v>
          </cell>
          <cell r="J1038">
            <v>0</v>
          </cell>
          <cell r="L1038">
            <v>0</v>
          </cell>
        </row>
        <row r="1039">
          <cell r="A1039">
            <v>7102</v>
          </cell>
          <cell r="B1039" t="str">
            <v>LP 가스용기</v>
          </cell>
          <cell r="C1039" t="str">
            <v>20 kg</v>
          </cell>
          <cell r="D1039" t="str">
            <v>병</v>
          </cell>
          <cell r="E1039">
            <v>75000</v>
          </cell>
          <cell r="F1039">
            <v>0</v>
          </cell>
          <cell r="H1039">
            <v>0</v>
          </cell>
          <cell r="I1039">
            <v>75000</v>
          </cell>
          <cell r="J1039">
            <v>0</v>
          </cell>
          <cell r="L1039">
            <v>0</v>
          </cell>
        </row>
        <row r="1040">
          <cell r="A1040">
            <v>7103</v>
          </cell>
          <cell r="B1040" t="str">
            <v>LP 가스용기</v>
          </cell>
          <cell r="C1040" t="str">
            <v>50 kg</v>
          </cell>
          <cell r="D1040" t="str">
            <v>병</v>
          </cell>
          <cell r="E1040">
            <v>100000</v>
          </cell>
          <cell r="F1040">
            <v>0</v>
          </cell>
          <cell r="H1040">
            <v>0</v>
          </cell>
          <cell r="I1040">
            <v>100000</v>
          </cell>
          <cell r="J1040">
            <v>0</v>
          </cell>
          <cell r="L1040">
            <v>0</v>
          </cell>
        </row>
        <row r="1041">
          <cell r="A1041">
            <v>7111</v>
          </cell>
          <cell r="B1041" t="str">
            <v>가스누설 차단기</v>
          </cell>
          <cell r="C1041" t="str">
            <v>15A 1회로</v>
          </cell>
          <cell r="D1041" t="str">
            <v>개</v>
          </cell>
          <cell r="E1041">
            <v>48200</v>
          </cell>
          <cell r="F1041">
            <v>0</v>
          </cell>
          <cell r="H1041">
            <v>1059</v>
          </cell>
          <cell r="I1041">
            <v>48200</v>
          </cell>
          <cell r="J1041">
            <v>1059</v>
          </cell>
          <cell r="L1041">
            <v>1059</v>
          </cell>
        </row>
        <row r="1042">
          <cell r="A1042">
            <v>7112</v>
          </cell>
          <cell r="B1042" t="str">
            <v>가스누설 차단기</v>
          </cell>
          <cell r="C1042" t="str">
            <v>20A 3회로</v>
          </cell>
          <cell r="D1042" t="str">
            <v>개</v>
          </cell>
          <cell r="E1042">
            <v>75500</v>
          </cell>
          <cell r="F1042">
            <v>0</v>
          </cell>
          <cell r="H1042">
            <v>1059</v>
          </cell>
          <cell r="I1042">
            <v>75500</v>
          </cell>
          <cell r="J1042">
            <v>1059</v>
          </cell>
          <cell r="L1042">
            <v>1059</v>
          </cell>
        </row>
        <row r="1043">
          <cell r="A1043">
            <v>7113</v>
          </cell>
          <cell r="B1043" t="str">
            <v>가스누설 차단기</v>
          </cell>
          <cell r="C1043" t="str">
            <v>25A 6회로</v>
          </cell>
          <cell r="D1043" t="str">
            <v>개</v>
          </cell>
          <cell r="E1043">
            <v>100700</v>
          </cell>
          <cell r="F1043">
            <v>0</v>
          </cell>
          <cell r="H1043">
            <v>1059</v>
          </cell>
          <cell r="I1043">
            <v>100700</v>
          </cell>
          <cell r="J1043">
            <v>1059</v>
          </cell>
          <cell r="L1043">
            <v>1059</v>
          </cell>
        </row>
        <row r="1044">
          <cell r="A1044">
            <v>7114</v>
          </cell>
          <cell r="B1044" t="str">
            <v>가스누설 차단기</v>
          </cell>
          <cell r="C1044" t="str">
            <v>32A 3회로</v>
          </cell>
          <cell r="D1044" t="str">
            <v>개</v>
          </cell>
          <cell r="E1044">
            <v>287500</v>
          </cell>
          <cell r="F1044">
            <v>0</v>
          </cell>
          <cell r="H1044">
            <v>1059</v>
          </cell>
          <cell r="I1044">
            <v>287500</v>
          </cell>
          <cell r="J1044">
            <v>1059</v>
          </cell>
          <cell r="L1044">
            <v>1059</v>
          </cell>
        </row>
        <row r="1045">
          <cell r="A1045">
            <v>7115</v>
          </cell>
          <cell r="B1045" t="str">
            <v>가스누설 차단기</v>
          </cell>
          <cell r="C1045" t="str">
            <v>50A 6회로</v>
          </cell>
          <cell r="D1045" t="str">
            <v>개</v>
          </cell>
          <cell r="E1045">
            <v>468100</v>
          </cell>
          <cell r="F1045">
            <v>0</v>
          </cell>
          <cell r="H1045">
            <v>1059</v>
          </cell>
          <cell r="I1045">
            <v>468100</v>
          </cell>
          <cell r="J1045">
            <v>1059</v>
          </cell>
          <cell r="L1045">
            <v>1059</v>
          </cell>
        </row>
        <row r="1046">
          <cell r="A1046">
            <v>7121</v>
          </cell>
          <cell r="B1046" t="str">
            <v>가스누설 감지기</v>
          </cell>
          <cell r="C1046" t="str">
            <v>#800</v>
          </cell>
          <cell r="D1046" t="str">
            <v>조</v>
          </cell>
          <cell r="E1046">
            <v>270000</v>
          </cell>
          <cell r="F1046">
            <v>0</v>
          </cell>
          <cell r="H1046">
            <v>1059</v>
          </cell>
          <cell r="I1046">
            <v>270000</v>
          </cell>
          <cell r="J1046">
            <v>1059</v>
          </cell>
          <cell r="L1046">
            <v>1059</v>
          </cell>
        </row>
        <row r="1047">
          <cell r="A1047">
            <v>7122</v>
          </cell>
          <cell r="B1047" t="str">
            <v>가스누설 경보기</v>
          </cell>
          <cell r="C1047" t="str">
            <v>일체형</v>
          </cell>
          <cell r="D1047" t="str">
            <v>개</v>
          </cell>
          <cell r="E1047">
            <v>23900</v>
          </cell>
          <cell r="F1047">
            <v>0</v>
          </cell>
          <cell r="H1047">
            <v>0</v>
          </cell>
          <cell r="I1047">
            <v>23900</v>
          </cell>
          <cell r="J1047">
            <v>0</v>
          </cell>
          <cell r="L1047">
            <v>0</v>
          </cell>
        </row>
        <row r="1048">
          <cell r="A1048">
            <v>7131</v>
          </cell>
          <cell r="B1048" t="str">
            <v>압력계</v>
          </cell>
          <cell r="D1048" t="str">
            <v>개</v>
          </cell>
          <cell r="E1048">
            <v>4400</v>
          </cell>
          <cell r="F1048">
            <v>0</v>
          </cell>
          <cell r="H1048">
            <v>552</v>
          </cell>
          <cell r="I1048">
            <v>4400</v>
          </cell>
          <cell r="J1048">
            <v>552</v>
          </cell>
          <cell r="L1048">
            <v>552</v>
          </cell>
        </row>
        <row r="1049">
          <cell r="A1049">
            <v>7141</v>
          </cell>
          <cell r="B1049" t="str">
            <v>압력조정기</v>
          </cell>
          <cell r="C1049" t="str">
            <v>저압용</v>
          </cell>
          <cell r="D1049" t="str">
            <v>개</v>
          </cell>
          <cell r="E1049">
            <v>95000</v>
          </cell>
          <cell r="F1049">
            <v>0</v>
          </cell>
          <cell r="H1049">
            <v>0</v>
          </cell>
          <cell r="I1049">
            <v>95000</v>
          </cell>
          <cell r="J1049">
            <v>0</v>
          </cell>
          <cell r="L1049">
            <v>0</v>
          </cell>
        </row>
        <row r="1050">
          <cell r="A1050">
            <v>7142</v>
          </cell>
          <cell r="B1050" t="str">
            <v>연결가스관</v>
          </cell>
          <cell r="C1050" t="str">
            <v>15Ø</v>
          </cell>
          <cell r="D1050" t="str">
            <v>M</v>
          </cell>
          <cell r="E1050">
            <v>3959</v>
          </cell>
          <cell r="F1050">
            <v>0</v>
          </cell>
          <cell r="H1050">
            <v>0</v>
          </cell>
          <cell r="I1050">
            <v>3959</v>
          </cell>
          <cell r="J1050">
            <v>0</v>
          </cell>
          <cell r="L1050">
            <v>0</v>
          </cell>
        </row>
        <row r="1051">
          <cell r="A1051">
            <v>7151</v>
          </cell>
          <cell r="B1051" t="str">
            <v>가스용볼밸브(나사식)</v>
          </cell>
          <cell r="C1051" t="str">
            <v>15Ø</v>
          </cell>
          <cell r="D1051" t="str">
            <v>개</v>
          </cell>
          <cell r="E1051">
            <v>30900</v>
          </cell>
          <cell r="F1051">
            <v>0</v>
          </cell>
          <cell r="H1051">
            <v>543</v>
          </cell>
          <cell r="I1051">
            <v>30900</v>
          </cell>
          <cell r="J1051">
            <v>543</v>
          </cell>
          <cell r="L1051">
            <v>543</v>
          </cell>
        </row>
        <row r="1052">
          <cell r="A1052">
            <v>7152</v>
          </cell>
          <cell r="B1052" t="str">
            <v>가스용볼밸브(나사식)</v>
          </cell>
          <cell r="C1052" t="str">
            <v>20Ø</v>
          </cell>
          <cell r="D1052" t="str">
            <v>개</v>
          </cell>
          <cell r="E1052">
            <v>33900</v>
          </cell>
          <cell r="F1052">
            <v>0</v>
          </cell>
          <cell r="H1052">
            <v>543</v>
          </cell>
          <cell r="I1052">
            <v>33900</v>
          </cell>
          <cell r="J1052">
            <v>543</v>
          </cell>
          <cell r="L1052">
            <v>543</v>
          </cell>
        </row>
        <row r="1053">
          <cell r="A1053">
            <v>7153</v>
          </cell>
          <cell r="B1053" t="str">
            <v>글로우브밸브(10kg)</v>
          </cell>
          <cell r="C1053" t="str">
            <v>25Ø</v>
          </cell>
          <cell r="D1053" t="str">
            <v>개</v>
          </cell>
          <cell r="E1053">
            <v>47800</v>
          </cell>
          <cell r="F1053">
            <v>0</v>
          </cell>
          <cell r="H1053">
            <v>543</v>
          </cell>
          <cell r="I1053">
            <v>47800</v>
          </cell>
          <cell r="J1053">
            <v>543</v>
          </cell>
          <cell r="L1053">
            <v>543</v>
          </cell>
        </row>
        <row r="1054">
          <cell r="A1054">
            <v>7154</v>
          </cell>
          <cell r="B1054" t="str">
            <v>글로우브밸브(10kg)</v>
          </cell>
          <cell r="C1054" t="str">
            <v>15Ø</v>
          </cell>
          <cell r="D1054" t="str">
            <v>개</v>
          </cell>
          <cell r="E1054">
            <v>33400</v>
          </cell>
          <cell r="F1054">
            <v>0</v>
          </cell>
          <cell r="H1054">
            <v>543</v>
          </cell>
          <cell r="I1054">
            <v>33400</v>
          </cell>
          <cell r="J1054">
            <v>543</v>
          </cell>
          <cell r="L1054">
            <v>543</v>
          </cell>
        </row>
        <row r="1055">
          <cell r="A1055">
            <v>7161</v>
          </cell>
          <cell r="B1055" t="str">
            <v>가스메타기</v>
          </cell>
          <cell r="C1055" t="str">
            <v>2등</v>
          </cell>
          <cell r="D1055" t="str">
            <v>대</v>
          </cell>
          <cell r="E1055">
            <v>25000</v>
          </cell>
          <cell r="F1055">
            <v>0</v>
          </cell>
          <cell r="H1055">
            <v>557</v>
          </cell>
          <cell r="I1055">
            <v>25000</v>
          </cell>
          <cell r="J1055">
            <v>557</v>
          </cell>
          <cell r="L1055">
            <v>557</v>
          </cell>
        </row>
        <row r="1056">
          <cell r="A1056">
            <v>7162</v>
          </cell>
          <cell r="B1056" t="str">
            <v>가스메타기</v>
          </cell>
          <cell r="C1056" t="str">
            <v>3등</v>
          </cell>
          <cell r="D1056" t="str">
            <v>대</v>
          </cell>
          <cell r="E1056">
            <v>26000</v>
          </cell>
          <cell r="F1056">
            <v>0</v>
          </cell>
          <cell r="H1056">
            <v>557</v>
          </cell>
          <cell r="I1056">
            <v>26000</v>
          </cell>
          <cell r="J1056">
            <v>557</v>
          </cell>
          <cell r="L1056">
            <v>557</v>
          </cell>
        </row>
        <row r="1057">
          <cell r="A1057">
            <v>7163</v>
          </cell>
          <cell r="B1057" t="str">
            <v>가스메타기</v>
          </cell>
          <cell r="C1057" t="str">
            <v>5등</v>
          </cell>
          <cell r="D1057" t="str">
            <v>대</v>
          </cell>
          <cell r="E1057">
            <v>60000</v>
          </cell>
          <cell r="F1057">
            <v>0</v>
          </cell>
          <cell r="H1057">
            <v>557</v>
          </cell>
          <cell r="I1057">
            <v>60000</v>
          </cell>
          <cell r="J1057">
            <v>557</v>
          </cell>
          <cell r="L1057">
            <v>557</v>
          </cell>
        </row>
        <row r="1058">
          <cell r="A1058">
            <v>7164</v>
          </cell>
          <cell r="B1058" t="str">
            <v>가스메타기</v>
          </cell>
          <cell r="C1058" t="str">
            <v>6등</v>
          </cell>
          <cell r="D1058" t="str">
            <v>대</v>
          </cell>
          <cell r="E1058">
            <v>70000</v>
          </cell>
          <cell r="F1058">
            <v>0</v>
          </cell>
          <cell r="H1058">
            <v>557</v>
          </cell>
          <cell r="I1058">
            <v>70000</v>
          </cell>
          <cell r="J1058">
            <v>557</v>
          </cell>
          <cell r="L1058">
            <v>557</v>
          </cell>
        </row>
        <row r="1059">
          <cell r="A1059">
            <v>7165</v>
          </cell>
          <cell r="B1059" t="str">
            <v>가스메타기</v>
          </cell>
          <cell r="C1059" t="str">
            <v>7등</v>
          </cell>
          <cell r="D1059" t="str">
            <v>대</v>
          </cell>
          <cell r="E1059">
            <v>70000</v>
          </cell>
          <cell r="F1059">
            <v>0</v>
          </cell>
          <cell r="H1059">
            <v>557</v>
          </cell>
          <cell r="I1059">
            <v>70000</v>
          </cell>
          <cell r="J1059">
            <v>557</v>
          </cell>
          <cell r="L1059">
            <v>557</v>
          </cell>
        </row>
        <row r="1060">
          <cell r="A1060">
            <v>7171</v>
          </cell>
          <cell r="B1060" t="str">
            <v>후렉시블덕트(난연용)</v>
          </cell>
          <cell r="C1060" t="str">
            <v>100Ø</v>
          </cell>
          <cell r="D1060" t="str">
            <v>M</v>
          </cell>
          <cell r="E1060">
            <v>7400</v>
          </cell>
          <cell r="F1060">
            <v>0</v>
          </cell>
          <cell r="H1060">
            <v>557</v>
          </cell>
          <cell r="I1060">
            <v>7400</v>
          </cell>
          <cell r="J1060">
            <v>557</v>
          </cell>
          <cell r="L1060">
            <v>557</v>
          </cell>
        </row>
        <row r="1061">
          <cell r="E1061">
            <v>0</v>
          </cell>
        </row>
        <row r="1062">
          <cell r="A1062">
            <v>7181</v>
          </cell>
          <cell r="B1062" t="str">
            <v>구형 후드캡</v>
          </cell>
          <cell r="C1062" t="str">
            <v>100Ø</v>
          </cell>
          <cell r="D1062" t="str">
            <v>M</v>
          </cell>
          <cell r="E1062">
            <v>10000</v>
          </cell>
          <cell r="F1062">
            <v>0</v>
          </cell>
          <cell r="H1062">
            <v>0</v>
          </cell>
          <cell r="I1062">
            <v>10000</v>
          </cell>
          <cell r="J1062">
            <v>0</v>
          </cell>
          <cell r="L1062">
            <v>0</v>
          </cell>
        </row>
        <row r="1063">
          <cell r="E1063">
            <v>0</v>
          </cell>
        </row>
        <row r="1064">
          <cell r="E1064">
            <v>0</v>
          </cell>
        </row>
        <row r="1065">
          <cell r="E1065">
            <v>0</v>
          </cell>
        </row>
        <row r="1066">
          <cell r="E1066">
            <v>0</v>
          </cell>
        </row>
        <row r="1067">
          <cell r="E1067">
            <v>0</v>
          </cell>
        </row>
        <row r="1068">
          <cell r="E1068">
            <v>0</v>
          </cell>
        </row>
        <row r="1069">
          <cell r="E1069">
            <v>0</v>
          </cell>
        </row>
        <row r="1070">
          <cell r="E1070">
            <v>0</v>
          </cell>
        </row>
        <row r="1071">
          <cell r="E1071">
            <v>0</v>
          </cell>
        </row>
        <row r="1072">
          <cell r="E1072">
            <v>0</v>
          </cell>
        </row>
        <row r="1073">
          <cell r="E1073">
            <v>0</v>
          </cell>
        </row>
        <row r="1074">
          <cell r="E1074">
            <v>0</v>
          </cell>
        </row>
        <row r="1075">
          <cell r="E1075">
            <v>0</v>
          </cell>
        </row>
        <row r="1087">
          <cell r="A1087">
            <v>8101</v>
          </cell>
          <cell r="B1087" t="str">
            <v>스파이럴연도(SUS)</v>
          </cell>
          <cell r="C1087" t="str">
            <v>300Ø</v>
          </cell>
          <cell r="D1087" t="str">
            <v>M</v>
          </cell>
          <cell r="E1087">
            <v>66000</v>
          </cell>
          <cell r="F1087">
            <v>0</v>
          </cell>
          <cell r="H1087">
            <v>658</v>
          </cell>
          <cell r="I1087">
            <v>66000</v>
          </cell>
          <cell r="J1087">
            <v>658</v>
          </cell>
          <cell r="L1087">
            <v>658</v>
          </cell>
        </row>
        <row r="1088">
          <cell r="A1088">
            <v>8102</v>
          </cell>
          <cell r="B1088" t="str">
            <v>스파이럴연도(SUS)</v>
          </cell>
          <cell r="C1088" t="str">
            <v>250Ø</v>
          </cell>
          <cell r="D1088" t="str">
            <v>M</v>
          </cell>
          <cell r="E1088">
            <v>50000</v>
          </cell>
          <cell r="F1088">
            <v>0</v>
          </cell>
          <cell r="H1088">
            <v>658</v>
          </cell>
          <cell r="I1088">
            <v>50000</v>
          </cell>
          <cell r="J1088">
            <v>658</v>
          </cell>
          <cell r="L1088">
            <v>658</v>
          </cell>
        </row>
        <row r="1089">
          <cell r="A1089">
            <v>8103</v>
          </cell>
          <cell r="B1089" t="str">
            <v>스파이럴연도(SUS)</v>
          </cell>
          <cell r="C1089" t="str">
            <v>225Ø</v>
          </cell>
          <cell r="D1089" t="str">
            <v>M</v>
          </cell>
          <cell r="E1089">
            <v>45000</v>
          </cell>
          <cell r="F1089">
            <v>0</v>
          </cell>
          <cell r="H1089">
            <v>658</v>
          </cell>
          <cell r="I1089">
            <v>45000</v>
          </cell>
          <cell r="J1089">
            <v>658</v>
          </cell>
          <cell r="L1089">
            <v>658</v>
          </cell>
        </row>
        <row r="1090">
          <cell r="A1090">
            <v>8104</v>
          </cell>
          <cell r="B1090" t="str">
            <v>스파이럴연도(SUS)</v>
          </cell>
          <cell r="C1090" t="str">
            <v>200Ø</v>
          </cell>
          <cell r="D1090" t="str">
            <v>M</v>
          </cell>
          <cell r="E1090">
            <v>40000</v>
          </cell>
          <cell r="F1090">
            <v>0</v>
          </cell>
          <cell r="H1090">
            <v>658</v>
          </cell>
          <cell r="I1090">
            <v>40000</v>
          </cell>
          <cell r="J1090">
            <v>658</v>
          </cell>
          <cell r="L1090">
            <v>658</v>
          </cell>
        </row>
        <row r="1091">
          <cell r="A1091">
            <v>8105</v>
          </cell>
          <cell r="B1091" t="str">
            <v>스파이럴연도(SUS)</v>
          </cell>
          <cell r="C1091" t="str">
            <v>175Ø</v>
          </cell>
          <cell r="D1091" t="str">
            <v>M</v>
          </cell>
          <cell r="E1091">
            <v>35000</v>
          </cell>
          <cell r="F1091">
            <v>0</v>
          </cell>
          <cell r="H1091">
            <v>658</v>
          </cell>
          <cell r="I1091">
            <v>35000</v>
          </cell>
          <cell r="J1091">
            <v>658</v>
          </cell>
          <cell r="L1091">
            <v>658</v>
          </cell>
        </row>
        <row r="1092">
          <cell r="A1092">
            <v>8106</v>
          </cell>
          <cell r="B1092" t="str">
            <v>스파이럴연도(SUS)</v>
          </cell>
          <cell r="C1092" t="str">
            <v>150Ø</v>
          </cell>
          <cell r="D1092" t="str">
            <v>M</v>
          </cell>
          <cell r="E1092">
            <v>30000</v>
          </cell>
          <cell r="F1092">
            <v>0</v>
          </cell>
          <cell r="H1092">
            <v>658</v>
          </cell>
          <cell r="I1092">
            <v>30000</v>
          </cell>
          <cell r="J1092">
            <v>658</v>
          </cell>
          <cell r="L1092">
            <v>658</v>
          </cell>
        </row>
        <row r="1093">
          <cell r="A1093">
            <v>8107</v>
          </cell>
          <cell r="B1093" t="str">
            <v>스파이럴연도(SUS)</v>
          </cell>
          <cell r="C1093" t="str">
            <v>125Ø</v>
          </cell>
          <cell r="D1093" t="str">
            <v>M</v>
          </cell>
          <cell r="E1093">
            <v>25000</v>
          </cell>
          <cell r="F1093">
            <v>0</v>
          </cell>
          <cell r="H1093">
            <v>658</v>
          </cell>
          <cell r="I1093">
            <v>25000</v>
          </cell>
          <cell r="J1093">
            <v>658</v>
          </cell>
          <cell r="L1093">
            <v>658</v>
          </cell>
        </row>
        <row r="1094">
          <cell r="A1094">
            <v>8108</v>
          </cell>
          <cell r="B1094" t="str">
            <v>스파이럴연도(SUS)</v>
          </cell>
          <cell r="C1094" t="str">
            <v>100Ø</v>
          </cell>
          <cell r="D1094" t="str">
            <v>M</v>
          </cell>
          <cell r="E1094">
            <v>20000</v>
          </cell>
          <cell r="F1094">
            <v>0</v>
          </cell>
          <cell r="H1094">
            <v>658</v>
          </cell>
          <cell r="I1094">
            <v>20000</v>
          </cell>
          <cell r="J1094">
            <v>658</v>
          </cell>
          <cell r="L1094">
            <v>658</v>
          </cell>
        </row>
        <row r="1095">
          <cell r="A1095">
            <v>8109</v>
          </cell>
          <cell r="B1095" t="str">
            <v>스파이럴연도(SUS)</v>
          </cell>
          <cell r="C1095" t="str">
            <v>75Ø</v>
          </cell>
          <cell r="D1095" t="str">
            <v>M</v>
          </cell>
          <cell r="E1095">
            <v>15000</v>
          </cell>
          <cell r="F1095">
            <v>0</v>
          </cell>
          <cell r="H1095">
            <v>658</v>
          </cell>
          <cell r="I1095">
            <v>15000</v>
          </cell>
          <cell r="J1095">
            <v>658</v>
          </cell>
          <cell r="L1095">
            <v>658</v>
          </cell>
        </row>
        <row r="1096">
          <cell r="A1096">
            <v>8111</v>
          </cell>
          <cell r="B1096" t="str">
            <v>977mm 직관(SUS/AL)</v>
          </cell>
          <cell r="C1096" t="str">
            <v>1,000Ø</v>
          </cell>
          <cell r="D1096" t="str">
            <v>개</v>
          </cell>
          <cell r="E1096">
            <v>420000</v>
          </cell>
          <cell r="F1096">
            <v>0</v>
          </cell>
          <cell r="H1096">
            <v>657</v>
          </cell>
          <cell r="I1096">
            <v>420000</v>
          </cell>
          <cell r="J1096">
            <v>657</v>
          </cell>
          <cell r="L1096">
            <v>657</v>
          </cell>
        </row>
        <row r="1097">
          <cell r="A1097">
            <v>8112</v>
          </cell>
          <cell r="B1097" t="str">
            <v>977mm 직관(SUS/AL)</v>
          </cell>
          <cell r="C1097" t="str">
            <v>900Ø</v>
          </cell>
          <cell r="D1097" t="str">
            <v>개</v>
          </cell>
          <cell r="E1097">
            <v>337000</v>
          </cell>
          <cell r="F1097">
            <v>0</v>
          </cell>
          <cell r="H1097">
            <v>657</v>
          </cell>
          <cell r="I1097">
            <v>337000</v>
          </cell>
          <cell r="J1097">
            <v>657</v>
          </cell>
          <cell r="L1097">
            <v>657</v>
          </cell>
        </row>
        <row r="1098">
          <cell r="A1098">
            <v>8113</v>
          </cell>
          <cell r="B1098" t="str">
            <v>977mm 직관(SUS/AL)</v>
          </cell>
          <cell r="C1098" t="str">
            <v>800Ø</v>
          </cell>
          <cell r="D1098" t="str">
            <v>개</v>
          </cell>
          <cell r="E1098">
            <v>296000</v>
          </cell>
          <cell r="F1098">
            <v>0</v>
          </cell>
          <cell r="H1098">
            <v>657</v>
          </cell>
          <cell r="I1098">
            <v>296000</v>
          </cell>
          <cell r="J1098">
            <v>657</v>
          </cell>
          <cell r="L1098">
            <v>657</v>
          </cell>
        </row>
        <row r="1099">
          <cell r="A1099">
            <v>8114</v>
          </cell>
          <cell r="B1099" t="str">
            <v>977mm 직관(SUS/AL)</v>
          </cell>
          <cell r="C1099" t="str">
            <v>700Ø</v>
          </cell>
          <cell r="D1099" t="str">
            <v>개</v>
          </cell>
          <cell r="E1099">
            <v>263000</v>
          </cell>
          <cell r="F1099">
            <v>0</v>
          </cell>
          <cell r="H1099">
            <v>657</v>
          </cell>
          <cell r="I1099">
            <v>263000</v>
          </cell>
          <cell r="J1099">
            <v>657</v>
          </cell>
          <cell r="L1099">
            <v>657</v>
          </cell>
        </row>
        <row r="1100">
          <cell r="A1100">
            <v>8115</v>
          </cell>
          <cell r="B1100" t="str">
            <v>977mm 직관(SUS/AL)</v>
          </cell>
          <cell r="C1100" t="str">
            <v>600Ø</v>
          </cell>
          <cell r="D1100" t="str">
            <v>개</v>
          </cell>
          <cell r="E1100">
            <v>229000</v>
          </cell>
          <cell r="F1100">
            <v>0</v>
          </cell>
          <cell r="H1100">
            <v>657</v>
          </cell>
          <cell r="I1100">
            <v>229000</v>
          </cell>
          <cell r="J1100">
            <v>657</v>
          </cell>
          <cell r="L1100">
            <v>657</v>
          </cell>
        </row>
        <row r="1101">
          <cell r="A1101">
            <v>8116</v>
          </cell>
          <cell r="B1101" t="str">
            <v>977mm 직관(SUS/AL)</v>
          </cell>
          <cell r="C1101" t="str">
            <v>500Ø</v>
          </cell>
          <cell r="D1101" t="str">
            <v>개</v>
          </cell>
          <cell r="E1101">
            <v>191000</v>
          </cell>
          <cell r="F1101">
            <v>0</v>
          </cell>
          <cell r="H1101">
            <v>657</v>
          </cell>
          <cell r="I1101">
            <v>191000</v>
          </cell>
          <cell r="J1101">
            <v>657</v>
          </cell>
          <cell r="L1101">
            <v>657</v>
          </cell>
        </row>
        <row r="1102">
          <cell r="A1102">
            <v>8117</v>
          </cell>
          <cell r="B1102" t="str">
            <v>977mm 직관(SUS/AL)</v>
          </cell>
          <cell r="C1102" t="str">
            <v>400Ø</v>
          </cell>
          <cell r="D1102" t="str">
            <v>개</v>
          </cell>
          <cell r="E1102">
            <v>148000</v>
          </cell>
          <cell r="F1102">
            <v>0</v>
          </cell>
          <cell r="H1102">
            <v>657</v>
          </cell>
          <cell r="I1102">
            <v>148000</v>
          </cell>
          <cell r="J1102">
            <v>657</v>
          </cell>
          <cell r="L1102">
            <v>657</v>
          </cell>
        </row>
        <row r="1103">
          <cell r="A1103">
            <v>8118</v>
          </cell>
          <cell r="B1103" t="str">
            <v>977mm 직관(SUS/AL)</v>
          </cell>
          <cell r="C1103" t="str">
            <v>300Ø</v>
          </cell>
          <cell r="D1103" t="str">
            <v>개</v>
          </cell>
          <cell r="E1103">
            <v>110000</v>
          </cell>
          <cell r="F1103">
            <v>0</v>
          </cell>
          <cell r="H1103">
            <v>657</v>
          </cell>
          <cell r="I1103">
            <v>110000</v>
          </cell>
          <cell r="J1103">
            <v>657</v>
          </cell>
          <cell r="L1103">
            <v>657</v>
          </cell>
        </row>
        <row r="1104">
          <cell r="A1104">
            <v>8119</v>
          </cell>
          <cell r="B1104" t="str">
            <v>977mm 직관(SUS/AL)</v>
          </cell>
          <cell r="C1104" t="str">
            <v>200Ø</v>
          </cell>
          <cell r="D1104" t="str">
            <v>개</v>
          </cell>
          <cell r="E1104">
            <v>71800</v>
          </cell>
          <cell r="F1104">
            <v>0</v>
          </cell>
          <cell r="H1104">
            <v>657</v>
          </cell>
          <cell r="I1104">
            <v>71800</v>
          </cell>
          <cell r="J1104">
            <v>657</v>
          </cell>
          <cell r="L1104">
            <v>657</v>
          </cell>
        </row>
        <row r="1105">
          <cell r="A1105">
            <v>8121</v>
          </cell>
          <cell r="B1105" t="str">
            <v>477mm 직관(SUS/AL)</v>
          </cell>
          <cell r="C1105" t="str">
            <v>1,000Ø</v>
          </cell>
          <cell r="D1105" t="str">
            <v>개</v>
          </cell>
          <cell r="E1105">
            <v>322000</v>
          </cell>
          <cell r="F1105">
            <v>0</v>
          </cell>
          <cell r="H1105">
            <v>657</v>
          </cell>
          <cell r="I1105">
            <v>322000</v>
          </cell>
          <cell r="J1105">
            <v>657</v>
          </cell>
          <cell r="L1105">
            <v>657</v>
          </cell>
        </row>
        <row r="1106">
          <cell r="A1106">
            <v>8122</v>
          </cell>
          <cell r="B1106" t="str">
            <v>477mm 직관(SUS/AL)</v>
          </cell>
          <cell r="C1106" t="str">
            <v>900Ø</v>
          </cell>
          <cell r="D1106" t="str">
            <v>개</v>
          </cell>
          <cell r="E1106">
            <v>256000</v>
          </cell>
          <cell r="F1106">
            <v>0</v>
          </cell>
          <cell r="H1106">
            <v>657</v>
          </cell>
          <cell r="I1106">
            <v>256000</v>
          </cell>
          <cell r="J1106">
            <v>657</v>
          </cell>
          <cell r="L1106">
            <v>657</v>
          </cell>
        </row>
        <row r="1107">
          <cell r="A1107">
            <v>8123</v>
          </cell>
          <cell r="B1107" t="str">
            <v>477mm 직관(SUS/AL)</v>
          </cell>
          <cell r="C1107" t="str">
            <v>800Ø</v>
          </cell>
          <cell r="D1107" t="str">
            <v>개</v>
          </cell>
          <cell r="E1107">
            <v>229000</v>
          </cell>
          <cell r="F1107">
            <v>0</v>
          </cell>
          <cell r="H1107">
            <v>657</v>
          </cell>
          <cell r="I1107">
            <v>229000</v>
          </cell>
          <cell r="J1107">
            <v>657</v>
          </cell>
          <cell r="L1107">
            <v>657</v>
          </cell>
        </row>
        <row r="1108">
          <cell r="A1108">
            <v>8124</v>
          </cell>
          <cell r="B1108" t="str">
            <v>477mm 직관(SUS/AL)</v>
          </cell>
          <cell r="C1108" t="str">
            <v>700Ø</v>
          </cell>
          <cell r="D1108" t="str">
            <v>개</v>
          </cell>
          <cell r="E1108">
            <v>199000</v>
          </cell>
          <cell r="F1108">
            <v>0</v>
          </cell>
          <cell r="H1108">
            <v>657</v>
          </cell>
          <cell r="I1108">
            <v>199000</v>
          </cell>
          <cell r="J1108">
            <v>657</v>
          </cell>
          <cell r="L1108">
            <v>657</v>
          </cell>
        </row>
        <row r="1109">
          <cell r="A1109">
            <v>8125</v>
          </cell>
          <cell r="B1109" t="str">
            <v>477mm 직관(SUS/AL)</v>
          </cell>
          <cell r="C1109" t="str">
            <v>600Ø</v>
          </cell>
          <cell r="D1109" t="str">
            <v>개</v>
          </cell>
          <cell r="E1109">
            <v>171000</v>
          </cell>
          <cell r="F1109">
            <v>0</v>
          </cell>
          <cell r="H1109">
            <v>657</v>
          </cell>
          <cell r="I1109">
            <v>171000</v>
          </cell>
          <cell r="J1109">
            <v>657</v>
          </cell>
          <cell r="L1109">
            <v>657</v>
          </cell>
        </row>
        <row r="1110">
          <cell r="A1110">
            <v>8126</v>
          </cell>
          <cell r="B1110" t="str">
            <v>477mm 직관(SUS/AL)</v>
          </cell>
          <cell r="C1110" t="str">
            <v>500Ø</v>
          </cell>
          <cell r="D1110" t="str">
            <v>개</v>
          </cell>
          <cell r="E1110">
            <v>143000</v>
          </cell>
          <cell r="F1110">
            <v>0</v>
          </cell>
          <cell r="H1110">
            <v>657</v>
          </cell>
          <cell r="I1110">
            <v>143000</v>
          </cell>
          <cell r="J1110">
            <v>657</v>
          </cell>
          <cell r="L1110">
            <v>657</v>
          </cell>
        </row>
        <row r="1111">
          <cell r="A1111">
            <v>8127</v>
          </cell>
          <cell r="B1111" t="str">
            <v>477mm 직관(SUS/AL)</v>
          </cell>
          <cell r="C1111" t="str">
            <v>400Ø</v>
          </cell>
          <cell r="D1111" t="str">
            <v>개</v>
          </cell>
          <cell r="E1111">
            <v>114000</v>
          </cell>
          <cell r="F1111">
            <v>0</v>
          </cell>
          <cell r="H1111">
            <v>657</v>
          </cell>
          <cell r="I1111">
            <v>114000</v>
          </cell>
          <cell r="J1111">
            <v>657</v>
          </cell>
          <cell r="L1111">
            <v>657</v>
          </cell>
        </row>
        <row r="1112">
          <cell r="A1112">
            <v>8128</v>
          </cell>
          <cell r="B1112" t="str">
            <v>477mm 직관(SUS/AL)</v>
          </cell>
          <cell r="C1112" t="str">
            <v>300Ø</v>
          </cell>
          <cell r="D1112" t="str">
            <v>개</v>
          </cell>
          <cell r="E1112">
            <v>85300</v>
          </cell>
          <cell r="F1112">
            <v>0</v>
          </cell>
          <cell r="H1112">
            <v>657</v>
          </cell>
          <cell r="I1112">
            <v>85300</v>
          </cell>
          <cell r="J1112">
            <v>657</v>
          </cell>
          <cell r="L1112">
            <v>657</v>
          </cell>
        </row>
        <row r="1113">
          <cell r="A1113">
            <v>8129</v>
          </cell>
          <cell r="B1113" t="str">
            <v>477mm 직관(SUS/AL)</v>
          </cell>
          <cell r="C1113" t="str">
            <v>200Ø</v>
          </cell>
          <cell r="D1113" t="str">
            <v>개</v>
          </cell>
          <cell r="E1113">
            <v>57400</v>
          </cell>
          <cell r="F1113">
            <v>0</v>
          </cell>
          <cell r="H1113">
            <v>657</v>
          </cell>
          <cell r="I1113">
            <v>57400</v>
          </cell>
          <cell r="J1113">
            <v>657</v>
          </cell>
          <cell r="L1113">
            <v>657</v>
          </cell>
        </row>
        <row r="1114">
          <cell r="A1114">
            <v>8131</v>
          </cell>
          <cell r="B1114" t="str">
            <v>Damper Valve</v>
          </cell>
          <cell r="C1114" t="str">
            <v>1,000Ø</v>
          </cell>
          <cell r="D1114" t="str">
            <v>개</v>
          </cell>
          <cell r="E1114">
            <v>525000</v>
          </cell>
          <cell r="F1114">
            <v>0</v>
          </cell>
          <cell r="H1114">
            <v>657</v>
          </cell>
          <cell r="I1114">
            <v>525000</v>
          </cell>
          <cell r="J1114">
            <v>657</v>
          </cell>
          <cell r="L1114">
            <v>657</v>
          </cell>
        </row>
        <row r="1115">
          <cell r="A1115">
            <v>8132</v>
          </cell>
          <cell r="B1115" t="str">
            <v>Damper Valve</v>
          </cell>
          <cell r="C1115" t="str">
            <v>900Ø</v>
          </cell>
          <cell r="D1115" t="str">
            <v>개</v>
          </cell>
          <cell r="E1115">
            <v>421000</v>
          </cell>
          <cell r="F1115">
            <v>0</v>
          </cell>
          <cell r="H1115">
            <v>657</v>
          </cell>
          <cell r="I1115">
            <v>421000</v>
          </cell>
          <cell r="J1115">
            <v>657</v>
          </cell>
          <cell r="L1115">
            <v>657</v>
          </cell>
        </row>
        <row r="1116">
          <cell r="A1116">
            <v>8133</v>
          </cell>
          <cell r="B1116" t="str">
            <v>Damper Valve</v>
          </cell>
          <cell r="C1116" t="str">
            <v>800Ø</v>
          </cell>
          <cell r="D1116" t="str">
            <v>개</v>
          </cell>
          <cell r="E1116">
            <v>370000</v>
          </cell>
          <cell r="F1116">
            <v>0</v>
          </cell>
          <cell r="H1116">
            <v>657</v>
          </cell>
          <cell r="I1116">
            <v>370000</v>
          </cell>
          <cell r="J1116">
            <v>657</v>
          </cell>
          <cell r="L1116">
            <v>657</v>
          </cell>
        </row>
        <row r="1117">
          <cell r="A1117">
            <v>8134</v>
          </cell>
          <cell r="B1117" t="str">
            <v>Damper Valve</v>
          </cell>
          <cell r="C1117" t="str">
            <v>700Ø</v>
          </cell>
          <cell r="D1117" t="str">
            <v>개</v>
          </cell>
          <cell r="E1117">
            <v>328000</v>
          </cell>
          <cell r="F1117">
            <v>0</v>
          </cell>
          <cell r="H1117">
            <v>657</v>
          </cell>
          <cell r="I1117">
            <v>328000</v>
          </cell>
          <cell r="J1117">
            <v>657</v>
          </cell>
          <cell r="L1117">
            <v>657</v>
          </cell>
        </row>
        <row r="1118">
          <cell r="A1118">
            <v>8135</v>
          </cell>
          <cell r="B1118" t="str">
            <v>Damper Valve</v>
          </cell>
          <cell r="C1118" t="str">
            <v>600Ø</v>
          </cell>
          <cell r="D1118" t="str">
            <v>개</v>
          </cell>
          <cell r="E1118">
            <v>285000</v>
          </cell>
          <cell r="F1118">
            <v>0</v>
          </cell>
          <cell r="H1118">
            <v>657</v>
          </cell>
          <cell r="I1118">
            <v>285000</v>
          </cell>
          <cell r="J1118">
            <v>657</v>
          </cell>
          <cell r="L1118">
            <v>657</v>
          </cell>
        </row>
        <row r="1119">
          <cell r="A1119">
            <v>8136</v>
          </cell>
          <cell r="B1119" t="str">
            <v>Damper Valve</v>
          </cell>
          <cell r="C1119" t="str">
            <v>500Ø</v>
          </cell>
          <cell r="D1119" t="str">
            <v>개</v>
          </cell>
          <cell r="E1119">
            <v>244000</v>
          </cell>
          <cell r="F1119">
            <v>0</v>
          </cell>
          <cell r="H1119">
            <v>657</v>
          </cell>
          <cell r="I1119">
            <v>244000</v>
          </cell>
          <cell r="J1119">
            <v>657</v>
          </cell>
          <cell r="L1119">
            <v>657</v>
          </cell>
        </row>
        <row r="1120">
          <cell r="A1120">
            <v>8137</v>
          </cell>
          <cell r="B1120" t="str">
            <v>Damper Valve</v>
          </cell>
          <cell r="C1120" t="str">
            <v>400Ø</v>
          </cell>
          <cell r="D1120" t="str">
            <v>개</v>
          </cell>
          <cell r="E1120">
            <v>194000</v>
          </cell>
          <cell r="F1120">
            <v>0</v>
          </cell>
          <cell r="H1120">
            <v>657</v>
          </cell>
          <cell r="I1120">
            <v>194000</v>
          </cell>
          <cell r="J1120">
            <v>657</v>
          </cell>
          <cell r="L1120">
            <v>657</v>
          </cell>
        </row>
        <row r="1121">
          <cell r="A1121">
            <v>8138</v>
          </cell>
          <cell r="B1121" t="str">
            <v>Damper Valve</v>
          </cell>
          <cell r="C1121" t="str">
            <v>300Ø</v>
          </cell>
          <cell r="D1121" t="str">
            <v>개</v>
          </cell>
          <cell r="E1121">
            <v>178000</v>
          </cell>
          <cell r="F1121">
            <v>0</v>
          </cell>
          <cell r="H1121">
            <v>657</v>
          </cell>
          <cell r="I1121">
            <v>178000</v>
          </cell>
          <cell r="J1121">
            <v>657</v>
          </cell>
          <cell r="L1121">
            <v>657</v>
          </cell>
        </row>
        <row r="1122">
          <cell r="A1122">
            <v>8139</v>
          </cell>
          <cell r="B1122" t="str">
            <v>Damper Valve</v>
          </cell>
          <cell r="C1122" t="str">
            <v>200Ø</v>
          </cell>
          <cell r="D1122" t="str">
            <v>개</v>
          </cell>
          <cell r="E1122">
            <v>130000</v>
          </cell>
          <cell r="F1122">
            <v>0</v>
          </cell>
          <cell r="H1122">
            <v>657</v>
          </cell>
          <cell r="I1122">
            <v>130000</v>
          </cell>
          <cell r="J1122">
            <v>657</v>
          </cell>
          <cell r="L1122">
            <v>657</v>
          </cell>
        </row>
        <row r="1123">
          <cell r="A1123">
            <v>8141</v>
          </cell>
          <cell r="B1123" t="str">
            <v>Wall Support</v>
          </cell>
          <cell r="C1123" t="str">
            <v>1,000Ø</v>
          </cell>
          <cell r="D1123" t="str">
            <v>개</v>
          </cell>
          <cell r="E1123">
            <v>331000</v>
          </cell>
          <cell r="F1123">
            <v>0</v>
          </cell>
          <cell r="H1123">
            <v>657</v>
          </cell>
          <cell r="I1123">
            <v>331000</v>
          </cell>
          <cell r="J1123">
            <v>657</v>
          </cell>
          <cell r="L1123">
            <v>657</v>
          </cell>
        </row>
        <row r="1124">
          <cell r="A1124">
            <v>8142</v>
          </cell>
          <cell r="B1124" t="str">
            <v>Wall Support</v>
          </cell>
          <cell r="C1124" t="str">
            <v>900Ø</v>
          </cell>
          <cell r="D1124" t="str">
            <v>개</v>
          </cell>
          <cell r="E1124">
            <v>247000</v>
          </cell>
          <cell r="F1124">
            <v>0</v>
          </cell>
          <cell r="H1124">
            <v>657</v>
          </cell>
          <cell r="I1124">
            <v>247000</v>
          </cell>
          <cell r="J1124">
            <v>657</v>
          </cell>
          <cell r="L1124">
            <v>657</v>
          </cell>
        </row>
        <row r="1125">
          <cell r="A1125">
            <v>8143</v>
          </cell>
          <cell r="B1125" t="str">
            <v>Wall Support</v>
          </cell>
          <cell r="C1125" t="str">
            <v>800Ø</v>
          </cell>
          <cell r="D1125" t="str">
            <v>개</v>
          </cell>
          <cell r="E1125">
            <v>213000</v>
          </cell>
          <cell r="F1125">
            <v>0</v>
          </cell>
          <cell r="H1125">
            <v>657</v>
          </cell>
          <cell r="I1125">
            <v>213000</v>
          </cell>
          <cell r="J1125">
            <v>657</v>
          </cell>
          <cell r="L1125">
            <v>657</v>
          </cell>
        </row>
        <row r="1126">
          <cell r="A1126">
            <v>8144</v>
          </cell>
          <cell r="B1126" t="str">
            <v>Wall Support</v>
          </cell>
          <cell r="C1126" t="str">
            <v>700Ø</v>
          </cell>
          <cell r="D1126" t="str">
            <v>개</v>
          </cell>
          <cell r="E1126">
            <v>182000</v>
          </cell>
          <cell r="F1126">
            <v>0</v>
          </cell>
          <cell r="H1126">
            <v>657</v>
          </cell>
          <cell r="I1126">
            <v>182000</v>
          </cell>
          <cell r="J1126">
            <v>657</v>
          </cell>
          <cell r="L1126">
            <v>657</v>
          </cell>
        </row>
        <row r="1127">
          <cell r="A1127">
            <v>8145</v>
          </cell>
          <cell r="B1127" t="str">
            <v>Wall Support</v>
          </cell>
          <cell r="C1127" t="str">
            <v>600Ø</v>
          </cell>
          <cell r="D1127" t="str">
            <v>개</v>
          </cell>
          <cell r="E1127">
            <v>166000</v>
          </cell>
          <cell r="F1127">
            <v>0</v>
          </cell>
          <cell r="H1127">
            <v>657</v>
          </cell>
          <cell r="I1127">
            <v>166000</v>
          </cell>
          <cell r="J1127">
            <v>657</v>
          </cell>
          <cell r="L1127">
            <v>657</v>
          </cell>
        </row>
        <row r="1128">
          <cell r="A1128">
            <v>8146</v>
          </cell>
          <cell r="B1128" t="str">
            <v>Wall Support</v>
          </cell>
          <cell r="C1128" t="str">
            <v>500Ø</v>
          </cell>
          <cell r="D1128" t="str">
            <v>개</v>
          </cell>
          <cell r="E1128">
            <v>143000</v>
          </cell>
          <cell r="F1128">
            <v>0</v>
          </cell>
          <cell r="H1128">
            <v>657</v>
          </cell>
          <cell r="I1128">
            <v>143000</v>
          </cell>
          <cell r="J1128">
            <v>657</v>
          </cell>
          <cell r="L1128">
            <v>657</v>
          </cell>
        </row>
        <row r="1129">
          <cell r="A1129">
            <v>8147</v>
          </cell>
          <cell r="B1129" t="str">
            <v>Wall Support</v>
          </cell>
          <cell r="C1129" t="str">
            <v>400Ø</v>
          </cell>
          <cell r="D1129" t="str">
            <v>개</v>
          </cell>
          <cell r="E1129">
            <v>133000</v>
          </cell>
          <cell r="F1129">
            <v>0</v>
          </cell>
          <cell r="H1129">
            <v>657</v>
          </cell>
          <cell r="I1129">
            <v>133000</v>
          </cell>
          <cell r="J1129">
            <v>657</v>
          </cell>
          <cell r="L1129">
            <v>657</v>
          </cell>
        </row>
        <row r="1130">
          <cell r="A1130">
            <v>8148</v>
          </cell>
          <cell r="B1130" t="str">
            <v>Wall Support</v>
          </cell>
          <cell r="C1130" t="str">
            <v>300Ø</v>
          </cell>
          <cell r="D1130" t="str">
            <v>개</v>
          </cell>
          <cell r="E1130">
            <v>123000</v>
          </cell>
          <cell r="F1130">
            <v>0</v>
          </cell>
          <cell r="H1130">
            <v>657</v>
          </cell>
          <cell r="I1130">
            <v>123000</v>
          </cell>
          <cell r="J1130">
            <v>657</v>
          </cell>
          <cell r="L1130">
            <v>657</v>
          </cell>
        </row>
        <row r="1131">
          <cell r="A1131">
            <v>8149</v>
          </cell>
          <cell r="B1131" t="str">
            <v>Wall Support</v>
          </cell>
          <cell r="C1131" t="str">
            <v>200Ø</v>
          </cell>
          <cell r="D1131" t="str">
            <v>개</v>
          </cell>
          <cell r="E1131">
            <v>98000</v>
          </cell>
          <cell r="F1131">
            <v>0</v>
          </cell>
          <cell r="H1131">
            <v>657</v>
          </cell>
          <cell r="I1131">
            <v>98000</v>
          </cell>
          <cell r="J1131">
            <v>657</v>
          </cell>
          <cell r="L1131">
            <v>657</v>
          </cell>
        </row>
        <row r="1132">
          <cell r="A1132">
            <v>8151</v>
          </cell>
          <cell r="B1132" t="str">
            <v>Wall Guide Assembly</v>
          </cell>
          <cell r="C1132" t="str">
            <v>1,000Ø</v>
          </cell>
          <cell r="D1132" t="str">
            <v>개</v>
          </cell>
          <cell r="E1132">
            <v>167000</v>
          </cell>
          <cell r="F1132">
            <v>0</v>
          </cell>
          <cell r="H1132">
            <v>657</v>
          </cell>
          <cell r="I1132">
            <v>167000</v>
          </cell>
          <cell r="J1132">
            <v>657</v>
          </cell>
          <cell r="L1132">
            <v>657</v>
          </cell>
        </row>
        <row r="1133">
          <cell r="A1133">
            <v>8152</v>
          </cell>
          <cell r="B1133" t="str">
            <v>Wall Guide Assembly</v>
          </cell>
          <cell r="C1133" t="str">
            <v>900Ø</v>
          </cell>
          <cell r="D1133" t="str">
            <v>개</v>
          </cell>
          <cell r="E1133">
            <v>128000</v>
          </cell>
          <cell r="F1133">
            <v>0</v>
          </cell>
          <cell r="H1133">
            <v>657</v>
          </cell>
          <cell r="I1133">
            <v>128000</v>
          </cell>
          <cell r="J1133">
            <v>657</v>
          </cell>
          <cell r="L1133">
            <v>657</v>
          </cell>
        </row>
        <row r="1134">
          <cell r="A1134">
            <v>8153</v>
          </cell>
          <cell r="B1134" t="str">
            <v>Wall Guide Assembly</v>
          </cell>
          <cell r="C1134" t="str">
            <v>800Ø</v>
          </cell>
          <cell r="D1134" t="str">
            <v>개</v>
          </cell>
          <cell r="E1134">
            <v>114000</v>
          </cell>
          <cell r="F1134">
            <v>0</v>
          </cell>
          <cell r="H1134">
            <v>657</v>
          </cell>
          <cell r="I1134">
            <v>114000</v>
          </cell>
          <cell r="J1134">
            <v>657</v>
          </cell>
          <cell r="L1134">
            <v>657</v>
          </cell>
        </row>
        <row r="1135">
          <cell r="A1135">
            <v>8154</v>
          </cell>
          <cell r="B1135" t="str">
            <v>Wall Guide Assembly</v>
          </cell>
          <cell r="C1135" t="str">
            <v>700Ø</v>
          </cell>
          <cell r="D1135" t="str">
            <v>개</v>
          </cell>
          <cell r="E1135">
            <v>103000</v>
          </cell>
          <cell r="F1135">
            <v>0</v>
          </cell>
          <cell r="H1135">
            <v>657</v>
          </cell>
          <cell r="I1135">
            <v>103000</v>
          </cell>
          <cell r="J1135">
            <v>657</v>
          </cell>
          <cell r="L1135">
            <v>657</v>
          </cell>
        </row>
        <row r="1136">
          <cell r="A1136">
            <v>8155</v>
          </cell>
          <cell r="B1136" t="str">
            <v>Wall Guide Assembly</v>
          </cell>
          <cell r="C1136" t="str">
            <v>600Ø</v>
          </cell>
          <cell r="D1136" t="str">
            <v>개</v>
          </cell>
          <cell r="E1136">
            <v>89000</v>
          </cell>
          <cell r="F1136">
            <v>0</v>
          </cell>
          <cell r="H1136">
            <v>657</v>
          </cell>
          <cell r="I1136">
            <v>89000</v>
          </cell>
          <cell r="J1136">
            <v>657</v>
          </cell>
          <cell r="L1136">
            <v>657</v>
          </cell>
        </row>
        <row r="1137">
          <cell r="A1137">
            <v>8156</v>
          </cell>
          <cell r="B1137" t="str">
            <v>Wall Guide Assembly</v>
          </cell>
          <cell r="C1137" t="str">
            <v>500Ø</v>
          </cell>
          <cell r="D1137" t="str">
            <v>개</v>
          </cell>
          <cell r="E1137">
            <v>77800</v>
          </cell>
          <cell r="F1137">
            <v>0</v>
          </cell>
          <cell r="H1137">
            <v>657</v>
          </cell>
          <cell r="I1137">
            <v>77800</v>
          </cell>
          <cell r="J1137">
            <v>657</v>
          </cell>
          <cell r="L1137">
            <v>657</v>
          </cell>
        </row>
        <row r="1138">
          <cell r="A1138">
            <v>8157</v>
          </cell>
          <cell r="B1138" t="str">
            <v>Wall Guide Assembly</v>
          </cell>
          <cell r="C1138" t="str">
            <v>400Ø</v>
          </cell>
          <cell r="D1138" t="str">
            <v>개</v>
          </cell>
          <cell r="E1138">
            <v>69000</v>
          </cell>
          <cell r="F1138">
            <v>0</v>
          </cell>
          <cell r="H1138">
            <v>657</v>
          </cell>
          <cell r="I1138">
            <v>69000</v>
          </cell>
          <cell r="J1138">
            <v>657</v>
          </cell>
          <cell r="L1138">
            <v>657</v>
          </cell>
        </row>
        <row r="1139">
          <cell r="A1139">
            <v>8158</v>
          </cell>
          <cell r="B1139" t="str">
            <v>Wall Guide Assembly</v>
          </cell>
          <cell r="C1139" t="str">
            <v>300Ø</v>
          </cell>
          <cell r="D1139" t="str">
            <v>개</v>
          </cell>
          <cell r="E1139">
            <v>63000</v>
          </cell>
          <cell r="F1139">
            <v>0</v>
          </cell>
          <cell r="H1139">
            <v>657</v>
          </cell>
          <cell r="I1139">
            <v>63000</v>
          </cell>
          <cell r="J1139">
            <v>657</v>
          </cell>
          <cell r="L1139">
            <v>657</v>
          </cell>
        </row>
        <row r="1140">
          <cell r="A1140">
            <v>8159</v>
          </cell>
          <cell r="B1140" t="str">
            <v>Wall Guide Assembly</v>
          </cell>
          <cell r="C1140" t="str">
            <v>200Ø</v>
          </cell>
          <cell r="D1140" t="str">
            <v>개</v>
          </cell>
          <cell r="E1140">
            <v>49800</v>
          </cell>
          <cell r="F1140">
            <v>0</v>
          </cell>
          <cell r="H1140">
            <v>657</v>
          </cell>
          <cell r="I1140">
            <v>49800</v>
          </cell>
          <cell r="J1140">
            <v>657</v>
          </cell>
          <cell r="L1140">
            <v>657</v>
          </cell>
        </row>
        <row r="1141">
          <cell r="A1141">
            <v>8161</v>
          </cell>
          <cell r="B1141" t="str">
            <v>Bellows Joint</v>
          </cell>
          <cell r="C1141" t="str">
            <v>1,000Ø</v>
          </cell>
          <cell r="D1141" t="str">
            <v>개</v>
          </cell>
          <cell r="E1141">
            <v>1605000</v>
          </cell>
          <cell r="F1141">
            <v>0</v>
          </cell>
          <cell r="H1141">
            <v>657</v>
          </cell>
          <cell r="I1141">
            <v>1605000</v>
          </cell>
          <cell r="J1141">
            <v>657</v>
          </cell>
          <cell r="L1141">
            <v>657</v>
          </cell>
        </row>
        <row r="1142">
          <cell r="A1142">
            <v>8162</v>
          </cell>
          <cell r="B1142" t="str">
            <v>Bellows Joint</v>
          </cell>
          <cell r="C1142" t="str">
            <v>900Ø</v>
          </cell>
          <cell r="D1142" t="str">
            <v>개</v>
          </cell>
          <cell r="E1142">
            <v>1498000</v>
          </cell>
          <cell r="F1142">
            <v>0</v>
          </cell>
          <cell r="H1142">
            <v>657</v>
          </cell>
          <cell r="I1142">
            <v>1498000</v>
          </cell>
          <cell r="J1142">
            <v>657</v>
          </cell>
          <cell r="L1142">
            <v>657</v>
          </cell>
        </row>
        <row r="1143">
          <cell r="A1143">
            <v>8163</v>
          </cell>
          <cell r="B1143" t="str">
            <v>Bellows Joint</v>
          </cell>
          <cell r="C1143" t="str">
            <v>800Ø</v>
          </cell>
          <cell r="D1143" t="str">
            <v>개</v>
          </cell>
          <cell r="E1143">
            <v>1428000</v>
          </cell>
          <cell r="F1143">
            <v>0</v>
          </cell>
          <cell r="H1143">
            <v>657</v>
          </cell>
          <cell r="I1143">
            <v>1428000</v>
          </cell>
          <cell r="J1143">
            <v>657</v>
          </cell>
          <cell r="L1143">
            <v>657</v>
          </cell>
        </row>
        <row r="1144">
          <cell r="A1144">
            <v>8164</v>
          </cell>
          <cell r="B1144" t="str">
            <v>Bellows Joint</v>
          </cell>
          <cell r="C1144" t="str">
            <v>700Ø</v>
          </cell>
          <cell r="D1144" t="str">
            <v>개</v>
          </cell>
          <cell r="E1144">
            <v>1275000</v>
          </cell>
          <cell r="F1144">
            <v>0</v>
          </cell>
          <cell r="H1144">
            <v>657</v>
          </cell>
          <cell r="I1144">
            <v>1275000</v>
          </cell>
          <cell r="J1144">
            <v>657</v>
          </cell>
          <cell r="L1144">
            <v>657</v>
          </cell>
        </row>
        <row r="1145">
          <cell r="A1145">
            <v>8165</v>
          </cell>
          <cell r="B1145" t="str">
            <v>Bellows Joint</v>
          </cell>
          <cell r="C1145" t="str">
            <v>600Ø</v>
          </cell>
          <cell r="D1145" t="str">
            <v>개</v>
          </cell>
          <cell r="E1145">
            <v>1072000</v>
          </cell>
          <cell r="F1145">
            <v>0</v>
          </cell>
          <cell r="H1145">
            <v>657</v>
          </cell>
          <cell r="I1145">
            <v>1072000</v>
          </cell>
          <cell r="J1145">
            <v>657</v>
          </cell>
          <cell r="L1145">
            <v>657</v>
          </cell>
        </row>
        <row r="1146">
          <cell r="A1146">
            <v>8166</v>
          </cell>
          <cell r="B1146" t="str">
            <v>Bellows Joint</v>
          </cell>
          <cell r="C1146" t="str">
            <v>500Ø</v>
          </cell>
          <cell r="D1146" t="str">
            <v>개</v>
          </cell>
          <cell r="E1146">
            <v>658000</v>
          </cell>
          <cell r="F1146">
            <v>0</v>
          </cell>
          <cell r="H1146">
            <v>657</v>
          </cell>
          <cell r="I1146">
            <v>658000</v>
          </cell>
          <cell r="J1146">
            <v>657</v>
          </cell>
          <cell r="L1146">
            <v>657</v>
          </cell>
        </row>
        <row r="1147">
          <cell r="A1147">
            <v>8167</v>
          </cell>
          <cell r="B1147" t="str">
            <v>Bellows Joint</v>
          </cell>
          <cell r="C1147" t="str">
            <v>400Ø</v>
          </cell>
          <cell r="D1147" t="str">
            <v>개</v>
          </cell>
          <cell r="E1147">
            <v>576000</v>
          </cell>
          <cell r="F1147">
            <v>0</v>
          </cell>
          <cell r="H1147">
            <v>657</v>
          </cell>
          <cell r="I1147">
            <v>576000</v>
          </cell>
          <cell r="J1147">
            <v>657</v>
          </cell>
          <cell r="L1147">
            <v>657</v>
          </cell>
        </row>
        <row r="1148">
          <cell r="A1148">
            <v>8168</v>
          </cell>
          <cell r="B1148" t="str">
            <v>Bellows Joint</v>
          </cell>
          <cell r="C1148" t="str">
            <v>300Ø</v>
          </cell>
          <cell r="D1148" t="str">
            <v>개</v>
          </cell>
          <cell r="E1148">
            <v>513000</v>
          </cell>
          <cell r="F1148">
            <v>0</v>
          </cell>
          <cell r="H1148">
            <v>657</v>
          </cell>
          <cell r="I1148">
            <v>513000</v>
          </cell>
          <cell r="J1148">
            <v>657</v>
          </cell>
          <cell r="L1148">
            <v>657</v>
          </cell>
        </row>
        <row r="1149">
          <cell r="A1149">
            <v>8169</v>
          </cell>
          <cell r="B1149" t="str">
            <v>Bellows Joint</v>
          </cell>
          <cell r="C1149" t="str">
            <v>200Ø</v>
          </cell>
          <cell r="D1149" t="str">
            <v>개</v>
          </cell>
          <cell r="E1149">
            <v>400000</v>
          </cell>
          <cell r="F1149">
            <v>0</v>
          </cell>
          <cell r="H1149">
            <v>657</v>
          </cell>
          <cell r="I1149">
            <v>400000</v>
          </cell>
          <cell r="J1149">
            <v>657</v>
          </cell>
          <cell r="L1149">
            <v>657</v>
          </cell>
        </row>
        <row r="1150">
          <cell r="A1150">
            <v>8171</v>
          </cell>
          <cell r="B1150" t="str">
            <v>Ventilated Trimble</v>
          </cell>
          <cell r="C1150" t="str">
            <v>1,000Ø</v>
          </cell>
          <cell r="D1150" t="str">
            <v>개</v>
          </cell>
          <cell r="E1150">
            <v>314000</v>
          </cell>
          <cell r="F1150">
            <v>0</v>
          </cell>
          <cell r="H1150">
            <v>657</v>
          </cell>
          <cell r="I1150">
            <v>314000</v>
          </cell>
          <cell r="J1150">
            <v>657</v>
          </cell>
          <cell r="L1150">
            <v>657</v>
          </cell>
        </row>
        <row r="1151">
          <cell r="A1151">
            <v>8172</v>
          </cell>
          <cell r="B1151" t="str">
            <v>Ventilated Trimble</v>
          </cell>
          <cell r="C1151" t="str">
            <v>900Ø</v>
          </cell>
          <cell r="D1151" t="str">
            <v>개</v>
          </cell>
          <cell r="E1151">
            <v>247000</v>
          </cell>
          <cell r="F1151">
            <v>0</v>
          </cell>
          <cell r="H1151">
            <v>657</v>
          </cell>
          <cell r="I1151">
            <v>247000</v>
          </cell>
          <cell r="J1151">
            <v>657</v>
          </cell>
          <cell r="L1151">
            <v>657</v>
          </cell>
        </row>
        <row r="1152">
          <cell r="A1152">
            <v>8173</v>
          </cell>
          <cell r="B1152" t="str">
            <v>Ventilated Trimble</v>
          </cell>
          <cell r="C1152" t="str">
            <v>800Ø</v>
          </cell>
          <cell r="D1152" t="str">
            <v>개</v>
          </cell>
          <cell r="E1152">
            <v>227000</v>
          </cell>
          <cell r="F1152">
            <v>0</v>
          </cell>
          <cell r="H1152">
            <v>657</v>
          </cell>
          <cell r="I1152">
            <v>227000</v>
          </cell>
          <cell r="J1152">
            <v>657</v>
          </cell>
          <cell r="L1152">
            <v>657</v>
          </cell>
        </row>
        <row r="1153">
          <cell r="A1153">
            <v>8174</v>
          </cell>
          <cell r="B1153" t="str">
            <v>Ventilated Trimble</v>
          </cell>
          <cell r="C1153" t="str">
            <v>700Ø</v>
          </cell>
          <cell r="D1153" t="str">
            <v>개</v>
          </cell>
          <cell r="E1153">
            <v>205000</v>
          </cell>
          <cell r="F1153">
            <v>0</v>
          </cell>
          <cell r="H1153">
            <v>657</v>
          </cell>
          <cell r="I1153">
            <v>205000</v>
          </cell>
          <cell r="J1153">
            <v>657</v>
          </cell>
          <cell r="L1153">
            <v>657</v>
          </cell>
        </row>
        <row r="1154">
          <cell r="A1154">
            <v>8175</v>
          </cell>
          <cell r="B1154" t="str">
            <v>Ventilated Trimble</v>
          </cell>
          <cell r="C1154" t="str">
            <v>600Ø</v>
          </cell>
          <cell r="D1154" t="str">
            <v>개</v>
          </cell>
          <cell r="E1154">
            <v>183000</v>
          </cell>
          <cell r="F1154">
            <v>0</v>
          </cell>
          <cell r="H1154">
            <v>657</v>
          </cell>
          <cell r="I1154">
            <v>183000</v>
          </cell>
          <cell r="J1154">
            <v>657</v>
          </cell>
          <cell r="L1154">
            <v>657</v>
          </cell>
        </row>
        <row r="1155">
          <cell r="A1155">
            <v>8176</v>
          </cell>
          <cell r="B1155" t="str">
            <v>Ventilated Trimble</v>
          </cell>
          <cell r="C1155" t="str">
            <v>500Ø</v>
          </cell>
          <cell r="D1155" t="str">
            <v>개</v>
          </cell>
          <cell r="E1155">
            <v>164000</v>
          </cell>
          <cell r="F1155">
            <v>0</v>
          </cell>
          <cell r="H1155">
            <v>657</v>
          </cell>
          <cell r="I1155">
            <v>164000</v>
          </cell>
          <cell r="J1155">
            <v>657</v>
          </cell>
          <cell r="L1155">
            <v>657</v>
          </cell>
        </row>
        <row r="1156">
          <cell r="A1156">
            <v>8177</v>
          </cell>
          <cell r="B1156" t="str">
            <v>Ventilated Trimble</v>
          </cell>
          <cell r="C1156" t="str">
            <v>400Ø</v>
          </cell>
          <cell r="D1156" t="str">
            <v>개</v>
          </cell>
          <cell r="E1156">
            <v>148000</v>
          </cell>
          <cell r="F1156">
            <v>0</v>
          </cell>
          <cell r="H1156">
            <v>657</v>
          </cell>
          <cell r="I1156">
            <v>148000</v>
          </cell>
          <cell r="J1156">
            <v>657</v>
          </cell>
          <cell r="L1156">
            <v>657</v>
          </cell>
        </row>
        <row r="1157">
          <cell r="A1157">
            <v>8178</v>
          </cell>
          <cell r="B1157" t="str">
            <v>Ventilated Trimble</v>
          </cell>
          <cell r="C1157" t="str">
            <v>300Ø</v>
          </cell>
          <cell r="D1157" t="str">
            <v>개</v>
          </cell>
          <cell r="E1157">
            <v>133000</v>
          </cell>
          <cell r="F1157">
            <v>0</v>
          </cell>
          <cell r="H1157">
            <v>657</v>
          </cell>
          <cell r="I1157">
            <v>133000</v>
          </cell>
          <cell r="J1157">
            <v>657</v>
          </cell>
          <cell r="L1157">
            <v>657</v>
          </cell>
        </row>
        <row r="1158">
          <cell r="A1158">
            <v>8179</v>
          </cell>
          <cell r="B1158" t="str">
            <v>Ventilated Trimble</v>
          </cell>
          <cell r="C1158" t="str">
            <v>200Ø</v>
          </cell>
          <cell r="D1158" t="str">
            <v>개</v>
          </cell>
          <cell r="E1158">
            <v>118000</v>
          </cell>
          <cell r="F1158">
            <v>0</v>
          </cell>
          <cell r="H1158">
            <v>657</v>
          </cell>
          <cell r="I1158">
            <v>118000</v>
          </cell>
          <cell r="J1158">
            <v>657</v>
          </cell>
          <cell r="L1158">
            <v>657</v>
          </cell>
        </row>
        <row r="1159">
          <cell r="A1159">
            <v>8181</v>
          </cell>
          <cell r="B1159" t="str">
            <v>Drain Tee Cap</v>
          </cell>
          <cell r="C1159" t="str">
            <v>1,000Ø</v>
          </cell>
          <cell r="D1159" t="str">
            <v>개</v>
          </cell>
          <cell r="E1159">
            <v>125000</v>
          </cell>
          <cell r="F1159">
            <v>0</v>
          </cell>
          <cell r="H1159">
            <v>657</v>
          </cell>
          <cell r="I1159">
            <v>125000</v>
          </cell>
          <cell r="J1159">
            <v>657</v>
          </cell>
          <cell r="L1159">
            <v>657</v>
          </cell>
        </row>
        <row r="1160">
          <cell r="A1160">
            <v>8182</v>
          </cell>
          <cell r="B1160" t="str">
            <v>Drain Tee Cap</v>
          </cell>
          <cell r="C1160" t="str">
            <v>900Ø</v>
          </cell>
          <cell r="D1160" t="str">
            <v>개</v>
          </cell>
          <cell r="E1160">
            <v>90000</v>
          </cell>
          <cell r="F1160">
            <v>0</v>
          </cell>
          <cell r="H1160">
            <v>657</v>
          </cell>
          <cell r="I1160">
            <v>90000</v>
          </cell>
          <cell r="J1160">
            <v>657</v>
          </cell>
          <cell r="L1160">
            <v>657</v>
          </cell>
        </row>
        <row r="1161">
          <cell r="A1161">
            <v>8183</v>
          </cell>
          <cell r="B1161" t="str">
            <v>Drain Tee Cap</v>
          </cell>
          <cell r="C1161" t="str">
            <v>800Ø</v>
          </cell>
          <cell r="D1161" t="str">
            <v>개</v>
          </cell>
          <cell r="E1161">
            <v>63800</v>
          </cell>
          <cell r="F1161">
            <v>0</v>
          </cell>
          <cell r="H1161">
            <v>657</v>
          </cell>
          <cell r="I1161">
            <v>63800</v>
          </cell>
          <cell r="J1161">
            <v>657</v>
          </cell>
          <cell r="L1161">
            <v>657</v>
          </cell>
        </row>
        <row r="1162">
          <cell r="A1162">
            <v>8184</v>
          </cell>
          <cell r="B1162" t="str">
            <v>Drain Tee Cap</v>
          </cell>
          <cell r="C1162" t="str">
            <v>700Ø</v>
          </cell>
          <cell r="D1162" t="str">
            <v>개</v>
          </cell>
          <cell r="E1162">
            <v>51200</v>
          </cell>
          <cell r="F1162">
            <v>0</v>
          </cell>
          <cell r="H1162">
            <v>657</v>
          </cell>
          <cell r="I1162">
            <v>51200</v>
          </cell>
          <cell r="J1162">
            <v>657</v>
          </cell>
          <cell r="L1162">
            <v>657</v>
          </cell>
        </row>
        <row r="1163">
          <cell r="A1163">
            <v>8185</v>
          </cell>
          <cell r="B1163" t="str">
            <v>Drain Tee Cap</v>
          </cell>
          <cell r="C1163" t="str">
            <v>600Ø</v>
          </cell>
          <cell r="D1163" t="str">
            <v>개</v>
          </cell>
          <cell r="E1163">
            <v>44500</v>
          </cell>
          <cell r="F1163">
            <v>0</v>
          </cell>
          <cell r="H1163">
            <v>657</v>
          </cell>
          <cell r="I1163">
            <v>44500</v>
          </cell>
          <cell r="J1163">
            <v>657</v>
          </cell>
          <cell r="L1163">
            <v>657</v>
          </cell>
        </row>
        <row r="1164">
          <cell r="A1164">
            <v>8186</v>
          </cell>
          <cell r="B1164" t="str">
            <v>Drain Tee Cap</v>
          </cell>
          <cell r="C1164" t="str">
            <v>500Ø</v>
          </cell>
          <cell r="D1164" t="str">
            <v>개</v>
          </cell>
          <cell r="E1164">
            <v>39200</v>
          </cell>
          <cell r="F1164">
            <v>0</v>
          </cell>
          <cell r="H1164">
            <v>657</v>
          </cell>
          <cell r="I1164">
            <v>39200</v>
          </cell>
          <cell r="J1164">
            <v>657</v>
          </cell>
          <cell r="L1164">
            <v>657</v>
          </cell>
        </row>
        <row r="1165">
          <cell r="A1165">
            <v>8187</v>
          </cell>
          <cell r="B1165" t="str">
            <v>Drain Tee Cap</v>
          </cell>
          <cell r="C1165" t="str">
            <v>400Ø</v>
          </cell>
          <cell r="D1165" t="str">
            <v>개</v>
          </cell>
          <cell r="E1165">
            <v>29900</v>
          </cell>
          <cell r="F1165">
            <v>0</v>
          </cell>
          <cell r="H1165">
            <v>657</v>
          </cell>
          <cell r="I1165">
            <v>29900</v>
          </cell>
          <cell r="J1165">
            <v>657</v>
          </cell>
          <cell r="L1165">
            <v>657</v>
          </cell>
        </row>
        <row r="1166">
          <cell r="A1166">
            <v>8188</v>
          </cell>
          <cell r="B1166" t="str">
            <v>Drain Tee Cap</v>
          </cell>
          <cell r="C1166" t="str">
            <v>300Ø</v>
          </cell>
          <cell r="D1166" t="str">
            <v>개</v>
          </cell>
          <cell r="E1166">
            <v>24600</v>
          </cell>
          <cell r="F1166">
            <v>0</v>
          </cell>
          <cell r="H1166">
            <v>657</v>
          </cell>
          <cell r="I1166">
            <v>24600</v>
          </cell>
          <cell r="J1166">
            <v>657</v>
          </cell>
          <cell r="L1166">
            <v>657</v>
          </cell>
        </row>
        <row r="1167">
          <cell r="A1167">
            <v>8189</v>
          </cell>
          <cell r="B1167" t="str">
            <v>Drain Tee Cap</v>
          </cell>
          <cell r="C1167" t="str">
            <v>200Ø</v>
          </cell>
          <cell r="D1167" t="str">
            <v>개</v>
          </cell>
          <cell r="E1167">
            <v>17900</v>
          </cell>
          <cell r="F1167">
            <v>0</v>
          </cell>
          <cell r="H1167">
            <v>657</v>
          </cell>
          <cell r="I1167">
            <v>17900</v>
          </cell>
          <cell r="J1167">
            <v>657</v>
          </cell>
          <cell r="L1167">
            <v>657</v>
          </cell>
        </row>
        <row r="1168">
          <cell r="A1168">
            <v>8191</v>
          </cell>
          <cell r="B1168" t="str">
            <v>Manifold Tee</v>
          </cell>
          <cell r="C1168" t="str">
            <v>1,000Ø</v>
          </cell>
          <cell r="D1168" t="str">
            <v>개</v>
          </cell>
          <cell r="E1168">
            <v>665000</v>
          </cell>
          <cell r="F1168">
            <v>0</v>
          </cell>
          <cell r="H1168">
            <v>657</v>
          </cell>
          <cell r="I1168">
            <v>665000</v>
          </cell>
          <cell r="J1168">
            <v>657</v>
          </cell>
          <cell r="L1168">
            <v>657</v>
          </cell>
        </row>
        <row r="1169">
          <cell r="A1169">
            <v>8192</v>
          </cell>
          <cell r="B1169" t="str">
            <v>Manifold Tee</v>
          </cell>
          <cell r="C1169" t="str">
            <v>900Ø</v>
          </cell>
          <cell r="D1169" t="str">
            <v>개</v>
          </cell>
          <cell r="E1169">
            <v>450000</v>
          </cell>
          <cell r="F1169">
            <v>0</v>
          </cell>
          <cell r="H1169">
            <v>657</v>
          </cell>
          <cell r="I1169">
            <v>450000</v>
          </cell>
          <cell r="J1169">
            <v>657</v>
          </cell>
          <cell r="L1169">
            <v>657</v>
          </cell>
        </row>
        <row r="1170">
          <cell r="A1170">
            <v>8193</v>
          </cell>
          <cell r="B1170" t="str">
            <v>Manifold Tee</v>
          </cell>
          <cell r="C1170" t="str">
            <v>800Ø</v>
          </cell>
          <cell r="D1170" t="str">
            <v>개</v>
          </cell>
          <cell r="E1170">
            <v>409000</v>
          </cell>
          <cell r="F1170">
            <v>0</v>
          </cell>
          <cell r="H1170">
            <v>657</v>
          </cell>
          <cell r="I1170">
            <v>409000</v>
          </cell>
          <cell r="J1170">
            <v>657</v>
          </cell>
          <cell r="L1170">
            <v>657</v>
          </cell>
        </row>
        <row r="1171">
          <cell r="A1171">
            <v>8194</v>
          </cell>
          <cell r="B1171" t="str">
            <v>Manifold Tee</v>
          </cell>
          <cell r="C1171" t="str">
            <v>700Ø</v>
          </cell>
          <cell r="D1171" t="str">
            <v>개</v>
          </cell>
          <cell r="E1171">
            <v>287000</v>
          </cell>
          <cell r="F1171">
            <v>0</v>
          </cell>
          <cell r="H1171">
            <v>657</v>
          </cell>
          <cell r="I1171">
            <v>287000</v>
          </cell>
          <cell r="J1171">
            <v>657</v>
          </cell>
          <cell r="L1171">
            <v>657</v>
          </cell>
        </row>
        <row r="1172">
          <cell r="A1172">
            <v>8195</v>
          </cell>
          <cell r="B1172" t="str">
            <v>Manifold Tee</v>
          </cell>
          <cell r="C1172" t="str">
            <v>600Ø</v>
          </cell>
          <cell r="D1172" t="str">
            <v>개</v>
          </cell>
          <cell r="E1172">
            <v>252000</v>
          </cell>
          <cell r="F1172">
            <v>0</v>
          </cell>
          <cell r="H1172">
            <v>657</v>
          </cell>
          <cell r="I1172">
            <v>252000</v>
          </cell>
          <cell r="J1172">
            <v>657</v>
          </cell>
          <cell r="L1172">
            <v>657</v>
          </cell>
        </row>
        <row r="1173">
          <cell r="A1173">
            <v>8196</v>
          </cell>
          <cell r="B1173" t="str">
            <v>Manifold Tee</v>
          </cell>
          <cell r="C1173" t="str">
            <v>500Ø</v>
          </cell>
          <cell r="D1173" t="str">
            <v>개</v>
          </cell>
          <cell r="E1173">
            <v>194000</v>
          </cell>
          <cell r="F1173">
            <v>0</v>
          </cell>
          <cell r="H1173">
            <v>657</v>
          </cell>
          <cell r="I1173">
            <v>194000</v>
          </cell>
          <cell r="J1173">
            <v>657</v>
          </cell>
          <cell r="L1173">
            <v>657</v>
          </cell>
        </row>
        <row r="1174">
          <cell r="A1174">
            <v>8197</v>
          </cell>
          <cell r="B1174" t="str">
            <v>Manifold Tee</v>
          </cell>
          <cell r="C1174" t="str">
            <v>400Ø</v>
          </cell>
          <cell r="D1174" t="str">
            <v>개</v>
          </cell>
          <cell r="E1174">
            <v>154000</v>
          </cell>
          <cell r="F1174">
            <v>0</v>
          </cell>
          <cell r="H1174">
            <v>657</v>
          </cell>
          <cell r="I1174">
            <v>154000</v>
          </cell>
          <cell r="J1174">
            <v>657</v>
          </cell>
          <cell r="L1174">
            <v>657</v>
          </cell>
        </row>
        <row r="1175">
          <cell r="A1175">
            <v>8198</v>
          </cell>
          <cell r="B1175" t="str">
            <v>Manifold Tee</v>
          </cell>
          <cell r="C1175" t="str">
            <v>300Ø</v>
          </cell>
          <cell r="D1175" t="str">
            <v>개</v>
          </cell>
          <cell r="E1175">
            <v>124000</v>
          </cell>
          <cell r="F1175">
            <v>0</v>
          </cell>
          <cell r="H1175">
            <v>657</v>
          </cell>
          <cell r="I1175">
            <v>124000</v>
          </cell>
          <cell r="J1175">
            <v>657</v>
          </cell>
          <cell r="L1175">
            <v>657</v>
          </cell>
        </row>
        <row r="1176">
          <cell r="A1176">
            <v>8199</v>
          </cell>
          <cell r="B1176" t="str">
            <v>Manifold Tee</v>
          </cell>
          <cell r="C1176" t="str">
            <v>200Ø</v>
          </cell>
          <cell r="D1176" t="str">
            <v>개</v>
          </cell>
          <cell r="E1176">
            <v>81000</v>
          </cell>
          <cell r="F1176">
            <v>0</v>
          </cell>
          <cell r="H1176">
            <v>657</v>
          </cell>
          <cell r="I1176">
            <v>81000</v>
          </cell>
          <cell r="J1176">
            <v>657</v>
          </cell>
          <cell r="L1176">
            <v>657</v>
          </cell>
        </row>
        <row r="1177">
          <cell r="A1177">
            <v>8201</v>
          </cell>
          <cell r="B1177" t="str">
            <v>Insulated Flange</v>
          </cell>
          <cell r="C1177" t="str">
            <v>1,000Ø</v>
          </cell>
          <cell r="D1177" t="str">
            <v>개</v>
          </cell>
          <cell r="E1177">
            <v>571000</v>
          </cell>
          <cell r="F1177">
            <v>0</v>
          </cell>
          <cell r="H1177">
            <v>657</v>
          </cell>
          <cell r="I1177">
            <v>571000</v>
          </cell>
          <cell r="J1177">
            <v>657</v>
          </cell>
          <cell r="L1177">
            <v>657</v>
          </cell>
        </row>
        <row r="1178">
          <cell r="A1178">
            <v>8202</v>
          </cell>
          <cell r="B1178" t="str">
            <v>Insulated Flange</v>
          </cell>
          <cell r="C1178" t="str">
            <v>900Ø</v>
          </cell>
          <cell r="D1178" t="str">
            <v>개</v>
          </cell>
          <cell r="E1178">
            <v>348000</v>
          </cell>
          <cell r="F1178">
            <v>0</v>
          </cell>
          <cell r="H1178">
            <v>657</v>
          </cell>
          <cell r="I1178">
            <v>348000</v>
          </cell>
          <cell r="J1178">
            <v>657</v>
          </cell>
          <cell r="L1178">
            <v>657</v>
          </cell>
        </row>
        <row r="1179">
          <cell r="A1179">
            <v>8203</v>
          </cell>
          <cell r="B1179" t="str">
            <v>Insulated Flange</v>
          </cell>
          <cell r="C1179" t="str">
            <v>800Ø</v>
          </cell>
          <cell r="D1179" t="str">
            <v>개</v>
          </cell>
          <cell r="E1179">
            <v>294000</v>
          </cell>
          <cell r="F1179">
            <v>0</v>
          </cell>
          <cell r="H1179">
            <v>657</v>
          </cell>
          <cell r="I1179">
            <v>294000</v>
          </cell>
          <cell r="J1179">
            <v>657</v>
          </cell>
          <cell r="L1179">
            <v>657</v>
          </cell>
        </row>
        <row r="1180">
          <cell r="A1180">
            <v>8204</v>
          </cell>
          <cell r="B1180" t="str">
            <v>Insulated Flange</v>
          </cell>
          <cell r="C1180" t="str">
            <v>700Ø</v>
          </cell>
          <cell r="D1180" t="str">
            <v>개</v>
          </cell>
          <cell r="E1180">
            <v>209000</v>
          </cell>
          <cell r="F1180">
            <v>0</v>
          </cell>
          <cell r="H1180">
            <v>657</v>
          </cell>
          <cell r="I1180">
            <v>209000</v>
          </cell>
          <cell r="J1180">
            <v>657</v>
          </cell>
          <cell r="L1180">
            <v>657</v>
          </cell>
        </row>
        <row r="1181">
          <cell r="A1181">
            <v>8205</v>
          </cell>
          <cell r="B1181" t="str">
            <v>Insulated Flange</v>
          </cell>
          <cell r="C1181" t="str">
            <v>600Ø</v>
          </cell>
          <cell r="D1181" t="str">
            <v>개</v>
          </cell>
          <cell r="E1181">
            <v>182000</v>
          </cell>
          <cell r="F1181">
            <v>0</v>
          </cell>
          <cell r="H1181">
            <v>657</v>
          </cell>
          <cell r="I1181">
            <v>182000</v>
          </cell>
          <cell r="J1181">
            <v>657</v>
          </cell>
          <cell r="L1181">
            <v>657</v>
          </cell>
        </row>
        <row r="1182">
          <cell r="A1182">
            <v>8206</v>
          </cell>
          <cell r="B1182" t="str">
            <v>Insulated Flange</v>
          </cell>
          <cell r="C1182" t="str">
            <v>500Ø</v>
          </cell>
          <cell r="D1182" t="str">
            <v>개</v>
          </cell>
          <cell r="E1182">
            <v>174000</v>
          </cell>
          <cell r="F1182">
            <v>0</v>
          </cell>
          <cell r="H1182">
            <v>657</v>
          </cell>
          <cell r="I1182">
            <v>174000</v>
          </cell>
          <cell r="J1182">
            <v>657</v>
          </cell>
          <cell r="L1182">
            <v>657</v>
          </cell>
        </row>
        <row r="1183">
          <cell r="A1183">
            <v>8207</v>
          </cell>
          <cell r="B1183" t="str">
            <v>Insulated Flange</v>
          </cell>
          <cell r="C1183" t="str">
            <v>400Ø</v>
          </cell>
          <cell r="D1183" t="str">
            <v>개</v>
          </cell>
          <cell r="E1183">
            <v>138000</v>
          </cell>
          <cell r="F1183">
            <v>0</v>
          </cell>
          <cell r="H1183">
            <v>657</v>
          </cell>
          <cell r="I1183">
            <v>138000</v>
          </cell>
          <cell r="J1183">
            <v>657</v>
          </cell>
          <cell r="L1183">
            <v>657</v>
          </cell>
        </row>
        <row r="1184">
          <cell r="A1184">
            <v>8208</v>
          </cell>
          <cell r="B1184" t="str">
            <v>Insulated Flange</v>
          </cell>
          <cell r="C1184" t="str">
            <v>300Ø</v>
          </cell>
          <cell r="D1184" t="str">
            <v>개</v>
          </cell>
          <cell r="E1184">
            <v>91000</v>
          </cell>
          <cell r="F1184">
            <v>0</v>
          </cell>
          <cell r="H1184">
            <v>657</v>
          </cell>
          <cell r="I1184">
            <v>91000</v>
          </cell>
          <cell r="J1184">
            <v>657</v>
          </cell>
          <cell r="L1184">
            <v>657</v>
          </cell>
        </row>
        <row r="1185">
          <cell r="A1185">
            <v>8209</v>
          </cell>
          <cell r="B1185" t="str">
            <v>Insulated Flange</v>
          </cell>
          <cell r="C1185" t="str">
            <v>200Ø</v>
          </cell>
          <cell r="D1185" t="str">
            <v>개</v>
          </cell>
          <cell r="E1185">
            <v>68000</v>
          </cell>
          <cell r="F1185">
            <v>0</v>
          </cell>
          <cell r="H1185">
            <v>657</v>
          </cell>
          <cell r="I1185">
            <v>68000</v>
          </cell>
          <cell r="J1185">
            <v>657</v>
          </cell>
          <cell r="L1185">
            <v>657</v>
          </cell>
        </row>
        <row r="1186">
          <cell r="A1186">
            <v>8211</v>
          </cell>
          <cell r="B1186" t="str">
            <v>Pt Support Assembly</v>
          </cell>
          <cell r="C1186" t="str">
            <v>1,000Ø</v>
          </cell>
          <cell r="D1186" t="str">
            <v>개</v>
          </cell>
          <cell r="E1186">
            <v>254000</v>
          </cell>
          <cell r="F1186">
            <v>0</v>
          </cell>
          <cell r="H1186">
            <v>657</v>
          </cell>
          <cell r="I1186">
            <v>254000</v>
          </cell>
          <cell r="J1186">
            <v>657</v>
          </cell>
          <cell r="L1186">
            <v>657</v>
          </cell>
        </row>
        <row r="1187">
          <cell r="A1187">
            <v>8212</v>
          </cell>
          <cell r="B1187" t="str">
            <v>Pt Support Assembly</v>
          </cell>
          <cell r="C1187" t="str">
            <v>900Ø</v>
          </cell>
          <cell r="D1187" t="str">
            <v>개</v>
          </cell>
          <cell r="E1187">
            <v>171000</v>
          </cell>
          <cell r="F1187">
            <v>0</v>
          </cell>
          <cell r="H1187">
            <v>657</v>
          </cell>
          <cell r="I1187">
            <v>171000</v>
          </cell>
          <cell r="J1187">
            <v>657</v>
          </cell>
          <cell r="L1187">
            <v>657</v>
          </cell>
        </row>
        <row r="1188">
          <cell r="A1188">
            <v>8213</v>
          </cell>
          <cell r="B1188" t="str">
            <v>Pt Support Assembly</v>
          </cell>
          <cell r="C1188" t="str">
            <v>800Ø</v>
          </cell>
          <cell r="D1188" t="str">
            <v>개</v>
          </cell>
          <cell r="E1188">
            <v>142000</v>
          </cell>
          <cell r="F1188">
            <v>0</v>
          </cell>
          <cell r="H1188">
            <v>657</v>
          </cell>
          <cell r="I1188">
            <v>142000</v>
          </cell>
          <cell r="J1188">
            <v>657</v>
          </cell>
          <cell r="L1188">
            <v>657</v>
          </cell>
        </row>
        <row r="1189">
          <cell r="A1189">
            <v>8214</v>
          </cell>
          <cell r="B1189" t="str">
            <v>Pt Support Assembly</v>
          </cell>
          <cell r="C1189" t="str">
            <v>700Ø</v>
          </cell>
          <cell r="D1189" t="str">
            <v>개</v>
          </cell>
          <cell r="E1189">
            <v>115000</v>
          </cell>
          <cell r="F1189">
            <v>0</v>
          </cell>
          <cell r="H1189">
            <v>657</v>
          </cell>
          <cell r="I1189">
            <v>115000</v>
          </cell>
          <cell r="J1189">
            <v>657</v>
          </cell>
          <cell r="L1189">
            <v>657</v>
          </cell>
        </row>
        <row r="1190">
          <cell r="A1190">
            <v>8215</v>
          </cell>
          <cell r="B1190" t="str">
            <v>Pt Support Assembly</v>
          </cell>
          <cell r="C1190" t="str">
            <v>600Ø</v>
          </cell>
          <cell r="D1190" t="str">
            <v>개</v>
          </cell>
          <cell r="E1190">
            <v>95000</v>
          </cell>
          <cell r="F1190">
            <v>0</v>
          </cell>
          <cell r="H1190">
            <v>657</v>
          </cell>
          <cell r="I1190">
            <v>95000</v>
          </cell>
          <cell r="J1190">
            <v>657</v>
          </cell>
          <cell r="L1190">
            <v>657</v>
          </cell>
        </row>
        <row r="1191">
          <cell r="A1191">
            <v>8216</v>
          </cell>
          <cell r="B1191" t="str">
            <v>Pt Support Assembly</v>
          </cell>
          <cell r="C1191" t="str">
            <v>500Ø</v>
          </cell>
          <cell r="D1191" t="str">
            <v>개</v>
          </cell>
          <cell r="E1191">
            <v>75000</v>
          </cell>
          <cell r="F1191">
            <v>0</v>
          </cell>
          <cell r="H1191">
            <v>657</v>
          </cell>
          <cell r="I1191">
            <v>75000</v>
          </cell>
          <cell r="J1191">
            <v>657</v>
          </cell>
          <cell r="L1191">
            <v>657</v>
          </cell>
        </row>
        <row r="1192">
          <cell r="A1192">
            <v>8217</v>
          </cell>
          <cell r="B1192" t="str">
            <v>Pt Support Assembly</v>
          </cell>
          <cell r="C1192" t="str">
            <v>400Ø</v>
          </cell>
          <cell r="D1192" t="str">
            <v>개</v>
          </cell>
          <cell r="E1192">
            <v>63100</v>
          </cell>
          <cell r="F1192">
            <v>0</v>
          </cell>
          <cell r="H1192">
            <v>657</v>
          </cell>
          <cell r="I1192">
            <v>63100</v>
          </cell>
          <cell r="J1192">
            <v>657</v>
          </cell>
          <cell r="L1192">
            <v>657</v>
          </cell>
        </row>
        <row r="1193">
          <cell r="A1193">
            <v>8218</v>
          </cell>
          <cell r="B1193" t="str">
            <v>Pt Support Assembly</v>
          </cell>
          <cell r="C1193" t="str">
            <v>300Ø</v>
          </cell>
          <cell r="D1193" t="str">
            <v>개</v>
          </cell>
          <cell r="E1193">
            <v>56500</v>
          </cell>
          <cell r="F1193">
            <v>0</v>
          </cell>
          <cell r="H1193">
            <v>657</v>
          </cell>
          <cell r="I1193">
            <v>56500</v>
          </cell>
          <cell r="J1193">
            <v>657</v>
          </cell>
          <cell r="L1193">
            <v>657</v>
          </cell>
        </row>
        <row r="1194">
          <cell r="A1194">
            <v>8219</v>
          </cell>
          <cell r="B1194" t="str">
            <v>Pt Support Assembly</v>
          </cell>
          <cell r="C1194" t="str">
            <v>200Ø</v>
          </cell>
          <cell r="D1194" t="str">
            <v>개</v>
          </cell>
          <cell r="E1194">
            <v>49800</v>
          </cell>
          <cell r="F1194">
            <v>0</v>
          </cell>
          <cell r="H1194">
            <v>657</v>
          </cell>
          <cell r="I1194">
            <v>49800</v>
          </cell>
          <cell r="J1194">
            <v>657</v>
          </cell>
          <cell r="L1194">
            <v>657</v>
          </cell>
        </row>
        <row r="1195">
          <cell r="A1195">
            <v>8221</v>
          </cell>
          <cell r="B1195" t="str">
            <v>Check Hole</v>
          </cell>
          <cell r="C1195" t="str">
            <v>1,000Ø</v>
          </cell>
          <cell r="D1195" t="str">
            <v>개</v>
          </cell>
          <cell r="E1195">
            <v>354000</v>
          </cell>
          <cell r="F1195">
            <v>0</v>
          </cell>
          <cell r="H1195">
            <v>657</v>
          </cell>
          <cell r="I1195">
            <v>354000</v>
          </cell>
          <cell r="J1195">
            <v>657</v>
          </cell>
          <cell r="L1195">
            <v>657</v>
          </cell>
        </row>
        <row r="1196">
          <cell r="A1196">
            <v>8222</v>
          </cell>
          <cell r="B1196" t="str">
            <v>Check Hole</v>
          </cell>
          <cell r="C1196" t="str">
            <v>900Ø</v>
          </cell>
          <cell r="D1196" t="str">
            <v>개</v>
          </cell>
          <cell r="E1196">
            <v>282000</v>
          </cell>
          <cell r="F1196">
            <v>0</v>
          </cell>
          <cell r="H1196">
            <v>657</v>
          </cell>
          <cell r="I1196">
            <v>282000</v>
          </cell>
          <cell r="J1196">
            <v>657</v>
          </cell>
          <cell r="L1196">
            <v>657</v>
          </cell>
        </row>
        <row r="1197">
          <cell r="A1197">
            <v>8223</v>
          </cell>
          <cell r="B1197" t="str">
            <v>Check Hole</v>
          </cell>
          <cell r="C1197" t="str">
            <v>800Ø</v>
          </cell>
          <cell r="D1197" t="str">
            <v>개</v>
          </cell>
          <cell r="E1197">
            <v>252000</v>
          </cell>
          <cell r="F1197">
            <v>0</v>
          </cell>
          <cell r="H1197">
            <v>657</v>
          </cell>
          <cell r="I1197">
            <v>252000</v>
          </cell>
          <cell r="J1197">
            <v>657</v>
          </cell>
          <cell r="L1197">
            <v>657</v>
          </cell>
        </row>
        <row r="1198">
          <cell r="A1198">
            <v>8224</v>
          </cell>
          <cell r="B1198" t="str">
            <v>Check Hole</v>
          </cell>
          <cell r="C1198" t="str">
            <v>700Ø</v>
          </cell>
          <cell r="D1198" t="str">
            <v>개</v>
          </cell>
          <cell r="E1198">
            <v>219000</v>
          </cell>
          <cell r="F1198">
            <v>0</v>
          </cell>
          <cell r="H1198">
            <v>657</v>
          </cell>
          <cell r="I1198">
            <v>219000</v>
          </cell>
          <cell r="J1198">
            <v>657</v>
          </cell>
          <cell r="L1198">
            <v>657</v>
          </cell>
        </row>
        <row r="1199">
          <cell r="A1199">
            <v>8225</v>
          </cell>
          <cell r="B1199" t="str">
            <v>Check Hole</v>
          </cell>
          <cell r="C1199" t="str">
            <v>600Ø</v>
          </cell>
          <cell r="D1199" t="str">
            <v>개</v>
          </cell>
          <cell r="E1199">
            <v>188000</v>
          </cell>
          <cell r="F1199">
            <v>0</v>
          </cell>
          <cell r="H1199">
            <v>657</v>
          </cell>
          <cell r="I1199">
            <v>188000</v>
          </cell>
          <cell r="J1199">
            <v>657</v>
          </cell>
          <cell r="L1199">
            <v>657</v>
          </cell>
        </row>
        <row r="1200">
          <cell r="A1200">
            <v>8226</v>
          </cell>
          <cell r="B1200" t="str">
            <v>Check Hole</v>
          </cell>
          <cell r="C1200" t="str">
            <v>500Ø</v>
          </cell>
          <cell r="D1200" t="str">
            <v>개</v>
          </cell>
          <cell r="E1200">
            <v>157000</v>
          </cell>
          <cell r="F1200">
            <v>0</v>
          </cell>
          <cell r="H1200">
            <v>657</v>
          </cell>
          <cell r="I1200">
            <v>157000</v>
          </cell>
          <cell r="J1200">
            <v>657</v>
          </cell>
          <cell r="L1200">
            <v>657</v>
          </cell>
        </row>
        <row r="1201">
          <cell r="A1201">
            <v>8227</v>
          </cell>
          <cell r="B1201" t="str">
            <v>Check Hole</v>
          </cell>
          <cell r="C1201" t="str">
            <v>400Ø</v>
          </cell>
          <cell r="D1201" t="str">
            <v>개</v>
          </cell>
          <cell r="E1201">
            <v>125000</v>
          </cell>
          <cell r="F1201">
            <v>0</v>
          </cell>
          <cell r="H1201">
            <v>657</v>
          </cell>
          <cell r="I1201">
            <v>125000</v>
          </cell>
          <cell r="J1201">
            <v>657</v>
          </cell>
          <cell r="L1201">
            <v>657</v>
          </cell>
        </row>
        <row r="1202">
          <cell r="A1202">
            <v>8228</v>
          </cell>
          <cell r="B1202" t="str">
            <v>Check Hole</v>
          </cell>
          <cell r="C1202" t="str">
            <v>300Ø</v>
          </cell>
          <cell r="D1202" t="str">
            <v>개</v>
          </cell>
          <cell r="E1202">
            <v>93800</v>
          </cell>
          <cell r="F1202">
            <v>0</v>
          </cell>
          <cell r="H1202">
            <v>657</v>
          </cell>
          <cell r="I1202">
            <v>93800</v>
          </cell>
          <cell r="J1202">
            <v>657</v>
          </cell>
          <cell r="L1202">
            <v>657</v>
          </cell>
        </row>
        <row r="1203">
          <cell r="A1203">
            <v>8229</v>
          </cell>
          <cell r="B1203" t="str">
            <v>Check Hole</v>
          </cell>
          <cell r="C1203" t="str">
            <v>200Ø</v>
          </cell>
          <cell r="D1203" t="str">
            <v>개</v>
          </cell>
          <cell r="E1203">
            <v>63100</v>
          </cell>
          <cell r="F1203">
            <v>0</v>
          </cell>
          <cell r="H1203">
            <v>657</v>
          </cell>
          <cell r="I1203">
            <v>63100</v>
          </cell>
          <cell r="J1203">
            <v>657</v>
          </cell>
          <cell r="L1203">
            <v>657</v>
          </cell>
        </row>
        <row r="1204">
          <cell r="A1204">
            <v>8231</v>
          </cell>
          <cell r="B1204" t="str">
            <v>Full Angle Ring</v>
          </cell>
          <cell r="C1204" t="str">
            <v>1,000Ø</v>
          </cell>
          <cell r="D1204" t="str">
            <v>개</v>
          </cell>
          <cell r="E1204">
            <v>88000</v>
          </cell>
          <cell r="F1204">
            <v>0</v>
          </cell>
          <cell r="H1204">
            <v>657</v>
          </cell>
          <cell r="I1204">
            <v>88000</v>
          </cell>
          <cell r="J1204">
            <v>657</v>
          </cell>
          <cell r="L1204">
            <v>657</v>
          </cell>
        </row>
        <row r="1205">
          <cell r="A1205">
            <v>8232</v>
          </cell>
          <cell r="B1205" t="str">
            <v>Full Angle Ring</v>
          </cell>
          <cell r="C1205" t="str">
            <v>900Ø</v>
          </cell>
          <cell r="D1205" t="str">
            <v>개</v>
          </cell>
          <cell r="E1205">
            <v>69100</v>
          </cell>
          <cell r="F1205">
            <v>0</v>
          </cell>
          <cell r="H1205">
            <v>657</v>
          </cell>
          <cell r="I1205">
            <v>69100</v>
          </cell>
          <cell r="J1205">
            <v>657</v>
          </cell>
          <cell r="L1205">
            <v>657</v>
          </cell>
        </row>
        <row r="1206">
          <cell r="A1206">
            <v>8233</v>
          </cell>
          <cell r="B1206" t="str">
            <v>Full Angle Ring</v>
          </cell>
          <cell r="C1206" t="str">
            <v>800Ø</v>
          </cell>
          <cell r="D1206" t="str">
            <v>개</v>
          </cell>
          <cell r="E1206">
            <v>59800</v>
          </cell>
          <cell r="F1206">
            <v>0</v>
          </cell>
          <cell r="H1206">
            <v>657</v>
          </cell>
          <cell r="I1206">
            <v>59800</v>
          </cell>
          <cell r="J1206">
            <v>657</v>
          </cell>
          <cell r="L1206">
            <v>657</v>
          </cell>
        </row>
        <row r="1207">
          <cell r="A1207">
            <v>8234</v>
          </cell>
          <cell r="B1207" t="str">
            <v>Full Angle Ring</v>
          </cell>
          <cell r="C1207" t="str">
            <v>700Ø</v>
          </cell>
          <cell r="D1207" t="str">
            <v>개</v>
          </cell>
          <cell r="E1207">
            <v>53800</v>
          </cell>
          <cell r="F1207">
            <v>0</v>
          </cell>
          <cell r="H1207">
            <v>657</v>
          </cell>
          <cell r="I1207">
            <v>53800</v>
          </cell>
          <cell r="J1207">
            <v>657</v>
          </cell>
          <cell r="L1207">
            <v>657</v>
          </cell>
        </row>
        <row r="1208">
          <cell r="A1208">
            <v>8235</v>
          </cell>
          <cell r="B1208" t="str">
            <v>Full Angle Ring</v>
          </cell>
          <cell r="C1208" t="str">
            <v>600Ø</v>
          </cell>
          <cell r="D1208" t="str">
            <v>개</v>
          </cell>
          <cell r="E1208">
            <v>47200</v>
          </cell>
          <cell r="F1208">
            <v>0</v>
          </cell>
          <cell r="H1208">
            <v>657</v>
          </cell>
          <cell r="I1208">
            <v>47200</v>
          </cell>
          <cell r="J1208">
            <v>657</v>
          </cell>
          <cell r="L1208">
            <v>657</v>
          </cell>
        </row>
        <row r="1209">
          <cell r="A1209">
            <v>8236</v>
          </cell>
          <cell r="B1209" t="str">
            <v>Full Angle Ring</v>
          </cell>
          <cell r="C1209" t="str">
            <v>500Ø</v>
          </cell>
          <cell r="D1209" t="str">
            <v>개</v>
          </cell>
          <cell r="E1209">
            <v>41200</v>
          </cell>
          <cell r="F1209">
            <v>0</v>
          </cell>
          <cell r="H1209">
            <v>657</v>
          </cell>
          <cell r="I1209">
            <v>41200</v>
          </cell>
          <cell r="J1209">
            <v>657</v>
          </cell>
          <cell r="L1209">
            <v>657</v>
          </cell>
        </row>
        <row r="1210">
          <cell r="A1210">
            <v>8237</v>
          </cell>
          <cell r="B1210" t="str">
            <v>Full Angle Ring</v>
          </cell>
          <cell r="C1210" t="str">
            <v>400Ø</v>
          </cell>
          <cell r="D1210" t="str">
            <v>개</v>
          </cell>
          <cell r="E1210">
            <v>35900</v>
          </cell>
          <cell r="F1210">
            <v>0</v>
          </cell>
          <cell r="H1210">
            <v>657</v>
          </cell>
          <cell r="I1210">
            <v>35900</v>
          </cell>
          <cell r="J1210">
            <v>657</v>
          </cell>
          <cell r="L1210">
            <v>657</v>
          </cell>
        </row>
        <row r="1211">
          <cell r="A1211">
            <v>8238</v>
          </cell>
          <cell r="B1211" t="str">
            <v>Full Angle Ring</v>
          </cell>
          <cell r="C1211" t="str">
            <v>300Ø</v>
          </cell>
          <cell r="D1211" t="str">
            <v>개</v>
          </cell>
          <cell r="E1211">
            <v>29900</v>
          </cell>
          <cell r="F1211">
            <v>0</v>
          </cell>
          <cell r="H1211">
            <v>657</v>
          </cell>
          <cell r="I1211">
            <v>29900</v>
          </cell>
          <cell r="J1211">
            <v>657</v>
          </cell>
          <cell r="L1211">
            <v>657</v>
          </cell>
        </row>
        <row r="1212">
          <cell r="A1212">
            <v>8239</v>
          </cell>
          <cell r="B1212" t="str">
            <v>Full Angle Ring</v>
          </cell>
          <cell r="C1212" t="str">
            <v>200Ø</v>
          </cell>
          <cell r="D1212" t="str">
            <v>개</v>
          </cell>
          <cell r="E1212">
            <v>23200</v>
          </cell>
          <cell r="F1212">
            <v>0</v>
          </cell>
          <cell r="H1212">
            <v>657</v>
          </cell>
          <cell r="I1212">
            <v>23200</v>
          </cell>
          <cell r="J1212">
            <v>657</v>
          </cell>
          <cell r="L1212">
            <v>657</v>
          </cell>
        </row>
        <row r="1213">
          <cell r="A1213">
            <v>8241</v>
          </cell>
          <cell r="B1213" t="str">
            <v>Flange Adapter</v>
          </cell>
          <cell r="C1213" t="str">
            <v>1,000Ø</v>
          </cell>
          <cell r="D1213" t="str">
            <v>개</v>
          </cell>
          <cell r="E1213">
            <v>394000</v>
          </cell>
          <cell r="F1213">
            <v>0</v>
          </cell>
          <cell r="H1213">
            <v>657</v>
          </cell>
          <cell r="I1213">
            <v>394000</v>
          </cell>
          <cell r="J1213">
            <v>657</v>
          </cell>
          <cell r="L1213">
            <v>657</v>
          </cell>
        </row>
        <row r="1214">
          <cell r="A1214">
            <v>8242</v>
          </cell>
          <cell r="B1214" t="str">
            <v>Flange Adapter</v>
          </cell>
          <cell r="C1214" t="str">
            <v>900Ø</v>
          </cell>
          <cell r="D1214" t="str">
            <v>개</v>
          </cell>
          <cell r="E1214">
            <v>272000</v>
          </cell>
          <cell r="F1214">
            <v>0</v>
          </cell>
          <cell r="H1214">
            <v>657</v>
          </cell>
          <cell r="I1214">
            <v>272000</v>
          </cell>
          <cell r="J1214">
            <v>657</v>
          </cell>
          <cell r="L1214">
            <v>657</v>
          </cell>
        </row>
        <row r="1215">
          <cell r="A1215">
            <v>8243</v>
          </cell>
          <cell r="B1215" t="str">
            <v>Flange Adapter</v>
          </cell>
          <cell r="C1215" t="str">
            <v>800Ø</v>
          </cell>
          <cell r="D1215" t="str">
            <v>개</v>
          </cell>
          <cell r="E1215">
            <v>228000</v>
          </cell>
          <cell r="F1215">
            <v>0</v>
          </cell>
          <cell r="H1215">
            <v>657</v>
          </cell>
          <cell r="I1215">
            <v>228000</v>
          </cell>
          <cell r="J1215">
            <v>657</v>
          </cell>
          <cell r="L1215">
            <v>657</v>
          </cell>
        </row>
        <row r="1216">
          <cell r="A1216">
            <v>8244</v>
          </cell>
          <cell r="B1216" t="str">
            <v>Flange Adapter</v>
          </cell>
          <cell r="C1216" t="str">
            <v>700Ø</v>
          </cell>
          <cell r="D1216" t="str">
            <v>개</v>
          </cell>
          <cell r="E1216">
            <v>189000</v>
          </cell>
          <cell r="F1216">
            <v>0</v>
          </cell>
          <cell r="H1216">
            <v>657</v>
          </cell>
          <cell r="I1216">
            <v>189000</v>
          </cell>
          <cell r="J1216">
            <v>657</v>
          </cell>
          <cell r="L1216">
            <v>657</v>
          </cell>
        </row>
        <row r="1217">
          <cell r="A1217">
            <v>8245</v>
          </cell>
          <cell r="B1217" t="str">
            <v>Flange Adapter</v>
          </cell>
          <cell r="C1217" t="str">
            <v>600Ø</v>
          </cell>
          <cell r="D1217" t="str">
            <v>개</v>
          </cell>
          <cell r="E1217">
            <v>150000</v>
          </cell>
          <cell r="F1217">
            <v>0</v>
          </cell>
          <cell r="H1217">
            <v>657</v>
          </cell>
          <cell r="I1217">
            <v>150000</v>
          </cell>
          <cell r="J1217">
            <v>657</v>
          </cell>
          <cell r="L1217">
            <v>657</v>
          </cell>
        </row>
        <row r="1218">
          <cell r="A1218">
            <v>8246</v>
          </cell>
          <cell r="B1218" t="str">
            <v>Flange Adapter</v>
          </cell>
          <cell r="C1218" t="str">
            <v>500Ø</v>
          </cell>
          <cell r="D1218" t="str">
            <v>개</v>
          </cell>
          <cell r="E1218">
            <v>136000</v>
          </cell>
          <cell r="F1218">
            <v>0</v>
          </cell>
          <cell r="H1218">
            <v>657</v>
          </cell>
          <cell r="I1218">
            <v>136000</v>
          </cell>
          <cell r="J1218">
            <v>657</v>
          </cell>
          <cell r="L1218">
            <v>657</v>
          </cell>
        </row>
        <row r="1219">
          <cell r="A1219">
            <v>8247</v>
          </cell>
          <cell r="B1219" t="str">
            <v>Flange Adapter</v>
          </cell>
          <cell r="C1219" t="str">
            <v>400Ø</v>
          </cell>
          <cell r="D1219" t="str">
            <v>개</v>
          </cell>
          <cell r="E1219">
            <v>99000</v>
          </cell>
          <cell r="F1219">
            <v>0</v>
          </cell>
          <cell r="H1219">
            <v>657</v>
          </cell>
          <cell r="I1219">
            <v>99000</v>
          </cell>
          <cell r="J1219">
            <v>657</v>
          </cell>
          <cell r="L1219">
            <v>657</v>
          </cell>
        </row>
        <row r="1220">
          <cell r="A1220">
            <v>8248</v>
          </cell>
          <cell r="B1220" t="str">
            <v>Flange Adapter</v>
          </cell>
          <cell r="C1220" t="str">
            <v>300Ø</v>
          </cell>
          <cell r="D1220" t="str">
            <v>개</v>
          </cell>
          <cell r="E1220">
            <v>72400</v>
          </cell>
          <cell r="F1220">
            <v>0</v>
          </cell>
          <cell r="H1220">
            <v>657</v>
          </cell>
          <cell r="I1220">
            <v>72400</v>
          </cell>
          <cell r="J1220">
            <v>657</v>
          </cell>
          <cell r="L1220">
            <v>657</v>
          </cell>
        </row>
        <row r="1221">
          <cell r="A1221">
            <v>8249</v>
          </cell>
          <cell r="B1221" t="str">
            <v>Flange Adapter</v>
          </cell>
          <cell r="C1221" t="str">
            <v>200Ø</v>
          </cell>
          <cell r="D1221" t="str">
            <v>개</v>
          </cell>
          <cell r="E1221">
            <v>49800</v>
          </cell>
          <cell r="F1221">
            <v>0</v>
          </cell>
          <cell r="H1221">
            <v>657</v>
          </cell>
          <cell r="I1221">
            <v>49800</v>
          </cell>
          <cell r="J1221">
            <v>657</v>
          </cell>
          <cell r="L1221">
            <v>657</v>
          </cell>
        </row>
        <row r="1222">
          <cell r="A1222">
            <v>8251</v>
          </cell>
          <cell r="B1222" t="str">
            <v>Clamp Flange</v>
          </cell>
          <cell r="C1222" t="str">
            <v>1,000Ø</v>
          </cell>
          <cell r="D1222" t="str">
            <v>개</v>
          </cell>
          <cell r="E1222">
            <v>109000</v>
          </cell>
          <cell r="F1222">
            <v>0</v>
          </cell>
          <cell r="H1222">
            <v>657</v>
          </cell>
          <cell r="I1222">
            <v>109000</v>
          </cell>
          <cell r="J1222">
            <v>657</v>
          </cell>
          <cell r="L1222">
            <v>657</v>
          </cell>
        </row>
        <row r="1223">
          <cell r="A1223">
            <v>8252</v>
          </cell>
          <cell r="B1223" t="str">
            <v>Clamp Flange</v>
          </cell>
          <cell r="C1223" t="str">
            <v>900Ø</v>
          </cell>
          <cell r="D1223" t="str">
            <v>개</v>
          </cell>
          <cell r="E1223">
            <v>89000</v>
          </cell>
          <cell r="F1223">
            <v>0</v>
          </cell>
          <cell r="H1223">
            <v>657</v>
          </cell>
          <cell r="I1223">
            <v>89000</v>
          </cell>
          <cell r="J1223">
            <v>657</v>
          </cell>
          <cell r="L1223">
            <v>657</v>
          </cell>
        </row>
        <row r="1224">
          <cell r="A1224">
            <v>8253</v>
          </cell>
          <cell r="B1224" t="str">
            <v>Clamp Flange</v>
          </cell>
          <cell r="C1224" t="str">
            <v>800Ø</v>
          </cell>
          <cell r="D1224" t="str">
            <v>개</v>
          </cell>
          <cell r="E1224">
            <v>81000</v>
          </cell>
          <cell r="F1224">
            <v>0</v>
          </cell>
          <cell r="H1224">
            <v>657</v>
          </cell>
          <cell r="I1224">
            <v>81000</v>
          </cell>
          <cell r="J1224">
            <v>657</v>
          </cell>
          <cell r="L1224">
            <v>657</v>
          </cell>
        </row>
        <row r="1225">
          <cell r="A1225">
            <v>8254</v>
          </cell>
          <cell r="B1225" t="str">
            <v>Clamp Flange</v>
          </cell>
          <cell r="C1225" t="str">
            <v>700Ø</v>
          </cell>
          <cell r="D1225" t="str">
            <v>개</v>
          </cell>
          <cell r="E1225">
            <v>73000</v>
          </cell>
          <cell r="F1225">
            <v>0</v>
          </cell>
          <cell r="H1225">
            <v>657</v>
          </cell>
          <cell r="I1225">
            <v>73000</v>
          </cell>
          <cell r="J1225">
            <v>657</v>
          </cell>
          <cell r="L1225">
            <v>657</v>
          </cell>
        </row>
        <row r="1226">
          <cell r="A1226">
            <v>8255</v>
          </cell>
          <cell r="B1226" t="str">
            <v>Clamp Flange</v>
          </cell>
          <cell r="C1226" t="str">
            <v>600Ø</v>
          </cell>
          <cell r="D1226" t="str">
            <v>개</v>
          </cell>
          <cell r="E1226">
            <v>64500</v>
          </cell>
          <cell r="F1226">
            <v>0</v>
          </cell>
          <cell r="H1226">
            <v>657</v>
          </cell>
          <cell r="I1226">
            <v>64500</v>
          </cell>
          <cell r="J1226">
            <v>657</v>
          </cell>
          <cell r="L1226">
            <v>657</v>
          </cell>
        </row>
        <row r="1227">
          <cell r="A1227">
            <v>8256</v>
          </cell>
          <cell r="B1227" t="str">
            <v>Clamp Flange</v>
          </cell>
          <cell r="C1227" t="str">
            <v>500Ø</v>
          </cell>
          <cell r="D1227" t="str">
            <v>개</v>
          </cell>
          <cell r="E1227">
            <v>56500</v>
          </cell>
          <cell r="F1227">
            <v>0</v>
          </cell>
          <cell r="H1227">
            <v>657</v>
          </cell>
          <cell r="I1227">
            <v>56500</v>
          </cell>
          <cell r="J1227">
            <v>657</v>
          </cell>
          <cell r="L1227">
            <v>657</v>
          </cell>
        </row>
        <row r="1228">
          <cell r="A1228">
            <v>8257</v>
          </cell>
          <cell r="B1228" t="str">
            <v>Clamp Flange</v>
          </cell>
          <cell r="C1228" t="str">
            <v>400Ø</v>
          </cell>
          <cell r="D1228" t="str">
            <v>개</v>
          </cell>
          <cell r="E1228">
            <v>47200</v>
          </cell>
          <cell r="F1228">
            <v>0</v>
          </cell>
          <cell r="H1228">
            <v>657</v>
          </cell>
          <cell r="I1228">
            <v>47200</v>
          </cell>
          <cell r="J1228">
            <v>657</v>
          </cell>
          <cell r="L1228">
            <v>657</v>
          </cell>
        </row>
        <row r="1229">
          <cell r="A1229">
            <v>8258</v>
          </cell>
          <cell r="B1229" t="str">
            <v>Clamp Flange</v>
          </cell>
          <cell r="C1229" t="str">
            <v>300Ø</v>
          </cell>
          <cell r="D1229" t="str">
            <v>개</v>
          </cell>
          <cell r="E1229">
            <v>38500</v>
          </cell>
          <cell r="F1229">
            <v>0</v>
          </cell>
          <cell r="H1229">
            <v>657</v>
          </cell>
          <cell r="I1229">
            <v>38500</v>
          </cell>
          <cell r="J1229">
            <v>657</v>
          </cell>
          <cell r="L1229">
            <v>657</v>
          </cell>
        </row>
        <row r="1230">
          <cell r="A1230">
            <v>8259</v>
          </cell>
          <cell r="B1230" t="str">
            <v>Clamp Flange</v>
          </cell>
          <cell r="C1230" t="str">
            <v>200Ø</v>
          </cell>
          <cell r="D1230" t="str">
            <v>개</v>
          </cell>
          <cell r="E1230">
            <v>27900</v>
          </cell>
          <cell r="F1230">
            <v>0</v>
          </cell>
          <cell r="H1230">
            <v>657</v>
          </cell>
          <cell r="I1230">
            <v>27900</v>
          </cell>
          <cell r="J1230">
            <v>657</v>
          </cell>
          <cell r="L1230">
            <v>657</v>
          </cell>
        </row>
        <row r="1231">
          <cell r="A1231">
            <v>8261</v>
          </cell>
          <cell r="B1231" t="str">
            <v>45˚Fixed Elbow</v>
          </cell>
          <cell r="C1231" t="str">
            <v>1,000Ø</v>
          </cell>
          <cell r="D1231" t="str">
            <v>개</v>
          </cell>
          <cell r="E1231">
            <v>571000</v>
          </cell>
          <cell r="F1231">
            <v>0</v>
          </cell>
          <cell r="H1231">
            <v>657</v>
          </cell>
          <cell r="I1231">
            <v>571000</v>
          </cell>
          <cell r="J1231">
            <v>657</v>
          </cell>
          <cell r="L1231">
            <v>657</v>
          </cell>
        </row>
        <row r="1232">
          <cell r="A1232">
            <v>8262</v>
          </cell>
          <cell r="B1232" t="str">
            <v>45˚Fixed Elbow</v>
          </cell>
          <cell r="C1232" t="str">
            <v>900Ø</v>
          </cell>
          <cell r="D1232" t="str">
            <v>개</v>
          </cell>
          <cell r="E1232">
            <v>348000</v>
          </cell>
          <cell r="F1232">
            <v>0</v>
          </cell>
          <cell r="H1232">
            <v>657</v>
          </cell>
          <cell r="I1232">
            <v>348000</v>
          </cell>
          <cell r="J1232">
            <v>657</v>
          </cell>
          <cell r="L1232">
            <v>657</v>
          </cell>
        </row>
        <row r="1233">
          <cell r="A1233">
            <v>8263</v>
          </cell>
          <cell r="B1233" t="str">
            <v>45˚Fixed Elbow</v>
          </cell>
          <cell r="C1233" t="str">
            <v>800Ø</v>
          </cell>
          <cell r="D1233" t="str">
            <v>개</v>
          </cell>
          <cell r="E1233">
            <v>294000</v>
          </cell>
          <cell r="F1233">
            <v>0</v>
          </cell>
          <cell r="H1233">
            <v>657</v>
          </cell>
          <cell r="I1233">
            <v>294000</v>
          </cell>
          <cell r="J1233">
            <v>657</v>
          </cell>
          <cell r="L1233">
            <v>657</v>
          </cell>
        </row>
        <row r="1234">
          <cell r="A1234">
            <v>8264</v>
          </cell>
          <cell r="B1234" t="str">
            <v>45˚Fixed Elbow</v>
          </cell>
          <cell r="C1234" t="str">
            <v>700Ø</v>
          </cell>
          <cell r="D1234" t="str">
            <v>개</v>
          </cell>
          <cell r="E1234">
            <v>246000</v>
          </cell>
          <cell r="F1234">
            <v>0</v>
          </cell>
          <cell r="H1234">
            <v>657</v>
          </cell>
          <cell r="I1234">
            <v>246000</v>
          </cell>
          <cell r="J1234">
            <v>657</v>
          </cell>
          <cell r="L1234">
            <v>657</v>
          </cell>
        </row>
        <row r="1235">
          <cell r="A1235">
            <v>8265</v>
          </cell>
          <cell r="B1235" t="str">
            <v>45˚Fixed Elbow</v>
          </cell>
          <cell r="C1235" t="str">
            <v>600Ø</v>
          </cell>
          <cell r="D1235" t="str">
            <v>개</v>
          </cell>
          <cell r="E1235">
            <v>209000</v>
          </cell>
          <cell r="F1235">
            <v>0</v>
          </cell>
          <cell r="H1235">
            <v>657</v>
          </cell>
          <cell r="I1235">
            <v>209000</v>
          </cell>
          <cell r="J1235">
            <v>657</v>
          </cell>
          <cell r="L1235">
            <v>657</v>
          </cell>
        </row>
        <row r="1236">
          <cell r="A1236">
            <v>8266</v>
          </cell>
          <cell r="B1236" t="str">
            <v>45˚Fixed Elbow</v>
          </cell>
          <cell r="C1236" t="str">
            <v>500Ø</v>
          </cell>
          <cell r="D1236" t="str">
            <v>개</v>
          </cell>
          <cell r="E1236">
            <v>174000</v>
          </cell>
          <cell r="F1236">
            <v>0</v>
          </cell>
          <cell r="H1236">
            <v>657</v>
          </cell>
          <cell r="I1236">
            <v>174000</v>
          </cell>
          <cell r="J1236">
            <v>657</v>
          </cell>
          <cell r="L1236">
            <v>657</v>
          </cell>
        </row>
        <row r="1237">
          <cell r="A1237">
            <v>8267</v>
          </cell>
          <cell r="B1237" t="str">
            <v>45˚Fixed Elbow</v>
          </cell>
          <cell r="C1237" t="str">
            <v>400Ø</v>
          </cell>
          <cell r="D1237" t="str">
            <v>개</v>
          </cell>
          <cell r="E1237">
            <v>138000</v>
          </cell>
          <cell r="F1237">
            <v>0</v>
          </cell>
          <cell r="H1237">
            <v>657</v>
          </cell>
          <cell r="I1237">
            <v>138000</v>
          </cell>
          <cell r="J1237">
            <v>657</v>
          </cell>
          <cell r="L1237">
            <v>657</v>
          </cell>
        </row>
        <row r="1238">
          <cell r="A1238">
            <v>8268</v>
          </cell>
          <cell r="B1238" t="str">
            <v>45˚Fixed Elbow</v>
          </cell>
          <cell r="C1238" t="str">
            <v>300Ø</v>
          </cell>
          <cell r="D1238" t="str">
            <v>개</v>
          </cell>
          <cell r="E1238">
            <v>99000</v>
          </cell>
          <cell r="F1238">
            <v>0</v>
          </cell>
          <cell r="H1238">
            <v>657</v>
          </cell>
          <cell r="I1238">
            <v>99000</v>
          </cell>
          <cell r="J1238">
            <v>657</v>
          </cell>
          <cell r="L1238">
            <v>657</v>
          </cell>
        </row>
        <row r="1239">
          <cell r="A1239">
            <v>8269</v>
          </cell>
          <cell r="B1239" t="str">
            <v>45˚Fixed Elbow</v>
          </cell>
          <cell r="C1239" t="str">
            <v>200Ø</v>
          </cell>
          <cell r="D1239" t="str">
            <v>개</v>
          </cell>
          <cell r="E1239">
            <v>68000</v>
          </cell>
          <cell r="F1239">
            <v>0</v>
          </cell>
          <cell r="H1239">
            <v>657</v>
          </cell>
          <cell r="I1239">
            <v>68000</v>
          </cell>
          <cell r="J1239">
            <v>657</v>
          </cell>
          <cell r="L1239">
            <v>657</v>
          </cell>
        </row>
        <row r="1240">
          <cell r="A1240">
            <v>8271</v>
          </cell>
          <cell r="B1240" t="str">
            <v>45˚Lateral Tee</v>
          </cell>
          <cell r="C1240" t="str">
            <v>1,000Ø</v>
          </cell>
          <cell r="D1240" t="str">
            <v>개</v>
          </cell>
          <cell r="E1240">
            <v>1577000</v>
          </cell>
          <cell r="F1240">
            <v>0</v>
          </cell>
          <cell r="H1240">
            <v>657</v>
          </cell>
          <cell r="I1240">
            <v>1577000</v>
          </cell>
          <cell r="J1240">
            <v>657</v>
          </cell>
          <cell r="L1240">
            <v>657</v>
          </cell>
        </row>
        <row r="1241">
          <cell r="A1241">
            <v>8272</v>
          </cell>
          <cell r="B1241" t="str">
            <v>45˚Lateral Tee</v>
          </cell>
          <cell r="C1241" t="str">
            <v>900Ø</v>
          </cell>
          <cell r="D1241" t="str">
            <v>개</v>
          </cell>
          <cell r="E1241">
            <v>865000</v>
          </cell>
          <cell r="F1241">
            <v>0</v>
          </cell>
          <cell r="H1241">
            <v>657</v>
          </cell>
          <cell r="I1241">
            <v>865000</v>
          </cell>
          <cell r="J1241">
            <v>657</v>
          </cell>
          <cell r="L1241">
            <v>657</v>
          </cell>
        </row>
        <row r="1242">
          <cell r="A1242">
            <v>8273</v>
          </cell>
          <cell r="B1242" t="str">
            <v>45˚Lateral Tee</v>
          </cell>
          <cell r="C1242" t="str">
            <v>800Ø</v>
          </cell>
          <cell r="D1242" t="str">
            <v>개</v>
          </cell>
          <cell r="E1242">
            <v>736000</v>
          </cell>
          <cell r="F1242">
            <v>0</v>
          </cell>
          <cell r="H1242">
            <v>657</v>
          </cell>
          <cell r="I1242">
            <v>736000</v>
          </cell>
          <cell r="J1242">
            <v>657</v>
          </cell>
          <cell r="L1242">
            <v>657</v>
          </cell>
        </row>
        <row r="1243">
          <cell r="A1243">
            <v>8274</v>
          </cell>
          <cell r="B1243" t="str">
            <v>45˚Lateral Tee</v>
          </cell>
          <cell r="C1243" t="str">
            <v>700Ø</v>
          </cell>
          <cell r="D1243" t="str">
            <v>개</v>
          </cell>
          <cell r="E1243">
            <v>638000</v>
          </cell>
          <cell r="F1243">
            <v>0</v>
          </cell>
          <cell r="H1243">
            <v>657</v>
          </cell>
          <cell r="I1243">
            <v>638000</v>
          </cell>
          <cell r="J1243">
            <v>657</v>
          </cell>
          <cell r="L1243">
            <v>657</v>
          </cell>
        </row>
        <row r="1244">
          <cell r="A1244">
            <v>8275</v>
          </cell>
          <cell r="B1244" t="str">
            <v>45˚Lateral Tee</v>
          </cell>
          <cell r="C1244" t="str">
            <v>600Ø</v>
          </cell>
          <cell r="D1244" t="str">
            <v>개</v>
          </cell>
          <cell r="E1244">
            <v>523000</v>
          </cell>
          <cell r="F1244">
            <v>0</v>
          </cell>
          <cell r="H1244">
            <v>657</v>
          </cell>
          <cell r="I1244">
            <v>523000</v>
          </cell>
          <cell r="J1244">
            <v>657</v>
          </cell>
          <cell r="L1244">
            <v>657</v>
          </cell>
        </row>
        <row r="1245">
          <cell r="A1245">
            <v>8276</v>
          </cell>
          <cell r="B1245" t="str">
            <v>45˚Lateral Tee</v>
          </cell>
          <cell r="C1245" t="str">
            <v>500Ø</v>
          </cell>
          <cell r="D1245" t="str">
            <v>개</v>
          </cell>
          <cell r="E1245">
            <v>399000</v>
          </cell>
          <cell r="F1245">
            <v>0</v>
          </cell>
          <cell r="H1245">
            <v>657</v>
          </cell>
          <cell r="I1245">
            <v>399000</v>
          </cell>
          <cell r="J1245">
            <v>657</v>
          </cell>
          <cell r="L1245">
            <v>657</v>
          </cell>
        </row>
        <row r="1246">
          <cell r="A1246">
            <v>8277</v>
          </cell>
          <cell r="B1246" t="str">
            <v>45˚Lateral Tee</v>
          </cell>
          <cell r="C1246" t="str">
            <v>400Ø</v>
          </cell>
          <cell r="D1246" t="str">
            <v>개</v>
          </cell>
          <cell r="E1246">
            <v>301000</v>
          </cell>
          <cell r="F1246">
            <v>0</v>
          </cell>
          <cell r="H1246">
            <v>657</v>
          </cell>
          <cell r="I1246">
            <v>301000</v>
          </cell>
          <cell r="J1246">
            <v>657</v>
          </cell>
          <cell r="L1246">
            <v>657</v>
          </cell>
        </row>
        <row r="1247">
          <cell r="A1247">
            <v>8278</v>
          </cell>
          <cell r="B1247" t="str">
            <v>45˚Lateral Tee</v>
          </cell>
          <cell r="C1247" t="str">
            <v>300Ø</v>
          </cell>
          <cell r="D1247" t="str">
            <v>개</v>
          </cell>
          <cell r="E1247">
            <v>223000</v>
          </cell>
          <cell r="F1247">
            <v>0</v>
          </cell>
          <cell r="H1247">
            <v>657</v>
          </cell>
          <cell r="I1247">
            <v>223000</v>
          </cell>
          <cell r="J1247">
            <v>657</v>
          </cell>
          <cell r="L1247">
            <v>657</v>
          </cell>
        </row>
        <row r="1248">
          <cell r="A1248">
            <v>8279</v>
          </cell>
          <cell r="B1248" t="str">
            <v>45˚Lateral Tee</v>
          </cell>
          <cell r="C1248" t="str">
            <v>200Ø</v>
          </cell>
          <cell r="D1248" t="str">
            <v>개</v>
          </cell>
          <cell r="E1248">
            <v>144000</v>
          </cell>
          <cell r="F1248">
            <v>0</v>
          </cell>
          <cell r="H1248">
            <v>657</v>
          </cell>
          <cell r="I1248">
            <v>144000</v>
          </cell>
          <cell r="J1248">
            <v>657</v>
          </cell>
          <cell r="L1248">
            <v>657</v>
          </cell>
        </row>
        <row r="1249">
          <cell r="A1249">
            <v>8281</v>
          </cell>
          <cell r="B1249" t="str">
            <v>Storm Collar</v>
          </cell>
          <cell r="C1249" t="str">
            <v>1,000Ø</v>
          </cell>
          <cell r="D1249" t="str">
            <v>개</v>
          </cell>
          <cell r="E1249">
            <v>77000</v>
          </cell>
          <cell r="F1249">
            <v>0</v>
          </cell>
          <cell r="H1249">
            <v>657</v>
          </cell>
          <cell r="I1249">
            <v>77000</v>
          </cell>
          <cell r="J1249">
            <v>657</v>
          </cell>
          <cell r="L1249">
            <v>657</v>
          </cell>
        </row>
        <row r="1250">
          <cell r="A1250">
            <v>8282</v>
          </cell>
          <cell r="B1250" t="str">
            <v>Storm Collar</v>
          </cell>
          <cell r="C1250" t="str">
            <v>900Ø</v>
          </cell>
          <cell r="D1250" t="str">
            <v>개</v>
          </cell>
          <cell r="E1250">
            <v>40500</v>
          </cell>
          <cell r="F1250">
            <v>0</v>
          </cell>
          <cell r="H1250">
            <v>657</v>
          </cell>
          <cell r="I1250">
            <v>40500</v>
          </cell>
          <cell r="J1250">
            <v>657</v>
          </cell>
          <cell r="L1250">
            <v>657</v>
          </cell>
        </row>
        <row r="1251">
          <cell r="A1251">
            <v>8283</v>
          </cell>
          <cell r="B1251" t="str">
            <v>Storm Collar</v>
          </cell>
          <cell r="C1251" t="str">
            <v>800Ø</v>
          </cell>
          <cell r="D1251" t="str">
            <v>개</v>
          </cell>
          <cell r="E1251">
            <v>37200</v>
          </cell>
          <cell r="F1251">
            <v>0</v>
          </cell>
          <cell r="H1251">
            <v>657</v>
          </cell>
          <cell r="I1251">
            <v>37200</v>
          </cell>
          <cell r="J1251">
            <v>657</v>
          </cell>
          <cell r="L1251">
            <v>657</v>
          </cell>
        </row>
        <row r="1252">
          <cell r="A1252">
            <v>8284</v>
          </cell>
          <cell r="B1252" t="str">
            <v>Storm Collar</v>
          </cell>
          <cell r="C1252" t="str">
            <v>700Ø</v>
          </cell>
          <cell r="D1252" t="str">
            <v>개</v>
          </cell>
          <cell r="E1252">
            <v>31900</v>
          </cell>
          <cell r="F1252">
            <v>0</v>
          </cell>
          <cell r="H1252">
            <v>657</v>
          </cell>
          <cell r="I1252">
            <v>31900</v>
          </cell>
          <cell r="J1252">
            <v>657</v>
          </cell>
          <cell r="L1252">
            <v>657</v>
          </cell>
        </row>
        <row r="1253">
          <cell r="A1253">
            <v>8285</v>
          </cell>
          <cell r="B1253" t="str">
            <v>Storm Collar</v>
          </cell>
          <cell r="C1253" t="str">
            <v>600Ø</v>
          </cell>
          <cell r="D1253" t="str">
            <v>개</v>
          </cell>
          <cell r="E1253">
            <v>27900</v>
          </cell>
          <cell r="F1253">
            <v>0</v>
          </cell>
          <cell r="H1253">
            <v>657</v>
          </cell>
          <cell r="I1253">
            <v>27900</v>
          </cell>
          <cell r="J1253">
            <v>657</v>
          </cell>
          <cell r="L1253">
            <v>657</v>
          </cell>
        </row>
        <row r="1254">
          <cell r="A1254">
            <v>8286</v>
          </cell>
          <cell r="B1254" t="str">
            <v>Storm Collar</v>
          </cell>
          <cell r="C1254" t="str">
            <v>500Ø</v>
          </cell>
          <cell r="D1254" t="str">
            <v>개</v>
          </cell>
          <cell r="E1254">
            <v>23200</v>
          </cell>
          <cell r="F1254">
            <v>0</v>
          </cell>
          <cell r="H1254">
            <v>657</v>
          </cell>
          <cell r="I1254">
            <v>23200</v>
          </cell>
          <cell r="J1254">
            <v>657</v>
          </cell>
          <cell r="L1254">
            <v>657</v>
          </cell>
        </row>
        <row r="1255">
          <cell r="A1255">
            <v>8287</v>
          </cell>
          <cell r="B1255" t="str">
            <v>Storm Collar</v>
          </cell>
          <cell r="C1255" t="str">
            <v>400Ø</v>
          </cell>
          <cell r="D1255" t="str">
            <v>개</v>
          </cell>
          <cell r="E1255">
            <v>19200</v>
          </cell>
          <cell r="F1255">
            <v>0</v>
          </cell>
          <cell r="H1255">
            <v>657</v>
          </cell>
          <cell r="I1255">
            <v>19200</v>
          </cell>
          <cell r="J1255">
            <v>657</v>
          </cell>
          <cell r="L1255">
            <v>657</v>
          </cell>
        </row>
        <row r="1256">
          <cell r="A1256">
            <v>8288</v>
          </cell>
          <cell r="B1256" t="str">
            <v>Storm Collar</v>
          </cell>
          <cell r="C1256" t="str">
            <v>300Ø</v>
          </cell>
          <cell r="D1256" t="str">
            <v>개</v>
          </cell>
          <cell r="E1256">
            <v>15900</v>
          </cell>
          <cell r="F1256">
            <v>0</v>
          </cell>
          <cell r="H1256">
            <v>657</v>
          </cell>
          <cell r="I1256">
            <v>15900</v>
          </cell>
          <cell r="J1256">
            <v>657</v>
          </cell>
          <cell r="L1256">
            <v>657</v>
          </cell>
        </row>
        <row r="1257">
          <cell r="A1257">
            <v>8289</v>
          </cell>
          <cell r="B1257" t="str">
            <v>Storm Collar</v>
          </cell>
          <cell r="C1257" t="str">
            <v>200Ø</v>
          </cell>
          <cell r="D1257" t="str">
            <v>개</v>
          </cell>
          <cell r="E1257">
            <v>10600</v>
          </cell>
          <cell r="F1257">
            <v>0</v>
          </cell>
          <cell r="H1257">
            <v>657</v>
          </cell>
          <cell r="I1257">
            <v>10600</v>
          </cell>
          <cell r="J1257">
            <v>657</v>
          </cell>
          <cell r="L1257">
            <v>657</v>
          </cell>
        </row>
        <row r="1258">
          <cell r="A1258">
            <v>8291</v>
          </cell>
          <cell r="B1258" t="str">
            <v>Stack Cap</v>
          </cell>
          <cell r="C1258" t="str">
            <v>1,000Ø</v>
          </cell>
          <cell r="D1258" t="str">
            <v>개</v>
          </cell>
          <cell r="E1258">
            <v>571000</v>
          </cell>
          <cell r="F1258">
            <v>0</v>
          </cell>
          <cell r="H1258">
            <v>657</v>
          </cell>
          <cell r="I1258">
            <v>571000</v>
          </cell>
          <cell r="J1258">
            <v>657</v>
          </cell>
          <cell r="L1258">
            <v>657</v>
          </cell>
        </row>
        <row r="1259">
          <cell r="A1259">
            <v>8292</v>
          </cell>
          <cell r="B1259" t="str">
            <v>Stack Cap</v>
          </cell>
          <cell r="C1259" t="str">
            <v>900Ø</v>
          </cell>
          <cell r="D1259" t="str">
            <v>개</v>
          </cell>
          <cell r="E1259">
            <v>491000</v>
          </cell>
          <cell r="F1259">
            <v>0</v>
          </cell>
          <cell r="H1259">
            <v>657</v>
          </cell>
          <cell r="I1259">
            <v>491000</v>
          </cell>
          <cell r="J1259">
            <v>657</v>
          </cell>
          <cell r="L1259">
            <v>657</v>
          </cell>
        </row>
        <row r="1260">
          <cell r="A1260">
            <v>8293</v>
          </cell>
          <cell r="B1260" t="str">
            <v>Stack Cap</v>
          </cell>
          <cell r="C1260" t="str">
            <v>800Ø</v>
          </cell>
          <cell r="D1260" t="str">
            <v>개</v>
          </cell>
          <cell r="E1260">
            <v>414000</v>
          </cell>
          <cell r="F1260">
            <v>0</v>
          </cell>
          <cell r="H1260">
            <v>657</v>
          </cell>
          <cell r="I1260">
            <v>414000</v>
          </cell>
          <cell r="J1260">
            <v>657</v>
          </cell>
          <cell r="L1260">
            <v>657</v>
          </cell>
        </row>
        <row r="1261">
          <cell r="A1261">
            <v>8294</v>
          </cell>
          <cell r="B1261" t="str">
            <v>Stack Cap</v>
          </cell>
          <cell r="C1261" t="str">
            <v>700Ø</v>
          </cell>
          <cell r="D1261" t="str">
            <v>개</v>
          </cell>
          <cell r="E1261">
            <v>365000</v>
          </cell>
          <cell r="F1261">
            <v>0</v>
          </cell>
          <cell r="H1261">
            <v>657</v>
          </cell>
          <cell r="I1261">
            <v>365000</v>
          </cell>
          <cell r="J1261">
            <v>657</v>
          </cell>
          <cell r="L1261">
            <v>657</v>
          </cell>
        </row>
        <row r="1262">
          <cell r="A1262">
            <v>8295</v>
          </cell>
          <cell r="B1262" t="str">
            <v>Stack Cap</v>
          </cell>
          <cell r="C1262" t="str">
            <v>600Ø</v>
          </cell>
          <cell r="D1262" t="str">
            <v>개</v>
          </cell>
          <cell r="E1262">
            <v>307000</v>
          </cell>
          <cell r="F1262">
            <v>0</v>
          </cell>
          <cell r="H1262">
            <v>657</v>
          </cell>
          <cell r="I1262">
            <v>307000</v>
          </cell>
          <cell r="J1262">
            <v>657</v>
          </cell>
          <cell r="L1262">
            <v>657</v>
          </cell>
        </row>
        <row r="1263">
          <cell r="A1263">
            <v>8296</v>
          </cell>
          <cell r="B1263" t="str">
            <v>Stack Cap</v>
          </cell>
          <cell r="C1263" t="str">
            <v>500Ø</v>
          </cell>
          <cell r="D1263" t="str">
            <v>개</v>
          </cell>
          <cell r="E1263">
            <v>256000</v>
          </cell>
          <cell r="F1263">
            <v>0</v>
          </cell>
          <cell r="H1263">
            <v>657</v>
          </cell>
          <cell r="I1263">
            <v>256000</v>
          </cell>
          <cell r="J1263">
            <v>657</v>
          </cell>
          <cell r="L1263">
            <v>657</v>
          </cell>
        </row>
        <row r="1264">
          <cell r="A1264">
            <v>8297</v>
          </cell>
          <cell r="B1264" t="str">
            <v>Stack Cap</v>
          </cell>
          <cell r="C1264" t="str">
            <v>400Ø</v>
          </cell>
          <cell r="D1264" t="str">
            <v>개</v>
          </cell>
          <cell r="E1264">
            <v>193000</v>
          </cell>
          <cell r="F1264">
            <v>0</v>
          </cell>
          <cell r="H1264">
            <v>657</v>
          </cell>
          <cell r="I1264">
            <v>193000</v>
          </cell>
          <cell r="J1264">
            <v>657</v>
          </cell>
          <cell r="L1264">
            <v>657</v>
          </cell>
        </row>
        <row r="1265">
          <cell r="A1265">
            <v>8298</v>
          </cell>
          <cell r="B1265" t="str">
            <v>Stack Cap</v>
          </cell>
          <cell r="C1265" t="str">
            <v>300Ø</v>
          </cell>
          <cell r="D1265" t="str">
            <v>개</v>
          </cell>
          <cell r="E1265">
            <v>150000</v>
          </cell>
          <cell r="F1265">
            <v>0</v>
          </cell>
          <cell r="H1265">
            <v>657</v>
          </cell>
          <cell r="I1265">
            <v>150000</v>
          </cell>
          <cell r="J1265">
            <v>657</v>
          </cell>
          <cell r="L1265">
            <v>657</v>
          </cell>
        </row>
        <row r="1266">
          <cell r="A1266">
            <v>8299</v>
          </cell>
          <cell r="B1266" t="str">
            <v>Stack Cap</v>
          </cell>
          <cell r="C1266" t="str">
            <v>200Ø</v>
          </cell>
          <cell r="D1266" t="str">
            <v>개</v>
          </cell>
          <cell r="E1266">
            <v>111000</v>
          </cell>
          <cell r="F1266">
            <v>0</v>
          </cell>
          <cell r="H1266">
            <v>657</v>
          </cell>
          <cell r="I1266">
            <v>111000</v>
          </cell>
          <cell r="J1266">
            <v>657</v>
          </cell>
          <cell r="L1266">
            <v>657</v>
          </cell>
        </row>
        <row r="1267">
          <cell r="A1267">
            <v>8301</v>
          </cell>
          <cell r="B1267" t="str">
            <v>Step Increaser</v>
          </cell>
          <cell r="C1267" t="str">
            <v>1,000Ø</v>
          </cell>
          <cell r="D1267" t="str">
            <v>개</v>
          </cell>
          <cell r="E1267">
            <v>339000</v>
          </cell>
          <cell r="F1267">
            <v>0</v>
          </cell>
          <cell r="H1267">
            <v>657</v>
          </cell>
          <cell r="I1267">
            <v>339000</v>
          </cell>
          <cell r="J1267">
            <v>657</v>
          </cell>
          <cell r="L1267">
            <v>657</v>
          </cell>
        </row>
        <row r="1268">
          <cell r="A1268">
            <v>8302</v>
          </cell>
          <cell r="B1268" t="str">
            <v>Step Increaser</v>
          </cell>
          <cell r="C1268" t="str">
            <v>900Ø</v>
          </cell>
          <cell r="D1268" t="str">
            <v>개</v>
          </cell>
          <cell r="E1268">
            <v>199000</v>
          </cell>
          <cell r="F1268">
            <v>0</v>
          </cell>
          <cell r="H1268">
            <v>657</v>
          </cell>
          <cell r="I1268">
            <v>199000</v>
          </cell>
          <cell r="J1268">
            <v>657</v>
          </cell>
          <cell r="L1268">
            <v>657</v>
          </cell>
        </row>
        <row r="1269">
          <cell r="A1269">
            <v>8303</v>
          </cell>
          <cell r="B1269" t="str">
            <v>Step Increaser</v>
          </cell>
          <cell r="C1269" t="str">
            <v>800Ø</v>
          </cell>
          <cell r="D1269" t="str">
            <v>개</v>
          </cell>
          <cell r="E1269">
            <v>176000</v>
          </cell>
          <cell r="F1269">
            <v>0</v>
          </cell>
          <cell r="H1269">
            <v>657</v>
          </cell>
          <cell r="I1269">
            <v>176000</v>
          </cell>
          <cell r="J1269">
            <v>657</v>
          </cell>
          <cell r="L1269">
            <v>657</v>
          </cell>
        </row>
        <row r="1270">
          <cell r="A1270">
            <v>8304</v>
          </cell>
          <cell r="B1270" t="str">
            <v>Step Increaser</v>
          </cell>
          <cell r="C1270" t="str">
            <v>700Ø</v>
          </cell>
          <cell r="D1270" t="str">
            <v>개</v>
          </cell>
          <cell r="E1270">
            <v>153000</v>
          </cell>
          <cell r="F1270">
            <v>0</v>
          </cell>
          <cell r="H1270">
            <v>657</v>
          </cell>
          <cell r="I1270">
            <v>153000</v>
          </cell>
          <cell r="J1270">
            <v>657</v>
          </cell>
          <cell r="L1270">
            <v>657</v>
          </cell>
        </row>
        <row r="1271">
          <cell r="A1271">
            <v>8305</v>
          </cell>
          <cell r="B1271" t="str">
            <v>Step Increaser</v>
          </cell>
          <cell r="C1271" t="str">
            <v>600Ø</v>
          </cell>
          <cell r="D1271" t="str">
            <v>개</v>
          </cell>
          <cell r="E1271">
            <v>133000</v>
          </cell>
          <cell r="F1271">
            <v>0</v>
          </cell>
          <cell r="H1271">
            <v>657</v>
          </cell>
          <cell r="I1271">
            <v>133000</v>
          </cell>
          <cell r="J1271">
            <v>657</v>
          </cell>
          <cell r="L1271">
            <v>657</v>
          </cell>
        </row>
        <row r="1272">
          <cell r="A1272">
            <v>8306</v>
          </cell>
          <cell r="B1272" t="str">
            <v>Step Increaser</v>
          </cell>
          <cell r="C1272" t="str">
            <v>500Ø</v>
          </cell>
          <cell r="D1272" t="str">
            <v>개</v>
          </cell>
          <cell r="E1272">
            <v>121000</v>
          </cell>
          <cell r="F1272">
            <v>0</v>
          </cell>
          <cell r="H1272">
            <v>657</v>
          </cell>
          <cell r="I1272">
            <v>121000</v>
          </cell>
          <cell r="J1272">
            <v>657</v>
          </cell>
          <cell r="L1272">
            <v>657</v>
          </cell>
        </row>
        <row r="1273">
          <cell r="A1273">
            <v>8307</v>
          </cell>
          <cell r="B1273" t="str">
            <v>Step Increaser</v>
          </cell>
          <cell r="C1273" t="str">
            <v>400Ø</v>
          </cell>
          <cell r="D1273" t="str">
            <v>개</v>
          </cell>
          <cell r="E1273">
            <v>89000</v>
          </cell>
          <cell r="F1273">
            <v>0</v>
          </cell>
          <cell r="H1273">
            <v>657</v>
          </cell>
          <cell r="I1273">
            <v>89000</v>
          </cell>
          <cell r="J1273">
            <v>657</v>
          </cell>
          <cell r="L1273">
            <v>657</v>
          </cell>
        </row>
        <row r="1274">
          <cell r="A1274">
            <v>8308</v>
          </cell>
          <cell r="B1274" t="str">
            <v>Step Increaser</v>
          </cell>
          <cell r="C1274" t="str">
            <v>300Ø</v>
          </cell>
          <cell r="D1274" t="str">
            <v>개</v>
          </cell>
          <cell r="E1274">
            <v>60700</v>
          </cell>
          <cell r="F1274">
            <v>0</v>
          </cell>
          <cell r="H1274">
            <v>657</v>
          </cell>
          <cell r="I1274">
            <v>60700</v>
          </cell>
          <cell r="J1274">
            <v>657</v>
          </cell>
          <cell r="L1274">
            <v>657</v>
          </cell>
        </row>
        <row r="1275">
          <cell r="A1275">
            <v>8309</v>
          </cell>
          <cell r="B1275" t="str">
            <v>Step Increaser</v>
          </cell>
          <cell r="C1275" t="str">
            <v>200Ø</v>
          </cell>
          <cell r="D1275" t="str">
            <v>개</v>
          </cell>
          <cell r="E1275">
            <v>52500</v>
          </cell>
          <cell r="F1275">
            <v>0</v>
          </cell>
          <cell r="H1275">
            <v>657</v>
          </cell>
          <cell r="I1275">
            <v>52500</v>
          </cell>
          <cell r="J1275">
            <v>657</v>
          </cell>
          <cell r="L1275">
            <v>657</v>
          </cell>
        </row>
        <row r="1276">
          <cell r="E1276">
            <v>0</v>
          </cell>
        </row>
        <row r="1283">
          <cell r="A1283">
            <v>9001</v>
          </cell>
          <cell r="B1283" t="str">
            <v>인건비</v>
          </cell>
          <cell r="C1283" t="str">
            <v>배관공</v>
          </cell>
          <cell r="D1283" t="str">
            <v>인</v>
          </cell>
          <cell r="E1283">
            <v>0</v>
          </cell>
          <cell r="F1283">
            <v>76823</v>
          </cell>
          <cell r="H1283">
            <v>25</v>
          </cell>
          <cell r="I1283">
            <v>0</v>
          </cell>
          <cell r="J1283">
            <v>25</v>
          </cell>
          <cell r="L1283">
            <v>25</v>
          </cell>
        </row>
        <row r="1284">
          <cell r="A1284">
            <v>9002</v>
          </cell>
          <cell r="B1284" t="str">
            <v>인건비</v>
          </cell>
          <cell r="C1284" t="str">
            <v>위생공</v>
          </cell>
          <cell r="D1284" t="str">
            <v>인</v>
          </cell>
          <cell r="E1284">
            <v>0</v>
          </cell>
          <cell r="F1284">
            <v>67979</v>
          </cell>
          <cell r="H1284">
            <v>26</v>
          </cell>
          <cell r="I1284">
            <v>0</v>
          </cell>
          <cell r="J1284">
            <v>26</v>
          </cell>
          <cell r="L1284">
            <v>26</v>
          </cell>
        </row>
        <row r="1285">
          <cell r="A1285">
            <v>9003</v>
          </cell>
          <cell r="B1285" t="str">
            <v>인건비</v>
          </cell>
          <cell r="C1285" t="str">
            <v>기계설치공</v>
          </cell>
          <cell r="D1285" t="str">
            <v>인</v>
          </cell>
          <cell r="E1285">
            <v>0</v>
          </cell>
          <cell r="F1285">
            <v>67007</v>
          </cell>
          <cell r="H1285">
            <v>88</v>
          </cell>
          <cell r="I1285">
            <v>0</v>
          </cell>
          <cell r="J1285">
            <v>88</v>
          </cell>
          <cell r="L1285">
            <v>88</v>
          </cell>
        </row>
        <row r="1286">
          <cell r="A1286">
            <v>9004</v>
          </cell>
          <cell r="B1286" t="str">
            <v>인건비</v>
          </cell>
          <cell r="C1286" t="str">
            <v>용접공</v>
          </cell>
          <cell r="D1286" t="str">
            <v>인</v>
          </cell>
          <cell r="E1286">
            <v>0</v>
          </cell>
          <cell r="F1286">
            <v>79947</v>
          </cell>
          <cell r="H1286">
            <v>97</v>
          </cell>
          <cell r="I1286">
            <v>0</v>
          </cell>
          <cell r="J1286">
            <v>97</v>
          </cell>
          <cell r="L1286">
            <v>97</v>
          </cell>
        </row>
        <row r="1287">
          <cell r="A1287">
            <v>9005</v>
          </cell>
          <cell r="B1287" t="str">
            <v>인건비</v>
          </cell>
          <cell r="C1287" t="str">
            <v>보온공</v>
          </cell>
          <cell r="D1287" t="str">
            <v>인</v>
          </cell>
          <cell r="E1287">
            <v>0</v>
          </cell>
          <cell r="F1287">
            <v>71545</v>
          </cell>
          <cell r="H1287">
            <v>27</v>
          </cell>
          <cell r="I1287">
            <v>0</v>
          </cell>
          <cell r="J1287">
            <v>27</v>
          </cell>
          <cell r="L1287">
            <v>27</v>
          </cell>
        </row>
        <row r="1288">
          <cell r="A1288">
            <v>9006</v>
          </cell>
          <cell r="B1288" t="str">
            <v>인건비</v>
          </cell>
          <cell r="C1288" t="str">
            <v>특별인부</v>
          </cell>
          <cell r="D1288" t="str">
            <v>인</v>
          </cell>
          <cell r="E1288">
            <v>0</v>
          </cell>
          <cell r="F1288">
            <v>65734</v>
          </cell>
          <cell r="H1288">
            <v>73</v>
          </cell>
          <cell r="I1288">
            <v>0</v>
          </cell>
          <cell r="J1288">
            <v>73</v>
          </cell>
          <cell r="L1288">
            <v>73</v>
          </cell>
        </row>
        <row r="1289">
          <cell r="A1289">
            <v>9007</v>
          </cell>
          <cell r="B1289" t="str">
            <v>인건비</v>
          </cell>
          <cell r="C1289" t="str">
            <v>보통인부</v>
          </cell>
          <cell r="D1289" t="str">
            <v>인</v>
          </cell>
          <cell r="E1289">
            <v>0</v>
          </cell>
          <cell r="F1289">
            <v>50683</v>
          </cell>
          <cell r="H1289">
            <v>74</v>
          </cell>
          <cell r="I1289">
            <v>0</v>
          </cell>
          <cell r="J1289">
            <v>74</v>
          </cell>
          <cell r="L1289">
            <v>74</v>
          </cell>
        </row>
        <row r="1290">
          <cell r="A1290">
            <v>9008</v>
          </cell>
          <cell r="B1290" t="str">
            <v>인건비</v>
          </cell>
          <cell r="C1290" t="str">
            <v>보일러공</v>
          </cell>
          <cell r="D1290" t="str">
            <v>인</v>
          </cell>
          <cell r="E1290">
            <v>0</v>
          </cell>
          <cell r="F1290">
            <v>62087</v>
          </cell>
          <cell r="H1290">
            <v>24</v>
          </cell>
          <cell r="I1290">
            <v>0</v>
          </cell>
          <cell r="J1290">
            <v>24</v>
          </cell>
          <cell r="L1290">
            <v>24</v>
          </cell>
        </row>
        <row r="1291">
          <cell r="A1291">
            <v>9009</v>
          </cell>
          <cell r="B1291" t="str">
            <v>인건비</v>
          </cell>
          <cell r="C1291" t="str">
            <v>도장공</v>
          </cell>
          <cell r="D1291" t="str">
            <v>인</v>
          </cell>
          <cell r="E1291">
            <v>0</v>
          </cell>
          <cell r="F1291">
            <v>79956</v>
          </cell>
          <cell r="H1291">
            <v>28</v>
          </cell>
          <cell r="I1291">
            <v>0</v>
          </cell>
          <cell r="J1291">
            <v>28</v>
          </cell>
          <cell r="L1291">
            <v>28</v>
          </cell>
        </row>
        <row r="1292">
          <cell r="A1292">
            <v>9010</v>
          </cell>
          <cell r="B1292" t="str">
            <v>인건비</v>
          </cell>
          <cell r="C1292" t="str">
            <v>덕트공</v>
          </cell>
          <cell r="D1292" t="str">
            <v>인</v>
          </cell>
          <cell r="E1292">
            <v>0</v>
          </cell>
          <cell r="F1292">
            <v>70033</v>
          </cell>
          <cell r="H1292">
            <v>98</v>
          </cell>
          <cell r="I1292">
            <v>0</v>
          </cell>
          <cell r="J1292">
            <v>98</v>
          </cell>
          <cell r="L1292">
            <v>98</v>
          </cell>
        </row>
        <row r="1293">
          <cell r="A1293">
            <v>9011</v>
          </cell>
          <cell r="B1293" t="str">
            <v>인건비</v>
          </cell>
          <cell r="C1293" t="str">
            <v>줄눈공</v>
          </cell>
          <cell r="D1293" t="str">
            <v>인</v>
          </cell>
          <cell r="E1293">
            <v>0</v>
          </cell>
          <cell r="H1293">
            <v>21</v>
          </cell>
          <cell r="I1293">
            <v>0</v>
          </cell>
          <cell r="J1293">
            <v>21</v>
          </cell>
          <cell r="L1293">
            <v>21</v>
          </cell>
        </row>
        <row r="1294">
          <cell r="A1294">
            <v>9021</v>
          </cell>
          <cell r="B1294" t="str">
            <v>터파기 및 되메우기</v>
          </cell>
          <cell r="C1294" t="str">
            <v>인력</v>
          </cell>
          <cell r="D1294" t="str">
            <v>M³</v>
          </cell>
          <cell r="E1294">
            <v>0</v>
          </cell>
          <cell r="F1294">
            <v>18752</v>
          </cell>
          <cell r="H1294">
            <v>0</v>
          </cell>
          <cell r="I1294">
            <v>0</v>
          </cell>
          <cell r="J1294">
            <v>0</v>
          </cell>
          <cell r="L1294">
            <v>0</v>
          </cell>
        </row>
        <row r="1295">
          <cell r="A1295">
            <v>9022</v>
          </cell>
          <cell r="B1295" t="str">
            <v>터파기 및 되메우기</v>
          </cell>
          <cell r="C1295" t="str">
            <v>기계</v>
          </cell>
          <cell r="D1295" t="str">
            <v>M³</v>
          </cell>
          <cell r="E1295">
            <v>610</v>
          </cell>
          <cell r="F1295">
            <v>570</v>
          </cell>
          <cell r="H1295">
            <v>0</v>
          </cell>
          <cell r="I1295">
            <v>610</v>
          </cell>
          <cell r="J1295">
            <v>0</v>
          </cell>
          <cell r="L1295">
            <v>0</v>
          </cell>
        </row>
        <row r="1296">
          <cell r="A1296">
            <v>9023</v>
          </cell>
          <cell r="B1296" t="str">
            <v>보도용포장파괴</v>
          </cell>
          <cell r="C1296" t="str">
            <v>콘크리트</v>
          </cell>
          <cell r="D1296" t="str">
            <v>M²</v>
          </cell>
          <cell r="E1296">
            <v>235</v>
          </cell>
          <cell r="F1296">
            <v>4697</v>
          </cell>
          <cell r="H1296">
            <v>0</v>
          </cell>
          <cell r="I1296">
            <v>235</v>
          </cell>
          <cell r="J1296">
            <v>0</v>
          </cell>
          <cell r="L1296">
            <v>0</v>
          </cell>
        </row>
        <row r="1297">
          <cell r="A1297">
            <v>9024</v>
          </cell>
          <cell r="B1297" t="str">
            <v>레미콘구입 및 타설</v>
          </cell>
          <cell r="D1297" t="str">
            <v>M³</v>
          </cell>
          <cell r="E1297">
            <v>46182</v>
          </cell>
          <cell r="F1297">
            <v>5321</v>
          </cell>
          <cell r="H1297">
            <v>0</v>
          </cell>
          <cell r="I1297">
            <v>46182</v>
          </cell>
          <cell r="J1297">
            <v>0</v>
          </cell>
          <cell r="L1297">
            <v>0</v>
          </cell>
        </row>
        <row r="1298">
          <cell r="A1298">
            <v>9025</v>
          </cell>
          <cell r="B1298" t="str">
            <v>보도용블럭포장</v>
          </cell>
          <cell r="C1298" t="str">
            <v>30x30x6</v>
          </cell>
          <cell r="D1298" t="str">
            <v>M²</v>
          </cell>
          <cell r="E1298">
            <v>6768</v>
          </cell>
          <cell r="F1298">
            <v>2972</v>
          </cell>
          <cell r="H1298">
            <v>0</v>
          </cell>
          <cell r="I1298">
            <v>6768</v>
          </cell>
          <cell r="J1298">
            <v>0</v>
          </cell>
          <cell r="L1298">
            <v>0</v>
          </cell>
        </row>
        <row r="1299">
          <cell r="A1299">
            <v>9026</v>
          </cell>
          <cell r="B1299" t="str">
            <v>보도블럭파손 및 복구</v>
          </cell>
          <cell r="C1299" t="str">
            <v>인력</v>
          </cell>
          <cell r="D1299" t="str">
            <v>M²</v>
          </cell>
          <cell r="E1299">
            <v>18</v>
          </cell>
          <cell r="F1299">
            <v>6081</v>
          </cell>
          <cell r="H1299">
            <v>0</v>
          </cell>
          <cell r="I1299">
            <v>18</v>
          </cell>
          <cell r="J1299">
            <v>0</v>
          </cell>
          <cell r="L1299">
            <v>0</v>
          </cell>
        </row>
        <row r="1300">
          <cell r="A1300">
            <v>9110</v>
          </cell>
          <cell r="B1300" t="str">
            <v>난연폴리에틸렌보온</v>
          </cell>
          <cell r="C1300" t="str">
            <v>150Øx 40t</v>
          </cell>
          <cell r="D1300" t="str">
            <v>M</v>
          </cell>
          <cell r="E1300">
            <v>12171</v>
          </cell>
          <cell r="F1300">
            <v>8943</v>
          </cell>
          <cell r="H1300">
            <v>0</v>
          </cell>
          <cell r="I1300">
            <v>21818</v>
          </cell>
          <cell r="J1300">
            <v>0</v>
          </cell>
          <cell r="L1300">
            <v>0</v>
          </cell>
        </row>
        <row r="1301">
          <cell r="A1301">
            <v>9111</v>
          </cell>
          <cell r="B1301" t="str">
            <v>난연폴리에틸렌보온</v>
          </cell>
          <cell r="C1301" t="str">
            <v>100Øx 40t</v>
          </cell>
          <cell r="D1301" t="str">
            <v>M</v>
          </cell>
          <cell r="E1301">
            <v>7193</v>
          </cell>
          <cell r="F1301">
            <v>6081</v>
          </cell>
          <cell r="H1301">
            <v>0</v>
          </cell>
          <cell r="I1301">
            <v>8883</v>
          </cell>
          <cell r="J1301">
            <v>0</v>
          </cell>
          <cell r="L1301">
            <v>0</v>
          </cell>
        </row>
        <row r="1302">
          <cell r="A1302">
            <v>9112</v>
          </cell>
          <cell r="B1302" t="str">
            <v>난연폴리에틸렌보온</v>
          </cell>
          <cell r="C1302" t="str">
            <v>80Øx 25t</v>
          </cell>
          <cell r="D1302" t="str">
            <v>M</v>
          </cell>
          <cell r="E1302">
            <v>3215</v>
          </cell>
          <cell r="F1302">
            <v>3934</v>
          </cell>
          <cell r="H1302">
            <v>0</v>
          </cell>
          <cell r="I1302">
            <v>4157</v>
          </cell>
          <cell r="J1302">
            <v>0</v>
          </cell>
          <cell r="L1302">
            <v>0</v>
          </cell>
        </row>
        <row r="1303">
          <cell r="A1303">
            <v>9113</v>
          </cell>
          <cell r="B1303" t="str">
            <v>난연폴리에틸렌보온</v>
          </cell>
          <cell r="C1303" t="str">
            <v>65Øx 25t</v>
          </cell>
          <cell r="D1303" t="str">
            <v>M</v>
          </cell>
          <cell r="E1303">
            <v>2905</v>
          </cell>
          <cell r="F1303">
            <v>3577</v>
          </cell>
          <cell r="H1303">
            <v>0</v>
          </cell>
          <cell r="I1303">
            <v>3605</v>
          </cell>
          <cell r="J1303">
            <v>0</v>
          </cell>
          <cell r="L1303">
            <v>0</v>
          </cell>
        </row>
        <row r="1304">
          <cell r="A1304">
            <v>9114</v>
          </cell>
          <cell r="B1304" t="str">
            <v>난연폴리에틸렌보온</v>
          </cell>
          <cell r="C1304" t="str">
            <v>50Øx 25t</v>
          </cell>
          <cell r="D1304" t="str">
            <v>M</v>
          </cell>
          <cell r="E1304">
            <v>2455</v>
          </cell>
          <cell r="F1304">
            <v>2861</v>
          </cell>
          <cell r="H1304">
            <v>0</v>
          </cell>
          <cell r="I1304">
            <v>3333</v>
          </cell>
          <cell r="J1304">
            <v>0</v>
          </cell>
          <cell r="L1304">
            <v>0</v>
          </cell>
        </row>
        <row r="1305">
          <cell r="A1305">
            <v>9115</v>
          </cell>
          <cell r="B1305" t="str">
            <v>난연폴리에틸렌보온</v>
          </cell>
          <cell r="C1305" t="str">
            <v>40Øx 25t</v>
          </cell>
          <cell r="D1305" t="str">
            <v>M</v>
          </cell>
          <cell r="E1305">
            <v>2176</v>
          </cell>
          <cell r="F1305">
            <v>2861</v>
          </cell>
          <cell r="H1305">
            <v>0</v>
          </cell>
          <cell r="I1305">
            <v>2926</v>
          </cell>
          <cell r="J1305">
            <v>0</v>
          </cell>
          <cell r="L1305">
            <v>0</v>
          </cell>
        </row>
        <row r="1306">
          <cell r="A1306">
            <v>9116</v>
          </cell>
          <cell r="B1306" t="str">
            <v>난연폴리에틸렌보온</v>
          </cell>
          <cell r="C1306" t="str">
            <v>32Øx 25t</v>
          </cell>
          <cell r="D1306" t="str">
            <v>M</v>
          </cell>
          <cell r="E1306">
            <v>1969</v>
          </cell>
          <cell r="F1306">
            <v>2861</v>
          </cell>
          <cell r="H1306">
            <v>0</v>
          </cell>
          <cell r="I1306">
            <v>2750</v>
          </cell>
          <cell r="J1306">
            <v>0</v>
          </cell>
          <cell r="L1306">
            <v>0</v>
          </cell>
        </row>
        <row r="1307">
          <cell r="A1307">
            <v>9117</v>
          </cell>
          <cell r="B1307" t="str">
            <v>난연폴리에틸렌보온</v>
          </cell>
          <cell r="C1307" t="str">
            <v>25Øx 25t</v>
          </cell>
          <cell r="D1307" t="str">
            <v>M</v>
          </cell>
          <cell r="E1307">
            <v>1834</v>
          </cell>
          <cell r="F1307">
            <v>2504</v>
          </cell>
          <cell r="H1307">
            <v>0</v>
          </cell>
          <cell r="I1307">
            <v>2417</v>
          </cell>
          <cell r="J1307">
            <v>0</v>
          </cell>
          <cell r="L1307">
            <v>0</v>
          </cell>
        </row>
        <row r="1308">
          <cell r="A1308">
            <v>9118</v>
          </cell>
          <cell r="B1308" t="str">
            <v>난연폴리에틸렌보온</v>
          </cell>
          <cell r="C1308" t="str">
            <v>20Øx 25t</v>
          </cell>
          <cell r="D1308" t="str">
            <v>M</v>
          </cell>
          <cell r="E1308">
            <v>1759</v>
          </cell>
          <cell r="F1308">
            <v>2146</v>
          </cell>
          <cell r="H1308">
            <v>0</v>
          </cell>
          <cell r="I1308">
            <v>2080</v>
          </cell>
          <cell r="J1308">
            <v>0</v>
          </cell>
          <cell r="L1308">
            <v>0</v>
          </cell>
        </row>
        <row r="1309">
          <cell r="A1309">
            <v>9119</v>
          </cell>
          <cell r="B1309" t="str">
            <v>난연폴리에틸렌보온</v>
          </cell>
          <cell r="C1309" t="str">
            <v>15Øx 25t</v>
          </cell>
          <cell r="D1309" t="str">
            <v>M</v>
          </cell>
          <cell r="E1309">
            <v>1614</v>
          </cell>
          <cell r="F1309">
            <v>1788</v>
          </cell>
          <cell r="H1309">
            <v>0</v>
          </cell>
          <cell r="I1309">
            <v>1928</v>
          </cell>
          <cell r="J1309">
            <v>0</v>
          </cell>
          <cell r="L1309">
            <v>0</v>
          </cell>
        </row>
        <row r="1310">
          <cell r="A1310">
            <v>9120</v>
          </cell>
          <cell r="B1310" t="str">
            <v>유리솜보온</v>
          </cell>
          <cell r="C1310" t="str">
            <v>150Øx 40t</v>
          </cell>
          <cell r="D1310" t="str">
            <v>M</v>
          </cell>
          <cell r="H1310">
            <v>0</v>
          </cell>
          <cell r="I1310">
            <v>7297</v>
          </cell>
          <cell r="J1310">
            <v>0</v>
          </cell>
          <cell r="L1310">
            <v>0</v>
          </cell>
        </row>
        <row r="1311">
          <cell r="A1311">
            <v>9121</v>
          </cell>
          <cell r="B1311" t="str">
            <v>유리솜보온</v>
          </cell>
          <cell r="C1311" t="str">
            <v>100Øx 40t</v>
          </cell>
          <cell r="D1311" t="str">
            <v>M</v>
          </cell>
          <cell r="H1311">
            <v>0</v>
          </cell>
          <cell r="I1311">
            <v>5532</v>
          </cell>
          <cell r="J1311">
            <v>0</v>
          </cell>
          <cell r="L1311">
            <v>0</v>
          </cell>
        </row>
        <row r="1312">
          <cell r="A1312">
            <v>9122</v>
          </cell>
          <cell r="B1312" t="str">
            <v>유리솜보온</v>
          </cell>
          <cell r="C1312" t="str">
            <v>80Øx 25t</v>
          </cell>
          <cell r="D1312" t="str">
            <v>M</v>
          </cell>
          <cell r="H1312">
            <v>0</v>
          </cell>
          <cell r="I1312">
            <v>2993</v>
          </cell>
          <cell r="J1312">
            <v>0</v>
          </cell>
          <cell r="L1312">
            <v>0</v>
          </cell>
        </row>
        <row r="1313">
          <cell r="A1313">
            <v>9123</v>
          </cell>
          <cell r="B1313" t="str">
            <v>유리솜보온</v>
          </cell>
          <cell r="C1313" t="str">
            <v>65Øx 25t</v>
          </cell>
          <cell r="D1313" t="str">
            <v>M</v>
          </cell>
          <cell r="H1313">
            <v>0</v>
          </cell>
          <cell r="I1313">
            <v>2664</v>
          </cell>
          <cell r="J1313">
            <v>0</v>
          </cell>
          <cell r="L1313">
            <v>0</v>
          </cell>
        </row>
        <row r="1314">
          <cell r="A1314">
            <v>9124</v>
          </cell>
          <cell r="B1314" t="str">
            <v>유리솜보온</v>
          </cell>
          <cell r="C1314" t="str">
            <v>50Øx 25t</v>
          </cell>
          <cell r="D1314" t="str">
            <v>M</v>
          </cell>
          <cell r="H1314">
            <v>0</v>
          </cell>
          <cell r="I1314">
            <v>2391</v>
          </cell>
          <cell r="J1314">
            <v>0</v>
          </cell>
          <cell r="L1314">
            <v>0</v>
          </cell>
        </row>
        <row r="1315">
          <cell r="A1315">
            <v>9125</v>
          </cell>
          <cell r="B1315" t="str">
            <v>유리솜보온</v>
          </cell>
          <cell r="C1315" t="str">
            <v>40Øx 25t</v>
          </cell>
          <cell r="D1315" t="str">
            <v>M</v>
          </cell>
          <cell r="H1315">
            <v>0</v>
          </cell>
          <cell r="I1315">
            <v>2062</v>
          </cell>
          <cell r="J1315">
            <v>0</v>
          </cell>
          <cell r="L1315">
            <v>0</v>
          </cell>
        </row>
        <row r="1316">
          <cell r="A1316">
            <v>9126</v>
          </cell>
          <cell r="B1316" t="str">
            <v>유리솜보온</v>
          </cell>
          <cell r="C1316" t="str">
            <v>32Øx 25t</v>
          </cell>
          <cell r="D1316" t="str">
            <v>M</v>
          </cell>
          <cell r="H1316">
            <v>0</v>
          </cell>
          <cell r="I1316">
            <v>1908</v>
          </cell>
          <cell r="J1316">
            <v>0</v>
          </cell>
          <cell r="L1316">
            <v>0</v>
          </cell>
        </row>
        <row r="1317">
          <cell r="A1317">
            <v>9127</v>
          </cell>
          <cell r="B1317" t="str">
            <v>유리솜보온</v>
          </cell>
          <cell r="C1317" t="str">
            <v>25Øx 25t</v>
          </cell>
          <cell r="D1317" t="str">
            <v>M</v>
          </cell>
          <cell r="H1317">
            <v>0</v>
          </cell>
          <cell r="I1317">
            <v>1683</v>
          </cell>
          <cell r="J1317">
            <v>0</v>
          </cell>
          <cell r="L1317">
            <v>0</v>
          </cell>
        </row>
        <row r="1318">
          <cell r="A1318">
            <v>9128</v>
          </cell>
          <cell r="B1318" t="str">
            <v>유리솜보온</v>
          </cell>
          <cell r="C1318" t="str">
            <v>20Øx 25t</v>
          </cell>
          <cell r="D1318" t="str">
            <v>M</v>
          </cell>
          <cell r="H1318">
            <v>0</v>
          </cell>
          <cell r="I1318">
            <v>1516</v>
          </cell>
          <cell r="J1318">
            <v>0</v>
          </cell>
          <cell r="L1318">
            <v>0</v>
          </cell>
        </row>
        <row r="1319">
          <cell r="A1319">
            <v>9129</v>
          </cell>
          <cell r="B1319" t="str">
            <v>유리솜보온</v>
          </cell>
          <cell r="C1319" t="str">
            <v>15Øx 25t</v>
          </cell>
          <cell r="D1319" t="str">
            <v>M</v>
          </cell>
          <cell r="H1319">
            <v>0</v>
          </cell>
          <cell r="I1319">
            <v>1386</v>
          </cell>
          <cell r="J1319">
            <v>0</v>
          </cell>
          <cell r="L1319">
            <v>0</v>
          </cell>
        </row>
        <row r="1320">
          <cell r="A1320">
            <v>9131</v>
          </cell>
          <cell r="B1320" t="str">
            <v>동관용접</v>
          </cell>
          <cell r="C1320" t="str">
            <v>100Ø</v>
          </cell>
          <cell r="D1320" t="str">
            <v>개소</v>
          </cell>
          <cell r="E1320">
            <v>1635</v>
          </cell>
          <cell r="F1320">
            <v>16469</v>
          </cell>
          <cell r="H1320">
            <v>0</v>
          </cell>
          <cell r="I1320">
            <v>2622</v>
          </cell>
          <cell r="J1320">
            <v>0</v>
          </cell>
          <cell r="L1320">
            <v>0</v>
          </cell>
        </row>
        <row r="1321">
          <cell r="A1321">
            <v>9132</v>
          </cell>
          <cell r="B1321" t="str">
            <v>동관용접</v>
          </cell>
          <cell r="C1321" t="str">
            <v>80Ø</v>
          </cell>
          <cell r="D1321" t="str">
            <v>개소</v>
          </cell>
          <cell r="E1321">
            <v>1009</v>
          </cell>
          <cell r="F1321">
            <v>11672</v>
          </cell>
          <cell r="H1321">
            <v>0</v>
          </cell>
          <cell r="I1321">
            <v>1583</v>
          </cell>
          <cell r="J1321">
            <v>0</v>
          </cell>
          <cell r="L1321">
            <v>0</v>
          </cell>
        </row>
        <row r="1322">
          <cell r="A1322">
            <v>9133</v>
          </cell>
          <cell r="B1322" t="str">
            <v>동관용접</v>
          </cell>
          <cell r="C1322" t="str">
            <v>65Ø</v>
          </cell>
          <cell r="D1322" t="str">
            <v>개소</v>
          </cell>
          <cell r="E1322">
            <v>727</v>
          </cell>
          <cell r="F1322">
            <v>10073</v>
          </cell>
          <cell r="H1322">
            <v>0</v>
          </cell>
          <cell r="I1322">
            <v>1146</v>
          </cell>
          <cell r="J1322">
            <v>0</v>
          </cell>
          <cell r="L1322">
            <v>0</v>
          </cell>
        </row>
        <row r="1323">
          <cell r="A1323">
            <v>9134</v>
          </cell>
          <cell r="B1323" t="str">
            <v>동관용접</v>
          </cell>
          <cell r="C1323" t="str">
            <v>50Ø</v>
          </cell>
          <cell r="D1323" t="str">
            <v>개소</v>
          </cell>
          <cell r="E1323">
            <v>564</v>
          </cell>
          <cell r="F1323">
            <v>7834</v>
          </cell>
          <cell r="H1323">
            <v>0</v>
          </cell>
          <cell r="I1323">
            <v>874</v>
          </cell>
          <cell r="J1323">
            <v>0</v>
          </cell>
          <cell r="L1323">
            <v>0</v>
          </cell>
        </row>
        <row r="1324">
          <cell r="A1324">
            <v>9135</v>
          </cell>
          <cell r="B1324" t="str">
            <v>동관용접</v>
          </cell>
          <cell r="C1324" t="str">
            <v>40Ø</v>
          </cell>
          <cell r="D1324" t="str">
            <v>개소</v>
          </cell>
          <cell r="E1324">
            <v>410</v>
          </cell>
          <cell r="F1324">
            <v>6235</v>
          </cell>
          <cell r="H1324">
            <v>0</v>
          </cell>
          <cell r="I1324">
            <v>609</v>
          </cell>
          <cell r="J1324">
            <v>0</v>
          </cell>
          <cell r="L1324">
            <v>0</v>
          </cell>
        </row>
        <row r="1325">
          <cell r="A1325">
            <v>9136</v>
          </cell>
          <cell r="B1325" t="str">
            <v>동관용접</v>
          </cell>
          <cell r="C1325" t="str">
            <v>32Ø</v>
          </cell>
          <cell r="D1325" t="str">
            <v>개소</v>
          </cell>
          <cell r="E1325">
            <v>316</v>
          </cell>
          <cell r="F1325">
            <v>5676</v>
          </cell>
          <cell r="H1325">
            <v>0</v>
          </cell>
          <cell r="I1325">
            <v>466</v>
          </cell>
          <cell r="J1325">
            <v>0</v>
          </cell>
          <cell r="L1325">
            <v>0</v>
          </cell>
        </row>
        <row r="1326">
          <cell r="A1326">
            <v>9137</v>
          </cell>
          <cell r="B1326" t="str">
            <v>동관용접</v>
          </cell>
          <cell r="C1326" t="str">
            <v>25Ø</v>
          </cell>
          <cell r="D1326" t="str">
            <v>개소</v>
          </cell>
          <cell r="E1326">
            <v>226</v>
          </cell>
          <cell r="F1326">
            <v>4636</v>
          </cell>
          <cell r="H1326">
            <v>0</v>
          </cell>
          <cell r="I1326">
            <v>339</v>
          </cell>
          <cell r="J1326">
            <v>0</v>
          </cell>
          <cell r="L1326">
            <v>0</v>
          </cell>
        </row>
        <row r="1327">
          <cell r="A1327">
            <v>9138</v>
          </cell>
          <cell r="B1327" t="str">
            <v>동관용접</v>
          </cell>
          <cell r="C1327" t="str">
            <v>20Ø</v>
          </cell>
          <cell r="D1327" t="str">
            <v>개소</v>
          </cell>
          <cell r="E1327">
            <v>176</v>
          </cell>
          <cell r="F1327">
            <v>3757</v>
          </cell>
          <cell r="H1327">
            <v>0</v>
          </cell>
          <cell r="I1327">
            <v>253</v>
          </cell>
          <cell r="J1327">
            <v>0</v>
          </cell>
          <cell r="L1327">
            <v>0</v>
          </cell>
        </row>
        <row r="1328">
          <cell r="A1328">
            <v>9139</v>
          </cell>
          <cell r="B1328" t="str">
            <v>동관용접</v>
          </cell>
          <cell r="C1328" t="str">
            <v>15Ø</v>
          </cell>
          <cell r="D1328" t="str">
            <v>개소</v>
          </cell>
          <cell r="E1328">
            <v>85</v>
          </cell>
          <cell r="F1328">
            <v>3277</v>
          </cell>
          <cell r="H1328">
            <v>0</v>
          </cell>
          <cell r="I1328">
            <v>121</v>
          </cell>
          <cell r="J1328">
            <v>0</v>
          </cell>
          <cell r="L1328">
            <v>0</v>
          </cell>
        </row>
        <row r="1329">
          <cell r="A1329">
            <v>9141</v>
          </cell>
          <cell r="B1329" t="str">
            <v>은분도장</v>
          </cell>
          <cell r="C1329" t="str">
            <v>2회</v>
          </cell>
          <cell r="D1329" t="str">
            <v>M²</v>
          </cell>
          <cell r="E1329">
            <v>654</v>
          </cell>
          <cell r="F1329">
            <v>3043</v>
          </cell>
          <cell r="H1329">
            <v>0</v>
          </cell>
          <cell r="I1329">
            <v>654</v>
          </cell>
          <cell r="J1329">
            <v>0</v>
          </cell>
          <cell r="L1329">
            <v>0</v>
          </cell>
        </row>
        <row r="1330">
          <cell r="A1330">
            <v>9142</v>
          </cell>
          <cell r="B1330" t="str">
            <v>벽체철거 및 복구</v>
          </cell>
          <cell r="D1330" t="str">
            <v>개소</v>
          </cell>
          <cell r="E1330">
            <v>0</v>
          </cell>
          <cell r="H1330">
            <v>0</v>
          </cell>
          <cell r="J1330">
            <v>0</v>
          </cell>
          <cell r="L1330">
            <v>0</v>
          </cell>
        </row>
        <row r="1331">
          <cell r="A1331">
            <v>9143</v>
          </cell>
          <cell r="B1331" t="str">
            <v>치장벽돌 쌓기</v>
          </cell>
          <cell r="D1331" t="str">
            <v>매</v>
          </cell>
          <cell r="E1331">
            <v>171220</v>
          </cell>
          <cell r="F1331">
            <v>303245</v>
          </cell>
          <cell r="H1331">
            <v>0</v>
          </cell>
          <cell r="I1331">
            <v>171220</v>
          </cell>
          <cell r="J1331">
            <v>0</v>
          </cell>
          <cell r="L1331">
            <v>0</v>
          </cell>
        </row>
        <row r="1332">
          <cell r="A1332">
            <v>9144</v>
          </cell>
          <cell r="B1332" t="str">
            <v>녹막이페인트</v>
          </cell>
          <cell r="C1332" t="str">
            <v>2회</v>
          </cell>
          <cell r="D1332" t="str">
            <v>M²</v>
          </cell>
          <cell r="E1332">
            <v>932</v>
          </cell>
          <cell r="F1332">
            <v>1690</v>
          </cell>
          <cell r="H1332">
            <v>0</v>
          </cell>
          <cell r="I1332">
            <v>932</v>
          </cell>
          <cell r="J1332">
            <v>0</v>
          </cell>
          <cell r="L1332">
            <v>0</v>
          </cell>
        </row>
        <row r="1333">
          <cell r="A1333">
            <v>9145</v>
          </cell>
          <cell r="B1333" t="str">
            <v>배수펌프앵글가대</v>
          </cell>
          <cell r="D1333" t="str">
            <v>개소</v>
          </cell>
          <cell r="E1333">
            <v>13141</v>
          </cell>
          <cell r="F1333">
            <v>56637</v>
          </cell>
          <cell r="H1333">
            <v>0</v>
          </cell>
          <cell r="I1333">
            <v>13141</v>
          </cell>
          <cell r="J1333">
            <v>0</v>
          </cell>
          <cell r="L1333">
            <v>0</v>
          </cell>
        </row>
        <row r="1334">
          <cell r="A1334">
            <v>9146</v>
          </cell>
          <cell r="B1334" t="str">
            <v>정수위밸브장치</v>
          </cell>
          <cell r="C1334" t="str">
            <v>40Ø</v>
          </cell>
          <cell r="D1334" t="str">
            <v>대</v>
          </cell>
          <cell r="E1334">
            <v>533087</v>
          </cell>
          <cell r="F1334">
            <v>271490.40000000002</v>
          </cell>
          <cell r="H1334">
            <v>0</v>
          </cell>
          <cell r="I1334">
            <v>533087</v>
          </cell>
          <cell r="J1334">
            <v>0</v>
          </cell>
          <cell r="L1334">
            <v>0</v>
          </cell>
        </row>
        <row r="1335">
          <cell r="A1335">
            <v>9147</v>
          </cell>
          <cell r="B1335" t="str">
            <v>장비기초(콘크리트)</v>
          </cell>
          <cell r="C1335" t="str">
            <v>1:2:4</v>
          </cell>
          <cell r="D1335" t="str">
            <v>M³</v>
          </cell>
          <cell r="E1335">
            <v>25057</v>
          </cell>
          <cell r="F1335">
            <v>94929</v>
          </cell>
          <cell r="H1335">
            <v>0</v>
          </cell>
          <cell r="I1335">
            <v>25057</v>
          </cell>
          <cell r="J1335">
            <v>0</v>
          </cell>
          <cell r="L1335">
            <v>0</v>
          </cell>
        </row>
        <row r="1336">
          <cell r="A1336">
            <v>9148</v>
          </cell>
          <cell r="B1336" t="str">
            <v>합판거푸집</v>
          </cell>
          <cell r="C1336" t="str">
            <v>3회</v>
          </cell>
          <cell r="D1336" t="str">
            <v>M²</v>
          </cell>
          <cell r="E1336">
            <v>5049</v>
          </cell>
          <cell r="F1336">
            <v>13293</v>
          </cell>
          <cell r="H1336">
            <v>0</v>
          </cell>
          <cell r="I1336">
            <v>5049</v>
          </cell>
          <cell r="J1336">
            <v>0</v>
          </cell>
          <cell r="L1336">
            <v>0</v>
          </cell>
        </row>
        <row r="1337">
          <cell r="A1337">
            <v>9149</v>
          </cell>
          <cell r="B1337" t="str">
            <v>방열기소운반비</v>
          </cell>
          <cell r="C1337" t="str">
            <v>20쪽 이하</v>
          </cell>
          <cell r="D1337" t="str">
            <v>조</v>
          </cell>
          <cell r="E1337">
            <v>0</v>
          </cell>
          <cell r="F1337">
            <v>10136</v>
          </cell>
          <cell r="H1337">
            <v>0</v>
          </cell>
          <cell r="J1337">
            <v>0</v>
          </cell>
          <cell r="L1337">
            <v>0</v>
          </cell>
        </row>
        <row r="1338">
          <cell r="A1338">
            <v>9150</v>
          </cell>
          <cell r="B1338" t="str">
            <v>바닥타일커팅공임</v>
          </cell>
          <cell r="D1338" t="str">
            <v>개소</v>
          </cell>
          <cell r="E1338">
            <v>0</v>
          </cell>
          <cell r="F1338">
            <v>13595</v>
          </cell>
          <cell r="H1338">
            <v>0</v>
          </cell>
          <cell r="J1338">
            <v>0</v>
          </cell>
          <cell r="L1338">
            <v>0</v>
          </cell>
        </row>
        <row r="1339">
          <cell r="A1339">
            <v>9151</v>
          </cell>
          <cell r="B1339" t="str">
            <v>파이프 고정앙카</v>
          </cell>
          <cell r="C1339" t="str">
            <v>15Ø~40Ø</v>
          </cell>
          <cell r="D1339" t="str">
            <v>조</v>
          </cell>
          <cell r="E1339">
            <v>1090</v>
          </cell>
          <cell r="F1339">
            <v>24.055000000000003</v>
          </cell>
          <cell r="H1339">
            <v>0</v>
          </cell>
          <cell r="I1339">
            <v>1090</v>
          </cell>
          <cell r="J1339">
            <v>0</v>
          </cell>
          <cell r="L1339">
            <v>0</v>
          </cell>
        </row>
        <row r="1340">
          <cell r="A1340">
            <v>9152</v>
          </cell>
          <cell r="B1340" t="str">
            <v>파이프 고정앙카</v>
          </cell>
          <cell r="C1340" t="str">
            <v>50Ø~65Ø</v>
          </cell>
          <cell r="D1340" t="str">
            <v>조</v>
          </cell>
          <cell r="E1340">
            <v>1140</v>
          </cell>
          <cell r="F1340">
            <v>36.79</v>
          </cell>
          <cell r="H1340">
            <v>0</v>
          </cell>
          <cell r="I1340">
            <v>1140</v>
          </cell>
          <cell r="J1340">
            <v>0</v>
          </cell>
          <cell r="L1340">
            <v>0</v>
          </cell>
        </row>
        <row r="1341">
          <cell r="A1341">
            <v>9153</v>
          </cell>
          <cell r="B1341" t="str">
            <v>파이프 고정앙카</v>
          </cell>
          <cell r="C1341" t="str">
            <v>80Ø~150Ø</v>
          </cell>
          <cell r="D1341" t="str">
            <v>조</v>
          </cell>
          <cell r="E1341">
            <v>1694</v>
          </cell>
          <cell r="F1341">
            <v>55.185000000000002</v>
          </cell>
          <cell r="H1341">
            <v>0</v>
          </cell>
          <cell r="I1341">
            <v>1694</v>
          </cell>
          <cell r="J1341">
            <v>0</v>
          </cell>
          <cell r="L1341">
            <v>0</v>
          </cell>
        </row>
        <row r="1342">
          <cell r="A1342">
            <v>9161</v>
          </cell>
          <cell r="B1342" t="str">
            <v>정유량 조절밸브장치</v>
          </cell>
          <cell r="C1342" t="str">
            <v>65Ø</v>
          </cell>
          <cell r="D1342" t="str">
            <v>조</v>
          </cell>
          <cell r="E1342">
            <v>0</v>
          </cell>
          <cell r="H1342">
            <v>0</v>
          </cell>
          <cell r="J1342">
            <v>0</v>
          </cell>
          <cell r="L1342">
            <v>0</v>
          </cell>
        </row>
        <row r="1343">
          <cell r="A1343">
            <v>9162</v>
          </cell>
          <cell r="B1343" t="str">
            <v>정유량 조절밸브장치</v>
          </cell>
          <cell r="C1343" t="str">
            <v>50Ø</v>
          </cell>
          <cell r="D1343" t="str">
            <v>조</v>
          </cell>
          <cell r="E1343">
            <v>0</v>
          </cell>
          <cell r="H1343">
            <v>0</v>
          </cell>
          <cell r="J1343">
            <v>0</v>
          </cell>
          <cell r="L1343">
            <v>0</v>
          </cell>
        </row>
        <row r="1344">
          <cell r="A1344">
            <v>9163</v>
          </cell>
          <cell r="B1344" t="str">
            <v>정유량 조절밸브장치</v>
          </cell>
          <cell r="C1344" t="str">
            <v>40Ø</v>
          </cell>
          <cell r="D1344" t="str">
            <v>조</v>
          </cell>
          <cell r="E1344">
            <v>0</v>
          </cell>
          <cell r="H1344">
            <v>0</v>
          </cell>
          <cell r="J1344">
            <v>0</v>
          </cell>
          <cell r="L1344">
            <v>0</v>
          </cell>
        </row>
        <row r="1345">
          <cell r="A1345">
            <v>9164</v>
          </cell>
          <cell r="B1345" t="str">
            <v>정유량 조절밸브장치</v>
          </cell>
          <cell r="C1345" t="str">
            <v>32Ø</v>
          </cell>
          <cell r="D1345" t="str">
            <v>조</v>
          </cell>
          <cell r="E1345">
            <v>0</v>
          </cell>
          <cell r="H1345">
            <v>0</v>
          </cell>
          <cell r="J1345">
            <v>0</v>
          </cell>
          <cell r="L1345">
            <v>0</v>
          </cell>
        </row>
        <row r="1346">
          <cell r="A1346">
            <v>9171</v>
          </cell>
          <cell r="B1346" t="str">
            <v>스테인레스관용접</v>
          </cell>
          <cell r="C1346" t="str">
            <v>80Ø</v>
          </cell>
          <cell r="D1346" t="str">
            <v>개소</v>
          </cell>
          <cell r="E1346">
            <v>3439</v>
          </cell>
          <cell r="F1346">
            <v>0</v>
          </cell>
          <cell r="H1346">
            <v>0</v>
          </cell>
          <cell r="I1346">
            <v>3439</v>
          </cell>
          <cell r="J1346">
            <v>0</v>
          </cell>
          <cell r="L1346">
            <v>0</v>
          </cell>
        </row>
        <row r="1347">
          <cell r="A1347">
            <v>9172</v>
          </cell>
          <cell r="B1347" t="str">
            <v>스테인레스관용접</v>
          </cell>
          <cell r="C1347" t="str">
            <v>100Ø</v>
          </cell>
          <cell r="D1347" t="str">
            <v>개소</v>
          </cell>
          <cell r="E1347">
            <v>5376</v>
          </cell>
          <cell r="F1347">
            <v>0</v>
          </cell>
          <cell r="H1347">
            <v>0</v>
          </cell>
          <cell r="I1347">
            <v>5376</v>
          </cell>
          <cell r="J1347">
            <v>0</v>
          </cell>
          <cell r="L1347">
            <v>0</v>
          </cell>
        </row>
        <row r="1348">
          <cell r="A1348">
            <v>9173</v>
          </cell>
          <cell r="B1348" t="str">
            <v>스테인레스관용접</v>
          </cell>
          <cell r="C1348" t="str">
            <v>125Ø</v>
          </cell>
          <cell r="D1348" t="str">
            <v>개소</v>
          </cell>
          <cell r="E1348">
            <v>8130</v>
          </cell>
          <cell r="F1348">
            <v>0</v>
          </cell>
          <cell r="H1348">
            <v>0</v>
          </cell>
          <cell r="I1348">
            <v>8130</v>
          </cell>
          <cell r="J1348">
            <v>0</v>
          </cell>
          <cell r="L1348">
            <v>0</v>
          </cell>
        </row>
        <row r="1349">
          <cell r="A1349">
            <v>9174</v>
          </cell>
          <cell r="B1349" t="str">
            <v>스테인레스관용접</v>
          </cell>
          <cell r="C1349" t="str">
            <v>150Ø</v>
          </cell>
          <cell r="D1349" t="str">
            <v>개소</v>
          </cell>
          <cell r="E1349">
            <v>10049</v>
          </cell>
          <cell r="F1349">
            <v>0</v>
          </cell>
          <cell r="H1349">
            <v>0</v>
          </cell>
          <cell r="I1349">
            <v>10049</v>
          </cell>
          <cell r="J1349">
            <v>0</v>
          </cell>
          <cell r="L1349">
            <v>0</v>
          </cell>
        </row>
        <row r="1350">
          <cell r="A1350">
            <v>9175</v>
          </cell>
          <cell r="B1350" t="str">
            <v>스테인레스관용접</v>
          </cell>
          <cell r="C1350" t="str">
            <v>200Ø</v>
          </cell>
          <cell r="D1350" t="str">
            <v>개소</v>
          </cell>
          <cell r="E1350">
            <v>16919</v>
          </cell>
          <cell r="F1350">
            <v>0</v>
          </cell>
          <cell r="H1350">
            <v>0</v>
          </cell>
          <cell r="I1350">
            <v>16919</v>
          </cell>
          <cell r="J1350">
            <v>0</v>
          </cell>
          <cell r="L1350">
            <v>0</v>
          </cell>
        </row>
        <row r="1351">
          <cell r="A1351">
            <v>9181</v>
          </cell>
          <cell r="B1351" t="str">
            <v>강관스리브</v>
          </cell>
          <cell r="C1351" t="str">
            <v>100Ø</v>
          </cell>
          <cell r="D1351" t="str">
            <v>개소</v>
          </cell>
          <cell r="E1351">
            <v>5901</v>
          </cell>
          <cell r="F1351">
            <v>0</v>
          </cell>
          <cell r="H1351">
            <v>0</v>
          </cell>
          <cell r="I1351">
            <v>27055</v>
          </cell>
          <cell r="J1351">
            <v>0</v>
          </cell>
          <cell r="L1351">
            <v>0</v>
          </cell>
        </row>
        <row r="1352">
          <cell r="A1352">
            <v>9182</v>
          </cell>
          <cell r="B1352" t="str">
            <v>강관스리브</v>
          </cell>
          <cell r="C1352" t="str">
            <v>80Ø</v>
          </cell>
          <cell r="D1352" t="str">
            <v>개소</v>
          </cell>
          <cell r="E1352">
            <v>4549</v>
          </cell>
          <cell r="F1352">
            <v>0</v>
          </cell>
          <cell r="H1352">
            <v>0</v>
          </cell>
          <cell r="I1352">
            <v>22116</v>
          </cell>
          <cell r="J1352">
            <v>0</v>
          </cell>
          <cell r="L1352">
            <v>0</v>
          </cell>
        </row>
        <row r="1353">
          <cell r="A1353">
            <v>9183</v>
          </cell>
          <cell r="B1353" t="str">
            <v>강관스리브</v>
          </cell>
          <cell r="C1353" t="str">
            <v>65Ø</v>
          </cell>
          <cell r="D1353" t="str">
            <v>개소</v>
          </cell>
          <cell r="E1353">
            <v>2391</v>
          </cell>
          <cell r="F1353">
            <v>0</v>
          </cell>
          <cell r="H1353">
            <v>0</v>
          </cell>
          <cell r="I1353">
            <v>12565</v>
          </cell>
          <cell r="J1353">
            <v>0</v>
          </cell>
          <cell r="L1353">
            <v>0</v>
          </cell>
        </row>
        <row r="1354">
          <cell r="A1354">
            <v>9184</v>
          </cell>
          <cell r="B1354" t="str">
            <v>강관스리브</v>
          </cell>
          <cell r="C1354" t="str">
            <v>50Ø</v>
          </cell>
          <cell r="D1354" t="str">
            <v>개소</v>
          </cell>
          <cell r="E1354">
            <v>1869</v>
          </cell>
          <cell r="F1354">
            <v>0</v>
          </cell>
          <cell r="H1354">
            <v>0</v>
          </cell>
          <cell r="I1354">
            <v>8266</v>
          </cell>
          <cell r="J1354">
            <v>0</v>
          </cell>
          <cell r="L1354">
            <v>0</v>
          </cell>
        </row>
        <row r="1355">
          <cell r="A1355">
            <v>9185</v>
          </cell>
          <cell r="B1355" t="str">
            <v>강관스리브</v>
          </cell>
          <cell r="C1355" t="str">
            <v>40Ø</v>
          </cell>
          <cell r="D1355" t="str">
            <v>개소</v>
          </cell>
          <cell r="E1355">
            <v>1472</v>
          </cell>
          <cell r="F1355">
            <v>0</v>
          </cell>
          <cell r="H1355">
            <v>0</v>
          </cell>
          <cell r="I1355">
            <v>5837</v>
          </cell>
          <cell r="J1355">
            <v>0</v>
          </cell>
          <cell r="L1355">
            <v>0</v>
          </cell>
        </row>
        <row r="1356">
          <cell r="A1356">
            <v>9186</v>
          </cell>
          <cell r="B1356" t="str">
            <v>강관스리브</v>
          </cell>
          <cell r="C1356" t="str">
            <v>32Ø</v>
          </cell>
          <cell r="D1356" t="str">
            <v>개소</v>
          </cell>
          <cell r="E1356">
            <v>1445</v>
          </cell>
          <cell r="F1356">
            <v>0</v>
          </cell>
          <cell r="H1356">
            <v>0</v>
          </cell>
          <cell r="I1356">
            <v>2691</v>
          </cell>
          <cell r="J1356">
            <v>0</v>
          </cell>
          <cell r="L1356">
            <v>0</v>
          </cell>
        </row>
        <row r="1357">
          <cell r="A1357">
            <v>9187</v>
          </cell>
          <cell r="B1357" t="str">
            <v>강관스리브</v>
          </cell>
          <cell r="C1357" t="str">
            <v>25Ø</v>
          </cell>
          <cell r="D1357" t="str">
            <v>개소</v>
          </cell>
          <cell r="E1357">
            <v>1022</v>
          </cell>
          <cell r="F1357">
            <v>0</v>
          </cell>
          <cell r="H1357">
            <v>0</v>
          </cell>
          <cell r="I1357">
            <v>1808</v>
          </cell>
          <cell r="J1357">
            <v>0</v>
          </cell>
          <cell r="L1357">
            <v>0</v>
          </cell>
        </row>
        <row r="1358">
          <cell r="A1358">
            <v>9188</v>
          </cell>
          <cell r="B1358" t="str">
            <v>강관스리브</v>
          </cell>
          <cell r="C1358" t="str">
            <v>20Ø</v>
          </cell>
          <cell r="D1358" t="str">
            <v>개소</v>
          </cell>
          <cell r="E1358">
            <v>888</v>
          </cell>
          <cell r="F1358">
            <v>0</v>
          </cell>
          <cell r="H1358">
            <v>0</v>
          </cell>
          <cell r="I1358">
            <v>1395</v>
          </cell>
          <cell r="J1358">
            <v>0</v>
          </cell>
          <cell r="L1358">
            <v>0</v>
          </cell>
        </row>
        <row r="1359">
          <cell r="A1359">
            <v>9189</v>
          </cell>
          <cell r="B1359" t="str">
            <v>강관스리브</v>
          </cell>
          <cell r="C1359" t="str">
            <v>15Ø</v>
          </cell>
          <cell r="D1359" t="str">
            <v>개소</v>
          </cell>
          <cell r="E1359">
            <v>636</v>
          </cell>
          <cell r="F1359">
            <v>0</v>
          </cell>
          <cell r="H1359">
            <v>0</v>
          </cell>
          <cell r="I1359">
            <v>866</v>
          </cell>
          <cell r="J1359">
            <v>0</v>
          </cell>
          <cell r="L1359">
            <v>0</v>
          </cell>
        </row>
        <row r="1360">
          <cell r="A1360">
            <v>9201</v>
          </cell>
          <cell r="B1360" t="str">
            <v>아연철판덕트제작설치</v>
          </cell>
          <cell r="C1360" t="str">
            <v>0.5t</v>
          </cell>
          <cell r="D1360" t="str">
            <v>M²</v>
          </cell>
          <cell r="E1360">
            <v>8532</v>
          </cell>
          <cell r="F1360">
            <v>22097</v>
          </cell>
          <cell r="H1360">
            <v>0</v>
          </cell>
          <cell r="I1360">
            <v>8532</v>
          </cell>
          <cell r="J1360">
            <v>0</v>
          </cell>
          <cell r="L1360">
            <v>0</v>
          </cell>
        </row>
        <row r="1361">
          <cell r="A1361">
            <v>9202</v>
          </cell>
          <cell r="B1361" t="str">
            <v>SUS철판덕트제작설치</v>
          </cell>
          <cell r="C1361" t="str">
            <v>0.5t</v>
          </cell>
          <cell r="D1361" t="str">
            <v>M²</v>
          </cell>
          <cell r="E1361">
            <v>35059</v>
          </cell>
          <cell r="F1361">
            <v>29096</v>
          </cell>
          <cell r="H1361">
            <v>0</v>
          </cell>
          <cell r="I1361">
            <v>35059</v>
          </cell>
          <cell r="J1361">
            <v>0</v>
          </cell>
          <cell r="L1361">
            <v>0</v>
          </cell>
        </row>
        <row r="1362">
          <cell r="A1362">
            <v>9203</v>
          </cell>
          <cell r="B1362" t="str">
            <v>각형덕트보온(은박지)</v>
          </cell>
          <cell r="C1362" t="str">
            <v>30t</v>
          </cell>
          <cell r="D1362" t="str">
            <v>M²</v>
          </cell>
          <cell r="E1362">
            <v>8895</v>
          </cell>
          <cell r="F1362">
            <v>20360</v>
          </cell>
          <cell r="H1362">
            <v>0</v>
          </cell>
          <cell r="I1362">
            <v>8895</v>
          </cell>
          <cell r="J1362">
            <v>0</v>
          </cell>
          <cell r="L1362">
            <v>0</v>
          </cell>
        </row>
        <row r="1363">
          <cell r="A1363">
            <v>9204</v>
          </cell>
          <cell r="B1363" t="str">
            <v>배관커버(갈바륨강판)</v>
          </cell>
          <cell r="C1363" t="str">
            <v>200x400</v>
          </cell>
          <cell r="D1363" t="str">
            <v>M</v>
          </cell>
          <cell r="E1363">
            <v>57944</v>
          </cell>
          <cell r="F1363">
            <v>42464</v>
          </cell>
          <cell r="H1363">
            <v>0</v>
          </cell>
          <cell r="I1363">
            <v>57944</v>
          </cell>
          <cell r="J1363">
            <v>0</v>
          </cell>
          <cell r="L1363">
            <v>0</v>
          </cell>
        </row>
        <row r="1364">
          <cell r="A1364">
            <v>9901</v>
          </cell>
          <cell r="B1364" t="str">
            <v>잡자재비</v>
          </cell>
          <cell r="C1364" t="str">
            <v>주재료의 5%</v>
          </cell>
          <cell r="D1364" t="str">
            <v>식</v>
          </cell>
          <cell r="E1364">
            <v>0</v>
          </cell>
          <cell r="F1364">
            <v>0</v>
          </cell>
          <cell r="H1364">
            <v>0</v>
          </cell>
          <cell r="I1364">
            <v>0</v>
          </cell>
          <cell r="J1364">
            <v>0</v>
          </cell>
          <cell r="L1364">
            <v>0</v>
          </cell>
        </row>
        <row r="1365">
          <cell r="A1365">
            <v>9902</v>
          </cell>
          <cell r="B1365" t="str">
            <v>지지철물</v>
          </cell>
          <cell r="C1365" t="str">
            <v>주재료의 9%</v>
          </cell>
          <cell r="D1365" t="str">
            <v>식</v>
          </cell>
          <cell r="E1365">
            <v>0</v>
          </cell>
          <cell r="F1365">
            <v>0</v>
          </cell>
          <cell r="H1365">
            <v>0</v>
          </cell>
          <cell r="I1365">
            <v>0</v>
          </cell>
          <cell r="J1365">
            <v>0</v>
          </cell>
          <cell r="L1365">
            <v>0</v>
          </cell>
        </row>
        <row r="1366">
          <cell r="A1366">
            <v>9903</v>
          </cell>
          <cell r="B1366" t="str">
            <v>지지철물</v>
          </cell>
          <cell r="C1366" t="str">
            <v>주재료의 10%</v>
          </cell>
          <cell r="D1366" t="str">
            <v>식</v>
          </cell>
          <cell r="E1366">
            <v>0</v>
          </cell>
          <cell r="F1366">
            <v>0</v>
          </cell>
          <cell r="H1366">
            <v>0</v>
          </cell>
          <cell r="I1366">
            <v>0</v>
          </cell>
          <cell r="J1366">
            <v>0</v>
          </cell>
          <cell r="L1366">
            <v>0</v>
          </cell>
        </row>
        <row r="1367">
          <cell r="A1367">
            <v>9904</v>
          </cell>
          <cell r="B1367" t="str">
            <v>지지철물</v>
          </cell>
          <cell r="C1367" t="str">
            <v>주재료의 15%</v>
          </cell>
          <cell r="D1367" t="str">
            <v>식</v>
          </cell>
          <cell r="E1367">
            <v>0</v>
          </cell>
          <cell r="F1367">
            <v>0</v>
          </cell>
          <cell r="H1367">
            <v>0</v>
          </cell>
          <cell r="I1367">
            <v>0</v>
          </cell>
          <cell r="J1367">
            <v>0</v>
          </cell>
          <cell r="L1367">
            <v>0</v>
          </cell>
        </row>
        <row r="1368">
          <cell r="A1368">
            <v>9905</v>
          </cell>
          <cell r="B1368" t="str">
            <v>지지철물</v>
          </cell>
          <cell r="C1368" t="str">
            <v>주재료의 25%</v>
          </cell>
          <cell r="D1368" t="str">
            <v>식</v>
          </cell>
          <cell r="E1368">
            <v>0</v>
          </cell>
          <cell r="F1368">
            <v>0</v>
          </cell>
          <cell r="H1368">
            <v>0</v>
          </cell>
          <cell r="I1368">
            <v>0</v>
          </cell>
          <cell r="J1368">
            <v>0</v>
          </cell>
          <cell r="L1368">
            <v>0</v>
          </cell>
        </row>
        <row r="1369">
          <cell r="A1369">
            <v>9906</v>
          </cell>
          <cell r="B1369" t="str">
            <v>지지철물</v>
          </cell>
          <cell r="C1369" t="str">
            <v>주재료의 30%</v>
          </cell>
          <cell r="D1369" t="str">
            <v>식</v>
          </cell>
          <cell r="E1369">
            <v>0</v>
          </cell>
          <cell r="F1369">
            <v>0</v>
          </cell>
          <cell r="H1369">
            <v>0</v>
          </cell>
          <cell r="I1369">
            <v>0</v>
          </cell>
          <cell r="J1369">
            <v>0</v>
          </cell>
          <cell r="L1369">
            <v>0</v>
          </cell>
        </row>
        <row r="1370">
          <cell r="A1370">
            <v>9907</v>
          </cell>
          <cell r="B1370" t="str">
            <v>지지철물</v>
          </cell>
          <cell r="C1370" t="str">
            <v>주재료의 40%</v>
          </cell>
          <cell r="D1370" t="str">
            <v>식</v>
          </cell>
          <cell r="E1370">
            <v>0</v>
          </cell>
          <cell r="F1370">
            <v>0</v>
          </cell>
          <cell r="H1370">
            <v>0</v>
          </cell>
          <cell r="I1370">
            <v>0</v>
          </cell>
          <cell r="J1370">
            <v>0</v>
          </cell>
          <cell r="L1370">
            <v>0</v>
          </cell>
        </row>
        <row r="1371">
          <cell r="A1371">
            <v>9910</v>
          </cell>
          <cell r="B1371" t="str">
            <v>관부속</v>
          </cell>
          <cell r="C1371" t="str">
            <v>관의 30%</v>
          </cell>
          <cell r="D1371" t="str">
            <v>식</v>
          </cell>
          <cell r="E1371">
            <v>0</v>
          </cell>
          <cell r="F1371">
            <v>0</v>
          </cell>
          <cell r="H1371">
            <v>0</v>
          </cell>
          <cell r="I1371">
            <v>0</v>
          </cell>
          <cell r="J1371">
            <v>0</v>
          </cell>
          <cell r="L1371">
            <v>0</v>
          </cell>
        </row>
        <row r="1372">
          <cell r="A1372">
            <v>9911</v>
          </cell>
          <cell r="B1372" t="str">
            <v>관부속</v>
          </cell>
          <cell r="C1372" t="str">
            <v>관의 40%</v>
          </cell>
          <cell r="D1372" t="str">
            <v>식</v>
          </cell>
          <cell r="E1372">
            <v>0</v>
          </cell>
          <cell r="F1372">
            <v>0</v>
          </cell>
          <cell r="H1372">
            <v>0</v>
          </cell>
          <cell r="I1372">
            <v>0</v>
          </cell>
          <cell r="J1372">
            <v>0</v>
          </cell>
          <cell r="L1372">
            <v>0</v>
          </cell>
        </row>
        <row r="1373">
          <cell r="A1373">
            <v>9912</v>
          </cell>
          <cell r="B1373" t="str">
            <v>관부속</v>
          </cell>
          <cell r="C1373" t="str">
            <v>관의 45%</v>
          </cell>
          <cell r="D1373" t="str">
            <v>식</v>
          </cell>
          <cell r="E1373">
            <v>0</v>
          </cell>
          <cell r="F1373">
            <v>0</v>
          </cell>
          <cell r="H1373">
            <v>0</v>
          </cell>
          <cell r="I1373">
            <v>0</v>
          </cell>
          <cell r="J1373">
            <v>0</v>
          </cell>
          <cell r="L1373">
            <v>0</v>
          </cell>
        </row>
        <row r="1374">
          <cell r="A1374">
            <v>9913</v>
          </cell>
          <cell r="B1374" t="str">
            <v>관부속</v>
          </cell>
          <cell r="C1374" t="str">
            <v>관의 50%</v>
          </cell>
          <cell r="D1374" t="str">
            <v>식</v>
          </cell>
          <cell r="E1374">
            <v>0</v>
          </cell>
          <cell r="F1374">
            <v>0</v>
          </cell>
          <cell r="H1374">
            <v>0</v>
          </cell>
          <cell r="I1374">
            <v>0</v>
          </cell>
          <cell r="J1374">
            <v>0</v>
          </cell>
          <cell r="L1374">
            <v>0</v>
          </cell>
        </row>
        <row r="1375">
          <cell r="A1375">
            <v>9914</v>
          </cell>
          <cell r="B1375" t="str">
            <v>관부속</v>
          </cell>
          <cell r="C1375" t="str">
            <v>관의 55%</v>
          </cell>
          <cell r="D1375" t="str">
            <v>식</v>
          </cell>
          <cell r="E1375">
            <v>0</v>
          </cell>
          <cell r="F1375">
            <v>0</v>
          </cell>
          <cell r="H1375">
            <v>0</v>
          </cell>
          <cell r="I1375">
            <v>0</v>
          </cell>
          <cell r="J1375">
            <v>0</v>
          </cell>
          <cell r="L1375">
            <v>0</v>
          </cell>
        </row>
        <row r="1376">
          <cell r="A1376">
            <v>9915</v>
          </cell>
          <cell r="B1376" t="str">
            <v>관부속</v>
          </cell>
          <cell r="C1376" t="str">
            <v>관의 60%</v>
          </cell>
          <cell r="D1376" t="str">
            <v>식</v>
          </cell>
          <cell r="E1376">
            <v>0</v>
          </cell>
          <cell r="F1376">
            <v>0</v>
          </cell>
          <cell r="H1376">
            <v>0</v>
          </cell>
          <cell r="I1376">
            <v>0</v>
          </cell>
          <cell r="J1376">
            <v>0</v>
          </cell>
          <cell r="L1376">
            <v>0</v>
          </cell>
        </row>
        <row r="1377">
          <cell r="A1377">
            <v>9916</v>
          </cell>
          <cell r="B1377" t="str">
            <v>관부속</v>
          </cell>
          <cell r="C1377" t="str">
            <v>관의 65%</v>
          </cell>
          <cell r="D1377" t="str">
            <v>식</v>
          </cell>
          <cell r="E1377">
            <v>0</v>
          </cell>
          <cell r="F1377">
            <v>0</v>
          </cell>
          <cell r="H1377">
            <v>0</v>
          </cell>
          <cell r="I1377">
            <v>0</v>
          </cell>
          <cell r="J1377">
            <v>0</v>
          </cell>
          <cell r="L1377">
            <v>0</v>
          </cell>
        </row>
        <row r="1378">
          <cell r="A1378">
            <v>9917</v>
          </cell>
          <cell r="B1378" t="str">
            <v>관부속</v>
          </cell>
          <cell r="C1378" t="str">
            <v>관의 70%</v>
          </cell>
          <cell r="D1378" t="str">
            <v>식</v>
          </cell>
          <cell r="E1378">
            <v>0</v>
          </cell>
          <cell r="F1378">
            <v>0</v>
          </cell>
          <cell r="H1378">
            <v>0</v>
          </cell>
          <cell r="I1378">
            <v>0</v>
          </cell>
          <cell r="J1378">
            <v>0</v>
          </cell>
          <cell r="L1378">
            <v>0</v>
          </cell>
        </row>
        <row r="1379">
          <cell r="A1379">
            <v>9918</v>
          </cell>
          <cell r="B1379" t="str">
            <v>관부속</v>
          </cell>
          <cell r="C1379" t="str">
            <v>관의 75%</v>
          </cell>
          <cell r="D1379" t="str">
            <v>식</v>
          </cell>
          <cell r="E1379">
            <v>0</v>
          </cell>
          <cell r="F1379">
            <v>0</v>
          </cell>
          <cell r="H1379">
            <v>0</v>
          </cell>
          <cell r="I1379">
            <v>0</v>
          </cell>
          <cell r="J1379">
            <v>0</v>
          </cell>
          <cell r="L1379">
            <v>0</v>
          </cell>
        </row>
        <row r="1380">
          <cell r="A1380">
            <v>9920</v>
          </cell>
          <cell r="B1380" t="str">
            <v>공구손료</v>
          </cell>
          <cell r="C1380" t="str">
            <v>인건비의 3%</v>
          </cell>
          <cell r="D1380" t="str">
            <v>식</v>
          </cell>
          <cell r="E1380">
            <v>0</v>
          </cell>
          <cell r="F1380">
            <v>0</v>
          </cell>
          <cell r="H1380">
            <v>0</v>
          </cell>
          <cell r="I1380">
            <v>0</v>
          </cell>
          <cell r="J1380">
            <v>0</v>
          </cell>
          <cell r="L1380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수량집계"/>
      <sheetName val="암거수량집계"/>
      <sheetName val="현황및구체"/>
      <sheetName val="구체수량"/>
      <sheetName val="평균H "/>
      <sheetName val="석축수량집계"/>
      <sheetName val="단위수량"/>
      <sheetName val="연장및면적(좌측)"/>
      <sheetName val="연장및면적(우측)"/>
      <sheetName val="파라피트"/>
      <sheetName val="간지"/>
      <sheetName val="Sheet1 (2)"/>
      <sheetName val="(A)내역서"/>
      <sheetName val="단가목록"/>
      <sheetName val="06 일위대가목록"/>
      <sheetName val="특2호맨홀(차도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공구"/>
      <sheetName val="기계경비(시간당)"/>
      <sheetName val="램머"/>
      <sheetName val="장비집계"/>
      <sheetName val="3BL공동구 수량"/>
      <sheetName val="자재집계표"/>
      <sheetName val="Sheet1"/>
      <sheetName val="가중치"/>
      <sheetName val="말뚝지지력산정"/>
      <sheetName val="DATE"/>
      <sheetName val="내역서"/>
      <sheetName val="주차구획선수량"/>
      <sheetName val="용수량(생활용수)"/>
      <sheetName val="제-노임"/>
      <sheetName val="제직재"/>
      <sheetName val="신표지1"/>
      <sheetName val="평가데이터"/>
      <sheetName val="수량산출"/>
      <sheetName val="산출금액내역"/>
      <sheetName val="구천"/>
      <sheetName val="청천내"/>
      <sheetName val="경산"/>
      <sheetName val="#REF"/>
      <sheetName val="일위"/>
      <sheetName val="기계경비"/>
      <sheetName val="9GNG운반"/>
      <sheetName val="실행철강하도"/>
      <sheetName val="현장예산"/>
      <sheetName val="예총"/>
      <sheetName val="2000년1차"/>
      <sheetName val="2000전체분"/>
      <sheetName val="집계표"/>
      <sheetName val="자재대"/>
      <sheetName val="일위대가9803"/>
      <sheetName val="설계예산서"/>
      <sheetName val="요율"/>
      <sheetName val="포장공"/>
      <sheetName val="명세서"/>
      <sheetName val="내역"/>
      <sheetName val="총괄"/>
      <sheetName val="조경내역서"/>
      <sheetName val="2공구하도급내역서"/>
      <sheetName val="동원인원"/>
      <sheetName val="총투입계"/>
      <sheetName val="환경기계공정표 (3)"/>
      <sheetName val="절대삭제금지"/>
      <sheetName val="TOTAL_BOQ"/>
      <sheetName val="3.공통공사대비"/>
      <sheetName val="데이타"/>
      <sheetName val="배관배선 단가조사"/>
      <sheetName val="일위대가집계"/>
      <sheetName val="대치판정"/>
      <sheetName val="가압장(토목)"/>
      <sheetName val="SANBAISU"/>
      <sheetName val="터파기및재료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옹벽일반수량"/>
      <sheetName val="한강운반비"/>
      <sheetName val="H-PILE수량집계"/>
      <sheetName val="설계내역서"/>
      <sheetName val="갑지"/>
      <sheetName val="설비"/>
      <sheetName val="9.정착구 보강"/>
      <sheetName val="CTEMCOST"/>
      <sheetName val="96보완계획7.12"/>
      <sheetName val="화설내"/>
      <sheetName val="시운전연료"/>
      <sheetName val="노임"/>
      <sheetName val="b_balju"/>
      <sheetName val="수로단위수량"/>
      <sheetName val="범례표"/>
      <sheetName val="품셈집계표"/>
      <sheetName val="자재조사표"/>
      <sheetName val="설계서을"/>
      <sheetName val="빗물받이(910-510-410)"/>
      <sheetName val="현장경비"/>
      <sheetName val="방배동내역(리라)"/>
      <sheetName val="건축공사집계표"/>
      <sheetName val="방배동내역 (총괄)"/>
      <sheetName val="부대공사총괄"/>
      <sheetName val="신우"/>
      <sheetName val="원본(갑지)"/>
      <sheetName val="단열-자재"/>
      <sheetName val="공제수량총집계표"/>
      <sheetName val="임금단가"/>
      <sheetName val="Total"/>
      <sheetName val="부하계산서"/>
      <sheetName val="전선 및 전선관"/>
      <sheetName val="연습"/>
      <sheetName val="파형강관집계"/>
      <sheetName val="토적표"/>
      <sheetName val="공사개요"/>
      <sheetName val="설계예산"/>
      <sheetName val="수량3"/>
      <sheetName val="날개벽수량표"/>
      <sheetName val="준검 내역서"/>
      <sheetName val="대창(함평)"/>
      <sheetName val="대창(장성)"/>
      <sheetName val="대창(함평)-창열"/>
      <sheetName val="원가"/>
      <sheetName val="연결관암거"/>
      <sheetName val="자재단가"/>
      <sheetName val="Sheet5"/>
      <sheetName val="데리네이타현황"/>
      <sheetName val="Sheet3"/>
      <sheetName val="견적"/>
      <sheetName val="조명율표"/>
      <sheetName val="산출근거"/>
      <sheetName val="INPUT"/>
      <sheetName val="철근량"/>
      <sheetName val="비교1"/>
      <sheetName val="물량표"/>
      <sheetName val="Sheet4"/>
      <sheetName val="구의33고"/>
      <sheetName val="12호기내역서(건축분)"/>
      <sheetName val="ABUT수량-A1"/>
      <sheetName val="bid"/>
      <sheetName val="빙장비사양"/>
      <sheetName val="토목검측서"/>
      <sheetName val="목차"/>
      <sheetName val="6PILE  (돌출)"/>
      <sheetName val="2002하반기노임기준"/>
      <sheetName val="WORK"/>
      <sheetName val="danga"/>
      <sheetName val="ilch"/>
      <sheetName val="단가"/>
      <sheetName val="토사(PE)"/>
      <sheetName val="날개벽"/>
      <sheetName val="현장경상비"/>
      <sheetName val="하조서"/>
      <sheetName val="코드표"/>
      <sheetName val="심사공종"/>
      <sheetName val="1차 내역서"/>
      <sheetName val="slurrywall설계가"/>
      <sheetName val="총집계표"/>
      <sheetName val="설계"/>
      <sheetName val="현금흐름"/>
      <sheetName val="공사"/>
      <sheetName val="원형맨홀수량"/>
      <sheetName val="할증"/>
      <sheetName val="실행내역서"/>
      <sheetName val="확약서"/>
      <sheetName val="덕전리"/>
      <sheetName val="건축내역서 (경제상무실)"/>
      <sheetName val="물가대비표"/>
      <sheetName val="Sheet2 (2)"/>
      <sheetName val="SORCE1"/>
      <sheetName val="시설물단가표"/>
      <sheetName val="노무비단가표"/>
      <sheetName val="기초자료입력"/>
      <sheetName val="변경비교-을"/>
      <sheetName val="배수공"/>
      <sheetName val="일위대가표"/>
      <sheetName val="원가계산하도"/>
      <sheetName val="입력자료"/>
      <sheetName val="설내역서 "/>
      <sheetName val="본사공가현황"/>
      <sheetName val="입력란"/>
      <sheetName val="97노임단가"/>
      <sheetName val="본선차로수량집계표"/>
      <sheetName val="구조물터파기수량집계"/>
      <sheetName val="배수공 시멘트 및 골재량 산출"/>
      <sheetName val="공량(1월22일)"/>
      <sheetName val="측구터파기공수량집계"/>
      <sheetName val="초기화면"/>
      <sheetName val="총괄내역서"/>
      <sheetName val="우수맨홀공제단위수량"/>
      <sheetName val="노임이"/>
      <sheetName val="실행내역"/>
      <sheetName val="EACT10"/>
      <sheetName val="3BL공동구_수량"/>
      <sheetName val="시선유도표지집계표"/>
      <sheetName val="COPING"/>
      <sheetName val="간접"/>
      <sheetName val="간지"/>
      <sheetName val="s"/>
      <sheetName val="70%"/>
      <sheetName val="(A)내역서"/>
      <sheetName val="신호등일위대가"/>
      <sheetName val="흄관기초"/>
      <sheetName val="wall"/>
      <sheetName val="자료입력"/>
      <sheetName val="품셈"/>
      <sheetName val="인부임"/>
      <sheetName val="원가+내역"/>
      <sheetName val="안정검토"/>
      <sheetName val="단면설계"/>
      <sheetName val="선정요령"/>
      <sheetName val="TYPE-A"/>
      <sheetName val="증감내역서"/>
      <sheetName val="마산방향"/>
      <sheetName val="진주방향"/>
      <sheetName val="15"/>
      <sheetName val="전기"/>
      <sheetName val="사각맨홀"/>
      <sheetName val="맨홀수량"/>
      <sheetName val="수산(당)"/>
      <sheetName val="을지"/>
      <sheetName val="실행견적"/>
      <sheetName val="일반수량"/>
      <sheetName val="관급자재"/>
      <sheetName val="을"/>
      <sheetName val="실행간접비용"/>
      <sheetName val="자재"/>
      <sheetName val="이토변실(A3-LINE)"/>
      <sheetName val="T13(P68~72,78)"/>
      <sheetName val="Sheet2"/>
      <sheetName val="내역서단가산출용"/>
      <sheetName val="단가산출"/>
      <sheetName val="공사기본내용입력"/>
      <sheetName val="SG"/>
      <sheetName val="노임단가"/>
      <sheetName val="경비_원본"/>
      <sheetName val="VXXXXXX"/>
      <sheetName val="Sheet1 (2)"/>
      <sheetName val="내역서(전기)"/>
      <sheetName val="용산1(해보)"/>
      <sheetName val="환율CHANGE"/>
      <sheetName val="대로근거"/>
      <sheetName val="DATA 입력란"/>
      <sheetName val="1. 설계조건 2.단면가정 3. 하중계산"/>
      <sheetName val="이름정의"/>
      <sheetName val="Macro1"/>
      <sheetName val="중로근거"/>
      <sheetName val="대비"/>
      <sheetName val="산출내역서집계표"/>
      <sheetName val="파일의이용"/>
      <sheetName val="DATA"/>
      <sheetName val="상 부"/>
      <sheetName val="200"/>
      <sheetName val="차액보증"/>
      <sheetName val="입찰안"/>
      <sheetName val="전기단가조사서"/>
      <sheetName val="토목공사"/>
      <sheetName val="중기사용료"/>
      <sheetName val="database"/>
      <sheetName val="98NS-N"/>
      <sheetName val="집수정(600-700)"/>
      <sheetName val="교대(A1)"/>
      <sheetName val="몰탈"/>
      <sheetName val="프랜트면허"/>
      <sheetName val="준공평가"/>
      <sheetName val="98수문일위"/>
      <sheetName val="수량증감표"/>
      <sheetName val="터파기운반비산출"/>
      <sheetName val="산적토운반비산출"/>
      <sheetName val="적용단가"/>
      <sheetName val="설계명세서"/>
      <sheetName val="설계예시"/>
      <sheetName val="식재인부"/>
      <sheetName val="교각1"/>
      <sheetName val="시점교대"/>
      <sheetName val="부대내역"/>
      <sheetName val="단가 (2)"/>
      <sheetName val="내역서01"/>
      <sheetName val="1.수인터널"/>
      <sheetName val="8.PILE  (돌출)"/>
      <sheetName val="고유코드_설계"/>
      <sheetName val="PROJECT BRIEF(EX.NEW)"/>
      <sheetName val="Site Expenses"/>
      <sheetName val="토목(용인)"/>
      <sheetName val="내역갑지"/>
      <sheetName val="기초코드"/>
      <sheetName val="공용(현대건설공구)"/>
      <sheetName val="현대건설공구(UNIT)"/>
      <sheetName val="낙석방지수량"/>
      <sheetName val="연장및면적(좌측)"/>
      <sheetName val="일위단위"/>
      <sheetName val="배수철근"/>
      <sheetName val="조경"/>
      <sheetName val="금액"/>
      <sheetName val="공사비증감"/>
      <sheetName val="PI"/>
      <sheetName val="단위단가"/>
      <sheetName val="현장소운반"/>
      <sheetName val="관구보호몰탈"/>
      <sheetName val="공사비집계"/>
      <sheetName val="청 구"/>
      <sheetName val="설계산출기초"/>
      <sheetName val="실행대비"/>
      <sheetName val="단가조사-2"/>
      <sheetName val="조건"/>
      <sheetName val="공비현2"/>
      <sheetName val="도급내역"/>
      <sheetName val="물집"/>
      <sheetName val="도급금액"/>
      <sheetName val="재노경"/>
      <sheetName val="2호맨홀공제수량"/>
      <sheetName val="도기류"/>
      <sheetName val="건축내역"/>
      <sheetName val="일반수량총괄집계"/>
      <sheetName val="BSD (2)"/>
      <sheetName val="직노"/>
      <sheetName val="기초단가"/>
      <sheetName val="날개벽(시점좌측)"/>
      <sheetName val="금액내역서"/>
      <sheetName val="총괄서"/>
      <sheetName val="내역_FILE"/>
      <sheetName val="하수급견적대비"/>
      <sheetName val="N賃率-職"/>
      <sheetName val="다곡2교"/>
      <sheetName val="중강당 내역"/>
      <sheetName val="총괄표"/>
      <sheetName val="공내역"/>
      <sheetName val="사  업  비  수  지  예  산  서"/>
      <sheetName val="7.PILE  (돌출)"/>
      <sheetName val="단위수량산출"/>
      <sheetName val="오수주요자재"/>
      <sheetName val="용역비내역-진짜"/>
      <sheetName val="계양가시설"/>
      <sheetName val="원형1호맨홀토공수량"/>
      <sheetName val="GI-LIST"/>
      <sheetName val="해평견적"/>
      <sheetName val="우수공"/>
      <sheetName val="11.1 단면hwp"/>
      <sheetName val="수입"/>
      <sheetName val="9-1차이내역"/>
      <sheetName val="계수시트"/>
      <sheetName val="설계가"/>
      <sheetName val="guard(mac)"/>
      <sheetName val="A-8 PD(도로중앙)"/>
      <sheetName val="차선도색-연장,수량(1)"/>
      <sheetName val="호프"/>
      <sheetName val="교각계산"/>
      <sheetName val="우각부보강"/>
      <sheetName val="표지"/>
      <sheetName val="노무비"/>
      <sheetName val="재료비단가"/>
      <sheetName val="물가시세"/>
      <sheetName val="터파기단면도(보도)"/>
      <sheetName val="추가예산"/>
      <sheetName val="단중표"/>
      <sheetName val="현장관리비참조"/>
      <sheetName val="포장복구집계"/>
      <sheetName val="흙쌓기도수로설치현황"/>
      <sheetName val="관접합및부설"/>
      <sheetName val="Baby일위대가"/>
      <sheetName val="공사설명서"/>
      <sheetName val="앵커구조계산"/>
      <sheetName val="1.설계조건"/>
      <sheetName val="세부내역서"/>
      <sheetName val="예가표"/>
      <sheetName val="효성CB 1P기초"/>
      <sheetName val="조견표"/>
      <sheetName val="전차선로 물량표"/>
      <sheetName val="역T형교대(말뚝기초)"/>
      <sheetName val="내역서1999.8최종"/>
      <sheetName val="단가조건(02년)"/>
      <sheetName val="배수공 주요자재 집계표"/>
      <sheetName val="직접경비"/>
      <sheetName val="직접인건비"/>
      <sheetName val="수안보-MBR1"/>
      <sheetName val="음성방향"/>
      <sheetName val="산출기준자료"/>
      <sheetName val="구역화물"/>
      <sheetName val="시험비"/>
      <sheetName val="일위대가목록"/>
      <sheetName val="단위목록"/>
      <sheetName val="6호기"/>
      <sheetName val="플랜트 설치"/>
      <sheetName val="건축공사"/>
      <sheetName val="수량집계"/>
      <sheetName val="날개벽(TYPE2)"/>
      <sheetName val="토목주소"/>
      <sheetName val="토공(우물통,기타) "/>
      <sheetName val="연결임시"/>
      <sheetName val="MAT"/>
      <sheetName val="연도별cash"/>
      <sheetName val="대림경상68억"/>
      <sheetName val="GR"/>
      <sheetName val="배수통관(좌)"/>
      <sheetName val="INPUT(덕도방향-시점)"/>
      <sheetName val="Customer Databas"/>
      <sheetName val="평내중"/>
      <sheetName val="공량산출서"/>
      <sheetName val="9811"/>
      <sheetName val="위치조서"/>
      <sheetName val="내역(신례)"/>
      <sheetName val="옹벽공 수량집계표"/>
      <sheetName val="지중자재단가"/>
      <sheetName val="견적서"/>
      <sheetName val="교사기준면적(중)"/>
      <sheetName val="pier-1"/>
      <sheetName val="단양 00 아파트-세부내역"/>
      <sheetName val="정부노임단가"/>
      <sheetName val="일위대가_가설_"/>
      <sheetName val="06 일위대가목록"/>
      <sheetName val="공사현황"/>
      <sheetName val="내역전기"/>
      <sheetName val="감액총괄표"/>
      <sheetName val="1000 DB구축 부표"/>
      <sheetName val="단가(1)"/>
      <sheetName val="시점경사로"/>
      <sheetName val="총 원가계산"/>
      <sheetName val="하도급 검토"/>
      <sheetName val="남양내역"/>
      <sheetName val="MAIN_TABLE"/>
      <sheetName val="원가서"/>
      <sheetName val="산근"/>
      <sheetName val="우수"/>
      <sheetName val="수주추정"/>
      <sheetName val="입찰견적보고서"/>
      <sheetName val="기본일위"/>
      <sheetName val="갑지1"/>
      <sheetName val="기초일위"/>
      <sheetName val="수목단가"/>
      <sheetName val="시설수량표"/>
      <sheetName val="시설일위"/>
      <sheetName val="식재수량표"/>
      <sheetName val="1차설계변경내역"/>
      <sheetName val="관경별내역서"/>
      <sheetName val="내역표지"/>
      <sheetName val="참조"/>
      <sheetName val="제경비율"/>
      <sheetName val="산출내역서"/>
      <sheetName val="공사명입력"/>
      <sheetName val="근로자자료입력"/>
      <sheetName val="참고자료"/>
      <sheetName val="공사비 증감 내역서"/>
      <sheetName val="설계내역"/>
      <sheetName val="교대철근집계"/>
      <sheetName val="사통"/>
      <sheetName val="내역서적용수량"/>
      <sheetName val="포장물량집계"/>
      <sheetName val="입력"/>
      <sheetName val="계림(함평)"/>
      <sheetName val="계림(장성)"/>
      <sheetName val="산수배수"/>
      <sheetName val="인원투입"/>
      <sheetName val="포장공자재집계표"/>
      <sheetName val="표지 (2)"/>
      <sheetName val="슬래브수량"/>
      <sheetName val="일위대가(1)"/>
      <sheetName val="출장내역"/>
      <sheetName val="갑지(추정)"/>
      <sheetName val="결과조달"/>
      <sheetName val="각형맨홀"/>
      <sheetName val="옹벽수량집계"/>
      <sheetName val="기둥(원형)"/>
      <sheetName val="참고사항"/>
      <sheetName val="중기사용료산출근거"/>
      <sheetName val="상호참고자료"/>
      <sheetName val="발주처자료입력"/>
      <sheetName val="회사기본자료"/>
      <sheetName val="하자보증자료"/>
      <sheetName val="기술자관련자료"/>
      <sheetName val="tggwan(mac)"/>
      <sheetName val="총괄내역"/>
      <sheetName val="단면가정"/>
      <sheetName val="개요"/>
      <sheetName val="1.우편집중내역서"/>
      <sheetName val="일위대가(가설)"/>
      <sheetName val="설계조건"/>
      <sheetName val="마산월령동골조물량변경"/>
      <sheetName val="전 기"/>
      <sheetName val="뚝토공"/>
      <sheetName val="단면 (2)"/>
      <sheetName val="유림골조"/>
      <sheetName val="내역서 (2)"/>
      <sheetName val="노임단가 (2)"/>
      <sheetName val="특수선일위대가"/>
      <sheetName val="콘크리트타설집계표"/>
      <sheetName val="APT"/>
      <sheetName val="수량집계표"/>
      <sheetName val="탄성1"/>
      <sheetName val="보도포장연장조서-표준차도부"/>
      <sheetName val="표준차도부연장조서-ASP"/>
      <sheetName val="시설물기초"/>
      <sheetName val="SLAB&quot;1&quot;"/>
      <sheetName val="수목표준대가"/>
      <sheetName val="관급자재대"/>
      <sheetName val="단가 및 재료비"/>
      <sheetName val="기계"/>
      <sheetName val="협력업체"/>
      <sheetName val="원하도급내역서(당초)"/>
      <sheetName val="품셈TABLE"/>
      <sheetName val="낙찰표"/>
      <sheetName val="집수A"/>
      <sheetName val="설계명세서(종합)"/>
      <sheetName val="소요자재"/>
      <sheetName val="노무산출서"/>
      <sheetName val="구조물공집계"/>
      <sheetName val="상행-교대(A1-A2)"/>
      <sheetName val="도장수량(하1)"/>
      <sheetName val="주형"/>
      <sheetName val="사유서제출현황-2"/>
      <sheetName val="시화점실행"/>
      <sheetName val="해외(원화)"/>
      <sheetName val="부표총괄"/>
      <sheetName val="건축공사실행"/>
      <sheetName val="입력DATA"/>
      <sheetName val="바닥판"/>
      <sheetName val="보차도경계석"/>
      <sheetName val="VII-2현장경비"/>
      <sheetName val="Ⅴ-2.공종별내역"/>
      <sheetName val="입력시트"/>
      <sheetName val="출력X"/>
      <sheetName val="가로등내역서"/>
      <sheetName val="nys"/>
      <sheetName val="4.내진설계"/>
      <sheetName val=" ｹ-ﾌﾞﾙ"/>
      <sheetName val="공사비"/>
      <sheetName val="연도손익"/>
      <sheetName val="회수금"/>
      <sheetName val="대체용지"/>
      <sheetName val="건자이자"/>
      <sheetName val="내부매출원가"/>
      <sheetName val="지구 리스트"/>
      <sheetName val="용지비"/>
      <sheetName val="용역단가"/>
      <sheetName val="1.설계기준"/>
      <sheetName val="1.CB"/>
      <sheetName val="변수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(당평)자재"/>
      <sheetName val="당초명세(평)"/>
      <sheetName val="3BL공동구_수량1"/>
      <sheetName val="3_공통공사대비"/>
      <sheetName val="9_정착구_보강"/>
      <sheetName val="6PILE__(돌출)"/>
      <sheetName val="방배동내역_(총괄)"/>
      <sheetName val="준검_내역서"/>
      <sheetName val="단가_(2)"/>
      <sheetName val="1차_내역서"/>
      <sheetName val="전선_및_전선관"/>
      <sheetName val="배관배선_단가조사"/>
      <sheetName val="환경기계공정표_(3)"/>
      <sheetName val="DATA_입력란"/>
      <sheetName val="1__설계조건_2_단면가정_3__하중계산"/>
      <sheetName val="BSD_(2)"/>
      <sheetName val="배수공_시멘트_및_골재량_산출"/>
      <sheetName val="96보완계획7_12"/>
      <sheetName val="7_PILE__(돌출)"/>
      <sheetName val="8_PILE__(돌출)"/>
      <sheetName val="사__업__비__수__지__예__산__서"/>
      <sheetName val="2_단면가정"/>
      <sheetName val="CAT_5"/>
      <sheetName val="수량산출서-2"/>
      <sheetName val="단"/>
      <sheetName val="원유_BANK"/>
      <sheetName val="단가조정표"/>
      <sheetName val="공사분석"/>
      <sheetName val="연속벽현황"/>
      <sheetName val="세금자료"/>
      <sheetName val="포장공수량집계표"/>
      <sheetName val="1차"/>
      <sheetName val="가열로SW"/>
      <sheetName val="공사품의서"/>
      <sheetName val="99노임단가"/>
      <sheetName val="1"/>
      <sheetName val="unitpric"/>
      <sheetName val="noyim"/>
      <sheetName val="GAEYO"/>
      <sheetName val="3.하중계산"/>
      <sheetName val=" 상부공통집계(총괄)"/>
      <sheetName val="순공사비"/>
      <sheetName val="폐기물"/>
      <sheetName val="2공구산출내역"/>
      <sheetName val="단 box"/>
      <sheetName val="코드"/>
      <sheetName val="철근단면적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내역서"/>
      <sheetName val="원가계산서"/>
      <sheetName val="원가서"/>
      <sheetName val="일위대가(1)"/>
      <sheetName val="(A)내역서"/>
      <sheetName val="연장및면적(좌측)"/>
      <sheetName val="조명시설"/>
      <sheetName val="노무비단가"/>
      <sheetName val="원가"/>
      <sheetName val="1GONGGU"/>
      <sheetName val="단가산출서(기계)"/>
      <sheetName val="96노임기준"/>
      <sheetName val="중기조종사_단위단가"/>
      <sheetName val="설계예산서"/>
      <sheetName val="실행내역 "/>
      <sheetName val="노임단가"/>
      <sheetName val="코드표"/>
      <sheetName val="토공(우물통,기타) "/>
      <sheetName val="자재단가"/>
      <sheetName val="일위"/>
      <sheetName val="DATE"/>
      <sheetName val="#REF"/>
      <sheetName val="4차원가계산서"/>
      <sheetName val="실행철강하도"/>
    </sheetNames>
    <sheetDataSet>
      <sheetData sheetId="0" refreshError="1"/>
      <sheetData sheetId="1"/>
      <sheetData sheetId="2" refreshError="1">
        <row r="4">
          <cell r="D4">
            <v>266493739</v>
          </cell>
        </row>
        <row r="8">
          <cell r="D8">
            <v>53636482</v>
          </cell>
        </row>
        <row r="9">
          <cell r="D9">
            <v>31327595</v>
          </cell>
        </row>
        <row r="10">
          <cell r="D10">
            <v>289484992</v>
          </cell>
        </row>
        <row r="11">
          <cell r="D11">
            <v>23149440</v>
          </cell>
        </row>
        <row r="12">
          <cell r="D12">
            <v>6985909</v>
          </cell>
        </row>
        <row r="15">
          <cell r="D15">
            <v>208697908</v>
          </cell>
        </row>
        <row r="16">
          <cell r="D16">
            <v>397343931</v>
          </cell>
        </row>
        <row r="17">
          <cell r="D17">
            <v>4780000000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낙석방지집계표"/>
      <sheetName val="낙석방지책연장"/>
      <sheetName val="가드레일연장"/>
      <sheetName val="guard(mac)"/>
      <sheetName val="연장및면적(좌측)"/>
      <sheetName val="(A)내역서"/>
      <sheetName val="원가서"/>
      <sheetName val="내역서적용수량"/>
      <sheetName val="차선도색-연장,수량(1)"/>
      <sheetName val="96보완계획7.12"/>
      <sheetName val="#REF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chekplus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일위대가(1)"/>
      <sheetName val="4안전율"/>
      <sheetName val="노임단가"/>
      <sheetName val="원가서"/>
      <sheetName val="실행철강하도"/>
      <sheetName val="중기손료"/>
      <sheetName val="부하(성남)"/>
      <sheetName val="N賃率-職"/>
      <sheetName val="06 일위대가목록"/>
      <sheetName val="guard(mac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로표지"/>
      <sheetName val="예정공정"/>
      <sheetName val="설계서"/>
      <sheetName val="공사원가"/>
      <sheetName val="총괄내역"/>
      <sheetName val="내역합계"/>
      <sheetName val="내역"/>
      <sheetName val="수량(지주,비료)"/>
      <sheetName val="수량(시설물)"/>
      <sheetName val="일위목록"/>
      <sheetName val="일위대가"/>
      <sheetName val="기초일위"/>
      <sheetName val="수목단가"/>
      <sheetName val="시설단가"/>
      <sheetName val="노임단가"/>
      <sheetName val="중기사용목록"/>
      <sheetName val="중기사용"/>
      <sheetName val="산출근거목록"/>
      <sheetName val="산출근거"/>
      <sheetName val="중기산출"/>
      <sheetName val="식재공단위수량산출서"/>
      <sheetName val="시설공단위수량산출서"/>
      <sheetName val="원가서"/>
      <sheetName val="단가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투찰"/>
      <sheetName val="1공구(토)"/>
      <sheetName val="1공구(구)"/>
      <sheetName val="1공구(구) (2)"/>
      <sheetName val="2공구(토)"/>
      <sheetName val="2공구(구)"/>
      <sheetName val="3공구(토)"/>
      <sheetName val="3공구(구)"/>
      <sheetName val="하도급사항"/>
      <sheetName val="1공구자재"/>
      <sheetName val="2공구자재"/>
      <sheetName val="3공구자재"/>
      <sheetName val="단가목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목록"/>
      <sheetName val="토공단가"/>
      <sheetName val="배수단가"/>
      <sheetName val="부대단가"/>
      <sheetName val="운반거리(자갈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일위대가목록"/>
      <sheetName val="일위대가"/>
      <sheetName val="산출근거목록"/>
      <sheetName val="중기사용"/>
      <sheetName val="중기목록"/>
      <sheetName val="중기단가"/>
      <sheetName val="산출근거"/>
      <sheetName val="노임단가"/>
      <sheetName val="기초일위"/>
      <sheetName val="자재단가"/>
      <sheetName val="원가서"/>
      <sheetName val="터파기및재료"/>
      <sheetName val="여과지동"/>
      <sheetName val="기초자료"/>
      <sheetName val="입찰안"/>
      <sheetName val="실행철강하도"/>
      <sheetName val="내역서01"/>
      <sheetName val="토사(PE)"/>
      <sheetName val="횡배수관토공수량"/>
      <sheetName val="전기단가조사서"/>
      <sheetName val="자재비"/>
      <sheetName val="Total"/>
      <sheetName val="내역서(관사)"/>
      <sheetName val="유림총괄"/>
      <sheetName val="표지 (2)"/>
      <sheetName val="신우"/>
      <sheetName val="9GNG운반"/>
      <sheetName val="기계내역"/>
      <sheetName val="일위대가(1)"/>
      <sheetName val="Sheet1"/>
      <sheetName val="Y-WORK"/>
      <sheetName val="주요측점"/>
      <sheetName val="기계경비(시간당)"/>
      <sheetName val="램머"/>
      <sheetName val="(A)내역서"/>
      <sheetName val="일위목록"/>
      <sheetName val="상촌2교-일반수량집계"/>
      <sheetName val="모래기초"/>
      <sheetName val="식재"/>
      <sheetName val="시설물"/>
      <sheetName val="식재출력용"/>
      <sheetName val="유지관리"/>
      <sheetName val="단가"/>
      <sheetName val="역T형옹벽단위수량"/>
      <sheetName val="앉음벽 (2)"/>
      <sheetName val="총괄내역"/>
      <sheetName val="암거"/>
      <sheetName val="포장공"/>
      <sheetName val="배수공"/>
      <sheetName val="본공사"/>
      <sheetName val="Sheet1 (2)"/>
      <sheetName val="시설일위"/>
      <sheetName val="조명일위"/>
      <sheetName val="차선도색-연장,수량(1)"/>
      <sheetName val="적용기준"/>
      <sheetName val="TYPE1"/>
      <sheetName val="집계표"/>
      <sheetName val="단가조사서"/>
      <sheetName val="이름정의"/>
      <sheetName val="초기화면"/>
      <sheetName val="가설공사"/>
      <sheetName val="안양동교 1안"/>
      <sheetName val="코드표"/>
      <sheetName val="공종"/>
      <sheetName val="주요"/>
      <sheetName val="시멘트골재"/>
      <sheetName val="1철거수량 집계표"/>
      <sheetName val="철거폐기물단위수량"/>
      <sheetName val="2벽화"/>
      <sheetName val="벽화"/>
      <sheetName val="3포집"/>
      <sheetName val="포장"/>
      <sheetName val="4시집"/>
      <sheetName val="시설"/>
      <sheetName val="5폐기물수량 집계표"/>
      <sheetName val="6부대"/>
      <sheetName val="설계명세서"/>
      <sheetName val="자료입력"/>
      <sheetName val="단가표"/>
      <sheetName val="물집"/>
      <sheetName val="적용토목"/>
      <sheetName val="위치"/>
      <sheetName val="골조시행"/>
      <sheetName val="기계경비"/>
      <sheetName val="습지도저"/>
      <sheetName val="기타기기"/>
      <sheetName val="관계주식"/>
      <sheetName val="MIJIBI"/>
      <sheetName val="수량산출서"/>
      <sheetName val="단청공사"/>
      <sheetName val="차액보증"/>
      <sheetName val="견적정보"/>
      <sheetName val="노무비"/>
      <sheetName val="총괄표"/>
      <sheetName val="인공산출"/>
      <sheetName val="s.v"/>
      <sheetName val="도급내역서"/>
      <sheetName val="집계"/>
      <sheetName val="DATE"/>
      <sheetName val="단"/>
      <sheetName val="요약&amp;결과"/>
      <sheetName val="총집계표"/>
      <sheetName val="실행예산"/>
      <sheetName val="내역"/>
      <sheetName val="파이프류"/>
      <sheetName val="4차원가계산서"/>
      <sheetName val="시점교대"/>
      <sheetName val="백호우계수"/>
      <sheetName val="200"/>
      <sheetName val="수정일위대가"/>
      <sheetName val="단열-자재"/>
      <sheetName val="설-원가"/>
      <sheetName val="XL4Poppy"/>
      <sheetName val="4안전율"/>
      <sheetName val="원가"/>
      <sheetName val="일위대가표"/>
      <sheetName val="단재적표"/>
      <sheetName val="사다리"/>
      <sheetName val="96보완계획7.12"/>
      <sheetName val="설비"/>
      <sheetName val="단위수량"/>
      <sheetName val="가시설수량"/>
      <sheetName val="특별땅고르기"/>
      <sheetName val="식자재사용량(4월20일)"/>
      <sheetName val="중기사용료"/>
      <sheetName val="토공(우물통,기타) "/>
      <sheetName val="2.냉난방설비공사"/>
      <sheetName val="하조서"/>
      <sheetName val="경산"/>
      <sheetName val="단가목록"/>
      <sheetName val="COPING"/>
      <sheetName val="data"/>
      <sheetName val="2000년1차"/>
      <sheetName val="역공종"/>
      <sheetName val="총괄내역서"/>
      <sheetName val="급수공사"/>
      <sheetName val="대치판정"/>
      <sheetName val="원가계산(2)"/>
      <sheetName val="기시공토적"/>
      <sheetName val="기초단가"/>
      <sheetName val="ABUT수량-A1"/>
      <sheetName val="원가계산 (2)"/>
      <sheetName val="손익차9월2"/>
      <sheetName val="8.식재일위"/>
      <sheetName val="B시설가격"/>
      <sheetName val="bid"/>
      <sheetName val="조명시설"/>
      <sheetName val="단위단가"/>
      <sheetName val="산출내역서집계표"/>
      <sheetName val="노임"/>
      <sheetName val="기계경비일람"/>
      <sheetName val="#REF"/>
      <sheetName val="일위대가(가설)"/>
      <sheetName val="난간벽단위"/>
      <sheetName val="데리네이타현황"/>
      <sheetName val="시설수량표"/>
      <sheetName val="덕전리"/>
      <sheetName val="인부노임"/>
      <sheetName val="수량산출"/>
      <sheetName val="자료"/>
      <sheetName val="신축(단위)"/>
      <sheetName val="A"/>
      <sheetName val="가도공"/>
      <sheetName val="연장및면적(좌측)"/>
      <sheetName val="총괄-1"/>
      <sheetName val="CC16-내역서"/>
      <sheetName val="3BL공동구 수량"/>
      <sheetName val="단가산출"/>
      <sheetName val="내역서단가산출용"/>
      <sheetName val="배수관공"/>
      <sheetName val="내역서적용"/>
      <sheetName val="한강운반비"/>
      <sheetName val="1,2공구원가계산서"/>
      <sheetName val="2공구산출내역"/>
      <sheetName val="1공구산출내역서"/>
      <sheetName val="골막이(야매)"/>
      <sheetName val="상하차비용(기계상차)"/>
      <sheetName val="수간보호"/>
      <sheetName val="운반비"/>
      <sheetName val="목록"/>
      <sheetName val="실행내역(현대)"/>
      <sheetName val="원본(갑지)"/>
      <sheetName val="설계서"/>
      <sheetName val="산출내역서"/>
      <sheetName val="비용"/>
      <sheetName val="감액총괄표"/>
    </sheetNames>
    <sheetDataSet>
      <sheetData sheetId="0" refreshError="1">
        <row r="1">
          <cell r="A1" t="str">
            <v>공   종   명</v>
          </cell>
          <cell r="B1" t="str">
            <v>규     격</v>
          </cell>
          <cell r="C1" t="str">
            <v>단위</v>
          </cell>
          <cell r="D1" t="str">
            <v>수량</v>
          </cell>
          <cell r="E1" t="str">
            <v>재   료   비</v>
          </cell>
          <cell r="G1" t="str">
            <v>노   무   비</v>
          </cell>
          <cell r="I1" t="str">
            <v>경       비</v>
          </cell>
          <cell r="K1" t="str">
            <v>합     계</v>
          </cell>
          <cell r="M1" t="str">
            <v>비  고</v>
          </cell>
        </row>
        <row r="2">
          <cell r="E2" t="str">
            <v>단     가</v>
          </cell>
          <cell r="F2" t="str">
            <v>금     액</v>
          </cell>
          <cell r="G2" t="str">
            <v>단     가</v>
          </cell>
          <cell r="H2" t="str">
            <v>금     액</v>
          </cell>
          <cell r="I2" t="str">
            <v>단     가</v>
          </cell>
          <cell r="J2" t="str">
            <v>금     액</v>
          </cell>
          <cell r="K2" t="str">
            <v>단     가</v>
          </cell>
          <cell r="L2" t="str">
            <v>금     액</v>
          </cell>
        </row>
        <row r="3">
          <cell r="A3" t="str">
            <v>510사업교육사주거시설이전공사</v>
          </cell>
          <cell r="C3" t="str">
            <v>식</v>
          </cell>
          <cell r="D3">
            <v>1</v>
          </cell>
          <cell r="F3">
            <v>378000370</v>
          </cell>
          <cell r="H3">
            <v>136407189</v>
          </cell>
          <cell r="J3">
            <v>2856915</v>
          </cell>
          <cell r="L3">
            <v>517264474</v>
          </cell>
        </row>
        <row r="4">
          <cell r="A4" t="str">
            <v>1.조경식재공</v>
          </cell>
          <cell r="C4" t="str">
            <v>식</v>
          </cell>
          <cell r="D4">
            <v>1</v>
          </cell>
          <cell r="E4">
            <v>142524735</v>
          </cell>
          <cell r="F4">
            <v>142524735</v>
          </cell>
          <cell r="G4">
            <v>29597013</v>
          </cell>
          <cell r="H4">
            <v>29597013</v>
          </cell>
          <cell r="I4">
            <v>1246293</v>
          </cell>
          <cell r="J4">
            <v>1246293</v>
          </cell>
          <cell r="K4">
            <v>173368041</v>
          </cell>
          <cell r="L4">
            <v>173368041</v>
          </cell>
        </row>
        <row r="5">
          <cell r="A5" t="str">
            <v>2.조경시설물공</v>
          </cell>
          <cell r="C5" t="str">
            <v>식</v>
          </cell>
          <cell r="D5">
            <v>1</v>
          </cell>
          <cell r="E5">
            <v>113481570</v>
          </cell>
          <cell r="F5">
            <v>113481570</v>
          </cell>
          <cell r="G5">
            <v>42160764</v>
          </cell>
          <cell r="H5">
            <v>42160764</v>
          </cell>
          <cell r="I5">
            <v>382596</v>
          </cell>
          <cell r="J5">
            <v>382596</v>
          </cell>
          <cell r="K5">
            <v>156024930</v>
          </cell>
          <cell r="L5">
            <v>156024930</v>
          </cell>
        </row>
        <row r="6">
          <cell r="A6" t="str">
            <v>3.조경포장공</v>
          </cell>
          <cell r="C6" t="str">
            <v>식</v>
          </cell>
          <cell r="D6">
            <v>1</v>
          </cell>
          <cell r="E6">
            <v>120764109</v>
          </cell>
          <cell r="F6">
            <v>120764109</v>
          </cell>
          <cell r="G6">
            <v>63777058</v>
          </cell>
          <cell r="H6">
            <v>63777058</v>
          </cell>
          <cell r="I6">
            <v>267271</v>
          </cell>
          <cell r="J6">
            <v>267271</v>
          </cell>
          <cell r="K6">
            <v>184808438</v>
          </cell>
          <cell r="L6">
            <v>184808438</v>
          </cell>
        </row>
        <row r="7">
          <cell r="A7" t="str">
            <v>4.부 대 공</v>
          </cell>
          <cell r="C7" t="str">
            <v>식</v>
          </cell>
          <cell r="D7">
            <v>1</v>
          </cell>
          <cell r="E7">
            <v>1229956</v>
          </cell>
          <cell r="F7">
            <v>1229956</v>
          </cell>
          <cell r="G7">
            <v>872354</v>
          </cell>
          <cell r="H7">
            <v>872354</v>
          </cell>
          <cell r="I7">
            <v>960755</v>
          </cell>
          <cell r="J7">
            <v>960755</v>
          </cell>
          <cell r="K7">
            <v>3063065</v>
          </cell>
          <cell r="L7">
            <v>3063065</v>
          </cell>
        </row>
        <row r="8">
          <cell r="A8" t="str">
            <v>소   계</v>
          </cell>
          <cell r="E8">
            <v>0</v>
          </cell>
          <cell r="F8">
            <v>378000370</v>
          </cell>
          <cell r="G8">
            <v>0</v>
          </cell>
          <cell r="H8">
            <v>136407189</v>
          </cell>
          <cell r="I8">
            <v>0</v>
          </cell>
          <cell r="J8">
            <v>2856915</v>
          </cell>
          <cell r="K8">
            <v>0</v>
          </cell>
          <cell r="L8">
            <v>517264474</v>
          </cell>
        </row>
        <row r="28">
          <cell r="A28" t="str">
            <v>1.조경식재공</v>
          </cell>
          <cell r="C28" t="str">
            <v>식</v>
          </cell>
          <cell r="D28">
            <v>1</v>
          </cell>
          <cell r="F28">
            <v>142524735</v>
          </cell>
          <cell r="H28">
            <v>29597013</v>
          </cell>
          <cell r="J28">
            <v>1246293</v>
          </cell>
          <cell r="L28">
            <v>173368041</v>
          </cell>
        </row>
        <row r="29">
          <cell r="A29" t="str">
            <v>가.상록교목</v>
          </cell>
          <cell r="D29">
            <v>0</v>
          </cell>
          <cell r="E29">
            <v>0</v>
          </cell>
          <cell r="F29">
            <v>47258923</v>
          </cell>
          <cell r="G29">
            <v>0</v>
          </cell>
          <cell r="H29">
            <v>8238416</v>
          </cell>
          <cell r="I29">
            <v>0</v>
          </cell>
          <cell r="J29">
            <v>517151</v>
          </cell>
          <cell r="K29">
            <v>0</v>
          </cell>
          <cell r="L29">
            <v>56014490</v>
          </cell>
        </row>
        <row r="30">
          <cell r="A30" t="str">
            <v>스트로브잣나무</v>
          </cell>
          <cell r="B30" t="str">
            <v>H3.0XW1.5</v>
          </cell>
          <cell r="C30" t="str">
            <v>주</v>
          </cell>
          <cell r="D30">
            <v>102</v>
          </cell>
          <cell r="E30">
            <v>41700</v>
          </cell>
          <cell r="F30">
            <v>4253400</v>
          </cell>
          <cell r="G30">
            <v>17209</v>
          </cell>
          <cell r="H30">
            <v>1755318</v>
          </cell>
          <cell r="I30">
            <v>0</v>
          </cell>
          <cell r="J30">
            <v>0</v>
          </cell>
          <cell r="K30">
            <v>58909</v>
          </cell>
          <cell r="L30">
            <v>6008718</v>
          </cell>
          <cell r="M30" t="str">
            <v>No.1</v>
          </cell>
        </row>
        <row r="31">
          <cell r="A31" t="str">
            <v>전나무</v>
          </cell>
          <cell r="B31" t="str">
            <v>H3.5XW1.8</v>
          </cell>
          <cell r="C31" t="str">
            <v>주</v>
          </cell>
          <cell r="D31">
            <v>14</v>
          </cell>
          <cell r="E31">
            <v>109809</v>
          </cell>
          <cell r="F31">
            <v>1537326</v>
          </cell>
          <cell r="G31">
            <v>15247</v>
          </cell>
          <cell r="H31">
            <v>213458</v>
          </cell>
          <cell r="I31">
            <v>1312</v>
          </cell>
          <cell r="J31">
            <v>18368</v>
          </cell>
          <cell r="K31">
            <v>126368</v>
          </cell>
          <cell r="L31">
            <v>1769152</v>
          </cell>
          <cell r="M31" t="str">
            <v>No.2</v>
          </cell>
        </row>
        <row r="32">
          <cell r="A32" t="str">
            <v>소나무</v>
          </cell>
          <cell r="B32" t="str">
            <v>H4.0XW2.0XR15</v>
          </cell>
          <cell r="C32" t="str">
            <v>주</v>
          </cell>
          <cell r="D32">
            <v>30</v>
          </cell>
          <cell r="E32">
            <v>323762</v>
          </cell>
          <cell r="F32">
            <v>9712860</v>
          </cell>
          <cell r="G32">
            <v>52764</v>
          </cell>
          <cell r="H32">
            <v>1582920</v>
          </cell>
          <cell r="I32">
            <v>4485</v>
          </cell>
          <cell r="J32">
            <v>134550</v>
          </cell>
          <cell r="K32">
            <v>381011</v>
          </cell>
          <cell r="L32">
            <v>11430330</v>
          </cell>
          <cell r="M32" t="str">
            <v>No.3</v>
          </cell>
        </row>
        <row r="33">
          <cell r="A33" t="str">
            <v>소나무</v>
          </cell>
          <cell r="B33" t="str">
            <v>H5.0XW2.5XR20</v>
          </cell>
          <cell r="C33" t="str">
            <v>주</v>
          </cell>
          <cell r="D33">
            <v>36</v>
          </cell>
          <cell r="E33">
            <v>417042</v>
          </cell>
          <cell r="F33">
            <v>15013512</v>
          </cell>
          <cell r="G33">
            <v>76432</v>
          </cell>
          <cell r="H33">
            <v>2751552</v>
          </cell>
          <cell r="I33">
            <v>6563</v>
          </cell>
          <cell r="J33">
            <v>236268</v>
          </cell>
          <cell r="K33">
            <v>500037</v>
          </cell>
          <cell r="L33">
            <v>18001332</v>
          </cell>
          <cell r="M33" t="str">
            <v>No.4</v>
          </cell>
        </row>
        <row r="34">
          <cell r="A34" t="str">
            <v>소나무</v>
          </cell>
          <cell r="B34" t="str">
            <v>H5.0XW2.5XR30</v>
          </cell>
          <cell r="C34" t="str">
            <v>주</v>
          </cell>
          <cell r="D34">
            <v>15</v>
          </cell>
          <cell r="E34">
            <v>890255</v>
          </cell>
          <cell r="F34">
            <v>13353825</v>
          </cell>
          <cell r="G34">
            <v>113862</v>
          </cell>
          <cell r="H34">
            <v>1707930</v>
          </cell>
          <cell r="I34">
            <v>8531</v>
          </cell>
          <cell r="J34">
            <v>127965</v>
          </cell>
          <cell r="K34">
            <v>1012648</v>
          </cell>
          <cell r="L34">
            <v>15189720</v>
          </cell>
          <cell r="M34" t="str">
            <v>No.5</v>
          </cell>
        </row>
        <row r="35">
          <cell r="A35" t="str">
            <v>주목(선주목)</v>
          </cell>
          <cell r="B35" t="str">
            <v>H2.0XW1.0</v>
          </cell>
          <cell r="C35" t="str">
            <v>주</v>
          </cell>
          <cell r="D35">
            <v>22</v>
          </cell>
          <cell r="E35">
            <v>154000</v>
          </cell>
          <cell r="F35">
            <v>3388000</v>
          </cell>
          <cell r="G35">
            <v>10329</v>
          </cell>
          <cell r="H35">
            <v>227238</v>
          </cell>
          <cell r="I35">
            <v>0</v>
          </cell>
          <cell r="J35">
            <v>0</v>
          </cell>
          <cell r="K35">
            <v>164329</v>
          </cell>
          <cell r="L35">
            <v>3615238</v>
          </cell>
          <cell r="M35" t="str">
            <v>No.6</v>
          </cell>
        </row>
        <row r="36">
          <cell r="A36" t="str">
            <v>나.낙엽교목</v>
          </cell>
          <cell r="D36">
            <v>0</v>
          </cell>
          <cell r="E36">
            <v>0</v>
          </cell>
          <cell r="F36">
            <v>54727486</v>
          </cell>
          <cell r="G36">
            <v>0</v>
          </cell>
          <cell r="H36">
            <v>9643533</v>
          </cell>
          <cell r="I36">
            <v>0</v>
          </cell>
          <cell r="J36">
            <v>729142</v>
          </cell>
          <cell r="K36">
            <v>0</v>
          </cell>
          <cell r="L36">
            <v>65100161</v>
          </cell>
        </row>
        <row r="37">
          <cell r="A37" t="str">
            <v>감나무</v>
          </cell>
          <cell r="B37" t="str">
            <v>H4.0XR15</v>
          </cell>
          <cell r="C37" t="str">
            <v>주</v>
          </cell>
          <cell r="D37">
            <v>10</v>
          </cell>
          <cell r="E37">
            <v>165762</v>
          </cell>
          <cell r="F37">
            <v>1657620</v>
          </cell>
          <cell r="G37">
            <v>52764</v>
          </cell>
          <cell r="H37">
            <v>527640</v>
          </cell>
          <cell r="I37">
            <v>4485</v>
          </cell>
          <cell r="J37">
            <v>44850</v>
          </cell>
          <cell r="K37">
            <v>223011</v>
          </cell>
          <cell r="L37">
            <v>2230110</v>
          </cell>
          <cell r="M37" t="str">
            <v>No.7</v>
          </cell>
        </row>
        <row r="38">
          <cell r="A38" t="str">
            <v>산수유</v>
          </cell>
          <cell r="B38" t="str">
            <v>H3.0XR10</v>
          </cell>
          <cell r="C38" t="str">
            <v>주</v>
          </cell>
          <cell r="D38">
            <v>37</v>
          </cell>
          <cell r="E38">
            <v>70117</v>
          </cell>
          <cell r="F38">
            <v>2594329</v>
          </cell>
          <cell r="G38">
            <v>31098</v>
          </cell>
          <cell r="H38">
            <v>1150626</v>
          </cell>
          <cell r="I38">
            <v>2625</v>
          </cell>
          <cell r="J38">
            <v>97125</v>
          </cell>
          <cell r="K38">
            <v>103840</v>
          </cell>
          <cell r="L38">
            <v>3842080</v>
          </cell>
          <cell r="M38" t="str">
            <v>No.8</v>
          </cell>
        </row>
        <row r="39">
          <cell r="A39" t="str">
            <v>백목련</v>
          </cell>
          <cell r="B39" t="str">
            <v>H3.5XR15</v>
          </cell>
          <cell r="C39" t="str">
            <v>주</v>
          </cell>
          <cell r="D39">
            <v>23</v>
          </cell>
          <cell r="E39">
            <v>381762</v>
          </cell>
          <cell r="F39">
            <v>8780526</v>
          </cell>
          <cell r="G39">
            <v>52764</v>
          </cell>
          <cell r="H39">
            <v>1213572</v>
          </cell>
          <cell r="I39">
            <v>4485</v>
          </cell>
          <cell r="J39">
            <v>103155</v>
          </cell>
          <cell r="K39">
            <v>439011</v>
          </cell>
          <cell r="L39">
            <v>10097253</v>
          </cell>
          <cell r="M39" t="str">
            <v>No.9</v>
          </cell>
        </row>
        <row r="40">
          <cell r="A40" t="str">
            <v>배롱나무</v>
          </cell>
          <cell r="B40" t="str">
            <v>H3.0XR10</v>
          </cell>
          <cell r="C40" t="str">
            <v>주</v>
          </cell>
          <cell r="D40">
            <v>12</v>
          </cell>
          <cell r="E40">
            <v>182617</v>
          </cell>
          <cell r="F40">
            <v>2191404</v>
          </cell>
          <cell r="G40">
            <v>31098</v>
          </cell>
          <cell r="H40">
            <v>373176</v>
          </cell>
          <cell r="I40">
            <v>2625</v>
          </cell>
          <cell r="J40">
            <v>31500</v>
          </cell>
          <cell r="K40">
            <v>216340</v>
          </cell>
          <cell r="L40">
            <v>2596080</v>
          </cell>
          <cell r="M40" t="str">
            <v>No.10</v>
          </cell>
        </row>
        <row r="41">
          <cell r="A41" t="str">
            <v>홍단풍(야촌단풍)</v>
          </cell>
          <cell r="B41" t="str">
            <v>H3.5XR15</v>
          </cell>
          <cell r="C41" t="str">
            <v>주</v>
          </cell>
          <cell r="D41">
            <v>5</v>
          </cell>
          <cell r="E41">
            <v>580762</v>
          </cell>
          <cell r="F41">
            <v>2903810</v>
          </cell>
          <cell r="G41">
            <v>52764</v>
          </cell>
          <cell r="H41">
            <v>263820</v>
          </cell>
          <cell r="I41">
            <v>4485</v>
          </cell>
          <cell r="J41">
            <v>22425</v>
          </cell>
          <cell r="K41">
            <v>638011</v>
          </cell>
          <cell r="L41">
            <v>3190055</v>
          </cell>
          <cell r="M41" t="str">
            <v>No.11</v>
          </cell>
        </row>
        <row r="42">
          <cell r="A42" t="str">
            <v>청단풍</v>
          </cell>
          <cell r="B42" t="str">
            <v>H2.5XR8</v>
          </cell>
          <cell r="C42" t="str">
            <v>주</v>
          </cell>
          <cell r="D42">
            <v>8</v>
          </cell>
          <cell r="E42">
            <v>73300</v>
          </cell>
          <cell r="F42">
            <v>586400</v>
          </cell>
          <cell r="G42">
            <v>31359</v>
          </cell>
          <cell r="H42">
            <v>250872</v>
          </cell>
          <cell r="I42">
            <v>0</v>
          </cell>
          <cell r="J42">
            <v>0</v>
          </cell>
          <cell r="K42">
            <v>104659</v>
          </cell>
          <cell r="L42">
            <v>837272</v>
          </cell>
          <cell r="M42" t="str">
            <v>No.12</v>
          </cell>
        </row>
        <row r="43">
          <cell r="A43" t="str">
            <v>청단풍</v>
          </cell>
          <cell r="B43" t="str">
            <v>H3.5XR15</v>
          </cell>
          <cell r="C43" t="str">
            <v>주</v>
          </cell>
          <cell r="D43">
            <v>11</v>
          </cell>
          <cell r="E43">
            <v>265762</v>
          </cell>
          <cell r="F43">
            <v>2923382</v>
          </cell>
          <cell r="G43">
            <v>52764</v>
          </cell>
          <cell r="H43">
            <v>580404</v>
          </cell>
          <cell r="I43">
            <v>4485</v>
          </cell>
          <cell r="J43">
            <v>49335</v>
          </cell>
          <cell r="K43">
            <v>323011</v>
          </cell>
          <cell r="L43">
            <v>3553121</v>
          </cell>
          <cell r="M43" t="str">
            <v>No.13</v>
          </cell>
        </row>
        <row r="44">
          <cell r="A44" t="str">
            <v>청단풍</v>
          </cell>
          <cell r="B44" t="str">
            <v>H4.0XR20</v>
          </cell>
          <cell r="C44" t="str">
            <v>주</v>
          </cell>
          <cell r="D44">
            <v>30</v>
          </cell>
          <cell r="E44">
            <v>524042</v>
          </cell>
          <cell r="F44">
            <v>15721260</v>
          </cell>
          <cell r="G44">
            <v>76432</v>
          </cell>
          <cell r="H44">
            <v>2292960</v>
          </cell>
          <cell r="I44">
            <v>6563</v>
          </cell>
          <cell r="J44">
            <v>196890</v>
          </cell>
          <cell r="K44">
            <v>607037</v>
          </cell>
          <cell r="L44">
            <v>18211110</v>
          </cell>
          <cell r="M44" t="str">
            <v>No.14</v>
          </cell>
        </row>
        <row r="45">
          <cell r="A45" t="str">
            <v>느티나무</v>
          </cell>
          <cell r="B45" t="str">
            <v>H4.0XR15</v>
          </cell>
          <cell r="C45" t="str">
            <v>주</v>
          </cell>
          <cell r="D45">
            <v>5</v>
          </cell>
          <cell r="E45">
            <v>337762</v>
          </cell>
          <cell r="F45">
            <v>1688810</v>
          </cell>
          <cell r="G45">
            <v>52764</v>
          </cell>
          <cell r="H45">
            <v>263820</v>
          </cell>
          <cell r="I45">
            <v>4485</v>
          </cell>
          <cell r="J45">
            <v>22425</v>
          </cell>
          <cell r="K45">
            <v>395011</v>
          </cell>
          <cell r="L45">
            <v>1975055</v>
          </cell>
          <cell r="M45" t="str">
            <v>No.15</v>
          </cell>
        </row>
        <row r="46">
          <cell r="A46" t="str">
            <v>느티나무</v>
          </cell>
          <cell r="B46" t="str">
            <v>H5.0XR30</v>
          </cell>
          <cell r="C46" t="str">
            <v>주</v>
          </cell>
          <cell r="D46">
            <v>2</v>
          </cell>
          <cell r="E46">
            <v>2185255</v>
          </cell>
          <cell r="F46">
            <v>4370510</v>
          </cell>
          <cell r="G46">
            <v>113862</v>
          </cell>
          <cell r="H46">
            <v>227724</v>
          </cell>
          <cell r="I46">
            <v>8531</v>
          </cell>
          <cell r="J46">
            <v>17062</v>
          </cell>
          <cell r="K46">
            <v>2307648</v>
          </cell>
          <cell r="L46">
            <v>4615296</v>
          </cell>
          <cell r="M46" t="str">
            <v>No.16</v>
          </cell>
        </row>
        <row r="47">
          <cell r="A47" t="str">
            <v>벚나무</v>
          </cell>
          <cell r="B47" t="str">
            <v>H4.0XB12</v>
          </cell>
          <cell r="C47" t="str">
            <v>주</v>
          </cell>
          <cell r="D47">
            <v>33</v>
          </cell>
          <cell r="E47">
            <v>268695</v>
          </cell>
          <cell r="F47">
            <v>8866935</v>
          </cell>
          <cell r="G47">
            <v>51968</v>
          </cell>
          <cell r="H47">
            <v>1714944</v>
          </cell>
          <cell r="I47">
            <v>4375</v>
          </cell>
          <cell r="J47">
            <v>144375</v>
          </cell>
          <cell r="K47">
            <v>325038</v>
          </cell>
          <cell r="L47">
            <v>10726254</v>
          </cell>
          <cell r="M47" t="str">
            <v>No.17</v>
          </cell>
        </row>
        <row r="48">
          <cell r="A48" t="str">
            <v>자작나무</v>
          </cell>
          <cell r="B48" t="str">
            <v>H3.5XR8</v>
          </cell>
          <cell r="C48" t="str">
            <v>주</v>
          </cell>
          <cell r="D48">
            <v>25</v>
          </cell>
          <cell r="E48">
            <v>97700</v>
          </cell>
          <cell r="F48">
            <v>2442500</v>
          </cell>
          <cell r="G48">
            <v>31359</v>
          </cell>
          <cell r="H48">
            <v>783975</v>
          </cell>
          <cell r="I48">
            <v>0</v>
          </cell>
          <cell r="J48">
            <v>0</v>
          </cell>
          <cell r="K48">
            <v>129059</v>
          </cell>
          <cell r="L48">
            <v>3226475</v>
          </cell>
          <cell r="M48" t="str">
            <v>No.18</v>
          </cell>
        </row>
        <row r="49">
          <cell r="A49" t="str">
            <v>다.상록관목</v>
          </cell>
          <cell r="D49">
            <v>0</v>
          </cell>
          <cell r="E49">
            <v>0</v>
          </cell>
          <cell r="F49">
            <v>5724000</v>
          </cell>
          <cell r="G49">
            <v>0</v>
          </cell>
          <cell r="H49">
            <v>2270520</v>
          </cell>
          <cell r="I49">
            <v>0</v>
          </cell>
          <cell r="J49">
            <v>0</v>
          </cell>
          <cell r="K49">
            <v>0</v>
          </cell>
          <cell r="L49">
            <v>7994520</v>
          </cell>
        </row>
        <row r="50">
          <cell r="A50" t="str">
            <v>회양목</v>
          </cell>
          <cell r="B50" t="str">
            <v>H0.3XW0.3</v>
          </cell>
          <cell r="C50" t="str">
            <v>주</v>
          </cell>
          <cell r="D50">
            <v>2120</v>
          </cell>
          <cell r="E50">
            <v>2700</v>
          </cell>
          <cell r="F50">
            <v>5724000</v>
          </cell>
          <cell r="G50">
            <v>1071</v>
          </cell>
          <cell r="H50">
            <v>2270520</v>
          </cell>
          <cell r="I50">
            <v>0</v>
          </cell>
          <cell r="J50">
            <v>0</v>
          </cell>
          <cell r="K50">
            <v>3771</v>
          </cell>
          <cell r="L50">
            <v>7994520</v>
          </cell>
          <cell r="M50" t="str">
            <v>No.19</v>
          </cell>
        </row>
        <row r="51">
          <cell r="A51" t="str">
            <v>라.낙엽관목</v>
          </cell>
          <cell r="D51">
            <v>0</v>
          </cell>
          <cell r="E51">
            <v>0</v>
          </cell>
          <cell r="F51">
            <v>5242000</v>
          </cell>
          <cell r="G51">
            <v>0</v>
          </cell>
          <cell r="H51">
            <v>1974350</v>
          </cell>
          <cell r="I51">
            <v>0</v>
          </cell>
          <cell r="J51">
            <v>0</v>
          </cell>
          <cell r="K51">
            <v>0</v>
          </cell>
          <cell r="L51">
            <v>7216350</v>
          </cell>
        </row>
        <row r="52">
          <cell r="A52" t="str">
            <v>백철쭉</v>
          </cell>
          <cell r="B52" t="str">
            <v>H0.4XW0.5</v>
          </cell>
          <cell r="C52" t="str">
            <v>주</v>
          </cell>
          <cell r="D52">
            <v>530</v>
          </cell>
          <cell r="E52">
            <v>3500</v>
          </cell>
          <cell r="F52">
            <v>1855000</v>
          </cell>
          <cell r="G52">
            <v>1071</v>
          </cell>
          <cell r="H52">
            <v>567630</v>
          </cell>
          <cell r="I52">
            <v>0</v>
          </cell>
          <cell r="J52">
            <v>0</v>
          </cell>
          <cell r="K52">
            <v>4571</v>
          </cell>
          <cell r="L52">
            <v>2422630</v>
          </cell>
          <cell r="M52" t="str">
            <v>No.20</v>
          </cell>
        </row>
        <row r="53">
          <cell r="A53" t="str">
            <v>자산홍</v>
          </cell>
          <cell r="B53" t="str">
            <v>H0.4XW0.5</v>
          </cell>
          <cell r="C53" t="str">
            <v>주</v>
          </cell>
          <cell r="D53">
            <v>630</v>
          </cell>
          <cell r="E53">
            <v>4000</v>
          </cell>
          <cell r="F53">
            <v>2520000</v>
          </cell>
          <cell r="G53">
            <v>1071</v>
          </cell>
          <cell r="H53">
            <v>674730</v>
          </cell>
          <cell r="I53">
            <v>0</v>
          </cell>
          <cell r="J53">
            <v>0</v>
          </cell>
          <cell r="K53">
            <v>5071</v>
          </cell>
          <cell r="L53">
            <v>3194730</v>
          </cell>
          <cell r="M53" t="str">
            <v>No.21</v>
          </cell>
        </row>
        <row r="54">
          <cell r="A54" t="str">
            <v>진달래</v>
          </cell>
          <cell r="B54" t="str">
            <v>H0.5XW0.4</v>
          </cell>
          <cell r="C54" t="str">
            <v>주</v>
          </cell>
          <cell r="D54">
            <v>250</v>
          </cell>
          <cell r="E54">
            <v>1900</v>
          </cell>
          <cell r="F54">
            <v>475000</v>
          </cell>
          <cell r="G54">
            <v>1071</v>
          </cell>
          <cell r="H54">
            <v>267750</v>
          </cell>
          <cell r="I54">
            <v>0</v>
          </cell>
          <cell r="J54">
            <v>0</v>
          </cell>
          <cell r="K54">
            <v>2971</v>
          </cell>
          <cell r="L54">
            <v>742750</v>
          </cell>
          <cell r="M54" t="str">
            <v>No.22</v>
          </cell>
        </row>
        <row r="55">
          <cell r="A55" t="str">
            <v>흰말채나무</v>
          </cell>
          <cell r="B55" t="str">
            <v>H1.0XW0.4</v>
          </cell>
          <cell r="C55" t="str">
            <v>주</v>
          </cell>
          <cell r="D55">
            <v>280</v>
          </cell>
          <cell r="E55">
            <v>1400</v>
          </cell>
          <cell r="F55">
            <v>392000</v>
          </cell>
          <cell r="G55">
            <v>1658</v>
          </cell>
          <cell r="H55">
            <v>464240</v>
          </cell>
          <cell r="I55">
            <v>0</v>
          </cell>
          <cell r="J55">
            <v>0</v>
          </cell>
          <cell r="K55">
            <v>3058</v>
          </cell>
          <cell r="L55">
            <v>856240</v>
          </cell>
          <cell r="M55" t="str">
            <v>No.23</v>
          </cell>
        </row>
        <row r="56">
          <cell r="A56" t="str">
            <v>라.초 화 류</v>
          </cell>
          <cell r="D56">
            <v>0</v>
          </cell>
          <cell r="E56">
            <v>0</v>
          </cell>
          <cell r="F56">
            <v>12935000</v>
          </cell>
          <cell r="G56">
            <v>0</v>
          </cell>
          <cell r="H56">
            <v>1238400</v>
          </cell>
          <cell r="I56">
            <v>0</v>
          </cell>
          <cell r="J56">
            <v>0</v>
          </cell>
          <cell r="K56">
            <v>0</v>
          </cell>
          <cell r="L56">
            <v>14173400</v>
          </cell>
        </row>
        <row r="57">
          <cell r="A57" t="str">
            <v>맥문동</v>
          </cell>
          <cell r="B57" t="str">
            <v>3-5분얼</v>
          </cell>
          <cell r="C57" t="str">
            <v>본</v>
          </cell>
          <cell r="D57">
            <v>500</v>
          </cell>
          <cell r="E57">
            <v>390</v>
          </cell>
          <cell r="F57">
            <v>195000</v>
          </cell>
          <cell r="G57">
            <v>172</v>
          </cell>
          <cell r="H57">
            <v>86000</v>
          </cell>
          <cell r="I57">
            <v>0</v>
          </cell>
          <cell r="J57">
            <v>0</v>
          </cell>
          <cell r="K57">
            <v>562</v>
          </cell>
          <cell r="L57">
            <v>281000</v>
          </cell>
          <cell r="M57" t="str">
            <v>No.24</v>
          </cell>
        </row>
        <row r="58">
          <cell r="A58" t="str">
            <v>바위취</v>
          </cell>
          <cell r="B58" t="str">
            <v>3치포트</v>
          </cell>
          <cell r="C58" t="str">
            <v>본</v>
          </cell>
          <cell r="D58">
            <v>700</v>
          </cell>
          <cell r="E58">
            <v>1000</v>
          </cell>
          <cell r="F58">
            <v>700000</v>
          </cell>
          <cell r="G58">
            <v>172</v>
          </cell>
          <cell r="H58">
            <v>120400</v>
          </cell>
          <cell r="I58">
            <v>0</v>
          </cell>
          <cell r="J58">
            <v>0</v>
          </cell>
          <cell r="K58">
            <v>1172</v>
          </cell>
          <cell r="L58">
            <v>820400</v>
          </cell>
          <cell r="M58" t="str">
            <v>No.25</v>
          </cell>
        </row>
        <row r="59">
          <cell r="A59" t="str">
            <v>상록패랭이</v>
          </cell>
          <cell r="B59" t="str">
            <v>3치포트</v>
          </cell>
          <cell r="C59" t="str">
            <v>본</v>
          </cell>
          <cell r="D59">
            <v>1550</v>
          </cell>
          <cell r="E59">
            <v>2200</v>
          </cell>
          <cell r="F59">
            <v>3410000</v>
          </cell>
          <cell r="G59">
            <v>172</v>
          </cell>
          <cell r="H59">
            <v>266600</v>
          </cell>
          <cell r="I59">
            <v>0</v>
          </cell>
          <cell r="J59">
            <v>0</v>
          </cell>
          <cell r="K59">
            <v>2372</v>
          </cell>
          <cell r="L59">
            <v>3676600</v>
          </cell>
          <cell r="M59" t="str">
            <v>No.26</v>
          </cell>
        </row>
        <row r="60">
          <cell r="A60" t="str">
            <v>줄무늬사사</v>
          </cell>
          <cell r="B60" t="str">
            <v>4치포트</v>
          </cell>
          <cell r="C60" t="str">
            <v>본</v>
          </cell>
          <cell r="D60">
            <v>1500</v>
          </cell>
          <cell r="E60">
            <v>2500</v>
          </cell>
          <cell r="F60">
            <v>3750000</v>
          </cell>
          <cell r="G60">
            <v>172</v>
          </cell>
          <cell r="H60">
            <v>258000</v>
          </cell>
          <cell r="I60">
            <v>0</v>
          </cell>
          <cell r="J60">
            <v>0</v>
          </cell>
          <cell r="K60">
            <v>2672</v>
          </cell>
          <cell r="L60">
            <v>4008000</v>
          </cell>
          <cell r="M60" t="str">
            <v>No.27</v>
          </cell>
        </row>
        <row r="61">
          <cell r="A61" t="str">
            <v>원추리</v>
          </cell>
          <cell r="B61" t="str">
            <v>2-3분얼</v>
          </cell>
          <cell r="C61" t="str">
            <v>본</v>
          </cell>
          <cell r="D61">
            <v>1200</v>
          </cell>
          <cell r="E61">
            <v>2100</v>
          </cell>
          <cell r="F61">
            <v>2520000</v>
          </cell>
          <cell r="G61">
            <v>172</v>
          </cell>
          <cell r="H61">
            <v>206400</v>
          </cell>
          <cell r="I61">
            <v>0</v>
          </cell>
          <cell r="J61">
            <v>0</v>
          </cell>
          <cell r="K61">
            <v>2272</v>
          </cell>
          <cell r="L61">
            <v>2726400</v>
          </cell>
          <cell r="M61" t="str">
            <v>No.28</v>
          </cell>
        </row>
        <row r="62">
          <cell r="A62" t="str">
            <v>구절초</v>
          </cell>
          <cell r="B62" t="str">
            <v>3치포트</v>
          </cell>
          <cell r="C62" t="str">
            <v>본</v>
          </cell>
          <cell r="D62">
            <v>1300</v>
          </cell>
          <cell r="E62">
            <v>1400</v>
          </cell>
          <cell r="F62">
            <v>1820000</v>
          </cell>
          <cell r="G62">
            <v>172</v>
          </cell>
          <cell r="H62">
            <v>223600</v>
          </cell>
          <cell r="I62">
            <v>0</v>
          </cell>
          <cell r="J62">
            <v>0</v>
          </cell>
          <cell r="K62">
            <v>1572</v>
          </cell>
          <cell r="L62">
            <v>2043600</v>
          </cell>
          <cell r="M62" t="str">
            <v>No.29</v>
          </cell>
        </row>
        <row r="63">
          <cell r="A63" t="str">
            <v>허브</v>
          </cell>
          <cell r="B63" t="str">
            <v>3치포트</v>
          </cell>
          <cell r="C63" t="str">
            <v>본</v>
          </cell>
          <cell r="D63">
            <v>450</v>
          </cell>
          <cell r="E63">
            <v>1200</v>
          </cell>
          <cell r="F63">
            <v>540000</v>
          </cell>
          <cell r="G63">
            <v>172</v>
          </cell>
          <cell r="H63">
            <v>77400</v>
          </cell>
          <cell r="I63">
            <v>0</v>
          </cell>
          <cell r="J63">
            <v>0</v>
          </cell>
          <cell r="K63">
            <v>1372</v>
          </cell>
          <cell r="L63">
            <v>617400</v>
          </cell>
          <cell r="M63" t="str">
            <v>No.30</v>
          </cell>
        </row>
        <row r="64">
          <cell r="A64" t="str">
            <v>바.기    타</v>
          </cell>
          <cell r="D64">
            <v>0</v>
          </cell>
          <cell r="E64">
            <v>0</v>
          </cell>
          <cell r="F64">
            <v>16637326</v>
          </cell>
          <cell r="G64">
            <v>0</v>
          </cell>
          <cell r="H64">
            <v>6231794</v>
          </cell>
          <cell r="I64">
            <v>0</v>
          </cell>
          <cell r="J64">
            <v>0</v>
          </cell>
          <cell r="K64">
            <v>0</v>
          </cell>
          <cell r="L64">
            <v>22869120</v>
          </cell>
        </row>
        <row r="65">
          <cell r="A65" t="str">
            <v>줄떼식재(1/2떼)</v>
          </cell>
          <cell r="B65" t="str">
            <v>0.3X0.3X0.03</v>
          </cell>
          <cell r="C65" t="str">
            <v>M2</v>
          </cell>
          <cell r="D65">
            <v>2078.8200000000002</v>
          </cell>
          <cell r="E65">
            <v>1540</v>
          </cell>
          <cell r="F65">
            <v>3201383</v>
          </cell>
          <cell r="G65">
            <v>1841</v>
          </cell>
          <cell r="H65">
            <v>3827107</v>
          </cell>
          <cell r="I65">
            <v>0</v>
          </cell>
          <cell r="J65">
            <v>0</v>
          </cell>
          <cell r="K65">
            <v>3381</v>
          </cell>
          <cell r="L65">
            <v>7028490</v>
          </cell>
          <cell r="M65" t="str">
            <v>#.1</v>
          </cell>
        </row>
        <row r="66">
          <cell r="A66" t="str">
            <v>지주목</v>
          </cell>
          <cell r="B66" t="str">
            <v>삼발이(소형)</v>
          </cell>
          <cell r="C66" t="str">
            <v>조</v>
          </cell>
          <cell r="D66">
            <v>173</v>
          </cell>
          <cell r="E66">
            <v>2347</v>
          </cell>
          <cell r="F66">
            <v>406031</v>
          </cell>
          <cell r="G66">
            <v>1224</v>
          </cell>
          <cell r="H66">
            <v>211752</v>
          </cell>
          <cell r="I66">
            <v>0</v>
          </cell>
          <cell r="J66">
            <v>0</v>
          </cell>
          <cell r="K66">
            <v>3571</v>
          </cell>
          <cell r="L66">
            <v>617783</v>
          </cell>
          <cell r="M66" t="str">
            <v>No.31</v>
          </cell>
        </row>
        <row r="67">
          <cell r="A67" t="str">
            <v>지주목</v>
          </cell>
          <cell r="B67" t="str">
            <v>삼발이(대형)</v>
          </cell>
          <cell r="C67" t="str">
            <v>조</v>
          </cell>
          <cell r="D67">
            <v>225</v>
          </cell>
          <cell r="E67">
            <v>4056</v>
          </cell>
          <cell r="F67">
            <v>912600</v>
          </cell>
          <cell r="G67">
            <v>1713</v>
          </cell>
          <cell r="H67">
            <v>385425</v>
          </cell>
          <cell r="I67">
            <v>0</v>
          </cell>
          <cell r="J67">
            <v>0</v>
          </cell>
          <cell r="K67">
            <v>5769</v>
          </cell>
          <cell r="L67">
            <v>1298025</v>
          </cell>
          <cell r="M67" t="str">
            <v>No.32</v>
          </cell>
        </row>
        <row r="68">
          <cell r="A68" t="str">
            <v>부숙톱밥퇴비</v>
          </cell>
          <cell r="C68" t="str">
            <v>KG</v>
          </cell>
          <cell r="D68">
            <v>12701</v>
          </cell>
          <cell r="E68">
            <v>250</v>
          </cell>
          <cell r="F68">
            <v>3175250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250</v>
          </cell>
          <cell r="L68">
            <v>3175250</v>
          </cell>
        </row>
        <row r="69">
          <cell r="A69" t="str">
            <v>잔디</v>
          </cell>
          <cell r="B69" t="str">
            <v>평떼</v>
          </cell>
          <cell r="C69" t="str">
            <v>㎡</v>
          </cell>
          <cell r="D69">
            <v>640.28</v>
          </cell>
          <cell r="E69">
            <v>3080</v>
          </cell>
          <cell r="F69">
            <v>1972062</v>
          </cell>
          <cell r="G69">
            <v>2823</v>
          </cell>
          <cell r="H69">
            <v>1807510</v>
          </cell>
          <cell r="I69">
            <v>0</v>
          </cell>
          <cell r="J69">
            <v>0</v>
          </cell>
          <cell r="K69">
            <v>5903</v>
          </cell>
          <cell r="L69">
            <v>3779572</v>
          </cell>
          <cell r="M69" t="str">
            <v>No.33</v>
          </cell>
        </row>
        <row r="70">
          <cell r="A70" t="str">
            <v>조경용토</v>
          </cell>
          <cell r="B70" t="str">
            <v>사질양토</v>
          </cell>
          <cell r="C70" t="str">
            <v>M3</v>
          </cell>
          <cell r="D70">
            <v>1394</v>
          </cell>
          <cell r="E70">
            <v>5000</v>
          </cell>
          <cell r="F70">
            <v>6970000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5000</v>
          </cell>
          <cell r="L70">
            <v>6970000</v>
          </cell>
        </row>
        <row r="78">
          <cell r="A78" t="str">
            <v>2.조경시설물공</v>
          </cell>
          <cell r="C78" t="str">
            <v>식</v>
          </cell>
          <cell r="D78">
            <v>1</v>
          </cell>
          <cell r="F78">
            <v>113481570</v>
          </cell>
          <cell r="H78">
            <v>42160764</v>
          </cell>
          <cell r="J78">
            <v>382596</v>
          </cell>
          <cell r="K78">
            <v>0</v>
          </cell>
          <cell r="L78">
            <v>156024930</v>
          </cell>
        </row>
        <row r="79">
          <cell r="A79" t="str">
            <v>사각파고라</v>
          </cell>
          <cell r="B79" t="str">
            <v>4500X4500</v>
          </cell>
          <cell r="C79" t="str">
            <v>개소</v>
          </cell>
          <cell r="D79">
            <v>1</v>
          </cell>
          <cell r="E79">
            <v>5027867</v>
          </cell>
          <cell r="F79">
            <v>5027867</v>
          </cell>
          <cell r="G79">
            <v>52819</v>
          </cell>
          <cell r="H79">
            <v>52819</v>
          </cell>
          <cell r="I79">
            <v>0</v>
          </cell>
          <cell r="J79">
            <v>0</v>
          </cell>
          <cell r="K79">
            <v>5080686</v>
          </cell>
          <cell r="L79">
            <v>5080686</v>
          </cell>
          <cell r="M79" t="str">
            <v>No.34</v>
          </cell>
        </row>
        <row r="80">
          <cell r="A80" t="str">
            <v>평벤치</v>
          </cell>
          <cell r="B80" t="str">
            <v>1800X380</v>
          </cell>
          <cell r="C80" t="str">
            <v>개소</v>
          </cell>
          <cell r="D80">
            <v>3</v>
          </cell>
          <cell r="E80">
            <v>225000</v>
          </cell>
          <cell r="F80">
            <v>675000</v>
          </cell>
          <cell r="G80">
            <v>21484</v>
          </cell>
          <cell r="H80">
            <v>64452</v>
          </cell>
          <cell r="I80">
            <v>0</v>
          </cell>
          <cell r="J80">
            <v>0</v>
          </cell>
          <cell r="K80">
            <v>246484</v>
          </cell>
          <cell r="L80">
            <v>739452</v>
          </cell>
          <cell r="M80" t="str">
            <v>No.35</v>
          </cell>
        </row>
        <row r="81">
          <cell r="A81" t="str">
            <v>화계</v>
          </cell>
          <cell r="C81" t="str">
            <v>M</v>
          </cell>
          <cell r="D81">
            <v>63.3</v>
          </cell>
          <cell r="E81">
            <v>105597</v>
          </cell>
          <cell r="F81">
            <v>6684290</v>
          </cell>
          <cell r="G81">
            <v>223590</v>
          </cell>
          <cell r="H81">
            <v>14153247</v>
          </cell>
          <cell r="I81">
            <v>817</v>
          </cell>
          <cell r="J81">
            <v>51716</v>
          </cell>
          <cell r="K81">
            <v>330004</v>
          </cell>
          <cell r="L81">
            <v>20889253</v>
          </cell>
          <cell r="M81" t="str">
            <v>No.36</v>
          </cell>
        </row>
        <row r="82">
          <cell r="A82" t="str">
            <v>목재데크-1</v>
          </cell>
          <cell r="B82" t="str">
            <v>4600X3600</v>
          </cell>
          <cell r="C82" t="str">
            <v>개소</v>
          </cell>
          <cell r="D82">
            <v>1</v>
          </cell>
          <cell r="E82">
            <v>1248000</v>
          </cell>
          <cell r="F82">
            <v>1248000</v>
          </cell>
          <cell r="G82">
            <v>560921</v>
          </cell>
          <cell r="H82">
            <v>560921</v>
          </cell>
          <cell r="I82">
            <v>0</v>
          </cell>
          <cell r="J82">
            <v>0</v>
          </cell>
          <cell r="K82">
            <v>1808921</v>
          </cell>
          <cell r="L82">
            <v>1808921</v>
          </cell>
          <cell r="M82" t="str">
            <v>No.37</v>
          </cell>
        </row>
        <row r="83">
          <cell r="A83" t="str">
            <v>목재데크-2</v>
          </cell>
          <cell r="B83" t="str">
            <v>5800X5200</v>
          </cell>
          <cell r="C83" t="str">
            <v>개소</v>
          </cell>
          <cell r="D83">
            <v>1</v>
          </cell>
          <cell r="E83">
            <v>2177500</v>
          </cell>
          <cell r="F83">
            <v>2177500</v>
          </cell>
          <cell r="G83">
            <v>1022324</v>
          </cell>
          <cell r="H83">
            <v>1022324</v>
          </cell>
          <cell r="I83">
            <v>0</v>
          </cell>
          <cell r="J83">
            <v>0</v>
          </cell>
          <cell r="K83">
            <v>3199824</v>
          </cell>
          <cell r="L83">
            <v>3199824</v>
          </cell>
          <cell r="M83" t="str">
            <v>No.38</v>
          </cell>
        </row>
        <row r="84">
          <cell r="A84" t="str">
            <v>앉음벽1</v>
          </cell>
          <cell r="B84" t="str">
            <v>H450</v>
          </cell>
          <cell r="C84" t="str">
            <v>개소</v>
          </cell>
          <cell r="D84">
            <v>1</v>
          </cell>
          <cell r="E84">
            <v>333500</v>
          </cell>
          <cell r="F84">
            <v>333500</v>
          </cell>
          <cell r="G84">
            <v>413746</v>
          </cell>
          <cell r="H84">
            <v>413746</v>
          </cell>
          <cell r="I84">
            <v>1343</v>
          </cell>
          <cell r="J84">
            <v>1343</v>
          </cell>
          <cell r="K84">
            <v>748589</v>
          </cell>
          <cell r="L84">
            <v>748589</v>
          </cell>
          <cell r="M84" t="str">
            <v>No.39</v>
          </cell>
        </row>
        <row r="85">
          <cell r="A85" t="str">
            <v>앉음벽2</v>
          </cell>
          <cell r="B85" t="str">
            <v>H450</v>
          </cell>
          <cell r="C85" t="str">
            <v>개소</v>
          </cell>
          <cell r="D85">
            <v>1</v>
          </cell>
          <cell r="E85">
            <v>557389</v>
          </cell>
          <cell r="F85">
            <v>557389</v>
          </cell>
          <cell r="G85">
            <v>693092</v>
          </cell>
          <cell r="H85">
            <v>693092</v>
          </cell>
          <cell r="I85">
            <v>2256</v>
          </cell>
          <cell r="J85">
            <v>2256</v>
          </cell>
          <cell r="K85">
            <v>1252737</v>
          </cell>
          <cell r="L85">
            <v>1252737</v>
          </cell>
          <cell r="M85" t="str">
            <v>No.40</v>
          </cell>
        </row>
        <row r="86">
          <cell r="A86" t="str">
            <v>앉음벽3</v>
          </cell>
          <cell r="B86" t="str">
            <v>H450</v>
          </cell>
          <cell r="C86" t="str">
            <v>개소</v>
          </cell>
          <cell r="D86">
            <v>3</v>
          </cell>
          <cell r="E86">
            <v>218325</v>
          </cell>
          <cell r="F86">
            <v>654975</v>
          </cell>
          <cell r="G86">
            <v>269991</v>
          </cell>
          <cell r="H86">
            <v>809973</v>
          </cell>
          <cell r="I86">
            <v>879</v>
          </cell>
          <cell r="J86">
            <v>2637</v>
          </cell>
          <cell r="K86">
            <v>489195</v>
          </cell>
          <cell r="L86">
            <v>1467585</v>
          </cell>
          <cell r="M86" t="str">
            <v>No.41</v>
          </cell>
        </row>
        <row r="87">
          <cell r="A87" t="str">
            <v>앉음벽4</v>
          </cell>
          <cell r="B87" t="str">
            <v>H450</v>
          </cell>
          <cell r="C87" t="str">
            <v>개소</v>
          </cell>
          <cell r="D87">
            <v>3</v>
          </cell>
          <cell r="E87">
            <v>109826</v>
          </cell>
          <cell r="F87">
            <v>329478</v>
          </cell>
          <cell r="G87">
            <v>134788</v>
          </cell>
          <cell r="H87">
            <v>404364</v>
          </cell>
          <cell r="I87">
            <v>435</v>
          </cell>
          <cell r="J87">
            <v>1305</v>
          </cell>
          <cell r="K87">
            <v>245049</v>
          </cell>
          <cell r="L87">
            <v>735147</v>
          </cell>
          <cell r="M87" t="str">
            <v>No.42</v>
          </cell>
        </row>
        <row r="88">
          <cell r="A88" t="str">
            <v>잔디등</v>
          </cell>
          <cell r="B88" t="str">
            <v>D130XH900</v>
          </cell>
          <cell r="C88" t="str">
            <v>개소</v>
          </cell>
          <cell r="D88">
            <v>28</v>
          </cell>
          <cell r="E88">
            <v>157019</v>
          </cell>
          <cell r="F88">
            <v>4396532</v>
          </cell>
          <cell r="G88">
            <v>10864</v>
          </cell>
          <cell r="H88">
            <v>304192</v>
          </cell>
          <cell r="I88">
            <v>0</v>
          </cell>
          <cell r="J88">
            <v>0</v>
          </cell>
          <cell r="K88">
            <v>167883</v>
          </cell>
          <cell r="L88">
            <v>4700724</v>
          </cell>
          <cell r="M88" t="str">
            <v>No.43</v>
          </cell>
        </row>
        <row r="89">
          <cell r="A89" t="str">
            <v>투사등-1</v>
          </cell>
          <cell r="B89" t="str">
            <v>D130(돌출형)</v>
          </cell>
          <cell r="C89" t="str">
            <v>개소</v>
          </cell>
          <cell r="D89">
            <v>27</v>
          </cell>
          <cell r="E89">
            <v>252000</v>
          </cell>
          <cell r="F89">
            <v>6804000</v>
          </cell>
          <cell r="G89">
            <v>499</v>
          </cell>
          <cell r="H89">
            <v>13473</v>
          </cell>
          <cell r="I89">
            <v>0</v>
          </cell>
          <cell r="J89">
            <v>0</v>
          </cell>
          <cell r="K89">
            <v>252499</v>
          </cell>
          <cell r="L89">
            <v>6817473</v>
          </cell>
          <cell r="M89" t="str">
            <v>No.44</v>
          </cell>
        </row>
        <row r="90">
          <cell r="A90" t="str">
            <v>투사등-2</v>
          </cell>
          <cell r="B90" t="str">
            <v>D295(매립형)</v>
          </cell>
          <cell r="C90" t="str">
            <v>개소</v>
          </cell>
          <cell r="D90">
            <v>4</v>
          </cell>
          <cell r="E90">
            <v>445000</v>
          </cell>
          <cell r="F90">
            <v>1780000</v>
          </cell>
          <cell r="G90">
            <v>4828</v>
          </cell>
          <cell r="H90">
            <v>19312</v>
          </cell>
          <cell r="I90">
            <v>0</v>
          </cell>
          <cell r="J90">
            <v>0</v>
          </cell>
          <cell r="K90">
            <v>449828</v>
          </cell>
          <cell r="L90">
            <v>1799312</v>
          </cell>
          <cell r="M90" t="str">
            <v>No.45</v>
          </cell>
        </row>
        <row r="91">
          <cell r="A91" t="str">
            <v>침목놓기</v>
          </cell>
          <cell r="C91" t="str">
            <v>개소</v>
          </cell>
          <cell r="D91">
            <v>60</v>
          </cell>
          <cell r="E91">
            <v>57589</v>
          </cell>
          <cell r="F91">
            <v>3455340</v>
          </cell>
          <cell r="G91">
            <v>32031</v>
          </cell>
          <cell r="H91">
            <v>1921860</v>
          </cell>
          <cell r="I91">
            <v>0</v>
          </cell>
          <cell r="J91">
            <v>0</v>
          </cell>
          <cell r="K91">
            <v>89620</v>
          </cell>
          <cell r="L91">
            <v>5377200</v>
          </cell>
          <cell r="M91" t="str">
            <v>No.46</v>
          </cell>
        </row>
        <row r="92">
          <cell r="A92" t="str">
            <v>URN</v>
          </cell>
          <cell r="C92" t="str">
            <v>개소</v>
          </cell>
          <cell r="D92">
            <v>15</v>
          </cell>
          <cell r="E92">
            <v>200000</v>
          </cell>
          <cell r="F92">
            <v>3000000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200000</v>
          </cell>
          <cell r="L92">
            <v>3000000</v>
          </cell>
        </row>
        <row r="93">
          <cell r="A93" t="str">
            <v>수목보홀덮개-1</v>
          </cell>
          <cell r="B93" t="str">
            <v>1500X1500</v>
          </cell>
          <cell r="C93" t="str">
            <v>개소</v>
          </cell>
          <cell r="D93">
            <v>4</v>
          </cell>
          <cell r="E93">
            <v>246940</v>
          </cell>
          <cell r="F93">
            <v>987760</v>
          </cell>
          <cell r="G93">
            <v>42090</v>
          </cell>
          <cell r="H93">
            <v>168360</v>
          </cell>
          <cell r="I93">
            <v>0</v>
          </cell>
          <cell r="J93">
            <v>0</v>
          </cell>
          <cell r="K93">
            <v>289030</v>
          </cell>
          <cell r="L93">
            <v>1156120</v>
          </cell>
          <cell r="M93" t="str">
            <v>No.47</v>
          </cell>
        </row>
        <row r="94">
          <cell r="A94" t="str">
            <v>경관석놓기</v>
          </cell>
          <cell r="B94" t="str">
            <v>130X100X70(1.6TON)</v>
          </cell>
          <cell r="C94" t="str">
            <v>개소</v>
          </cell>
          <cell r="D94">
            <v>3</v>
          </cell>
          <cell r="E94">
            <v>464019</v>
          </cell>
          <cell r="F94">
            <v>1392057</v>
          </cell>
          <cell r="G94">
            <v>214837</v>
          </cell>
          <cell r="H94">
            <v>644511</v>
          </cell>
          <cell r="I94">
            <v>29700</v>
          </cell>
          <cell r="J94">
            <v>89100</v>
          </cell>
          <cell r="K94">
            <v>708556</v>
          </cell>
          <cell r="L94">
            <v>2125668</v>
          </cell>
          <cell r="M94" t="str">
            <v>No.48</v>
          </cell>
        </row>
        <row r="95">
          <cell r="A95" t="str">
            <v>경관석놓기</v>
          </cell>
          <cell r="B95" t="str">
            <v>100X90X60(1.0TON)</v>
          </cell>
          <cell r="C95" t="str">
            <v>개소</v>
          </cell>
          <cell r="D95">
            <v>6</v>
          </cell>
          <cell r="E95">
            <v>258324</v>
          </cell>
          <cell r="F95">
            <v>1549944</v>
          </cell>
          <cell r="G95">
            <v>127565</v>
          </cell>
          <cell r="H95">
            <v>765390</v>
          </cell>
          <cell r="I95">
            <v>17635</v>
          </cell>
          <cell r="J95">
            <v>105810</v>
          </cell>
          <cell r="K95">
            <v>403524</v>
          </cell>
          <cell r="L95">
            <v>2421144</v>
          </cell>
          <cell r="M95" t="str">
            <v>No.49</v>
          </cell>
        </row>
        <row r="96">
          <cell r="A96" t="str">
            <v>퍼팅그린-1</v>
          </cell>
          <cell r="C96" t="str">
            <v>M2</v>
          </cell>
          <cell r="D96">
            <v>21.6</v>
          </cell>
          <cell r="E96">
            <v>35731</v>
          </cell>
          <cell r="F96">
            <v>771789</v>
          </cell>
          <cell r="G96">
            <v>9867</v>
          </cell>
          <cell r="H96">
            <v>213127</v>
          </cell>
          <cell r="I96">
            <v>35</v>
          </cell>
          <cell r="J96">
            <v>756</v>
          </cell>
          <cell r="K96">
            <v>45633</v>
          </cell>
          <cell r="L96">
            <v>985672</v>
          </cell>
          <cell r="M96" t="str">
            <v>No.50</v>
          </cell>
        </row>
        <row r="97">
          <cell r="A97" t="str">
            <v>퍼팅그린-2</v>
          </cell>
          <cell r="C97" t="str">
            <v>M2</v>
          </cell>
          <cell r="D97">
            <v>109.6</v>
          </cell>
          <cell r="E97">
            <v>35731</v>
          </cell>
          <cell r="F97">
            <v>3916117</v>
          </cell>
          <cell r="G97">
            <v>9867</v>
          </cell>
          <cell r="H97">
            <v>1081423</v>
          </cell>
          <cell r="I97">
            <v>35</v>
          </cell>
          <cell r="J97">
            <v>3836</v>
          </cell>
          <cell r="K97">
            <v>45633</v>
          </cell>
          <cell r="L97">
            <v>5001376</v>
          </cell>
          <cell r="M97" t="str">
            <v>No.51</v>
          </cell>
        </row>
        <row r="98">
          <cell r="A98" t="str">
            <v>수경시설-1</v>
          </cell>
          <cell r="C98" t="str">
            <v>식</v>
          </cell>
          <cell r="D98">
            <v>1</v>
          </cell>
          <cell r="E98">
            <v>12000000</v>
          </cell>
          <cell r="F98">
            <v>12000000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12000000</v>
          </cell>
          <cell r="L98">
            <v>12000000</v>
          </cell>
          <cell r="M98" t="str">
            <v>No.52</v>
          </cell>
        </row>
        <row r="99">
          <cell r="A99" t="str">
            <v>수경시설-2</v>
          </cell>
          <cell r="C99" t="str">
            <v>식</v>
          </cell>
          <cell r="D99">
            <v>1</v>
          </cell>
          <cell r="E99">
            <v>30000000</v>
          </cell>
          <cell r="F99">
            <v>30000000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30000000</v>
          </cell>
          <cell r="L99">
            <v>30000000</v>
          </cell>
          <cell r="M99" t="str">
            <v>No.53</v>
          </cell>
        </row>
        <row r="100">
          <cell r="A100" t="str">
            <v>계단1</v>
          </cell>
          <cell r="B100" t="str">
            <v>W=2.6M</v>
          </cell>
          <cell r="C100" t="str">
            <v>개소</v>
          </cell>
          <cell r="D100">
            <v>1</v>
          </cell>
          <cell r="E100">
            <v>1261623</v>
          </cell>
          <cell r="F100">
            <v>1261623</v>
          </cell>
          <cell r="G100">
            <v>92138</v>
          </cell>
          <cell r="H100">
            <v>92138</v>
          </cell>
          <cell r="I100">
            <v>1404</v>
          </cell>
          <cell r="J100">
            <v>1404</v>
          </cell>
          <cell r="K100">
            <v>1355165</v>
          </cell>
          <cell r="L100">
            <v>1355165</v>
          </cell>
          <cell r="M100" t="str">
            <v>No.54</v>
          </cell>
        </row>
        <row r="101">
          <cell r="A101" t="str">
            <v>계단2</v>
          </cell>
          <cell r="C101" t="str">
            <v>개소</v>
          </cell>
          <cell r="D101">
            <v>1</v>
          </cell>
          <cell r="E101">
            <v>1261623</v>
          </cell>
          <cell r="F101">
            <v>1261623</v>
          </cell>
          <cell r="G101">
            <v>92138</v>
          </cell>
          <cell r="H101">
            <v>92138</v>
          </cell>
          <cell r="I101">
            <v>1404</v>
          </cell>
          <cell r="J101">
            <v>1404</v>
          </cell>
          <cell r="K101">
            <v>1355165</v>
          </cell>
          <cell r="L101">
            <v>1355165</v>
          </cell>
          <cell r="M101" t="str">
            <v>No.55</v>
          </cell>
        </row>
        <row r="102">
          <cell r="A102" t="str">
            <v>계단3</v>
          </cell>
          <cell r="C102" t="str">
            <v>개소</v>
          </cell>
          <cell r="D102">
            <v>1</v>
          </cell>
          <cell r="E102">
            <v>2030471</v>
          </cell>
          <cell r="F102">
            <v>2030471</v>
          </cell>
          <cell r="G102">
            <v>148067</v>
          </cell>
          <cell r="H102">
            <v>148067</v>
          </cell>
          <cell r="I102">
            <v>2530</v>
          </cell>
          <cell r="J102">
            <v>2530</v>
          </cell>
          <cell r="K102">
            <v>2181068</v>
          </cell>
          <cell r="L102">
            <v>2181068</v>
          </cell>
          <cell r="M102" t="str">
            <v>No.56</v>
          </cell>
        </row>
        <row r="103">
          <cell r="A103" t="str">
            <v>계단4</v>
          </cell>
          <cell r="C103" t="str">
            <v>개소</v>
          </cell>
          <cell r="D103">
            <v>1</v>
          </cell>
          <cell r="E103">
            <v>1011847</v>
          </cell>
          <cell r="F103">
            <v>1011847</v>
          </cell>
          <cell r="G103">
            <v>75827</v>
          </cell>
          <cell r="H103">
            <v>75827</v>
          </cell>
          <cell r="I103">
            <v>1236</v>
          </cell>
          <cell r="J103">
            <v>1236</v>
          </cell>
          <cell r="K103">
            <v>1088910</v>
          </cell>
          <cell r="L103">
            <v>1088910</v>
          </cell>
          <cell r="M103" t="str">
            <v>No.57</v>
          </cell>
        </row>
        <row r="104">
          <cell r="A104" t="str">
            <v>램프</v>
          </cell>
          <cell r="C104" t="str">
            <v>개소</v>
          </cell>
          <cell r="D104">
            <v>1</v>
          </cell>
          <cell r="E104">
            <v>795675</v>
          </cell>
          <cell r="F104">
            <v>795675</v>
          </cell>
          <cell r="G104">
            <v>268345</v>
          </cell>
          <cell r="H104">
            <v>268345</v>
          </cell>
          <cell r="I104">
            <v>2922</v>
          </cell>
          <cell r="J104">
            <v>2922</v>
          </cell>
          <cell r="K104">
            <v>1066942</v>
          </cell>
          <cell r="L104">
            <v>1066942</v>
          </cell>
          <cell r="M104" t="str">
            <v>No.58</v>
          </cell>
        </row>
        <row r="105">
          <cell r="A105" t="str">
            <v>날개벽1</v>
          </cell>
          <cell r="B105" t="str">
            <v>H=1.3M</v>
          </cell>
          <cell r="C105" t="str">
            <v>개소</v>
          </cell>
          <cell r="D105">
            <v>1</v>
          </cell>
          <cell r="E105">
            <v>1509366</v>
          </cell>
          <cell r="F105">
            <v>1509366</v>
          </cell>
          <cell r="G105">
            <v>1264446</v>
          </cell>
          <cell r="H105">
            <v>1264446</v>
          </cell>
          <cell r="I105">
            <v>10947</v>
          </cell>
          <cell r="J105">
            <v>10947</v>
          </cell>
          <cell r="K105">
            <v>2784759</v>
          </cell>
          <cell r="L105">
            <v>2784759</v>
          </cell>
          <cell r="M105" t="str">
            <v>No.59</v>
          </cell>
        </row>
        <row r="106">
          <cell r="A106" t="str">
            <v>날개벽2</v>
          </cell>
          <cell r="B106" t="str">
            <v>H=1.4M</v>
          </cell>
          <cell r="C106" t="str">
            <v>개소</v>
          </cell>
          <cell r="D106">
            <v>1</v>
          </cell>
          <cell r="E106">
            <v>3948080</v>
          </cell>
          <cell r="F106">
            <v>3948080</v>
          </cell>
          <cell r="G106">
            <v>3212534</v>
          </cell>
          <cell r="H106">
            <v>3212534</v>
          </cell>
          <cell r="I106">
            <v>29530</v>
          </cell>
          <cell r="J106">
            <v>29530</v>
          </cell>
          <cell r="K106">
            <v>7190144</v>
          </cell>
          <cell r="L106">
            <v>7190144</v>
          </cell>
          <cell r="M106" t="str">
            <v>No.60</v>
          </cell>
        </row>
        <row r="107">
          <cell r="A107" t="str">
            <v>날개벽3</v>
          </cell>
          <cell r="B107" t="str">
            <v>H=1.3M</v>
          </cell>
          <cell r="C107" t="str">
            <v>개소</v>
          </cell>
          <cell r="D107">
            <v>1</v>
          </cell>
          <cell r="E107">
            <v>776068</v>
          </cell>
          <cell r="F107">
            <v>776068</v>
          </cell>
          <cell r="G107">
            <v>630709</v>
          </cell>
          <cell r="H107">
            <v>630709</v>
          </cell>
          <cell r="I107">
            <v>4206</v>
          </cell>
          <cell r="J107">
            <v>4206</v>
          </cell>
          <cell r="K107">
            <v>1410983</v>
          </cell>
          <cell r="L107">
            <v>1410983</v>
          </cell>
          <cell r="M107" t="str">
            <v>No.61</v>
          </cell>
        </row>
        <row r="108">
          <cell r="A108" t="str">
            <v>날개벽4</v>
          </cell>
          <cell r="B108" t="str">
            <v>H=0.7M</v>
          </cell>
          <cell r="C108" t="str">
            <v>개소</v>
          </cell>
          <cell r="D108">
            <v>1</v>
          </cell>
          <cell r="E108">
            <v>344025</v>
          </cell>
          <cell r="F108">
            <v>344025</v>
          </cell>
          <cell r="G108">
            <v>293310</v>
          </cell>
          <cell r="H108">
            <v>293310</v>
          </cell>
          <cell r="I108">
            <v>1729</v>
          </cell>
          <cell r="J108">
            <v>1729</v>
          </cell>
          <cell r="K108">
            <v>639064</v>
          </cell>
          <cell r="L108">
            <v>639064</v>
          </cell>
          <cell r="M108" t="str">
            <v>No.62</v>
          </cell>
        </row>
        <row r="109">
          <cell r="A109" t="str">
            <v>날개벽5</v>
          </cell>
          <cell r="B109" t="str">
            <v>H=1.1M</v>
          </cell>
          <cell r="C109" t="str">
            <v>개소</v>
          </cell>
          <cell r="D109">
            <v>1</v>
          </cell>
          <cell r="E109">
            <v>2622956</v>
          </cell>
          <cell r="F109">
            <v>2622956</v>
          </cell>
          <cell r="G109">
            <v>2165242</v>
          </cell>
          <cell r="H109">
            <v>2165242</v>
          </cell>
          <cell r="I109">
            <v>17107</v>
          </cell>
          <cell r="J109">
            <v>17107</v>
          </cell>
          <cell r="K109">
            <v>4805305</v>
          </cell>
          <cell r="L109">
            <v>4805305</v>
          </cell>
          <cell r="M109" t="str">
            <v>No.63</v>
          </cell>
        </row>
        <row r="110">
          <cell r="A110" t="str">
            <v>날개벽6</v>
          </cell>
          <cell r="B110" t="str">
            <v>H=1.2M</v>
          </cell>
          <cell r="C110" t="str">
            <v>개소</v>
          </cell>
          <cell r="D110">
            <v>1</v>
          </cell>
          <cell r="E110">
            <v>1118442</v>
          </cell>
          <cell r="F110">
            <v>1118442</v>
          </cell>
          <cell r="G110">
            <v>927069</v>
          </cell>
          <cell r="H110">
            <v>927069</v>
          </cell>
          <cell r="I110">
            <v>7575</v>
          </cell>
          <cell r="J110">
            <v>7575</v>
          </cell>
          <cell r="K110">
            <v>2053086</v>
          </cell>
          <cell r="L110">
            <v>2053086</v>
          </cell>
          <cell r="M110" t="str">
            <v>No.64</v>
          </cell>
        </row>
        <row r="111">
          <cell r="A111" t="str">
            <v>날개벽7</v>
          </cell>
          <cell r="B111" t="str">
            <v>H=1.1M</v>
          </cell>
          <cell r="C111" t="str">
            <v>개소</v>
          </cell>
          <cell r="D111">
            <v>1</v>
          </cell>
          <cell r="E111">
            <v>1502964</v>
          </cell>
          <cell r="F111">
            <v>1502964</v>
          </cell>
          <cell r="G111">
            <v>1238854</v>
          </cell>
          <cell r="H111">
            <v>1238854</v>
          </cell>
          <cell r="I111">
            <v>9783</v>
          </cell>
          <cell r="J111">
            <v>9783</v>
          </cell>
          <cell r="K111">
            <v>2751601</v>
          </cell>
          <cell r="L111">
            <v>2751601</v>
          </cell>
          <cell r="M111" t="str">
            <v>No.65</v>
          </cell>
        </row>
        <row r="112">
          <cell r="A112" t="str">
            <v>날개벽8</v>
          </cell>
          <cell r="B112" t="str">
            <v>H=0.8M</v>
          </cell>
          <cell r="C112" t="str">
            <v>개소</v>
          </cell>
          <cell r="D112">
            <v>1</v>
          </cell>
          <cell r="E112">
            <v>1745431</v>
          </cell>
          <cell r="F112">
            <v>1745431</v>
          </cell>
          <cell r="G112">
            <v>1359185</v>
          </cell>
          <cell r="H112">
            <v>1359185</v>
          </cell>
          <cell r="I112">
            <v>7382</v>
          </cell>
          <cell r="J112">
            <v>7382</v>
          </cell>
          <cell r="K112">
            <v>3111998</v>
          </cell>
          <cell r="L112">
            <v>3111998</v>
          </cell>
          <cell r="M112" t="str">
            <v>No.66</v>
          </cell>
        </row>
        <row r="113">
          <cell r="A113" t="str">
            <v>장식벽쌓기</v>
          </cell>
          <cell r="B113" t="str">
            <v>H450</v>
          </cell>
          <cell r="C113" t="str">
            <v>M</v>
          </cell>
          <cell r="D113">
            <v>58.4</v>
          </cell>
          <cell r="E113">
            <v>71713</v>
          </cell>
          <cell r="F113">
            <v>4188039</v>
          </cell>
          <cell r="G113">
            <v>104858</v>
          </cell>
          <cell r="H113">
            <v>6123707</v>
          </cell>
          <cell r="I113">
            <v>266</v>
          </cell>
          <cell r="J113">
            <v>15534</v>
          </cell>
          <cell r="K113">
            <v>176837</v>
          </cell>
          <cell r="L113">
            <v>10327280</v>
          </cell>
          <cell r="M113" t="str">
            <v>No.67</v>
          </cell>
        </row>
        <row r="114">
          <cell r="A114" t="str">
            <v>맹암거</v>
          </cell>
          <cell r="B114" t="str">
            <v>유공관, 150MM</v>
          </cell>
          <cell r="C114" t="str">
            <v>M</v>
          </cell>
          <cell r="D114">
            <v>34.299999999999997</v>
          </cell>
          <cell r="E114">
            <v>13083</v>
          </cell>
          <cell r="F114">
            <v>448747</v>
          </cell>
          <cell r="G114">
            <v>9474</v>
          </cell>
          <cell r="H114">
            <v>324958</v>
          </cell>
          <cell r="I114">
            <v>114</v>
          </cell>
          <cell r="J114">
            <v>3910</v>
          </cell>
          <cell r="K114">
            <v>22671</v>
          </cell>
          <cell r="L114">
            <v>777615</v>
          </cell>
          <cell r="M114" t="str">
            <v>No.68</v>
          </cell>
        </row>
        <row r="115">
          <cell r="A115" t="str">
            <v>맹암거</v>
          </cell>
          <cell r="B115" t="str">
            <v>유공관, 100MM</v>
          </cell>
          <cell r="C115" t="str">
            <v>M</v>
          </cell>
          <cell r="D115">
            <v>60.9</v>
          </cell>
          <cell r="E115">
            <v>10749</v>
          </cell>
          <cell r="F115">
            <v>654614</v>
          </cell>
          <cell r="G115">
            <v>9333</v>
          </cell>
          <cell r="H115">
            <v>568379</v>
          </cell>
          <cell r="I115">
            <v>109</v>
          </cell>
          <cell r="J115">
            <v>6638</v>
          </cell>
          <cell r="K115">
            <v>20191</v>
          </cell>
          <cell r="L115">
            <v>1229631</v>
          </cell>
          <cell r="M115" t="str">
            <v>No.69</v>
          </cell>
        </row>
        <row r="116">
          <cell r="A116" t="str">
            <v>집 수 정</v>
          </cell>
          <cell r="B116" t="str">
            <v>300X400X500</v>
          </cell>
          <cell r="C116" t="str">
            <v>개소</v>
          </cell>
          <cell r="D116">
            <v>1</v>
          </cell>
          <cell r="E116">
            <v>78330</v>
          </cell>
          <cell r="F116">
            <v>78330</v>
          </cell>
          <cell r="G116">
            <v>38414</v>
          </cell>
          <cell r="H116">
            <v>38414</v>
          </cell>
          <cell r="I116">
            <v>0</v>
          </cell>
          <cell r="J116">
            <v>0</v>
          </cell>
          <cell r="K116">
            <v>116744</v>
          </cell>
          <cell r="L116">
            <v>116744</v>
          </cell>
          <cell r="M116" t="str">
            <v>No.70</v>
          </cell>
        </row>
        <row r="117">
          <cell r="A117" t="str">
            <v>연결관부설</v>
          </cell>
          <cell r="B117" t="str">
            <v>D300MM인력부설</v>
          </cell>
          <cell r="C117" t="str">
            <v>M</v>
          </cell>
          <cell r="D117">
            <v>19</v>
          </cell>
          <cell r="E117">
            <v>23249</v>
          </cell>
          <cell r="F117">
            <v>441731</v>
          </cell>
          <cell r="G117">
            <v>1624</v>
          </cell>
          <cell r="H117">
            <v>30856</v>
          </cell>
          <cell r="I117">
            <v>0</v>
          </cell>
          <cell r="J117">
            <v>0</v>
          </cell>
          <cell r="K117">
            <v>24873</v>
          </cell>
          <cell r="L117">
            <v>472587</v>
          </cell>
          <cell r="M117" t="str">
            <v>No.71</v>
          </cell>
        </row>
        <row r="128">
          <cell r="A128" t="str">
            <v>3.조경포장공</v>
          </cell>
          <cell r="C128" t="str">
            <v>식</v>
          </cell>
          <cell r="D128">
            <v>1</v>
          </cell>
          <cell r="F128">
            <v>120764109</v>
          </cell>
          <cell r="H128">
            <v>63777058</v>
          </cell>
          <cell r="J128">
            <v>267271</v>
          </cell>
          <cell r="K128">
            <v>0</v>
          </cell>
          <cell r="L128">
            <v>184808438</v>
          </cell>
        </row>
        <row r="129">
          <cell r="A129" t="str">
            <v>디딤돌놓기</v>
          </cell>
          <cell r="B129" t="str">
            <v>T30</v>
          </cell>
          <cell r="C129" t="str">
            <v>M2</v>
          </cell>
          <cell r="D129">
            <v>120.1</v>
          </cell>
          <cell r="E129">
            <v>8161</v>
          </cell>
          <cell r="F129">
            <v>980136</v>
          </cell>
          <cell r="G129">
            <v>6491</v>
          </cell>
          <cell r="H129">
            <v>779569</v>
          </cell>
          <cell r="I129">
            <v>28</v>
          </cell>
          <cell r="J129">
            <v>3363</v>
          </cell>
          <cell r="K129">
            <v>14680</v>
          </cell>
          <cell r="L129">
            <v>1763068</v>
          </cell>
          <cell r="M129" t="str">
            <v>No.72</v>
          </cell>
        </row>
        <row r="130">
          <cell r="A130" t="str">
            <v>점토벽돌포장</v>
          </cell>
          <cell r="B130" t="str">
            <v>230X114X50</v>
          </cell>
          <cell r="C130" t="str">
            <v>M2</v>
          </cell>
          <cell r="D130">
            <v>335.8</v>
          </cell>
          <cell r="E130">
            <v>32140</v>
          </cell>
          <cell r="F130">
            <v>10792612</v>
          </cell>
          <cell r="G130">
            <v>15652</v>
          </cell>
          <cell r="H130">
            <v>5255942</v>
          </cell>
          <cell r="I130">
            <v>98</v>
          </cell>
          <cell r="J130">
            <v>32908</v>
          </cell>
          <cell r="K130">
            <v>47890</v>
          </cell>
          <cell r="L130">
            <v>16081462</v>
          </cell>
          <cell r="M130" t="str">
            <v>No.73</v>
          </cell>
        </row>
        <row r="131">
          <cell r="A131" t="str">
            <v>점토벽돌포장(부지내)</v>
          </cell>
          <cell r="B131" t="str">
            <v>230X114X76</v>
          </cell>
          <cell r="C131" t="str">
            <v>M2</v>
          </cell>
          <cell r="D131">
            <v>992.6</v>
          </cell>
          <cell r="E131">
            <v>49293</v>
          </cell>
          <cell r="F131">
            <v>48928232</v>
          </cell>
          <cell r="G131">
            <v>15727</v>
          </cell>
          <cell r="H131">
            <v>15610620</v>
          </cell>
          <cell r="I131">
            <v>108</v>
          </cell>
          <cell r="J131">
            <v>107200</v>
          </cell>
          <cell r="K131">
            <v>65128</v>
          </cell>
          <cell r="L131">
            <v>64646052</v>
          </cell>
          <cell r="M131" t="str">
            <v>No.74</v>
          </cell>
        </row>
        <row r="132">
          <cell r="A132" t="str">
            <v>점토벽돌포장(부지외)</v>
          </cell>
          <cell r="B132" t="str">
            <v>230X114X76</v>
          </cell>
          <cell r="C132" t="str">
            <v>M2</v>
          </cell>
          <cell r="D132">
            <v>419.4</v>
          </cell>
          <cell r="E132">
            <v>49293</v>
          </cell>
          <cell r="F132">
            <v>20673484</v>
          </cell>
          <cell r="G132">
            <v>15727</v>
          </cell>
          <cell r="H132">
            <v>6595904</v>
          </cell>
          <cell r="I132">
            <v>108</v>
          </cell>
          <cell r="J132">
            <v>45295</v>
          </cell>
          <cell r="K132">
            <v>65128</v>
          </cell>
          <cell r="L132">
            <v>27314683</v>
          </cell>
          <cell r="M132" t="str">
            <v>No.75</v>
          </cell>
        </row>
        <row r="133">
          <cell r="A133" t="str">
            <v>피그먼트콘크리트포장</v>
          </cell>
          <cell r="C133" t="str">
            <v>M2</v>
          </cell>
          <cell r="D133">
            <v>63</v>
          </cell>
          <cell r="E133">
            <v>24642</v>
          </cell>
          <cell r="F133">
            <v>1552446</v>
          </cell>
          <cell r="G133">
            <v>21973</v>
          </cell>
          <cell r="H133">
            <v>1384299</v>
          </cell>
          <cell r="I133">
            <v>82</v>
          </cell>
          <cell r="J133">
            <v>5166</v>
          </cell>
          <cell r="K133">
            <v>46697</v>
          </cell>
          <cell r="L133">
            <v>2941911</v>
          </cell>
          <cell r="M133" t="str">
            <v>No.76</v>
          </cell>
        </row>
        <row r="134">
          <cell r="A134" t="str">
            <v>자연석판석포장</v>
          </cell>
          <cell r="B134" t="str">
            <v>T50㎜</v>
          </cell>
          <cell r="C134" t="str">
            <v>㎡</v>
          </cell>
          <cell r="D134">
            <v>137.1</v>
          </cell>
          <cell r="E134">
            <v>38174</v>
          </cell>
          <cell r="F134">
            <v>5233655</v>
          </cell>
          <cell r="G134">
            <v>15091</v>
          </cell>
          <cell r="H134">
            <v>2068976</v>
          </cell>
          <cell r="I134">
            <v>121</v>
          </cell>
          <cell r="J134">
            <v>16589</v>
          </cell>
          <cell r="K134">
            <v>53386</v>
          </cell>
          <cell r="L134">
            <v>7319220</v>
          </cell>
          <cell r="M134" t="str">
            <v>No.77</v>
          </cell>
        </row>
        <row r="135">
          <cell r="A135" t="str">
            <v>화강석판석포장</v>
          </cell>
          <cell r="B135" t="str">
            <v>T30</v>
          </cell>
          <cell r="C135" t="str">
            <v>M2</v>
          </cell>
          <cell r="D135">
            <v>158</v>
          </cell>
          <cell r="E135">
            <v>45273</v>
          </cell>
          <cell r="F135">
            <v>7153134</v>
          </cell>
          <cell r="G135">
            <v>53220</v>
          </cell>
          <cell r="H135">
            <v>8408760</v>
          </cell>
          <cell r="I135">
            <v>114</v>
          </cell>
          <cell r="J135">
            <v>18012</v>
          </cell>
          <cell r="K135">
            <v>98607</v>
          </cell>
          <cell r="L135">
            <v>15579906</v>
          </cell>
          <cell r="M135" t="str">
            <v>No.78</v>
          </cell>
        </row>
        <row r="136">
          <cell r="A136" t="str">
            <v>화강석경계석(직선)</v>
          </cell>
          <cell r="B136" t="str">
            <v>150X150X1000</v>
          </cell>
          <cell r="C136" t="str">
            <v>M</v>
          </cell>
          <cell r="D136">
            <v>460</v>
          </cell>
          <cell r="E136">
            <v>14362</v>
          </cell>
          <cell r="F136">
            <v>6606520</v>
          </cell>
          <cell r="G136">
            <v>20574</v>
          </cell>
          <cell r="H136">
            <v>9464040</v>
          </cell>
          <cell r="I136">
            <v>30</v>
          </cell>
          <cell r="J136">
            <v>13800</v>
          </cell>
          <cell r="K136">
            <v>34966</v>
          </cell>
          <cell r="L136">
            <v>16084360</v>
          </cell>
          <cell r="M136" t="str">
            <v>No.79</v>
          </cell>
        </row>
        <row r="137">
          <cell r="A137" t="str">
            <v>화강석경계석(곡선)</v>
          </cell>
          <cell r="B137" t="str">
            <v>150X150X1000</v>
          </cell>
          <cell r="C137" t="str">
            <v>M</v>
          </cell>
          <cell r="D137">
            <v>81</v>
          </cell>
          <cell r="E137">
            <v>23529</v>
          </cell>
          <cell r="F137">
            <v>1905849</v>
          </cell>
          <cell r="G137">
            <v>20574</v>
          </cell>
          <cell r="H137">
            <v>1666494</v>
          </cell>
          <cell r="I137">
            <v>30</v>
          </cell>
          <cell r="J137">
            <v>2430</v>
          </cell>
          <cell r="K137">
            <v>44133</v>
          </cell>
          <cell r="L137">
            <v>3574773</v>
          </cell>
          <cell r="M137" t="str">
            <v>No.80</v>
          </cell>
        </row>
        <row r="138">
          <cell r="A138" t="str">
            <v>보차도용경계석(직선)</v>
          </cell>
          <cell r="B138" t="str">
            <v>200X250X1000</v>
          </cell>
          <cell r="C138" t="str">
            <v>M</v>
          </cell>
          <cell r="D138">
            <v>420.8</v>
          </cell>
          <cell r="E138">
            <v>29193</v>
          </cell>
          <cell r="F138">
            <v>12284414</v>
          </cell>
          <cell r="G138">
            <v>22846</v>
          </cell>
          <cell r="H138">
            <v>9613597</v>
          </cell>
          <cell r="I138">
            <v>41</v>
          </cell>
          <cell r="J138">
            <v>17253</v>
          </cell>
          <cell r="K138">
            <v>52080</v>
          </cell>
          <cell r="L138">
            <v>21915264</v>
          </cell>
          <cell r="M138" t="str">
            <v>No.81</v>
          </cell>
        </row>
        <row r="139">
          <cell r="A139" t="str">
            <v>보차도용경계석(곡선)</v>
          </cell>
          <cell r="B139" t="str">
            <v>200X250X1000</v>
          </cell>
          <cell r="C139" t="str">
            <v>M</v>
          </cell>
          <cell r="D139">
            <v>46.2</v>
          </cell>
          <cell r="E139">
            <v>44983</v>
          </cell>
          <cell r="F139">
            <v>2078215</v>
          </cell>
          <cell r="G139">
            <v>22846</v>
          </cell>
          <cell r="H139">
            <v>1055485</v>
          </cell>
          <cell r="I139">
            <v>41</v>
          </cell>
          <cell r="J139">
            <v>1894</v>
          </cell>
          <cell r="K139">
            <v>67870</v>
          </cell>
          <cell r="L139">
            <v>3135594</v>
          </cell>
          <cell r="M139" t="str">
            <v>No.82</v>
          </cell>
        </row>
        <row r="140">
          <cell r="A140" t="str">
            <v>보차도용경계석(직선,부지외)</v>
          </cell>
          <cell r="B140" t="str">
            <v>200X250X1000</v>
          </cell>
          <cell r="C140" t="str">
            <v>M</v>
          </cell>
          <cell r="D140">
            <v>70.5</v>
          </cell>
          <cell r="E140">
            <v>29193</v>
          </cell>
          <cell r="F140">
            <v>2058107</v>
          </cell>
          <cell r="G140">
            <v>22846</v>
          </cell>
          <cell r="H140">
            <v>1610643</v>
          </cell>
          <cell r="I140">
            <v>41</v>
          </cell>
          <cell r="J140">
            <v>2890</v>
          </cell>
          <cell r="K140">
            <v>52080</v>
          </cell>
          <cell r="L140">
            <v>3671640</v>
          </cell>
          <cell r="M140" t="str">
            <v>No.81</v>
          </cell>
        </row>
        <row r="141">
          <cell r="A141" t="str">
            <v>보차도용경계석(곡선,부지외)</v>
          </cell>
          <cell r="B141" t="str">
            <v>200X250X1000</v>
          </cell>
          <cell r="C141" t="str">
            <v>M</v>
          </cell>
          <cell r="D141">
            <v>11.5</v>
          </cell>
          <cell r="E141">
            <v>44983</v>
          </cell>
          <cell r="F141">
            <v>517305</v>
          </cell>
          <cell r="G141">
            <v>22846</v>
          </cell>
          <cell r="H141">
            <v>262729</v>
          </cell>
          <cell r="I141">
            <v>41</v>
          </cell>
          <cell r="J141">
            <v>471</v>
          </cell>
          <cell r="K141">
            <v>67870</v>
          </cell>
          <cell r="L141">
            <v>780505</v>
          </cell>
          <cell r="M141" t="str">
            <v>No.82</v>
          </cell>
        </row>
        <row r="153">
          <cell r="A153" t="str">
            <v>4.부 대 공</v>
          </cell>
          <cell r="C153" t="str">
            <v>식</v>
          </cell>
          <cell r="D153">
            <v>1</v>
          </cell>
          <cell r="F153">
            <v>1229956</v>
          </cell>
          <cell r="H153">
            <v>872354</v>
          </cell>
          <cell r="J153">
            <v>960755</v>
          </cell>
          <cell r="K153">
            <v>0</v>
          </cell>
          <cell r="L153">
            <v>3063065</v>
          </cell>
        </row>
        <row r="154">
          <cell r="A154" t="str">
            <v>가.자재운반</v>
          </cell>
          <cell r="D154">
            <v>0</v>
          </cell>
          <cell r="E154">
            <v>0</v>
          </cell>
          <cell r="F154">
            <v>1229956</v>
          </cell>
          <cell r="G154">
            <v>0</v>
          </cell>
          <cell r="H154">
            <v>872354</v>
          </cell>
          <cell r="I154">
            <v>0</v>
          </cell>
          <cell r="J154">
            <v>960755</v>
          </cell>
          <cell r="K154">
            <v>0</v>
          </cell>
          <cell r="L154">
            <v>3063065</v>
          </cell>
        </row>
        <row r="155">
          <cell r="A155" t="str">
            <v>잡석 운반(D.T10.5TON)</v>
          </cell>
          <cell r="B155" t="str">
            <v>L= 25.0KM</v>
          </cell>
          <cell r="C155" t="str">
            <v>M3</v>
          </cell>
          <cell r="D155">
            <v>286.77</v>
          </cell>
          <cell r="E155">
            <v>4289</v>
          </cell>
          <cell r="F155">
            <v>1229956</v>
          </cell>
          <cell r="G155">
            <v>3042</v>
          </cell>
          <cell r="H155">
            <v>872354</v>
          </cell>
          <cell r="I155">
            <v>2222</v>
          </cell>
          <cell r="J155">
            <v>637203</v>
          </cell>
          <cell r="K155">
            <v>9553</v>
          </cell>
          <cell r="L155">
            <v>2739513</v>
          </cell>
          <cell r="M155" t="str">
            <v>#.2</v>
          </cell>
        </row>
        <row r="156">
          <cell r="A156" t="str">
            <v>시멘트 운반</v>
          </cell>
          <cell r="B156" t="str">
            <v>L=25KM</v>
          </cell>
          <cell r="C156" t="str">
            <v>대</v>
          </cell>
          <cell r="D156">
            <v>541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491</v>
          </cell>
          <cell r="J156">
            <v>265631</v>
          </cell>
          <cell r="K156">
            <v>491</v>
          </cell>
          <cell r="L156">
            <v>265631</v>
          </cell>
          <cell r="M156" t="str">
            <v>#.3</v>
          </cell>
        </row>
        <row r="157">
          <cell r="A157" t="str">
            <v>철근 운반</v>
          </cell>
          <cell r="B157" t="str">
            <v>L=25KM</v>
          </cell>
          <cell r="C157" t="str">
            <v>TON</v>
          </cell>
          <cell r="D157">
            <v>4.34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13346</v>
          </cell>
          <cell r="J157">
            <v>57921</v>
          </cell>
          <cell r="K157">
            <v>13346</v>
          </cell>
          <cell r="L157">
            <v>57921</v>
          </cell>
          <cell r="M157" t="str">
            <v>#.4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선급금"/>
      <sheetName val="선급금지급조건"/>
      <sheetName val="선급금신청서"/>
      <sheetName val="각서"/>
      <sheetName val="사용계획서"/>
      <sheetName val="카메라"/>
      <sheetName val="Sheet1"/>
      <sheetName val="Sheet2"/>
      <sheetName val="Sheet3"/>
      <sheetName val="내역서"/>
      <sheetName val="원가서"/>
      <sheetName val="차액보증"/>
    </sheetNames>
    <sheetDataSet>
      <sheetData sheetId="0"/>
      <sheetData sheetId="1"/>
      <sheetData sheetId="2" refreshError="1">
        <row r="1">
          <cell r="A1" t="str">
            <v>선 급 금 신 청 서</v>
          </cell>
        </row>
        <row r="3">
          <cell r="A3">
            <v>1</v>
          </cell>
          <cell r="B3" t="str">
            <v>.</v>
          </cell>
        </row>
        <row r="5">
          <cell r="A5">
            <v>2</v>
          </cell>
          <cell r="B5" t="str">
            <v>.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  <sheetName val="선급금신청서"/>
      <sheetName val="실행철강하도"/>
      <sheetName val="내역서"/>
      <sheetName val="터파기및재료"/>
      <sheetName val="여과지동"/>
      <sheetName val="기초자료"/>
      <sheetName val="(A)내역서"/>
      <sheetName val="터널조도"/>
      <sheetName val="Sheet1_(2)"/>
      <sheetName val="시설수량표"/>
      <sheetName val="Sheet1_(2)1"/>
      <sheetName val="단위단가"/>
      <sheetName val="개요"/>
      <sheetName val="설비"/>
      <sheetName val="산출내역서집계표"/>
      <sheetName val="산출근거"/>
      <sheetName val="자재단가"/>
      <sheetName val="대가표(품셈)"/>
      <sheetName val="확인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000000"/>
      <sheetName val="세훈 (2)"/>
      <sheetName val="Sheet1"/>
      <sheetName val="직재"/>
      <sheetName val="선급금신청서"/>
      <sheetName val="부하계산서"/>
      <sheetName val="COVER"/>
      <sheetName val="2공구산출내역"/>
      <sheetName val="터파기및재료"/>
      <sheetName val="시화점실행"/>
      <sheetName val="실행철강하도"/>
      <sheetName val="총괄표"/>
      <sheetName val="설비"/>
      <sheetName val="대가표(품셈)"/>
      <sheetName val="부하(성남)"/>
      <sheetName val="개요"/>
      <sheetName val="수량산출"/>
      <sheetName val="EP0618"/>
      <sheetName val="노임단가"/>
      <sheetName val="원가,내역,관급,한전,일위"/>
      <sheetName val="일위대가(가설)"/>
      <sheetName val="산출내역서집계표"/>
      <sheetName val="자재단가"/>
      <sheetName val="터널조도"/>
      <sheetName val="인건-측정"/>
      <sheetName val="일위대가"/>
      <sheetName val="신우"/>
      <sheetName val="DATE"/>
      <sheetName val="일위대가(1)"/>
      <sheetName val="총괄내역서"/>
      <sheetName val="데리네이타현황"/>
      <sheetName val="여과지동"/>
      <sheetName val="기초자료"/>
      <sheetName val="건축"/>
      <sheetName val="토공(우물통,기타) "/>
      <sheetName val="대치판정"/>
      <sheetName val="토사(PE)"/>
      <sheetName val="3련 BOX"/>
      <sheetName val="옥외등신설"/>
      <sheetName val="옥외등철거"/>
      <sheetName val="철주신설"/>
      <sheetName val="콘주철거"/>
      <sheetName val="수량산출서"/>
      <sheetName val="22수량"/>
      <sheetName val="견적대비"/>
      <sheetName val="일위(설)"/>
      <sheetName val="실내건축일위대가"/>
      <sheetName val="NEAYUK"/>
      <sheetName val="원가서"/>
      <sheetName val="시설물기초"/>
      <sheetName val="일위대가목차"/>
      <sheetName val="공통가설"/>
      <sheetName val="단가"/>
      <sheetName val="공사비증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 (콜스)"/>
      <sheetName val="내역서"/>
      <sheetName val="일위대가"/>
      <sheetName val="기술조건"/>
      <sheetName val="물가자료"/>
      <sheetName val="차액보증"/>
      <sheetName val="Sheet1"/>
      <sheetName val="원하대비"/>
      <sheetName val="원도급"/>
      <sheetName val="하도급"/>
      <sheetName val="저"/>
      <sheetName val="차선도색현황"/>
      <sheetName val="원가서"/>
      <sheetName val="신천3호용수로"/>
      <sheetName val="공사비증감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E"/>
      <sheetName val="내역서"/>
      <sheetName val="실행철강하도"/>
      <sheetName val="9GNG운반"/>
      <sheetName val="표지"/>
      <sheetName val="선급금신청서"/>
      <sheetName val="일반수량총괄집계"/>
      <sheetName val="터파기및재료"/>
      <sheetName val="영업총괄"/>
      <sheetName val="영업권1114"/>
      <sheetName val="비준표"/>
      <sheetName val="견적서 N"/>
      <sheetName val="지장물-181(2)"/>
      <sheetName val="2000년1차"/>
      <sheetName val="24분기"/>
      <sheetName val="오산LPP"/>
      <sheetName val="물건조서"/>
      <sheetName val="이름표"/>
      <sheetName val="data"/>
      <sheetName val="회사정보"/>
      <sheetName val="제품수불내역"/>
      <sheetName val="인원계획-미화"/>
      <sheetName val="조명시설"/>
      <sheetName val="주차구획선수량"/>
      <sheetName val="공사비증감"/>
      <sheetName val="수량집계"/>
      <sheetName val="간선토공재집"/>
      <sheetName val="지선토공재집"/>
      <sheetName val="점상송수토공"/>
      <sheetName val="정암송수토공"/>
      <sheetName val="산출근거"/>
      <sheetName val="ABUT수량-A1"/>
      <sheetName val="코드표"/>
      <sheetName val="단위수량"/>
      <sheetName val="Sheet1"/>
      <sheetName val="3련 BOX"/>
      <sheetName val="일위대가"/>
      <sheetName val="단가산출서"/>
      <sheetName val="여과지동"/>
      <sheetName val="기초자료"/>
    </sheetNames>
    <sheetDataSet>
      <sheetData sheetId="0" refreshError="1">
        <row r="24">
          <cell r="C24" t="str">
            <v>D=100×11¼˚</v>
          </cell>
        </row>
        <row r="25">
          <cell r="C25" t="str">
            <v>D=150×11¼˚</v>
          </cell>
        </row>
        <row r="26">
          <cell r="C26" t="str">
            <v>D=100×11¼˚</v>
          </cell>
        </row>
        <row r="27">
          <cell r="C27" t="str">
            <v>D=100×22½˚</v>
          </cell>
        </row>
        <row r="28">
          <cell r="C28" t="str">
            <v>D=150×22½˚</v>
          </cell>
        </row>
        <row r="29">
          <cell r="C29" t="str">
            <v>D=100×22½˚</v>
          </cell>
        </row>
        <row r="30">
          <cell r="C30" t="str">
            <v>D=100×45˚</v>
          </cell>
        </row>
        <row r="31">
          <cell r="C31" t="str">
            <v>D=150×45˚</v>
          </cell>
        </row>
        <row r="32">
          <cell r="C32" t="str">
            <v>D=100×45˚</v>
          </cell>
        </row>
        <row r="33">
          <cell r="C33" t="str">
            <v>D=100×90˚</v>
          </cell>
        </row>
        <row r="34">
          <cell r="C34" t="str">
            <v>D=100×90˚</v>
          </cell>
        </row>
        <row r="35">
          <cell r="C35" t="str">
            <v>D=100×90˚</v>
          </cell>
        </row>
        <row r="36">
          <cell r="C36" t="str">
            <v>D=100×100</v>
          </cell>
        </row>
        <row r="37">
          <cell r="C37" t="str">
            <v>D=100×100</v>
          </cell>
        </row>
        <row r="38">
          <cell r="C38" t="str">
            <v>D=100×100</v>
          </cell>
        </row>
        <row r="39">
          <cell r="C39" t="str">
            <v>D=100×100</v>
          </cell>
        </row>
        <row r="40">
          <cell r="C40" t="str">
            <v>D=100×100</v>
          </cell>
        </row>
        <row r="41">
          <cell r="C41" t="str">
            <v>D=100×100</v>
          </cell>
        </row>
        <row r="42">
          <cell r="C42" t="str">
            <v>D=80</v>
          </cell>
        </row>
        <row r="43">
          <cell r="C43" t="str">
            <v>D=100</v>
          </cell>
        </row>
        <row r="44">
          <cell r="C44" t="str">
            <v>D=150</v>
          </cell>
        </row>
        <row r="45">
          <cell r="C45" t="str">
            <v>D=200</v>
          </cell>
        </row>
        <row r="46">
          <cell r="C46" t="str">
            <v>D=250</v>
          </cell>
        </row>
        <row r="47">
          <cell r="C47" t="str">
            <v>D=300</v>
          </cell>
        </row>
        <row r="48">
          <cell r="C48" t="str">
            <v>D=80</v>
          </cell>
        </row>
        <row r="49">
          <cell r="C49" t="str">
            <v>D=100</v>
          </cell>
        </row>
        <row r="50">
          <cell r="C50" t="str">
            <v>D=150</v>
          </cell>
        </row>
        <row r="51">
          <cell r="C51" t="str">
            <v>D=200</v>
          </cell>
        </row>
        <row r="52">
          <cell r="C52" t="str">
            <v>D=250</v>
          </cell>
        </row>
        <row r="53">
          <cell r="C53" t="str">
            <v>D=300</v>
          </cell>
        </row>
        <row r="54">
          <cell r="C54" t="str">
            <v>D=80</v>
          </cell>
        </row>
        <row r="55">
          <cell r="C55" t="str">
            <v>D=100</v>
          </cell>
        </row>
        <row r="56">
          <cell r="C56" t="str">
            <v>D=150</v>
          </cell>
        </row>
        <row r="57">
          <cell r="C57" t="str">
            <v>D=200</v>
          </cell>
        </row>
        <row r="58">
          <cell r="C58" t="str">
            <v>D=300</v>
          </cell>
        </row>
        <row r="59">
          <cell r="C59" t="str">
            <v>D=80</v>
          </cell>
        </row>
        <row r="60">
          <cell r="C60" t="str">
            <v>D=100</v>
          </cell>
        </row>
        <row r="61">
          <cell r="C61" t="str">
            <v>D=80</v>
          </cell>
          <cell r="J61" t="str">
            <v>＋</v>
          </cell>
        </row>
        <row r="62">
          <cell r="C62" t="str">
            <v>D=100</v>
          </cell>
          <cell r="J62" t="str">
            <v>＋</v>
          </cell>
        </row>
        <row r="63">
          <cell r="C63" t="str">
            <v>D=100</v>
          </cell>
          <cell r="J63" t="str">
            <v>＋</v>
          </cell>
        </row>
        <row r="64">
          <cell r="C64" t="str">
            <v>D=100</v>
          </cell>
          <cell r="J64" t="str">
            <v>＋</v>
          </cell>
        </row>
        <row r="65">
          <cell r="C65" t="str">
            <v>D=100</v>
          </cell>
          <cell r="J65" t="str">
            <v>＋</v>
          </cell>
        </row>
        <row r="66">
          <cell r="C66" t="str">
            <v>D=100</v>
          </cell>
          <cell r="J66" t="str">
            <v>＋</v>
          </cell>
        </row>
        <row r="67">
          <cell r="C67" t="str">
            <v>D=100</v>
          </cell>
          <cell r="J67" t="str">
            <v>＋</v>
          </cell>
        </row>
        <row r="68">
          <cell r="C68" t="str">
            <v>D=100</v>
          </cell>
          <cell r="J68" t="str">
            <v>＋</v>
          </cell>
        </row>
        <row r="69">
          <cell r="C69" t="str">
            <v>D=125</v>
          </cell>
          <cell r="J69" t="str">
            <v>＋</v>
          </cell>
        </row>
        <row r="70">
          <cell r="C70" t="str">
            <v>D=150</v>
          </cell>
          <cell r="J70" t="str">
            <v>＋</v>
          </cell>
        </row>
        <row r="71">
          <cell r="C71" t="str">
            <v>D=200</v>
          </cell>
          <cell r="J71" t="str">
            <v>＋</v>
          </cell>
        </row>
        <row r="72">
          <cell r="C72" t="str">
            <v>D=250</v>
          </cell>
          <cell r="J72" t="str">
            <v>＋</v>
          </cell>
        </row>
        <row r="73">
          <cell r="C73" t="str">
            <v>D=300</v>
          </cell>
          <cell r="J73" t="str">
            <v>＋</v>
          </cell>
        </row>
        <row r="74">
          <cell r="C74" t="str">
            <v>D=350</v>
          </cell>
          <cell r="J74" t="str">
            <v>＋</v>
          </cell>
        </row>
        <row r="75">
          <cell r="C75" t="str">
            <v>D=400</v>
          </cell>
          <cell r="J75" t="str">
            <v>＋</v>
          </cell>
        </row>
        <row r="76">
          <cell r="C76" t="str">
            <v>D=450</v>
          </cell>
          <cell r="J76" t="str">
            <v>＋</v>
          </cell>
        </row>
        <row r="77">
          <cell r="C77" t="str">
            <v>D=500</v>
          </cell>
          <cell r="J77" t="str">
            <v>＋</v>
          </cell>
        </row>
        <row r="78">
          <cell r="C78" t="str">
            <v>D=600</v>
          </cell>
          <cell r="J78" t="str">
            <v>＋</v>
          </cell>
        </row>
        <row r="79">
          <cell r="C79" t="str">
            <v>D=700</v>
          </cell>
          <cell r="J79" t="str">
            <v>＋</v>
          </cell>
        </row>
        <row r="80">
          <cell r="C80" t="str">
            <v>D=800</v>
          </cell>
          <cell r="J80" t="str">
            <v>＋</v>
          </cell>
        </row>
        <row r="81">
          <cell r="C81" t="str">
            <v>D=900</v>
          </cell>
          <cell r="J81" t="str">
            <v>＋</v>
          </cell>
        </row>
        <row r="82">
          <cell r="C82" t="str">
            <v>D=1000</v>
          </cell>
          <cell r="J82" t="str">
            <v>＋</v>
          </cell>
        </row>
        <row r="83">
          <cell r="C83" t="str">
            <v>D=1100</v>
          </cell>
          <cell r="J83" t="str">
            <v>＋</v>
          </cell>
        </row>
        <row r="84">
          <cell r="C84" t="str">
            <v>D=1200</v>
          </cell>
          <cell r="J84" t="str">
            <v>＋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비"/>
      <sheetName val="예산"/>
      <sheetName val="간지"/>
      <sheetName val="입찰"/>
      <sheetName val="내역"/>
      <sheetName val="목록"/>
      <sheetName val="대가"/>
      <sheetName val="자재"/>
      <sheetName val="노임"/>
      <sheetName val="공정표"/>
      <sheetName val="대가목록"/>
      <sheetName val="일위대가"/>
      <sheetName val="대가표(품셈)"/>
      <sheetName val="단위단가"/>
      <sheetName val="내역서"/>
      <sheetName val="토공(우물통,기타) "/>
      <sheetName val="DATE"/>
      <sheetName val="집 계 표"/>
      <sheetName val="표지"/>
      <sheetName val="원가계산서"/>
      <sheetName val="1단계"/>
      <sheetName val="Sheet5"/>
      <sheetName val="터파기및재료"/>
      <sheetName val="자재단가"/>
      <sheetName val="단가"/>
      <sheetName val="수량산출서-2"/>
      <sheetName val="입찰1"/>
      <sheetName val="관급현황"/>
      <sheetName val="원가서"/>
      <sheetName val="일위대가(1)"/>
      <sheetName val="06 일위대가목록"/>
      <sheetName val="#REF"/>
      <sheetName val="노무비단가"/>
      <sheetName val="직재"/>
      <sheetName val=" HIT-&gt;HMC 견적(3900)"/>
      <sheetName val="실행철강하도"/>
      <sheetName val="Sheet7(ㅅ)"/>
      <sheetName val="선급금신청서"/>
      <sheetName val="여과지동"/>
      <sheetName val="기초자료"/>
      <sheetName val="산출근거"/>
      <sheetName val="설비"/>
      <sheetName val="수량집계"/>
      <sheetName val="시설수량표"/>
      <sheetName val="본체"/>
      <sheetName val="공사비집계"/>
      <sheetName val="단가표"/>
      <sheetName val="공사비증감"/>
      <sheetName val="2공구산출내역"/>
      <sheetName val="기초목록"/>
      <sheetName val="단가(자재)"/>
      <sheetName val="우성교간선"/>
      <sheetName val="단면치수"/>
      <sheetName val="중기사용료산출근거"/>
      <sheetName val="개요"/>
      <sheetName val="품셈TABLE"/>
      <sheetName val="입찰안"/>
      <sheetName val="대비2"/>
      <sheetName val="날개벽수량표"/>
      <sheetName val="조명시설"/>
      <sheetName val="토적표,횡방향"/>
      <sheetName val="토사(PE)"/>
      <sheetName val="식재수량표"/>
      <sheetName val="백호우계수"/>
      <sheetName val="일위대가표"/>
      <sheetName val="Sheet1"/>
      <sheetName val="2련간지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D3" t="str">
            <v>소나무(강릉/특수)R30</v>
          </cell>
          <cell r="E3">
            <v>1</v>
          </cell>
          <cell r="F3" t="str">
            <v>주</v>
          </cell>
          <cell r="G3">
            <v>2141127</v>
          </cell>
          <cell r="H3">
            <v>2141127</v>
          </cell>
          <cell r="I3">
            <v>116802</v>
          </cell>
          <cell r="J3">
            <v>116802</v>
          </cell>
          <cell r="K3">
            <v>2011335</v>
          </cell>
          <cell r="L3">
            <v>2011335</v>
          </cell>
          <cell r="M3">
            <v>12990</v>
          </cell>
          <cell r="N3">
            <v>12990</v>
          </cell>
          <cell r="O3">
            <v>1</v>
          </cell>
        </row>
        <row r="4">
          <cell r="D4" t="str">
            <v>소나무(강릉/특수)R35</v>
          </cell>
          <cell r="E4">
            <v>1</v>
          </cell>
          <cell r="F4" t="str">
            <v>주</v>
          </cell>
          <cell r="G4">
            <v>2889684</v>
          </cell>
          <cell r="H4">
            <v>2889684</v>
          </cell>
          <cell r="I4">
            <v>151059</v>
          </cell>
          <cell r="J4">
            <v>151059</v>
          </cell>
          <cell r="K4">
            <v>2719852</v>
          </cell>
          <cell r="L4">
            <v>2719852</v>
          </cell>
          <cell r="M4">
            <v>18773</v>
          </cell>
          <cell r="N4">
            <v>18773</v>
          </cell>
          <cell r="O4">
            <v>2</v>
          </cell>
        </row>
        <row r="5">
          <cell r="D5" t="str">
            <v>소나무(강릉/특수)R40</v>
          </cell>
          <cell r="E5">
            <v>1</v>
          </cell>
          <cell r="F5" t="str">
            <v>주</v>
          </cell>
          <cell r="G5">
            <v>3642959</v>
          </cell>
          <cell r="H5">
            <v>3642959</v>
          </cell>
          <cell r="I5">
            <v>180264</v>
          </cell>
          <cell r="J5">
            <v>180264</v>
          </cell>
          <cell r="K5">
            <v>3419087</v>
          </cell>
          <cell r="L5">
            <v>3419087</v>
          </cell>
          <cell r="M5">
            <v>43608</v>
          </cell>
          <cell r="N5">
            <v>43608</v>
          </cell>
          <cell r="O5">
            <v>3</v>
          </cell>
        </row>
        <row r="6">
          <cell r="D6" t="str">
            <v>소나무(강릉/특수)R45</v>
          </cell>
          <cell r="E6">
            <v>1</v>
          </cell>
          <cell r="F6" t="str">
            <v>주</v>
          </cell>
          <cell r="G6">
            <v>5277498</v>
          </cell>
          <cell r="H6">
            <v>5277498</v>
          </cell>
          <cell r="I6">
            <v>205713</v>
          </cell>
          <cell r="J6">
            <v>205713</v>
          </cell>
          <cell r="K6">
            <v>5022829</v>
          </cell>
          <cell r="L6">
            <v>5022829</v>
          </cell>
          <cell r="M6">
            <v>48956</v>
          </cell>
          <cell r="N6">
            <v>48956</v>
          </cell>
          <cell r="O6">
            <v>4</v>
          </cell>
        </row>
        <row r="7">
          <cell r="D7" t="str">
            <v>소나무(강릉/특수)R50</v>
          </cell>
          <cell r="E7">
            <v>1</v>
          </cell>
          <cell r="F7" t="str">
            <v>주</v>
          </cell>
          <cell r="G7">
            <v>7540945</v>
          </cell>
          <cell r="H7">
            <v>7540945</v>
          </cell>
          <cell r="I7">
            <v>230763</v>
          </cell>
          <cell r="J7">
            <v>230763</v>
          </cell>
          <cell r="K7">
            <v>7231194</v>
          </cell>
          <cell r="L7">
            <v>7231194</v>
          </cell>
          <cell r="M7">
            <v>78988</v>
          </cell>
          <cell r="N7">
            <v>78988</v>
          </cell>
          <cell r="O7">
            <v>5</v>
          </cell>
        </row>
        <row r="8">
          <cell r="D8" t="str">
            <v>소나무(조형)H1.2xW2.0xR15</v>
          </cell>
          <cell r="E8">
            <v>1</v>
          </cell>
          <cell r="F8" t="str">
            <v>주</v>
          </cell>
          <cell r="G8">
            <v>2559292</v>
          </cell>
          <cell r="H8">
            <v>2559292</v>
          </cell>
          <cell r="I8">
            <v>52180</v>
          </cell>
          <cell r="J8">
            <v>52180</v>
          </cell>
          <cell r="K8">
            <v>2502628</v>
          </cell>
          <cell r="L8">
            <v>2502628</v>
          </cell>
          <cell r="M8">
            <v>4484</v>
          </cell>
          <cell r="N8">
            <v>4484</v>
          </cell>
          <cell r="O8">
            <v>6</v>
          </cell>
        </row>
        <row r="9">
          <cell r="D9" t="str">
            <v>소나무(조형)H2.0xW2.5xR20</v>
          </cell>
          <cell r="E9">
            <v>1</v>
          </cell>
          <cell r="F9" t="str">
            <v>주</v>
          </cell>
          <cell r="G9">
            <v>3085995</v>
          </cell>
          <cell r="H9">
            <v>3085995</v>
          </cell>
          <cell r="I9">
            <v>75586</v>
          </cell>
          <cell r="J9">
            <v>75586</v>
          </cell>
          <cell r="K9">
            <v>3003847</v>
          </cell>
          <cell r="L9">
            <v>3003847</v>
          </cell>
          <cell r="M9">
            <v>6562</v>
          </cell>
          <cell r="N9">
            <v>6562</v>
          </cell>
          <cell r="O9">
            <v>7</v>
          </cell>
        </row>
        <row r="10">
          <cell r="D10" t="str">
            <v>소나무(조형)H2.5xW1.2xR10</v>
          </cell>
          <cell r="E10">
            <v>1</v>
          </cell>
          <cell r="F10" t="str">
            <v>주</v>
          </cell>
          <cell r="G10">
            <v>570917</v>
          </cell>
          <cell r="H10">
            <v>570917</v>
          </cell>
          <cell r="I10">
            <v>30754</v>
          </cell>
          <cell r="J10">
            <v>30754</v>
          </cell>
          <cell r="K10">
            <v>537538</v>
          </cell>
          <cell r="L10">
            <v>537538</v>
          </cell>
          <cell r="M10">
            <v>2625</v>
          </cell>
          <cell r="N10">
            <v>2625</v>
          </cell>
          <cell r="O10">
            <v>8</v>
          </cell>
        </row>
        <row r="11">
          <cell r="D11" t="str">
            <v>소나무(조형)H3.0xW1.5xR12</v>
          </cell>
          <cell r="E11">
            <v>1</v>
          </cell>
          <cell r="F11" t="str">
            <v>주</v>
          </cell>
          <cell r="G11">
            <v>905460</v>
          </cell>
          <cell r="H11">
            <v>905460</v>
          </cell>
          <cell r="I11">
            <v>39083</v>
          </cell>
          <cell r="J11">
            <v>39083</v>
          </cell>
          <cell r="K11">
            <v>862987</v>
          </cell>
          <cell r="L11">
            <v>862987</v>
          </cell>
          <cell r="M11">
            <v>3390</v>
          </cell>
          <cell r="N11">
            <v>3390</v>
          </cell>
          <cell r="O11">
            <v>9</v>
          </cell>
        </row>
        <row r="12">
          <cell r="D12" t="str">
            <v>소나무(조형)H3.5xW1.5xR15</v>
          </cell>
          <cell r="E12">
            <v>1</v>
          </cell>
          <cell r="F12" t="str">
            <v>주</v>
          </cell>
          <cell r="G12">
            <v>1358292</v>
          </cell>
          <cell r="H12">
            <v>1358292</v>
          </cell>
          <cell r="I12">
            <v>52180</v>
          </cell>
          <cell r="J12">
            <v>52180</v>
          </cell>
          <cell r="K12">
            <v>1301628</v>
          </cell>
          <cell r="L12">
            <v>1301628</v>
          </cell>
          <cell r="M12">
            <v>4484</v>
          </cell>
          <cell r="N12">
            <v>4484</v>
          </cell>
          <cell r="O12">
            <v>10</v>
          </cell>
        </row>
        <row r="13">
          <cell r="D13" t="str">
            <v>소나무(조형)H4.0xW1.8xR20</v>
          </cell>
          <cell r="E13">
            <v>1</v>
          </cell>
          <cell r="F13" t="str">
            <v>주</v>
          </cell>
          <cell r="G13">
            <v>2543995</v>
          </cell>
          <cell r="H13">
            <v>2543995</v>
          </cell>
          <cell r="I13">
            <v>75586</v>
          </cell>
          <cell r="J13">
            <v>75586</v>
          </cell>
          <cell r="K13">
            <v>2461847</v>
          </cell>
          <cell r="L13">
            <v>2461847</v>
          </cell>
          <cell r="M13">
            <v>6562</v>
          </cell>
          <cell r="N13">
            <v>6562</v>
          </cell>
          <cell r="O13">
            <v>11</v>
          </cell>
        </row>
        <row r="14">
          <cell r="D14" t="str">
            <v>소나무(조형)H4.5xW2.0xR25</v>
          </cell>
          <cell r="E14">
            <v>1</v>
          </cell>
          <cell r="F14" t="str">
            <v>주</v>
          </cell>
          <cell r="G14">
            <v>3377285</v>
          </cell>
          <cell r="H14">
            <v>3377285</v>
          </cell>
          <cell r="I14">
            <v>96115</v>
          </cell>
          <cell r="J14">
            <v>96115</v>
          </cell>
          <cell r="K14">
            <v>3270012</v>
          </cell>
          <cell r="L14">
            <v>3270012</v>
          </cell>
          <cell r="M14">
            <v>11158</v>
          </cell>
          <cell r="N14">
            <v>11158</v>
          </cell>
          <cell r="O14">
            <v>12</v>
          </cell>
        </row>
        <row r="15">
          <cell r="D15" t="str">
            <v>소나무(조형)H5.0xW2.5xR30</v>
          </cell>
          <cell r="E15">
            <v>1</v>
          </cell>
          <cell r="F15" t="str">
            <v>주</v>
          </cell>
          <cell r="G15">
            <v>4499127</v>
          </cell>
          <cell r="H15">
            <v>4499127</v>
          </cell>
          <cell r="I15">
            <v>116802</v>
          </cell>
          <cell r="J15">
            <v>116802</v>
          </cell>
          <cell r="K15">
            <v>4369335</v>
          </cell>
          <cell r="L15">
            <v>4369335</v>
          </cell>
          <cell r="M15">
            <v>12990</v>
          </cell>
          <cell r="N15">
            <v>12990</v>
          </cell>
          <cell r="O15">
            <v>13</v>
          </cell>
        </row>
        <row r="16">
          <cell r="D16" t="str">
            <v>소나무(조형)R35</v>
          </cell>
          <cell r="E16">
            <v>1</v>
          </cell>
          <cell r="F16" t="str">
            <v>주</v>
          </cell>
          <cell r="G16">
            <v>5189684</v>
          </cell>
          <cell r="H16">
            <v>5189684</v>
          </cell>
          <cell r="I16">
            <v>151059</v>
          </cell>
          <cell r="J16">
            <v>151059</v>
          </cell>
          <cell r="K16">
            <v>5019852</v>
          </cell>
          <cell r="L16">
            <v>5019852</v>
          </cell>
          <cell r="M16">
            <v>18773</v>
          </cell>
          <cell r="N16">
            <v>18773</v>
          </cell>
          <cell r="O16">
            <v>14</v>
          </cell>
        </row>
        <row r="17">
          <cell r="D17" t="str">
            <v>소나무(조형)R40</v>
          </cell>
          <cell r="E17">
            <v>1</v>
          </cell>
          <cell r="F17" t="str">
            <v>주</v>
          </cell>
          <cell r="G17">
            <v>9442959</v>
          </cell>
          <cell r="H17">
            <v>9442959</v>
          </cell>
          <cell r="I17">
            <v>180264</v>
          </cell>
          <cell r="J17">
            <v>180264</v>
          </cell>
          <cell r="K17">
            <v>9219087</v>
          </cell>
          <cell r="L17">
            <v>9219087</v>
          </cell>
          <cell r="M17">
            <v>43608</v>
          </cell>
          <cell r="N17">
            <v>43608</v>
          </cell>
          <cell r="O17">
            <v>15</v>
          </cell>
        </row>
        <row r="18">
          <cell r="D18" t="str">
            <v>소나무(조형)R45</v>
          </cell>
          <cell r="E18">
            <v>1</v>
          </cell>
          <cell r="F18" t="str">
            <v>주</v>
          </cell>
          <cell r="G18">
            <v>11777498</v>
          </cell>
          <cell r="H18">
            <v>11777498</v>
          </cell>
          <cell r="I18">
            <v>205713</v>
          </cell>
          <cell r="J18">
            <v>205713</v>
          </cell>
          <cell r="K18">
            <v>11522829</v>
          </cell>
          <cell r="L18">
            <v>11522829</v>
          </cell>
          <cell r="M18">
            <v>48956</v>
          </cell>
          <cell r="N18">
            <v>48956</v>
          </cell>
          <cell r="O18">
            <v>16</v>
          </cell>
        </row>
        <row r="19">
          <cell r="D19" t="str">
            <v>소나무(조형)R55</v>
          </cell>
          <cell r="E19">
            <v>1</v>
          </cell>
          <cell r="F19" t="str">
            <v>주</v>
          </cell>
          <cell r="G19">
            <v>25379315</v>
          </cell>
          <cell r="H19">
            <v>25379315</v>
          </cell>
          <cell r="I19">
            <v>256447</v>
          </cell>
          <cell r="J19">
            <v>256447</v>
          </cell>
          <cell r="K19">
            <v>25035502</v>
          </cell>
          <cell r="L19">
            <v>25035502</v>
          </cell>
          <cell r="M19">
            <v>87366</v>
          </cell>
          <cell r="N19">
            <v>87366</v>
          </cell>
          <cell r="O19">
            <v>17</v>
          </cell>
        </row>
        <row r="20">
          <cell r="D20" t="str">
            <v>소나무H4.0xW2.0xR15</v>
          </cell>
          <cell r="E20">
            <v>1</v>
          </cell>
          <cell r="F20" t="str">
            <v>주</v>
          </cell>
          <cell r="G20">
            <v>485292</v>
          </cell>
          <cell r="H20">
            <v>485292</v>
          </cell>
          <cell r="I20">
            <v>52180</v>
          </cell>
          <cell r="J20">
            <v>52180</v>
          </cell>
          <cell r="K20">
            <v>428628</v>
          </cell>
          <cell r="L20">
            <v>428628</v>
          </cell>
          <cell r="M20">
            <v>4484</v>
          </cell>
          <cell r="N20">
            <v>4484</v>
          </cell>
          <cell r="O20">
            <v>18</v>
          </cell>
        </row>
        <row r="21">
          <cell r="D21" t="str">
            <v>소나무H4.5xW2.0xR18</v>
          </cell>
          <cell r="E21">
            <v>1</v>
          </cell>
          <cell r="F21" t="str">
            <v>주</v>
          </cell>
          <cell r="G21">
            <v>609489</v>
          </cell>
          <cell r="H21">
            <v>609489</v>
          </cell>
          <cell r="I21">
            <v>65468</v>
          </cell>
          <cell r="J21">
            <v>65468</v>
          </cell>
          <cell r="K21">
            <v>538334</v>
          </cell>
          <cell r="L21">
            <v>538334</v>
          </cell>
          <cell r="M21">
            <v>5687</v>
          </cell>
          <cell r="N21">
            <v>5687</v>
          </cell>
          <cell r="O21">
            <v>19</v>
          </cell>
        </row>
        <row r="22">
          <cell r="D22" t="str">
            <v>소나무H5.0xW2.5xR20</v>
          </cell>
          <cell r="E22">
            <v>1</v>
          </cell>
          <cell r="F22" t="str">
            <v>주</v>
          </cell>
          <cell r="G22">
            <v>782995</v>
          </cell>
          <cell r="H22">
            <v>782995</v>
          </cell>
          <cell r="I22">
            <v>75586</v>
          </cell>
          <cell r="J22">
            <v>75586</v>
          </cell>
          <cell r="K22">
            <v>700847</v>
          </cell>
          <cell r="L22">
            <v>700847</v>
          </cell>
          <cell r="M22">
            <v>6562</v>
          </cell>
          <cell r="N22">
            <v>6562</v>
          </cell>
          <cell r="O22">
            <v>20</v>
          </cell>
        </row>
        <row r="23">
          <cell r="D23" t="str">
            <v>해송H3.5xW1.5xR15</v>
          </cell>
          <cell r="E23">
            <v>1</v>
          </cell>
          <cell r="F23" t="str">
            <v>주</v>
          </cell>
          <cell r="G23">
            <v>379292</v>
          </cell>
          <cell r="H23">
            <v>379292</v>
          </cell>
          <cell r="I23">
            <v>52180</v>
          </cell>
          <cell r="J23">
            <v>52180</v>
          </cell>
          <cell r="K23">
            <v>322628</v>
          </cell>
          <cell r="L23">
            <v>322628</v>
          </cell>
          <cell r="M23">
            <v>4484</v>
          </cell>
          <cell r="N23">
            <v>4484</v>
          </cell>
          <cell r="O23">
            <v>21</v>
          </cell>
        </row>
        <row r="24">
          <cell r="D24" t="str">
            <v>해송H4.0xW2.0xR20</v>
          </cell>
          <cell r="E24">
            <v>1</v>
          </cell>
          <cell r="F24" t="str">
            <v>주</v>
          </cell>
          <cell r="G24">
            <v>545995</v>
          </cell>
          <cell r="H24">
            <v>545995</v>
          </cell>
          <cell r="I24">
            <v>75586</v>
          </cell>
          <cell r="J24">
            <v>75586</v>
          </cell>
          <cell r="K24">
            <v>463847</v>
          </cell>
          <cell r="L24">
            <v>463847</v>
          </cell>
          <cell r="M24">
            <v>6562</v>
          </cell>
          <cell r="N24">
            <v>6562</v>
          </cell>
          <cell r="O24">
            <v>22</v>
          </cell>
        </row>
        <row r="25">
          <cell r="D25" t="str">
            <v>은목서H2.0xW1.2</v>
          </cell>
          <cell r="E25">
            <v>1</v>
          </cell>
          <cell r="F25" t="str">
            <v>주</v>
          </cell>
          <cell r="G25">
            <v>170200</v>
          </cell>
          <cell r="H25">
            <v>170200</v>
          </cell>
          <cell r="I25">
            <v>10200</v>
          </cell>
          <cell r="J25">
            <v>10200</v>
          </cell>
          <cell r="K25">
            <v>160000</v>
          </cell>
          <cell r="L25">
            <v>160000</v>
          </cell>
          <cell r="M25">
            <v>0</v>
          </cell>
          <cell r="N25">
            <v>0</v>
          </cell>
          <cell r="O25">
            <v>23</v>
          </cell>
        </row>
        <row r="26">
          <cell r="D26" t="str">
            <v>은목서H2.5xW2.0</v>
          </cell>
          <cell r="E26">
            <v>1</v>
          </cell>
          <cell r="F26" t="str">
            <v>주</v>
          </cell>
          <cell r="G26">
            <v>433800</v>
          </cell>
          <cell r="H26">
            <v>433800</v>
          </cell>
          <cell r="I26">
            <v>13800</v>
          </cell>
          <cell r="J26">
            <v>13800</v>
          </cell>
          <cell r="K26">
            <v>420000</v>
          </cell>
          <cell r="L26">
            <v>420000</v>
          </cell>
          <cell r="M26">
            <v>0</v>
          </cell>
          <cell r="N26">
            <v>0</v>
          </cell>
          <cell r="O26">
            <v>24</v>
          </cell>
        </row>
        <row r="27">
          <cell r="D27" t="str">
            <v>은목서H3.0xW2.5</v>
          </cell>
          <cell r="E27">
            <v>1</v>
          </cell>
          <cell r="F27" t="str">
            <v>주</v>
          </cell>
          <cell r="G27">
            <v>867000</v>
          </cell>
          <cell r="H27">
            <v>867000</v>
          </cell>
          <cell r="I27">
            <v>17000</v>
          </cell>
          <cell r="J27">
            <v>17000</v>
          </cell>
          <cell r="K27">
            <v>850000</v>
          </cell>
          <cell r="L27">
            <v>850000</v>
          </cell>
          <cell r="M27">
            <v>0</v>
          </cell>
          <cell r="N27">
            <v>0</v>
          </cell>
          <cell r="O27">
            <v>25</v>
          </cell>
        </row>
        <row r="28">
          <cell r="D28" t="str">
            <v>굴거리나무H3.5xR10</v>
          </cell>
          <cell r="E28">
            <v>1</v>
          </cell>
          <cell r="F28" t="str">
            <v>주</v>
          </cell>
          <cell r="G28">
            <v>202917</v>
          </cell>
          <cell r="H28">
            <v>202917</v>
          </cell>
          <cell r="I28">
            <v>30754</v>
          </cell>
          <cell r="J28">
            <v>30754</v>
          </cell>
          <cell r="K28">
            <v>169538</v>
          </cell>
          <cell r="L28">
            <v>169538</v>
          </cell>
          <cell r="M28">
            <v>2625</v>
          </cell>
          <cell r="N28">
            <v>2625</v>
          </cell>
          <cell r="O28">
            <v>26</v>
          </cell>
        </row>
        <row r="29">
          <cell r="D29" t="str">
            <v>굴거리나무H4.0xR12</v>
          </cell>
          <cell r="E29">
            <v>1</v>
          </cell>
          <cell r="F29" t="str">
            <v>주</v>
          </cell>
          <cell r="G29">
            <v>244460</v>
          </cell>
          <cell r="H29">
            <v>244460</v>
          </cell>
          <cell r="I29">
            <v>39083</v>
          </cell>
          <cell r="J29">
            <v>39083</v>
          </cell>
          <cell r="K29">
            <v>201987</v>
          </cell>
          <cell r="L29">
            <v>201987</v>
          </cell>
          <cell r="M29">
            <v>3390</v>
          </cell>
          <cell r="N29">
            <v>3390</v>
          </cell>
          <cell r="O29">
            <v>27</v>
          </cell>
        </row>
        <row r="30">
          <cell r="D30" t="str">
            <v>가시나무H3.5xR8</v>
          </cell>
          <cell r="E30">
            <v>1</v>
          </cell>
          <cell r="F30" t="str">
            <v>주</v>
          </cell>
          <cell r="G30">
            <v>210000</v>
          </cell>
          <cell r="H30">
            <v>210000</v>
          </cell>
          <cell r="I30">
            <v>31000</v>
          </cell>
          <cell r="J30">
            <v>31000</v>
          </cell>
          <cell r="K30">
            <v>179000</v>
          </cell>
          <cell r="L30">
            <v>179000</v>
          </cell>
          <cell r="M30">
            <v>0</v>
          </cell>
          <cell r="N30">
            <v>0</v>
          </cell>
          <cell r="O30">
            <v>28</v>
          </cell>
        </row>
        <row r="31">
          <cell r="D31" t="str">
            <v>가시나무R20</v>
          </cell>
          <cell r="E31">
            <v>1</v>
          </cell>
          <cell r="F31" t="str">
            <v>주</v>
          </cell>
          <cell r="G31">
            <v>1285995</v>
          </cell>
          <cell r="H31">
            <v>1285995</v>
          </cell>
          <cell r="I31">
            <v>75586</v>
          </cell>
          <cell r="J31">
            <v>75586</v>
          </cell>
          <cell r="K31">
            <v>1203847</v>
          </cell>
          <cell r="L31">
            <v>1203847</v>
          </cell>
          <cell r="M31">
            <v>6562</v>
          </cell>
          <cell r="N31">
            <v>6562</v>
          </cell>
          <cell r="O31">
            <v>29</v>
          </cell>
        </row>
        <row r="32">
          <cell r="D32" t="str">
            <v>후피향나무H2.5xW1.5xR8</v>
          </cell>
          <cell r="E32">
            <v>1</v>
          </cell>
          <cell r="F32" t="str">
            <v>주</v>
          </cell>
          <cell r="G32">
            <v>231000</v>
          </cell>
          <cell r="H32">
            <v>231000</v>
          </cell>
          <cell r="I32">
            <v>31000</v>
          </cell>
          <cell r="J32">
            <v>31000</v>
          </cell>
          <cell r="K32">
            <v>200000</v>
          </cell>
          <cell r="L32">
            <v>200000</v>
          </cell>
          <cell r="M32">
            <v>0</v>
          </cell>
          <cell r="N32">
            <v>0</v>
          </cell>
          <cell r="O32">
            <v>30</v>
          </cell>
        </row>
        <row r="33">
          <cell r="D33" t="str">
            <v>후피향나무H3.0xW2.0xR10</v>
          </cell>
          <cell r="E33">
            <v>1</v>
          </cell>
          <cell r="F33" t="str">
            <v>주</v>
          </cell>
          <cell r="G33">
            <v>454917</v>
          </cell>
          <cell r="H33">
            <v>454917</v>
          </cell>
          <cell r="I33">
            <v>30754</v>
          </cell>
          <cell r="J33">
            <v>30754</v>
          </cell>
          <cell r="K33">
            <v>421538</v>
          </cell>
          <cell r="L33">
            <v>421538</v>
          </cell>
          <cell r="M33">
            <v>2625</v>
          </cell>
          <cell r="N33">
            <v>2625</v>
          </cell>
          <cell r="O33">
            <v>31</v>
          </cell>
        </row>
        <row r="34">
          <cell r="D34" t="str">
            <v>동백나무H3.0xW2.0xR10</v>
          </cell>
          <cell r="E34">
            <v>1</v>
          </cell>
          <cell r="F34" t="str">
            <v>주</v>
          </cell>
          <cell r="G34">
            <v>474917</v>
          </cell>
          <cell r="H34">
            <v>474917</v>
          </cell>
          <cell r="I34">
            <v>30754</v>
          </cell>
          <cell r="J34">
            <v>30754</v>
          </cell>
          <cell r="K34">
            <v>441538</v>
          </cell>
          <cell r="L34">
            <v>441538</v>
          </cell>
          <cell r="M34">
            <v>2625</v>
          </cell>
          <cell r="N34">
            <v>2625</v>
          </cell>
          <cell r="O34">
            <v>32</v>
          </cell>
        </row>
        <row r="35">
          <cell r="D35" t="str">
            <v>개먼나무R15</v>
          </cell>
          <cell r="E35">
            <v>1</v>
          </cell>
          <cell r="F35" t="str">
            <v>주</v>
          </cell>
          <cell r="G35">
            <v>1059292</v>
          </cell>
          <cell r="H35">
            <v>1059292</v>
          </cell>
          <cell r="I35">
            <v>52180</v>
          </cell>
          <cell r="J35">
            <v>52180</v>
          </cell>
          <cell r="K35">
            <v>1002628</v>
          </cell>
          <cell r="L35">
            <v>1002628</v>
          </cell>
          <cell r="M35">
            <v>4484</v>
          </cell>
          <cell r="N35">
            <v>4484</v>
          </cell>
          <cell r="O35">
            <v>33</v>
          </cell>
        </row>
        <row r="36">
          <cell r="D36" t="str">
            <v>개먼나무H4.0xR20</v>
          </cell>
          <cell r="E36">
            <v>1</v>
          </cell>
          <cell r="F36" t="str">
            <v>주</v>
          </cell>
          <cell r="G36">
            <v>1625995</v>
          </cell>
          <cell r="H36">
            <v>1625995</v>
          </cell>
          <cell r="I36">
            <v>75586</v>
          </cell>
          <cell r="J36">
            <v>75586</v>
          </cell>
          <cell r="K36">
            <v>1543847</v>
          </cell>
          <cell r="L36">
            <v>1543847</v>
          </cell>
          <cell r="M36">
            <v>6562</v>
          </cell>
          <cell r="N36">
            <v>6562</v>
          </cell>
          <cell r="O36">
            <v>34</v>
          </cell>
        </row>
        <row r="37">
          <cell r="D37" t="str">
            <v>구실잣밤나무R20</v>
          </cell>
          <cell r="E37">
            <v>1</v>
          </cell>
          <cell r="F37" t="str">
            <v>주</v>
          </cell>
          <cell r="G37">
            <v>1285995</v>
          </cell>
          <cell r="H37">
            <v>1285995</v>
          </cell>
          <cell r="I37">
            <v>75586</v>
          </cell>
          <cell r="J37">
            <v>75586</v>
          </cell>
          <cell r="K37">
            <v>1203847</v>
          </cell>
          <cell r="L37">
            <v>1203847</v>
          </cell>
          <cell r="M37">
            <v>6562</v>
          </cell>
          <cell r="N37">
            <v>6562</v>
          </cell>
          <cell r="O37">
            <v>35</v>
          </cell>
        </row>
        <row r="38">
          <cell r="D38" t="str">
            <v>당종려H3.5</v>
          </cell>
          <cell r="E38">
            <v>1</v>
          </cell>
          <cell r="F38" t="str">
            <v>주</v>
          </cell>
          <cell r="G38">
            <v>569158</v>
          </cell>
          <cell r="H38">
            <v>569158</v>
          </cell>
          <cell r="I38">
            <v>15077</v>
          </cell>
          <cell r="J38">
            <v>15077</v>
          </cell>
          <cell r="K38">
            <v>552769</v>
          </cell>
          <cell r="L38">
            <v>552769</v>
          </cell>
          <cell r="M38">
            <v>1312</v>
          </cell>
          <cell r="N38">
            <v>1312</v>
          </cell>
          <cell r="O38">
            <v>36</v>
          </cell>
        </row>
        <row r="39">
          <cell r="D39" t="str">
            <v>당종려H2.5</v>
          </cell>
          <cell r="E39">
            <v>1</v>
          </cell>
          <cell r="F39" t="str">
            <v>주</v>
          </cell>
          <cell r="G39">
            <v>476800</v>
          </cell>
          <cell r="H39">
            <v>476800</v>
          </cell>
          <cell r="I39">
            <v>13800</v>
          </cell>
          <cell r="J39">
            <v>13800</v>
          </cell>
          <cell r="K39">
            <v>463000</v>
          </cell>
          <cell r="L39">
            <v>463000</v>
          </cell>
          <cell r="M39">
            <v>0</v>
          </cell>
          <cell r="N39">
            <v>0</v>
          </cell>
          <cell r="O39">
            <v>37</v>
          </cell>
        </row>
        <row r="40">
          <cell r="D40" t="str">
            <v>당종려H2.0</v>
          </cell>
          <cell r="E40">
            <v>1</v>
          </cell>
          <cell r="F40" t="str">
            <v>주</v>
          </cell>
          <cell r="G40">
            <v>384200</v>
          </cell>
          <cell r="H40">
            <v>384200</v>
          </cell>
          <cell r="I40">
            <v>10200</v>
          </cell>
          <cell r="J40">
            <v>10200</v>
          </cell>
          <cell r="K40">
            <v>374000</v>
          </cell>
          <cell r="L40">
            <v>374000</v>
          </cell>
          <cell r="M40">
            <v>0</v>
          </cell>
          <cell r="N40">
            <v>0</v>
          </cell>
          <cell r="O40">
            <v>38</v>
          </cell>
        </row>
        <row r="41">
          <cell r="D41" t="str">
            <v>당종려H1.8</v>
          </cell>
          <cell r="E41">
            <v>1</v>
          </cell>
          <cell r="F41" t="str">
            <v>주</v>
          </cell>
          <cell r="G41">
            <v>298200</v>
          </cell>
          <cell r="H41">
            <v>298200</v>
          </cell>
          <cell r="I41">
            <v>10200</v>
          </cell>
          <cell r="J41">
            <v>10200</v>
          </cell>
          <cell r="K41">
            <v>288000</v>
          </cell>
          <cell r="L41">
            <v>288000</v>
          </cell>
          <cell r="M41">
            <v>0</v>
          </cell>
          <cell r="N41">
            <v>0</v>
          </cell>
          <cell r="O41">
            <v>39</v>
          </cell>
        </row>
        <row r="42">
          <cell r="D42" t="str">
            <v>당종려H1.5</v>
          </cell>
          <cell r="E42">
            <v>1</v>
          </cell>
          <cell r="F42" t="str">
            <v>주</v>
          </cell>
          <cell r="G42">
            <v>137000</v>
          </cell>
          <cell r="H42">
            <v>137000</v>
          </cell>
          <cell r="I42">
            <v>8200</v>
          </cell>
          <cell r="J42">
            <v>8200</v>
          </cell>
          <cell r="K42">
            <v>128800</v>
          </cell>
          <cell r="L42">
            <v>128800</v>
          </cell>
          <cell r="M42">
            <v>0</v>
          </cell>
          <cell r="N42">
            <v>0</v>
          </cell>
          <cell r="O42">
            <v>40</v>
          </cell>
        </row>
        <row r="43">
          <cell r="D43" t="str">
            <v>녹나무R15</v>
          </cell>
          <cell r="E43">
            <v>1</v>
          </cell>
          <cell r="F43" t="str">
            <v>주</v>
          </cell>
          <cell r="G43">
            <v>859292</v>
          </cell>
          <cell r="H43">
            <v>859292</v>
          </cell>
          <cell r="I43">
            <v>52180</v>
          </cell>
          <cell r="J43">
            <v>52180</v>
          </cell>
          <cell r="K43">
            <v>802628</v>
          </cell>
          <cell r="L43">
            <v>802628</v>
          </cell>
          <cell r="M43">
            <v>4484</v>
          </cell>
          <cell r="N43">
            <v>4484</v>
          </cell>
          <cell r="O43">
            <v>41</v>
          </cell>
        </row>
        <row r="44">
          <cell r="D44" t="str">
            <v>녹나무R20</v>
          </cell>
          <cell r="E44">
            <v>1</v>
          </cell>
          <cell r="F44" t="str">
            <v>주</v>
          </cell>
          <cell r="G44">
            <v>1585995</v>
          </cell>
          <cell r="H44">
            <v>1585995</v>
          </cell>
          <cell r="I44">
            <v>75586</v>
          </cell>
          <cell r="J44">
            <v>75586</v>
          </cell>
          <cell r="K44">
            <v>1503847</v>
          </cell>
          <cell r="L44">
            <v>1503847</v>
          </cell>
          <cell r="M44">
            <v>6562</v>
          </cell>
          <cell r="N44">
            <v>6562</v>
          </cell>
          <cell r="O44">
            <v>42</v>
          </cell>
        </row>
        <row r="45">
          <cell r="D45" t="str">
            <v>참식나무R10</v>
          </cell>
          <cell r="E45">
            <v>1</v>
          </cell>
          <cell r="F45" t="str">
            <v>주</v>
          </cell>
          <cell r="G45">
            <v>254917</v>
          </cell>
          <cell r="H45">
            <v>254917</v>
          </cell>
          <cell r="I45">
            <v>30754</v>
          </cell>
          <cell r="J45">
            <v>30754</v>
          </cell>
          <cell r="K45">
            <v>221538</v>
          </cell>
          <cell r="L45">
            <v>221538</v>
          </cell>
          <cell r="M45">
            <v>2625</v>
          </cell>
          <cell r="N45">
            <v>2625</v>
          </cell>
          <cell r="O45">
            <v>43</v>
          </cell>
        </row>
        <row r="46">
          <cell r="D46" t="str">
            <v>참식나무R15</v>
          </cell>
          <cell r="E46">
            <v>1</v>
          </cell>
          <cell r="F46" t="str">
            <v>주</v>
          </cell>
          <cell r="G46">
            <v>359292</v>
          </cell>
          <cell r="H46">
            <v>359292</v>
          </cell>
          <cell r="I46">
            <v>52180</v>
          </cell>
          <cell r="J46">
            <v>52180</v>
          </cell>
          <cell r="K46">
            <v>302628</v>
          </cell>
          <cell r="L46">
            <v>302628</v>
          </cell>
          <cell r="M46">
            <v>4484</v>
          </cell>
          <cell r="N46">
            <v>4484</v>
          </cell>
          <cell r="O46">
            <v>44</v>
          </cell>
        </row>
        <row r="47">
          <cell r="D47" t="str">
            <v>느티나무H4.0xR15</v>
          </cell>
          <cell r="E47">
            <v>1</v>
          </cell>
          <cell r="F47" t="str">
            <v>주</v>
          </cell>
          <cell r="G47">
            <v>476292</v>
          </cell>
          <cell r="H47">
            <v>476292</v>
          </cell>
          <cell r="I47">
            <v>52180</v>
          </cell>
          <cell r="J47">
            <v>52180</v>
          </cell>
          <cell r="K47">
            <v>419628</v>
          </cell>
          <cell r="L47">
            <v>419628</v>
          </cell>
          <cell r="M47">
            <v>4484</v>
          </cell>
          <cell r="N47">
            <v>4484</v>
          </cell>
          <cell r="O47">
            <v>45</v>
          </cell>
        </row>
        <row r="48">
          <cell r="D48" t="str">
            <v>느티나무H4.5xR20</v>
          </cell>
          <cell r="E48">
            <v>1</v>
          </cell>
          <cell r="F48" t="str">
            <v>주</v>
          </cell>
          <cell r="G48">
            <v>936995</v>
          </cell>
          <cell r="H48">
            <v>936995</v>
          </cell>
          <cell r="I48">
            <v>75586</v>
          </cell>
          <cell r="J48">
            <v>75586</v>
          </cell>
          <cell r="K48">
            <v>854847</v>
          </cell>
          <cell r="L48">
            <v>854847</v>
          </cell>
          <cell r="M48">
            <v>6562</v>
          </cell>
          <cell r="N48">
            <v>6562</v>
          </cell>
          <cell r="O48">
            <v>46</v>
          </cell>
        </row>
        <row r="49">
          <cell r="D49" t="str">
            <v>느티나무H4.5xR25</v>
          </cell>
          <cell r="E49">
            <v>1</v>
          </cell>
          <cell r="F49" t="str">
            <v>주</v>
          </cell>
          <cell r="G49">
            <v>1382285</v>
          </cell>
          <cell r="H49">
            <v>1382285</v>
          </cell>
          <cell r="I49">
            <v>96115</v>
          </cell>
          <cell r="J49">
            <v>96115</v>
          </cell>
          <cell r="K49">
            <v>1275012</v>
          </cell>
          <cell r="L49">
            <v>1275012</v>
          </cell>
          <cell r="M49">
            <v>11158</v>
          </cell>
          <cell r="N49">
            <v>11158</v>
          </cell>
          <cell r="O49">
            <v>47</v>
          </cell>
        </row>
        <row r="50">
          <cell r="D50" t="str">
            <v>느티나무H4.5xR30</v>
          </cell>
          <cell r="E50">
            <v>1</v>
          </cell>
          <cell r="F50" t="str">
            <v>주</v>
          </cell>
          <cell r="G50">
            <v>2311427</v>
          </cell>
          <cell r="H50">
            <v>2311427</v>
          </cell>
          <cell r="I50">
            <v>112602</v>
          </cell>
          <cell r="J50">
            <v>112602</v>
          </cell>
          <cell r="K50">
            <v>2185835</v>
          </cell>
          <cell r="L50">
            <v>2185835</v>
          </cell>
          <cell r="M50">
            <v>12990</v>
          </cell>
          <cell r="N50">
            <v>12990</v>
          </cell>
          <cell r="O50">
            <v>48</v>
          </cell>
        </row>
        <row r="51">
          <cell r="D51" t="str">
            <v>느티나무R40</v>
          </cell>
          <cell r="E51">
            <v>1</v>
          </cell>
          <cell r="F51" t="str">
            <v>주</v>
          </cell>
          <cell r="G51">
            <v>4227759</v>
          </cell>
          <cell r="H51">
            <v>4227759</v>
          </cell>
          <cell r="I51">
            <v>176064</v>
          </cell>
          <cell r="J51">
            <v>176064</v>
          </cell>
          <cell r="K51">
            <v>4008087</v>
          </cell>
          <cell r="L51">
            <v>4008087</v>
          </cell>
          <cell r="M51">
            <v>43608</v>
          </cell>
          <cell r="N51">
            <v>43608</v>
          </cell>
          <cell r="O51">
            <v>49</v>
          </cell>
        </row>
        <row r="52">
          <cell r="D52" t="str">
            <v>느티나무R60</v>
          </cell>
          <cell r="E52">
            <v>1</v>
          </cell>
          <cell r="F52" t="str">
            <v>주</v>
          </cell>
          <cell r="G52">
            <v>15389940</v>
          </cell>
          <cell r="H52">
            <v>15389940</v>
          </cell>
          <cell r="I52">
            <v>277096</v>
          </cell>
          <cell r="J52">
            <v>277096</v>
          </cell>
          <cell r="K52">
            <v>15017699</v>
          </cell>
          <cell r="L52">
            <v>15017699</v>
          </cell>
          <cell r="M52">
            <v>95145</v>
          </cell>
          <cell r="N52">
            <v>95145</v>
          </cell>
          <cell r="O52">
            <v>50</v>
          </cell>
        </row>
        <row r="53">
          <cell r="D53" t="str">
            <v>팽나무R20</v>
          </cell>
          <cell r="E53">
            <v>1</v>
          </cell>
          <cell r="F53" t="str">
            <v>주</v>
          </cell>
          <cell r="G53">
            <v>615995</v>
          </cell>
          <cell r="H53">
            <v>615995</v>
          </cell>
          <cell r="I53">
            <v>75586</v>
          </cell>
          <cell r="J53">
            <v>75586</v>
          </cell>
          <cell r="K53">
            <v>533847</v>
          </cell>
          <cell r="L53">
            <v>533847</v>
          </cell>
          <cell r="M53">
            <v>6562</v>
          </cell>
          <cell r="N53">
            <v>6562</v>
          </cell>
          <cell r="O53">
            <v>51</v>
          </cell>
        </row>
        <row r="54">
          <cell r="D54" t="str">
            <v>팽나무R30</v>
          </cell>
          <cell r="E54">
            <v>1</v>
          </cell>
          <cell r="F54" t="str">
            <v>주</v>
          </cell>
          <cell r="G54">
            <v>2531427</v>
          </cell>
          <cell r="H54">
            <v>2531427</v>
          </cell>
          <cell r="I54">
            <v>112602</v>
          </cell>
          <cell r="J54">
            <v>112602</v>
          </cell>
          <cell r="K54">
            <v>2405835</v>
          </cell>
          <cell r="L54">
            <v>2405835</v>
          </cell>
          <cell r="M54">
            <v>12990</v>
          </cell>
          <cell r="N54">
            <v>12990</v>
          </cell>
          <cell r="O54">
            <v>52</v>
          </cell>
        </row>
        <row r="55">
          <cell r="D55" t="str">
            <v>살구나무R35</v>
          </cell>
          <cell r="E55">
            <v>1</v>
          </cell>
          <cell r="F55" t="str">
            <v>주</v>
          </cell>
          <cell r="G55">
            <v>3677234</v>
          </cell>
          <cell r="H55">
            <v>3677234</v>
          </cell>
          <cell r="I55">
            <v>146859</v>
          </cell>
          <cell r="J55">
            <v>146859</v>
          </cell>
          <cell r="K55">
            <v>3511602</v>
          </cell>
          <cell r="L55">
            <v>3511602</v>
          </cell>
          <cell r="M55">
            <v>18773</v>
          </cell>
          <cell r="N55">
            <v>18773</v>
          </cell>
          <cell r="O55">
            <v>53</v>
          </cell>
        </row>
        <row r="56">
          <cell r="D56" t="str">
            <v>중국단풍H4.0xR15</v>
          </cell>
          <cell r="E56">
            <v>1</v>
          </cell>
          <cell r="F56" t="str">
            <v>주</v>
          </cell>
          <cell r="G56">
            <v>294292</v>
          </cell>
          <cell r="H56">
            <v>294292</v>
          </cell>
          <cell r="I56">
            <v>52180</v>
          </cell>
          <cell r="J56">
            <v>52180</v>
          </cell>
          <cell r="K56">
            <v>237628</v>
          </cell>
          <cell r="L56">
            <v>237628</v>
          </cell>
          <cell r="M56">
            <v>4484</v>
          </cell>
          <cell r="N56">
            <v>4484</v>
          </cell>
          <cell r="O56">
            <v>54</v>
          </cell>
        </row>
        <row r="57">
          <cell r="D57" t="str">
            <v>중국단풍R35</v>
          </cell>
          <cell r="E57">
            <v>1</v>
          </cell>
          <cell r="F57" t="str">
            <v>주</v>
          </cell>
          <cell r="G57">
            <v>3696992</v>
          </cell>
          <cell r="H57">
            <v>3696992</v>
          </cell>
          <cell r="I57">
            <v>154071</v>
          </cell>
          <cell r="J57">
            <v>154071</v>
          </cell>
          <cell r="K57">
            <v>3516394</v>
          </cell>
          <cell r="L57">
            <v>3516394</v>
          </cell>
          <cell r="M57">
            <v>26527</v>
          </cell>
          <cell r="N57">
            <v>26527</v>
          </cell>
          <cell r="O57">
            <v>55</v>
          </cell>
        </row>
        <row r="58">
          <cell r="D58" t="str">
            <v>중국단풍R50</v>
          </cell>
          <cell r="E58">
            <v>1</v>
          </cell>
          <cell r="F58" t="str">
            <v>주</v>
          </cell>
          <cell r="G58">
            <v>5320245</v>
          </cell>
          <cell r="H58">
            <v>5320245</v>
          </cell>
          <cell r="I58">
            <v>226563</v>
          </cell>
          <cell r="J58">
            <v>226563</v>
          </cell>
          <cell r="K58">
            <v>5014694</v>
          </cell>
          <cell r="L58">
            <v>5014694</v>
          </cell>
          <cell r="M58">
            <v>78988</v>
          </cell>
          <cell r="N58">
            <v>78988</v>
          </cell>
          <cell r="O58">
            <v>56</v>
          </cell>
        </row>
        <row r="59">
          <cell r="D59" t="str">
            <v>수양버들R20</v>
          </cell>
          <cell r="E59">
            <v>1</v>
          </cell>
          <cell r="F59" t="str">
            <v>주</v>
          </cell>
          <cell r="G59">
            <v>430066</v>
          </cell>
          <cell r="H59">
            <v>430066</v>
          </cell>
          <cell r="I59">
            <v>75586</v>
          </cell>
          <cell r="J59">
            <v>75586</v>
          </cell>
          <cell r="K59">
            <v>344488</v>
          </cell>
          <cell r="L59">
            <v>344488</v>
          </cell>
          <cell r="M59">
            <v>9992</v>
          </cell>
          <cell r="N59">
            <v>9992</v>
          </cell>
          <cell r="O59">
            <v>57</v>
          </cell>
        </row>
        <row r="60">
          <cell r="D60" t="str">
            <v>수양버들R30</v>
          </cell>
          <cell r="E60">
            <v>1</v>
          </cell>
          <cell r="F60" t="str">
            <v>주</v>
          </cell>
          <cell r="G60">
            <v>1131427</v>
          </cell>
          <cell r="H60">
            <v>1131427</v>
          </cell>
          <cell r="I60">
            <v>112602</v>
          </cell>
          <cell r="J60">
            <v>112602</v>
          </cell>
          <cell r="K60">
            <v>1005835</v>
          </cell>
          <cell r="L60">
            <v>1005835</v>
          </cell>
          <cell r="M60">
            <v>12990</v>
          </cell>
          <cell r="N60">
            <v>12990</v>
          </cell>
          <cell r="O60">
            <v>58</v>
          </cell>
        </row>
        <row r="61">
          <cell r="D61" t="str">
            <v>모감주나무H3.0xR8</v>
          </cell>
          <cell r="E61">
            <v>1</v>
          </cell>
          <cell r="F61" t="str">
            <v>주</v>
          </cell>
          <cell r="G61">
            <v>119000</v>
          </cell>
          <cell r="H61">
            <v>119000</v>
          </cell>
          <cell r="I61">
            <v>31000</v>
          </cell>
          <cell r="J61">
            <v>31000</v>
          </cell>
          <cell r="K61">
            <v>88000</v>
          </cell>
          <cell r="L61">
            <v>88000</v>
          </cell>
          <cell r="M61">
            <v>0</v>
          </cell>
          <cell r="N61">
            <v>0</v>
          </cell>
          <cell r="O61">
            <v>59</v>
          </cell>
        </row>
        <row r="62">
          <cell r="D62" t="str">
            <v>은행나무H3.5xB12</v>
          </cell>
          <cell r="E62">
            <v>1</v>
          </cell>
          <cell r="F62" t="str">
            <v>주</v>
          </cell>
          <cell r="G62">
            <v>351330</v>
          </cell>
          <cell r="H62">
            <v>351330</v>
          </cell>
          <cell r="I62">
            <v>51391</v>
          </cell>
          <cell r="J62">
            <v>51391</v>
          </cell>
          <cell r="K62">
            <v>295564</v>
          </cell>
          <cell r="L62">
            <v>295564</v>
          </cell>
          <cell r="M62">
            <v>4375</v>
          </cell>
          <cell r="N62">
            <v>4375</v>
          </cell>
          <cell r="O62">
            <v>60</v>
          </cell>
        </row>
        <row r="63">
          <cell r="D63" t="str">
            <v>은행나무H4.5xB20</v>
          </cell>
          <cell r="E63">
            <v>1</v>
          </cell>
          <cell r="F63" t="str">
            <v>주</v>
          </cell>
          <cell r="G63">
            <v>795790</v>
          </cell>
          <cell r="H63">
            <v>795790</v>
          </cell>
          <cell r="I63">
            <v>92345</v>
          </cell>
          <cell r="J63">
            <v>92345</v>
          </cell>
          <cell r="K63">
            <v>692787</v>
          </cell>
          <cell r="L63">
            <v>692787</v>
          </cell>
          <cell r="M63">
            <v>10658</v>
          </cell>
          <cell r="N63">
            <v>10658</v>
          </cell>
          <cell r="O63">
            <v>61</v>
          </cell>
        </row>
        <row r="64">
          <cell r="D64" t="str">
            <v>피나무H7.0xR25</v>
          </cell>
          <cell r="E64">
            <v>1</v>
          </cell>
          <cell r="F64" t="str">
            <v>주</v>
          </cell>
          <cell r="G64">
            <v>3112285</v>
          </cell>
          <cell r="H64">
            <v>3112285</v>
          </cell>
          <cell r="I64">
            <v>96115</v>
          </cell>
          <cell r="J64">
            <v>96115</v>
          </cell>
          <cell r="K64">
            <v>3005012</v>
          </cell>
          <cell r="L64">
            <v>3005012</v>
          </cell>
          <cell r="M64">
            <v>11158</v>
          </cell>
          <cell r="N64">
            <v>11158</v>
          </cell>
          <cell r="O64">
            <v>62</v>
          </cell>
        </row>
        <row r="65">
          <cell r="D65" t="str">
            <v>흑호도R35</v>
          </cell>
          <cell r="E65">
            <v>1</v>
          </cell>
          <cell r="F65" t="str">
            <v>주</v>
          </cell>
          <cell r="G65">
            <v>3677234</v>
          </cell>
          <cell r="H65">
            <v>3677234</v>
          </cell>
          <cell r="I65">
            <v>146859</v>
          </cell>
          <cell r="J65">
            <v>146859</v>
          </cell>
          <cell r="K65">
            <v>3511602</v>
          </cell>
          <cell r="L65">
            <v>3511602</v>
          </cell>
          <cell r="M65">
            <v>18773</v>
          </cell>
          <cell r="N65">
            <v>18773</v>
          </cell>
          <cell r="O65">
            <v>63</v>
          </cell>
        </row>
        <row r="66">
          <cell r="D66" t="str">
            <v>청단풍R20</v>
          </cell>
          <cell r="E66">
            <v>1</v>
          </cell>
          <cell r="F66" t="str">
            <v>주</v>
          </cell>
          <cell r="G66">
            <v>1090066</v>
          </cell>
          <cell r="H66">
            <v>1090066</v>
          </cell>
          <cell r="I66">
            <v>75586</v>
          </cell>
          <cell r="J66">
            <v>75586</v>
          </cell>
          <cell r="K66">
            <v>1004488</v>
          </cell>
          <cell r="L66">
            <v>1004488</v>
          </cell>
          <cell r="M66">
            <v>9992</v>
          </cell>
          <cell r="N66">
            <v>9992</v>
          </cell>
          <cell r="O66">
            <v>64</v>
          </cell>
        </row>
        <row r="67">
          <cell r="D67" t="str">
            <v>청단풍R30</v>
          </cell>
          <cell r="E67">
            <v>1</v>
          </cell>
          <cell r="F67" t="str">
            <v>주</v>
          </cell>
          <cell r="G67">
            <v>2531427</v>
          </cell>
          <cell r="H67">
            <v>2531427</v>
          </cell>
          <cell r="I67">
            <v>112602</v>
          </cell>
          <cell r="J67">
            <v>112602</v>
          </cell>
          <cell r="K67">
            <v>2405835</v>
          </cell>
          <cell r="L67">
            <v>2405835</v>
          </cell>
          <cell r="M67">
            <v>12990</v>
          </cell>
          <cell r="N67">
            <v>12990</v>
          </cell>
          <cell r="O67">
            <v>65</v>
          </cell>
        </row>
        <row r="68">
          <cell r="D68" t="str">
            <v>청단풍R45</v>
          </cell>
          <cell r="E68">
            <v>1</v>
          </cell>
          <cell r="F68" t="str">
            <v>주</v>
          </cell>
          <cell r="G68">
            <v>5259548</v>
          </cell>
          <cell r="H68">
            <v>5259548</v>
          </cell>
          <cell r="I68">
            <v>201513</v>
          </cell>
          <cell r="J68">
            <v>201513</v>
          </cell>
          <cell r="K68">
            <v>5009079</v>
          </cell>
          <cell r="L68">
            <v>5009079</v>
          </cell>
          <cell r="M68">
            <v>48956</v>
          </cell>
          <cell r="N68">
            <v>48956</v>
          </cell>
          <cell r="O68">
            <v>66</v>
          </cell>
        </row>
        <row r="69">
          <cell r="D69" t="str">
            <v>공작단풍R10</v>
          </cell>
          <cell r="E69">
            <v>1</v>
          </cell>
          <cell r="F69" t="str">
            <v>주</v>
          </cell>
          <cell r="G69">
            <v>534917</v>
          </cell>
          <cell r="H69">
            <v>534917</v>
          </cell>
          <cell r="I69">
            <v>30754</v>
          </cell>
          <cell r="J69">
            <v>30754</v>
          </cell>
          <cell r="K69">
            <v>501538</v>
          </cell>
          <cell r="L69">
            <v>501538</v>
          </cell>
          <cell r="M69">
            <v>2625</v>
          </cell>
          <cell r="N69">
            <v>2625</v>
          </cell>
          <cell r="O69">
            <v>67</v>
          </cell>
        </row>
        <row r="70">
          <cell r="D70" t="str">
            <v>공작단풍R15</v>
          </cell>
          <cell r="E70">
            <v>1</v>
          </cell>
          <cell r="F70" t="str">
            <v>주</v>
          </cell>
          <cell r="G70">
            <v>1059292</v>
          </cell>
          <cell r="H70">
            <v>1059292</v>
          </cell>
          <cell r="I70">
            <v>52180</v>
          </cell>
          <cell r="J70">
            <v>52180</v>
          </cell>
          <cell r="K70">
            <v>1002628</v>
          </cell>
          <cell r="L70">
            <v>1002628</v>
          </cell>
          <cell r="M70">
            <v>4484</v>
          </cell>
          <cell r="N70">
            <v>4484</v>
          </cell>
          <cell r="O70">
            <v>68</v>
          </cell>
        </row>
        <row r="71">
          <cell r="D71" t="str">
            <v>루브라참나무H4.0xR12</v>
          </cell>
          <cell r="E71">
            <v>1</v>
          </cell>
          <cell r="F71" t="str">
            <v>주</v>
          </cell>
          <cell r="G71">
            <v>264460</v>
          </cell>
          <cell r="H71">
            <v>264460</v>
          </cell>
          <cell r="I71">
            <v>39083</v>
          </cell>
          <cell r="J71">
            <v>39083</v>
          </cell>
          <cell r="K71">
            <v>221987</v>
          </cell>
          <cell r="L71">
            <v>221987</v>
          </cell>
          <cell r="M71">
            <v>3390</v>
          </cell>
          <cell r="N71">
            <v>3390</v>
          </cell>
          <cell r="O71">
            <v>69</v>
          </cell>
        </row>
        <row r="72">
          <cell r="D72" t="str">
            <v>루브라참나무H4.0xR15</v>
          </cell>
          <cell r="E72">
            <v>1</v>
          </cell>
          <cell r="F72" t="str">
            <v>주</v>
          </cell>
          <cell r="G72">
            <v>350292</v>
          </cell>
          <cell r="H72">
            <v>350292</v>
          </cell>
          <cell r="I72">
            <v>52180</v>
          </cell>
          <cell r="J72">
            <v>52180</v>
          </cell>
          <cell r="K72">
            <v>293628</v>
          </cell>
          <cell r="L72">
            <v>293628</v>
          </cell>
          <cell r="M72">
            <v>4484</v>
          </cell>
          <cell r="N72">
            <v>4484</v>
          </cell>
          <cell r="O72">
            <v>70</v>
          </cell>
        </row>
        <row r="73">
          <cell r="D73" t="str">
            <v>루브라참나무R30</v>
          </cell>
          <cell r="E73">
            <v>1</v>
          </cell>
          <cell r="F73" t="str">
            <v>주</v>
          </cell>
          <cell r="G73">
            <v>2631427</v>
          </cell>
          <cell r="H73">
            <v>2631427</v>
          </cell>
          <cell r="I73">
            <v>112602</v>
          </cell>
          <cell r="J73">
            <v>112602</v>
          </cell>
          <cell r="K73">
            <v>2505835</v>
          </cell>
          <cell r="L73">
            <v>2505835</v>
          </cell>
          <cell r="M73">
            <v>12990</v>
          </cell>
          <cell r="N73">
            <v>12990</v>
          </cell>
          <cell r="O73">
            <v>71</v>
          </cell>
        </row>
        <row r="74">
          <cell r="D74" t="str">
            <v>루브라참나무R35</v>
          </cell>
          <cell r="E74">
            <v>1</v>
          </cell>
          <cell r="F74" t="str">
            <v>주</v>
          </cell>
          <cell r="G74">
            <v>3677234</v>
          </cell>
          <cell r="H74">
            <v>3677234</v>
          </cell>
          <cell r="I74">
            <v>146859</v>
          </cell>
          <cell r="J74">
            <v>146859</v>
          </cell>
          <cell r="K74">
            <v>3511602</v>
          </cell>
          <cell r="L74">
            <v>3511602</v>
          </cell>
          <cell r="M74">
            <v>18773</v>
          </cell>
          <cell r="N74">
            <v>18773</v>
          </cell>
          <cell r="O74">
            <v>72</v>
          </cell>
        </row>
        <row r="75">
          <cell r="D75" t="str">
            <v>산벗나무H4.0xB10</v>
          </cell>
          <cell r="E75">
            <v>1</v>
          </cell>
          <cell r="F75" t="str">
            <v>주</v>
          </cell>
          <cell r="G75">
            <v>203823</v>
          </cell>
          <cell r="H75">
            <v>203823</v>
          </cell>
          <cell r="I75">
            <v>40272</v>
          </cell>
          <cell r="J75">
            <v>40272</v>
          </cell>
          <cell r="K75">
            <v>160051</v>
          </cell>
          <cell r="L75">
            <v>160051</v>
          </cell>
          <cell r="M75">
            <v>3500</v>
          </cell>
          <cell r="N75">
            <v>3500</v>
          </cell>
          <cell r="O75">
            <v>73</v>
          </cell>
        </row>
        <row r="76">
          <cell r="D76" t="str">
            <v>산벗나무H4.0xB15</v>
          </cell>
          <cell r="E76">
            <v>1</v>
          </cell>
          <cell r="F76" t="str">
            <v>주</v>
          </cell>
          <cell r="G76">
            <v>376453</v>
          </cell>
          <cell r="H76">
            <v>376453</v>
          </cell>
          <cell r="I76">
            <v>67258</v>
          </cell>
          <cell r="J76">
            <v>67258</v>
          </cell>
          <cell r="K76">
            <v>303398</v>
          </cell>
          <cell r="L76">
            <v>303398</v>
          </cell>
          <cell r="M76">
            <v>5797</v>
          </cell>
          <cell r="N76">
            <v>5797</v>
          </cell>
          <cell r="O76">
            <v>74</v>
          </cell>
        </row>
        <row r="77">
          <cell r="D77" t="str">
            <v>이팝나무H3.5xR10</v>
          </cell>
          <cell r="E77">
            <v>1</v>
          </cell>
          <cell r="F77" t="str">
            <v>주</v>
          </cell>
          <cell r="G77">
            <v>188917</v>
          </cell>
          <cell r="H77">
            <v>188917</v>
          </cell>
          <cell r="I77">
            <v>30754</v>
          </cell>
          <cell r="J77">
            <v>30754</v>
          </cell>
          <cell r="K77">
            <v>155538</v>
          </cell>
          <cell r="L77">
            <v>155538</v>
          </cell>
          <cell r="M77">
            <v>2625</v>
          </cell>
          <cell r="N77">
            <v>2625</v>
          </cell>
          <cell r="O77">
            <v>75</v>
          </cell>
        </row>
        <row r="78">
          <cell r="D78" t="str">
            <v>왕벗나무H4.0xB15</v>
          </cell>
          <cell r="E78">
            <v>1</v>
          </cell>
          <cell r="F78" t="str">
            <v>주</v>
          </cell>
          <cell r="G78">
            <v>543453</v>
          </cell>
          <cell r="H78">
            <v>543453</v>
          </cell>
          <cell r="I78">
            <v>67258</v>
          </cell>
          <cell r="J78">
            <v>67258</v>
          </cell>
          <cell r="K78">
            <v>470398</v>
          </cell>
          <cell r="L78">
            <v>470398</v>
          </cell>
          <cell r="M78">
            <v>5797</v>
          </cell>
          <cell r="N78">
            <v>5797</v>
          </cell>
          <cell r="O78">
            <v>76</v>
          </cell>
        </row>
        <row r="79">
          <cell r="D79" t="str">
            <v>왕벗나무H4.5xB20</v>
          </cell>
          <cell r="E79">
            <v>1</v>
          </cell>
          <cell r="F79" t="str">
            <v>주</v>
          </cell>
          <cell r="G79">
            <v>1103448</v>
          </cell>
          <cell r="H79">
            <v>1103448</v>
          </cell>
          <cell r="I79">
            <v>92345</v>
          </cell>
          <cell r="J79">
            <v>92345</v>
          </cell>
          <cell r="K79">
            <v>1004103</v>
          </cell>
          <cell r="L79">
            <v>1004103</v>
          </cell>
          <cell r="M79">
            <v>7000</v>
          </cell>
          <cell r="N79">
            <v>7000</v>
          </cell>
          <cell r="O79">
            <v>77</v>
          </cell>
        </row>
        <row r="80">
          <cell r="D80" t="str">
            <v>참나무H3.0xR10</v>
          </cell>
          <cell r="E80">
            <v>1</v>
          </cell>
          <cell r="F80" t="str">
            <v>주</v>
          </cell>
          <cell r="G80">
            <v>188917</v>
          </cell>
          <cell r="H80">
            <v>188917</v>
          </cell>
          <cell r="I80">
            <v>30754</v>
          </cell>
          <cell r="J80">
            <v>30754</v>
          </cell>
          <cell r="K80">
            <v>155538</v>
          </cell>
          <cell r="L80">
            <v>155538</v>
          </cell>
          <cell r="M80">
            <v>2625</v>
          </cell>
          <cell r="N80">
            <v>2625</v>
          </cell>
          <cell r="O80">
            <v>78</v>
          </cell>
        </row>
        <row r="81">
          <cell r="D81" t="str">
            <v>참나무H3.5xR15</v>
          </cell>
          <cell r="E81">
            <v>1</v>
          </cell>
          <cell r="F81" t="str">
            <v>주</v>
          </cell>
          <cell r="G81">
            <v>415292</v>
          </cell>
          <cell r="H81">
            <v>415292</v>
          </cell>
          <cell r="I81">
            <v>52180</v>
          </cell>
          <cell r="J81">
            <v>52180</v>
          </cell>
          <cell r="K81">
            <v>358628</v>
          </cell>
          <cell r="L81">
            <v>358628</v>
          </cell>
          <cell r="M81">
            <v>4484</v>
          </cell>
          <cell r="N81">
            <v>4484</v>
          </cell>
          <cell r="O81">
            <v>79</v>
          </cell>
        </row>
        <row r="82">
          <cell r="D82" t="str">
            <v>참나무H4.0xR20</v>
          </cell>
          <cell r="E82">
            <v>1</v>
          </cell>
          <cell r="F82" t="str">
            <v>주</v>
          </cell>
          <cell r="G82">
            <v>700995</v>
          </cell>
          <cell r="H82">
            <v>700995</v>
          </cell>
          <cell r="I82">
            <v>75586</v>
          </cell>
          <cell r="J82">
            <v>75586</v>
          </cell>
          <cell r="K82">
            <v>618847</v>
          </cell>
          <cell r="L82">
            <v>618847</v>
          </cell>
          <cell r="M82">
            <v>6562</v>
          </cell>
          <cell r="N82">
            <v>6562</v>
          </cell>
          <cell r="O82">
            <v>80</v>
          </cell>
        </row>
        <row r="83">
          <cell r="D83" t="str">
            <v>청단풍R15</v>
          </cell>
          <cell r="E83">
            <v>1</v>
          </cell>
          <cell r="F83" t="str">
            <v>주</v>
          </cell>
          <cell r="G83">
            <v>441292</v>
          </cell>
          <cell r="H83">
            <v>441292</v>
          </cell>
          <cell r="I83">
            <v>52180</v>
          </cell>
          <cell r="J83">
            <v>52180</v>
          </cell>
          <cell r="K83">
            <v>384628</v>
          </cell>
          <cell r="L83">
            <v>384628</v>
          </cell>
          <cell r="M83">
            <v>4484</v>
          </cell>
          <cell r="N83">
            <v>4484</v>
          </cell>
          <cell r="O83">
            <v>81</v>
          </cell>
        </row>
        <row r="84">
          <cell r="D84" t="str">
            <v>칠엽수R30</v>
          </cell>
          <cell r="E84">
            <v>1</v>
          </cell>
          <cell r="F84" t="str">
            <v>주</v>
          </cell>
          <cell r="G84">
            <v>4631427</v>
          </cell>
          <cell r="H84">
            <v>4631427</v>
          </cell>
          <cell r="I84">
            <v>112602</v>
          </cell>
          <cell r="J84">
            <v>112602</v>
          </cell>
          <cell r="K84">
            <v>4505835</v>
          </cell>
          <cell r="L84">
            <v>4505835</v>
          </cell>
          <cell r="M84">
            <v>12990</v>
          </cell>
          <cell r="N84">
            <v>12990</v>
          </cell>
          <cell r="O84">
            <v>82</v>
          </cell>
        </row>
        <row r="85">
          <cell r="D85" t="str">
            <v>칠엽수R20</v>
          </cell>
          <cell r="E85">
            <v>1</v>
          </cell>
          <cell r="F85" t="str">
            <v>주</v>
          </cell>
          <cell r="G85">
            <v>1885995</v>
          </cell>
          <cell r="H85">
            <v>1885995</v>
          </cell>
          <cell r="I85">
            <v>75586</v>
          </cell>
          <cell r="J85">
            <v>75586</v>
          </cell>
          <cell r="K85">
            <v>1803847</v>
          </cell>
          <cell r="L85">
            <v>1803847</v>
          </cell>
          <cell r="M85">
            <v>6562</v>
          </cell>
          <cell r="N85">
            <v>6562</v>
          </cell>
          <cell r="O85">
            <v>83</v>
          </cell>
        </row>
        <row r="86">
          <cell r="D86" t="str">
            <v>감나무R20</v>
          </cell>
          <cell r="E86">
            <v>1</v>
          </cell>
          <cell r="F86" t="str">
            <v>주</v>
          </cell>
          <cell r="G86">
            <v>685995</v>
          </cell>
          <cell r="H86">
            <v>685995</v>
          </cell>
          <cell r="I86">
            <v>75586</v>
          </cell>
          <cell r="J86">
            <v>75586</v>
          </cell>
          <cell r="K86">
            <v>603847</v>
          </cell>
          <cell r="L86">
            <v>603847</v>
          </cell>
          <cell r="M86">
            <v>6562</v>
          </cell>
          <cell r="N86">
            <v>6562</v>
          </cell>
          <cell r="O86">
            <v>84</v>
          </cell>
        </row>
        <row r="87">
          <cell r="D87" t="str">
            <v>배롱나무H2.5xR8</v>
          </cell>
          <cell r="E87">
            <v>1</v>
          </cell>
          <cell r="F87" t="str">
            <v>주</v>
          </cell>
          <cell r="G87">
            <v>201000</v>
          </cell>
          <cell r="H87">
            <v>201000</v>
          </cell>
          <cell r="I87">
            <v>31000</v>
          </cell>
          <cell r="J87">
            <v>31000</v>
          </cell>
          <cell r="K87">
            <v>170000</v>
          </cell>
          <cell r="L87">
            <v>170000</v>
          </cell>
          <cell r="M87">
            <v>0</v>
          </cell>
          <cell r="N87">
            <v>0</v>
          </cell>
          <cell r="O87">
            <v>85</v>
          </cell>
        </row>
        <row r="88">
          <cell r="D88" t="str">
            <v>자산홍/영산홍R8</v>
          </cell>
          <cell r="E88">
            <v>1</v>
          </cell>
          <cell r="F88" t="str">
            <v>주</v>
          </cell>
          <cell r="G88">
            <v>331000</v>
          </cell>
          <cell r="H88">
            <v>331000</v>
          </cell>
          <cell r="I88">
            <v>31000</v>
          </cell>
          <cell r="J88">
            <v>31000</v>
          </cell>
          <cell r="K88">
            <v>300000</v>
          </cell>
          <cell r="L88">
            <v>300000</v>
          </cell>
          <cell r="M88">
            <v>0</v>
          </cell>
          <cell r="N88">
            <v>0</v>
          </cell>
          <cell r="O88">
            <v>86</v>
          </cell>
        </row>
        <row r="89">
          <cell r="D89" t="str">
            <v>산다화H2.0xW1.5</v>
          </cell>
          <cell r="E89">
            <v>1</v>
          </cell>
          <cell r="F89" t="str">
            <v>주</v>
          </cell>
          <cell r="G89">
            <v>230200</v>
          </cell>
          <cell r="H89">
            <v>230200</v>
          </cell>
          <cell r="I89">
            <v>10200</v>
          </cell>
          <cell r="J89">
            <v>10200</v>
          </cell>
          <cell r="K89">
            <v>220000</v>
          </cell>
          <cell r="L89">
            <v>220000</v>
          </cell>
          <cell r="M89">
            <v>0</v>
          </cell>
          <cell r="N89">
            <v>0</v>
          </cell>
          <cell r="O89">
            <v>87</v>
          </cell>
        </row>
        <row r="90">
          <cell r="D90" t="str">
            <v>피라칸사스H1.0xW0.3</v>
          </cell>
          <cell r="E90">
            <v>1</v>
          </cell>
          <cell r="F90" t="str">
            <v>주</v>
          </cell>
          <cell r="G90">
            <v>6740</v>
          </cell>
          <cell r="H90">
            <v>6740</v>
          </cell>
          <cell r="I90">
            <v>1640</v>
          </cell>
          <cell r="J90">
            <v>1640</v>
          </cell>
          <cell r="K90">
            <v>5100</v>
          </cell>
          <cell r="L90">
            <v>5100</v>
          </cell>
          <cell r="M90">
            <v>0</v>
          </cell>
          <cell r="N90">
            <v>0</v>
          </cell>
          <cell r="O90">
            <v>88</v>
          </cell>
        </row>
        <row r="91">
          <cell r="D91" t="str">
            <v>광나무H1.2xW0.4</v>
          </cell>
          <cell r="E91">
            <v>1</v>
          </cell>
          <cell r="F91" t="str">
            <v>주</v>
          </cell>
          <cell r="G91">
            <v>11100</v>
          </cell>
          <cell r="H91">
            <v>11100</v>
          </cell>
          <cell r="I91">
            <v>7400</v>
          </cell>
          <cell r="J91">
            <v>7400</v>
          </cell>
          <cell r="K91">
            <v>3700</v>
          </cell>
          <cell r="L91">
            <v>3700</v>
          </cell>
          <cell r="M91">
            <v>0</v>
          </cell>
          <cell r="N91">
            <v>0</v>
          </cell>
          <cell r="O91">
            <v>89</v>
          </cell>
        </row>
        <row r="92">
          <cell r="D92" t="str">
            <v>꽝꽝나무H0.3xW0.4</v>
          </cell>
          <cell r="E92">
            <v>1</v>
          </cell>
          <cell r="F92" t="str">
            <v>주</v>
          </cell>
          <cell r="G92">
            <v>20360</v>
          </cell>
          <cell r="H92">
            <v>20360</v>
          </cell>
          <cell r="I92">
            <v>1060</v>
          </cell>
          <cell r="J92">
            <v>1060</v>
          </cell>
          <cell r="K92">
            <v>19300</v>
          </cell>
          <cell r="L92">
            <v>19300</v>
          </cell>
          <cell r="M92">
            <v>0</v>
          </cell>
          <cell r="N92">
            <v>0</v>
          </cell>
          <cell r="O92">
            <v>90</v>
          </cell>
        </row>
        <row r="93">
          <cell r="D93" t="str">
            <v>홍가시H1.0x3지</v>
          </cell>
          <cell r="E93">
            <v>1</v>
          </cell>
          <cell r="F93" t="str">
            <v>주</v>
          </cell>
          <cell r="G93">
            <v>6590</v>
          </cell>
          <cell r="H93">
            <v>6590</v>
          </cell>
          <cell r="I93">
            <v>1640</v>
          </cell>
          <cell r="J93">
            <v>1640</v>
          </cell>
          <cell r="K93">
            <v>4950</v>
          </cell>
          <cell r="L93">
            <v>4950</v>
          </cell>
          <cell r="M93">
            <v>0</v>
          </cell>
          <cell r="N93">
            <v>0</v>
          </cell>
          <cell r="O93">
            <v>91</v>
          </cell>
        </row>
        <row r="94">
          <cell r="D94" t="str">
            <v>백철쭉H0.3xW0.4</v>
          </cell>
          <cell r="E94">
            <v>1</v>
          </cell>
          <cell r="F94" t="str">
            <v>주</v>
          </cell>
          <cell r="G94">
            <v>3480</v>
          </cell>
          <cell r="H94">
            <v>3480</v>
          </cell>
          <cell r="I94">
            <v>1060</v>
          </cell>
          <cell r="J94">
            <v>1060</v>
          </cell>
          <cell r="K94">
            <v>2420</v>
          </cell>
          <cell r="L94">
            <v>2420</v>
          </cell>
          <cell r="M94">
            <v>0</v>
          </cell>
          <cell r="N94">
            <v>0</v>
          </cell>
          <cell r="O94">
            <v>92</v>
          </cell>
        </row>
        <row r="95">
          <cell r="D95" t="str">
            <v>영산홍H0.3xW0.4</v>
          </cell>
          <cell r="E95">
            <v>1</v>
          </cell>
          <cell r="F95" t="str">
            <v>주</v>
          </cell>
          <cell r="G95">
            <v>3630</v>
          </cell>
          <cell r="H95">
            <v>3630</v>
          </cell>
          <cell r="I95">
            <v>1060</v>
          </cell>
          <cell r="J95">
            <v>1060</v>
          </cell>
          <cell r="K95">
            <v>2570</v>
          </cell>
          <cell r="L95">
            <v>2570</v>
          </cell>
          <cell r="M95">
            <v>0</v>
          </cell>
          <cell r="N95">
            <v>0</v>
          </cell>
          <cell r="O95">
            <v>93</v>
          </cell>
        </row>
        <row r="96">
          <cell r="D96" t="str">
            <v>자산홍H0.4xW0.4</v>
          </cell>
          <cell r="E96">
            <v>1</v>
          </cell>
          <cell r="F96" t="str">
            <v>주</v>
          </cell>
          <cell r="G96">
            <v>4010</v>
          </cell>
          <cell r="H96">
            <v>4010</v>
          </cell>
          <cell r="I96">
            <v>1060</v>
          </cell>
          <cell r="J96">
            <v>1060</v>
          </cell>
          <cell r="K96">
            <v>2950</v>
          </cell>
          <cell r="L96">
            <v>2950</v>
          </cell>
          <cell r="M96">
            <v>0</v>
          </cell>
          <cell r="N96">
            <v>0</v>
          </cell>
          <cell r="O96">
            <v>94</v>
          </cell>
        </row>
        <row r="97">
          <cell r="D97" t="str">
            <v>조릿대H0.6x3가지</v>
          </cell>
          <cell r="E97">
            <v>1</v>
          </cell>
          <cell r="F97" t="str">
            <v>주</v>
          </cell>
          <cell r="G97">
            <v>5060</v>
          </cell>
          <cell r="H97">
            <v>5060</v>
          </cell>
          <cell r="I97">
            <v>1060</v>
          </cell>
          <cell r="J97">
            <v>1060</v>
          </cell>
          <cell r="K97">
            <v>4000</v>
          </cell>
          <cell r="L97">
            <v>4000</v>
          </cell>
          <cell r="M97">
            <v>0</v>
          </cell>
          <cell r="N97">
            <v>0</v>
          </cell>
          <cell r="O97">
            <v>95</v>
          </cell>
        </row>
        <row r="98">
          <cell r="D98" t="str">
            <v>화살나무H1.0xW0.6</v>
          </cell>
          <cell r="E98">
            <v>1</v>
          </cell>
          <cell r="F98" t="str">
            <v>주</v>
          </cell>
          <cell r="G98">
            <v>20480</v>
          </cell>
          <cell r="H98">
            <v>20480</v>
          </cell>
          <cell r="I98">
            <v>2480</v>
          </cell>
          <cell r="J98">
            <v>2480</v>
          </cell>
          <cell r="K98">
            <v>18000</v>
          </cell>
          <cell r="L98">
            <v>18000</v>
          </cell>
          <cell r="M98">
            <v>0</v>
          </cell>
          <cell r="N98">
            <v>0</v>
          </cell>
          <cell r="O98">
            <v>96</v>
          </cell>
        </row>
        <row r="99">
          <cell r="D99" t="str">
            <v>꽃댕강H1.2xW0.3</v>
          </cell>
          <cell r="E99">
            <v>1</v>
          </cell>
          <cell r="F99" t="str">
            <v>주</v>
          </cell>
          <cell r="G99">
            <v>8580</v>
          </cell>
          <cell r="H99">
            <v>8580</v>
          </cell>
          <cell r="I99">
            <v>2480</v>
          </cell>
          <cell r="J99">
            <v>2480</v>
          </cell>
          <cell r="K99">
            <v>6100</v>
          </cell>
          <cell r="L99">
            <v>6100</v>
          </cell>
          <cell r="M99">
            <v>0</v>
          </cell>
          <cell r="N99">
            <v>0</v>
          </cell>
          <cell r="O99">
            <v>97</v>
          </cell>
        </row>
        <row r="100">
          <cell r="D100" t="str">
            <v>조팝나무H0.6xW0.3</v>
          </cell>
          <cell r="E100">
            <v>1</v>
          </cell>
          <cell r="F100" t="str">
            <v>주</v>
          </cell>
          <cell r="G100">
            <v>3980</v>
          </cell>
          <cell r="H100">
            <v>3980</v>
          </cell>
          <cell r="I100">
            <v>2480</v>
          </cell>
          <cell r="J100">
            <v>2480</v>
          </cell>
          <cell r="K100">
            <v>1500</v>
          </cell>
          <cell r="L100">
            <v>1500</v>
          </cell>
          <cell r="M100">
            <v>0</v>
          </cell>
          <cell r="N100">
            <v>0</v>
          </cell>
          <cell r="O100">
            <v>98</v>
          </cell>
        </row>
        <row r="101">
          <cell r="D101" t="str">
            <v>맥문동7-10분얼</v>
          </cell>
          <cell r="E101">
            <v>1</v>
          </cell>
          <cell r="F101" t="str">
            <v>본</v>
          </cell>
          <cell r="G101">
            <v>1038</v>
          </cell>
          <cell r="H101">
            <v>1038</v>
          </cell>
          <cell r="I101">
            <v>168</v>
          </cell>
          <cell r="J101">
            <v>168</v>
          </cell>
          <cell r="K101">
            <v>870</v>
          </cell>
          <cell r="L101">
            <v>870</v>
          </cell>
          <cell r="M101">
            <v>0</v>
          </cell>
          <cell r="N101">
            <v>0</v>
          </cell>
          <cell r="O101">
            <v>99</v>
          </cell>
        </row>
        <row r="102">
          <cell r="D102" t="str">
            <v>꽃잔디3치</v>
          </cell>
          <cell r="E102">
            <v>1</v>
          </cell>
          <cell r="F102" t="str">
            <v>본</v>
          </cell>
          <cell r="G102">
            <v>708</v>
          </cell>
          <cell r="H102">
            <v>708</v>
          </cell>
          <cell r="I102">
            <v>168</v>
          </cell>
          <cell r="J102">
            <v>168</v>
          </cell>
          <cell r="K102">
            <v>540</v>
          </cell>
          <cell r="L102">
            <v>540</v>
          </cell>
          <cell r="M102">
            <v>0</v>
          </cell>
          <cell r="N102">
            <v>0</v>
          </cell>
          <cell r="O102">
            <v>100</v>
          </cell>
        </row>
        <row r="103">
          <cell r="D103" t="str">
            <v>수호초4치</v>
          </cell>
          <cell r="E103">
            <v>1</v>
          </cell>
          <cell r="F103" t="str">
            <v>본</v>
          </cell>
          <cell r="G103">
            <v>2668</v>
          </cell>
          <cell r="H103">
            <v>2668</v>
          </cell>
          <cell r="I103">
            <v>168</v>
          </cell>
          <cell r="J103">
            <v>168</v>
          </cell>
          <cell r="K103">
            <v>2500</v>
          </cell>
          <cell r="L103">
            <v>2500</v>
          </cell>
          <cell r="M103">
            <v>0</v>
          </cell>
          <cell r="N103">
            <v>0</v>
          </cell>
          <cell r="O103">
            <v>101</v>
          </cell>
        </row>
        <row r="104">
          <cell r="D104" t="str">
            <v>초화류1년초화</v>
          </cell>
          <cell r="E104">
            <v>1</v>
          </cell>
          <cell r="F104" t="str">
            <v>m2</v>
          </cell>
          <cell r="G104">
            <v>45000</v>
          </cell>
          <cell r="H104">
            <v>45000</v>
          </cell>
          <cell r="I104">
            <v>15000</v>
          </cell>
          <cell r="J104">
            <v>15000</v>
          </cell>
          <cell r="K104">
            <v>30000</v>
          </cell>
          <cell r="L104">
            <v>30000</v>
          </cell>
          <cell r="M104">
            <v>0</v>
          </cell>
          <cell r="N104">
            <v>0</v>
          </cell>
          <cell r="O104">
            <v>102</v>
          </cell>
        </row>
        <row r="105">
          <cell r="D105" t="str">
            <v>잔디평떼</v>
          </cell>
          <cell r="E105">
            <v>1</v>
          </cell>
          <cell r="F105" t="str">
            <v>m2</v>
          </cell>
          <cell r="G105">
            <v>5840</v>
          </cell>
          <cell r="H105">
            <v>5840</v>
          </cell>
          <cell r="I105">
            <v>2760</v>
          </cell>
          <cell r="J105">
            <v>2760</v>
          </cell>
          <cell r="K105">
            <v>3080</v>
          </cell>
          <cell r="L105">
            <v>3080</v>
          </cell>
          <cell r="M105">
            <v>0</v>
          </cell>
          <cell r="N105">
            <v>0</v>
          </cell>
          <cell r="O105">
            <v>103</v>
          </cell>
        </row>
        <row r="106">
          <cell r="D106" t="str">
            <v>잔디줄떼</v>
          </cell>
          <cell r="E106">
            <v>1</v>
          </cell>
          <cell r="F106" t="str">
            <v>m2</v>
          </cell>
          <cell r="G106">
            <v>4300</v>
          </cell>
          <cell r="H106">
            <v>4300</v>
          </cell>
          <cell r="I106">
            <v>2760</v>
          </cell>
          <cell r="J106">
            <v>2760</v>
          </cell>
          <cell r="K106">
            <v>1540</v>
          </cell>
          <cell r="L106">
            <v>1540</v>
          </cell>
          <cell r="M106">
            <v>0</v>
          </cell>
          <cell r="N106">
            <v>0</v>
          </cell>
          <cell r="O106">
            <v>104</v>
          </cell>
        </row>
        <row r="107">
          <cell r="D107" t="str">
            <v>자연석(대형)10.0Ton 이상</v>
          </cell>
          <cell r="E107">
            <v>1</v>
          </cell>
          <cell r="F107" t="str">
            <v>EA</v>
          </cell>
          <cell r="G107">
            <v>4700000</v>
          </cell>
          <cell r="H107">
            <v>4700000</v>
          </cell>
          <cell r="I107">
            <v>2000000</v>
          </cell>
          <cell r="J107">
            <v>2000000</v>
          </cell>
          <cell r="K107">
            <v>2700000</v>
          </cell>
          <cell r="L107">
            <v>2700000</v>
          </cell>
          <cell r="M107">
            <v>0</v>
          </cell>
          <cell r="N107">
            <v>0</v>
          </cell>
          <cell r="O107">
            <v>105</v>
          </cell>
        </row>
        <row r="108">
          <cell r="D108" t="str">
            <v>자연석(대형)10.0Ton</v>
          </cell>
          <cell r="E108">
            <v>1</v>
          </cell>
          <cell r="F108" t="str">
            <v>EA</v>
          </cell>
          <cell r="G108">
            <v>4700000</v>
          </cell>
          <cell r="H108">
            <v>4700000</v>
          </cell>
          <cell r="I108">
            <v>2000000</v>
          </cell>
          <cell r="J108">
            <v>2000000</v>
          </cell>
          <cell r="K108">
            <v>2700000</v>
          </cell>
          <cell r="L108">
            <v>2700000</v>
          </cell>
          <cell r="M108">
            <v>0</v>
          </cell>
          <cell r="N108">
            <v>0</v>
          </cell>
          <cell r="O108">
            <v>106</v>
          </cell>
        </row>
        <row r="109">
          <cell r="D109" t="str">
            <v>자연석(대형)5.0Ton</v>
          </cell>
          <cell r="E109">
            <v>1</v>
          </cell>
          <cell r="F109" t="str">
            <v>EA</v>
          </cell>
          <cell r="G109">
            <v>2350000</v>
          </cell>
          <cell r="H109">
            <v>2350000</v>
          </cell>
          <cell r="I109">
            <v>1000000</v>
          </cell>
          <cell r="J109">
            <v>1000000</v>
          </cell>
          <cell r="K109">
            <v>1350000</v>
          </cell>
          <cell r="L109">
            <v>1350000</v>
          </cell>
          <cell r="M109">
            <v>0</v>
          </cell>
          <cell r="N109">
            <v>0</v>
          </cell>
          <cell r="O109">
            <v>107</v>
          </cell>
        </row>
        <row r="110">
          <cell r="D110" t="str">
            <v>자연석(대형)2.6Ton</v>
          </cell>
          <cell r="E110">
            <v>1</v>
          </cell>
          <cell r="F110" t="str">
            <v>EA</v>
          </cell>
          <cell r="G110">
            <v>1420000</v>
          </cell>
          <cell r="H110">
            <v>1420000</v>
          </cell>
          <cell r="I110">
            <v>520000</v>
          </cell>
          <cell r="J110">
            <v>520000</v>
          </cell>
          <cell r="K110">
            <v>900000</v>
          </cell>
          <cell r="L110">
            <v>900000</v>
          </cell>
          <cell r="M110">
            <v>0</v>
          </cell>
          <cell r="N110">
            <v>0</v>
          </cell>
          <cell r="O110">
            <v>108</v>
          </cell>
        </row>
        <row r="111">
          <cell r="D111" t="str">
            <v>자연석(중형)1.6Ton</v>
          </cell>
          <cell r="E111">
            <v>1</v>
          </cell>
          <cell r="F111" t="str">
            <v>EA</v>
          </cell>
          <cell r="G111">
            <v>770000</v>
          </cell>
          <cell r="H111">
            <v>770000</v>
          </cell>
          <cell r="I111">
            <v>320000</v>
          </cell>
          <cell r="J111">
            <v>320000</v>
          </cell>
          <cell r="K111">
            <v>450000</v>
          </cell>
          <cell r="L111">
            <v>450000</v>
          </cell>
          <cell r="M111">
            <v>0</v>
          </cell>
          <cell r="N111">
            <v>0</v>
          </cell>
          <cell r="O111">
            <v>109</v>
          </cell>
        </row>
        <row r="112">
          <cell r="D112" t="str">
            <v>자연석(소형)1.0Ton</v>
          </cell>
          <cell r="E112">
            <v>1</v>
          </cell>
          <cell r="F112" t="str">
            <v>EA</v>
          </cell>
          <cell r="G112">
            <v>450000</v>
          </cell>
          <cell r="H112">
            <v>450000</v>
          </cell>
          <cell r="I112">
            <v>200000</v>
          </cell>
          <cell r="J112">
            <v>200000</v>
          </cell>
          <cell r="K112">
            <v>250000</v>
          </cell>
          <cell r="L112">
            <v>250000</v>
          </cell>
          <cell r="M112">
            <v>0</v>
          </cell>
          <cell r="N112">
            <v>0</v>
          </cell>
          <cell r="O112">
            <v>110</v>
          </cell>
        </row>
        <row r="113">
          <cell r="D113" t="str">
            <v>가로지지대교목군식</v>
          </cell>
          <cell r="E113">
            <v>1</v>
          </cell>
          <cell r="F113" t="str">
            <v>개소</v>
          </cell>
          <cell r="G113">
            <v>5176</v>
          </cell>
          <cell r="H113">
            <v>5176</v>
          </cell>
          <cell r="I113">
            <v>1520</v>
          </cell>
          <cell r="J113">
            <v>1520</v>
          </cell>
          <cell r="K113">
            <v>3656</v>
          </cell>
          <cell r="L113">
            <v>3656</v>
          </cell>
          <cell r="M113">
            <v>0</v>
          </cell>
          <cell r="N113">
            <v>0</v>
          </cell>
          <cell r="O113">
            <v>111</v>
          </cell>
        </row>
        <row r="114">
          <cell r="D114" t="str">
            <v>삼발이지주목소형</v>
          </cell>
          <cell r="E114">
            <v>1</v>
          </cell>
          <cell r="F114" t="str">
            <v>조</v>
          </cell>
          <cell r="G114">
            <v>14043</v>
          </cell>
          <cell r="H114">
            <v>14043</v>
          </cell>
          <cell r="I114">
            <v>0</v>
          </cell>
          <cell r="J114">
            <v>0</v>
          </cell>
          <cell r="K114">
            <v>14043</v>
          </cell>
          <cell r="L114">
            <v>14043</v>
          </cell>
          <cell r="M114">
            <v>0</v>
          </cell>
          <cell r="N114">
            <v>0</v>
          </cell>
          <cell r="O114">
            <v>112</v>
          </cell>
        </row>
        <row r="115">
          <cell r="D115" t="str">
            <v>삼발이지주목대형</v>
          </cell>
          <cell r="E115">
            <v>1</v>
          </cell>
          <cell r="F115" t="str">
            <v>조</v>
          </cell>
          <cell r="G115">
            <v>20364</v>
          </cell>
          <cell r="H115">
            <v>20364</v>
          </cell>
          <cell r="I115">
            <v>0</v>
          </cell>
          <cell r="J115">
            <v>0</v>
          </cell>
          <cell r="K115">
            <v>20364</v>
          </cell>
          <cell r="L115">
            <v>20364</v>
          </cell>
          <cell r="M115">
            <v>0</v>
          </cell>
          <cell r="N115">
            <v>0</v>
          </cell>
          <cell r="O115">
            <v>113</v>
          </cell>
        </row>
        <row r="116">
          <cell r="D116" t="str">
            <v>약제살포+발근촉진제R30</v>
          </cell>
          <cell r="E116">
            <v>1</v>
          </cell>
          <cell r="F116" t="str">
            <v>주</v>
          </cell>
          <cell r="G116">
            <v>9700</v>
          </cell>
          <cell r="H116">
            <v>9700</v>
          </cell>
          <cell r="I116">
            <v>4200</v>
          </cell>
          <cell r="J116">
            <v>4200</v>
          </cell>
          <cell r="K116">
            <v>5500</v>
          </cell>
          <cell r="L116">
            <v>5500</v>
          </cell>
          <cell r="M116">
            <v>0</v>
          </cell>
          <cell r="N116">
            <v>0</v>
          </cell>
          <cell r="O116">
            <v>114</v>
          </cell>
        </row>
        <row r="117">
          <cell r="D117" t="str">
            <v>약제살포+발근촉진제R35</v>
          </cell>
          <cell r="E117">
            <v>1</v>
          </cell>
          <cell r="F117" t="str">
            <v>주</v>
          </cell>
          <cell r="G117">
            <v>12450</v>
          </cell>
          <cell r="H117">
            <v>12450</v>
          </cell>
          <cell r="I117">
            <v>4200</v>
          </cell>
          <cell r="J117">
            <v>4200</v>
          </cell>
          <cell r="K117">
            <v>8250</v>
          </cell>
          <cell r="L117">
            <v>8250</v>
          </cell>
          <cell r="M117">
            <v>0</v>
          </cell>
          <cell r="N117">
            <v>0</v>
          </cell>
          <cell r="O117">
            <v>115</v>
          </cell>
        </row>
        <row r="118">
          <cell r="D118" t="str">
            <v>약제살포+발근촉진제R40</v>
          </cell>
          <cell r="E118">
            <v>1</v>
          </cell>
          <cell r="F118" t="str">
            <v>주</v>
          </cell>
          <cell r="G118">
            <v>15200</v>
          </cell>
          <cell r="H118">
            <v>15200</v>
          </cell>
          <cell r="I118">
            <v>4200</v>
          </cell>
          <cell r="J118">
            <v>4200</v>
          </cell>
          <cell r="K118">
            <v>11000</v>
          </cell>
          <cell r="L118">
            <v>11000</v>
          </cell>
          <cell r="M118">
            <v>0</v>
          </cell>
          <cell r="N118">
            <v>0</v>
          </cell>
          <cell r="O118">
            <v>116</v>
          </cell>
        </row>
        <row r="119">
          <cell r="D119" t="str">
            <v>약제살포+발근촉진제R45</v>
          </cell>
          <cell r="E119">
            <v>1</v>
          </cell>
          <cell r="F119" t="str">
            <v>주</v>
          </cell>
          <cell r="G119">
            <v>17950</v>
          </cell>
          <cell r="H119">
            <v>17950</v>
          </cell>
          <cell r="I119">
            <v>4200</v>
          </cell>
          <cell r="J119">
            <v>4200</v>
          </cell>
          <cell r="K119">
            <v>13750</v>
          </cell>
          <cell r="L119">
            <v>13750</v>
          </cell>
          <cell r="M119">
            <v>0</v>
          </cell>
          <cell r="N119">
            <v>0</v>
          </cell>
          <cell r="O119">
            <v>117</v>
          </cell>
        </row>
        <row r="120">
          <cell r="D120" t="str">
            <v>약제살포+발근촉진제R50</v>
          </cell>
          <cell r="E120">
            <v>1</v>
          </cell>
          <cell r="F120" t="str">
            <v>주</v>
          </cell>
          <cell r="G120">
            <v>20700</v>
          </cell>
          <cell r="H120">
            <v>20700</v>
          </cell>
          <cell r="I120">
            <v>4200</v>
          </cell>
          <cell r="J120">
            <v>4200</v>
          </cell>
          <cell r="K120">
            <v>16500</v>
          </cell>
          <cell r="L120">
            <v>16500</v>
          </cell>
          <cell r="M120">
            <v>0</v>
          </cell>
          <cell r="N120">
            <v>0</v>
          </cell>
          <cell r="O120">
            <v>118</v>
          </cell>
        </row>
        <row r="121">
          <cell r="D121" t="str">
            <v>약제살포+발근촉진제R55</v>
          </cell>
          <cell r="E121">
            <v>1</v>
          </cell>
          <cell r="F121" t="str">
            <v>주</v>
          </cell>
          <cell r="G121">
            <v>23450</v>
          </cell>
          <cell r="H121">
            <v>23450</v>
          </cell>
          <cell r="I121">
            <v>4200</v>
          </cell>
          <cell r="J121">
            <v>4200</v>
          </cell>
          <cell r="K121">
            <v>19250</v>
          </cell>
          <cell r="L121">
            <v>19250</v>
          </cell>
          <cell r="M121">
            <v>0</v>
          </cell>
          <cell r="N121">
            <v>0</v>
          </cell>
          <cell r="O121">
            <v>119</v>
          </cell>
        </row>
        <row r="122">
          <cell r="D122" t="str">
            <v>수간녹화TAPE,밴드감기교목용</v>
          </cell>
          <cell r="E122">
            <v>1</v>
          </cell>
          <cell r="F122" t="str">
            <v>개소</v>
          </cell>
          <cell r="G122">
            <v>2176</v>
          </cell>
          <cell r="H122">
            <v>2176</v>
          </cell>
          <cell r="I122">
            <v>1520</v>
          </cell>
          <cell r="J122">
            <v>1520</v>
          </cell>
          <cell r="K122">
            <v>656</v>
          </cell>
          <cell r="L122">
            <v>656</v>
          </cell>
          <cell r="M122">
            <v>0</v>
          </cell>
          <cell r="N122">
            <v>0</v>
          </cell>
          <cell r="O122">
            <v>120</v>
          </cell>
        </row>
        <row r="123">
          <cell r="D123" t="str">
            <v>비닐감기상록R30이상</v>
          </cell>
          <cell r="E123">
            <v>1</v>
          </cell>
          <cell r="F123" t="str">
            <v>개소</v>
          </cell>
          <cell r="G123">
            <v>22859</v>
          </cell>
          <cell r="H123">
            <v>22859</v>
          </cell>
          <cell r="I123">
            <v>7980</v>
          </cell>
          <cell r="J123">
            <v>7980</v>
          </cell>
          <cell r="K123">
            <v>14879</v>
          </cell>
          <cell r="L123">
            <v>14879</v>
          </cell>
          <cell r="M123">
            <v>0</v>
          </cell>
          <cell r="N123">
            <v>0</v>
          </cell>
          <cell r="O123">
            <v>121</v>
          </cell>
        </row>
        <row r="124">
          <cell r="D124" t="str">
            <v>수목표찰(W=420)교목</v>
          </cell>
          <cell r="E124">
            <v>1</v>
          </cell>
          <cell r="F124" t="str">
            <v>개소</v>
          </cell>
          <cell r="G124">
            <v>30000</v>
          </cell>
          <cell r="H124">
            <v>30000</v>
          </cell>
          <cell r="I124">
            <v>0</v>
          </cell>
          <cell r="J124">
            <v>0</v>
          </cell>
          <cell r="K124">
            <v>30000</v>
          </cell>
          <cell r="L124">
            <v>30000</v>
          </cell>
          <cell r="M124">
            <v>0</v>
          </cell>
          <cell r="N124">
            <v>0</v>
          </cell>
          <cell r="O124">
            <v>122</v>
          </cell>
        </row>
        <row r="125">
          <cell r="D125" t="str">
            <v>수목표찰(W=420)관목</v>
          </cell>
          <cell r="E125">
            <v>1</v>
          </cell>
          <cell r="F125" t="str">
            <v>개소</v>
          </cell>
          <cell r="G125">
            <v>10000</v>
          </cell>
          <cell r="H125">
            <v>10000</v>
          </cell>
          <cell r="I125">
            <v>0</v>
          </cell>
          <cell r="J125">
            <v>0</v>
          </cell>
          <cell r="K125">
            <v>10000</v>
          </cell>
          <cell r="L125">
            <v>10000</v>
          </cell>
          <cell r="M125">
            <v>0</v>
          </cell>
          <cell r="N125">
            <v>0</v>
          </cell>
          <cell r="O125">
            <v>123</v>
          </cell>
        </row>
        <row r="126">
          <cell r="D126" t="str">
            <v>올림픽스테인칠</v>
          </cell>
          <cell r="E126">
            <v>1</v>
          </cell>
          <cell r="F126" t="str">
            <v>m2</v>
          </cell>
          <cell r="G126">
            <v>5859</v>
          </cell>
          <cell r="H126">
            <v>5859</v>
          </cell>
          <cell r="I126">
            <v>3599</v>
          </cell>
          <cell r="J126">
            <v>3599</v>
          </cell>
          <cell r="K126">
            <v>2260</v>
          </cell>
          <cell r="L126">
            <v>2260</v>
          </cell>
          <cell r="M126">
            <v>0</v>
          </cell>
          <cell r="N126">
            <v>0</v>
          </cell>
          <cell r="O126">
            <v>124</v>
          </cell>
        </row>
        <row r="127">
          <cell r="D127" t="str">
            <v>인력절취보통토사</v>
          </cell>
          <cell r="E127">
            <v>1</v>
          </cell>
          <cell r="F127" t="str">
            <v>m3</v>
          </cell>
          <cell r="G127">
            <v>6400</v>
          </cell>
          <cell r="H127">
            <v>6400</v>
          </cell>
          <cell r="I127">
            <v>6400</v>
          </cell>
          <cell r="J127">
            <v>6400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125</v>
          </cell>
        </row>
        <row r="128">
          <cell r="D128" t="str">
            <v>인력터파기보통토사,0-1m</v>
          </cell>
          <cell r="E128">
            <v>1</v>
          </cell>
          <cell r="F128" t="str">
            <v>m3</v>
          </cell>
          <cell r="G128">
            <v>8000</v>
          </cell>
          <cell r="H128">
            <v>8000</v>
          </cell>
          <cell r="I128">
            <v>8000</v>
          </cell>
          <cell r="J128">
            <v>8000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126</v>
          </cell>
        </row>
        <row r="129">
          <cell r="D129" t="str">
            <v>인력잔토처리보통토사</v>
          </cell>
          <cell r="E129">
            <v>1</v>
          </cell>
          <cell r="F129" t="str">
            <v>m3</v>
          </cell>
          <cell r="G129">
            <v>8000</v>
          </cell>
          <cell r="H129">
            <v>8000</v>
          </cell>
          <cell r="I129">
            <v>8000</v>
          </cell>
          <cell r="J129">
            <v>8000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127</v>
          </cell>
        </row>
        <row r="130">
          <cell r="D130" t="str">
            <v>인력되메우고다짐보통토사</v>
          </cell>
          <cell r="E130">
            <v>1</v>
          </cell>
          <cell r="F130" t="str">
            <v>m3</v>
          </cell>
          <cell r="G130">
            <v>8400</v>
          </cell>
          <cell r="H130">
            <v>8400</v>
          </cell>
          <cell r="I130">
            <v>8400</v>
          </cell>
          <cell r="J130">
            <v>8400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128</v>
          </cell>
        </row>
        <row r="131">
          <cell r="D131" t="str">
            <v>인력흙다짐성토두께30cm</v>
          </cell>
          <cell r="E131">
            <v>1</v>
          </cell>
          <cell r="F131" t="str">
            <v>m3</v>
          </cell>
          <cell r="G131">
            <v>4400</v>
          </cell>
          <cell r="H131">
            <v>4400</v>
          </cell>
          <cell r="I131">
            <v>4400</v>
          </cell>
          <cell r="J131">
            <v>4400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129</v>
          </cell>
        </row>
        <row r="132">
          <cell r="D132" t="str">
            <v>인력되메우기보통토사</v>
          </cell>
          <cell r="E132">
            <v>1</v>
          </cell>
          <cell r="F132" t="str">
            <v>m3</v>
          </cell>
          <cell r="G132">
            <v>4000</v>
          </cell>
          <cell r="H132">
            <v>4000</v>
          </cell>
          <cell r="I132">
            <v>4000</v>
          </cell>
          <cell r="J132">
            <v>4000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130</v>
          </cell>
        </row>
        <row r="133">
          <cell r="D133" t="str">
            <v>화강석경계석150x150x1000</v>
          </cell>
          <cell r="F133" t="str">
            <v>m</v>
          </cell>
          <cell r="G133">
            <v>20795</v>
          </cell>
          <cell r="H133">
            <v>20795</v>
          </cell>
          <cell r="I133">
            <v>19763</v>
          </cell>
          <cell r="J133">
            <v>19763</v>
          </cell>
          <cell r="K133">
            <v>1032</v>
          </cell>
          <cell r="L133">
            <v>1032</v>
          </cell>
          <cell r="M133">
            <v>0</v>
          </cell>
          <cell r="N133">
            <v>0</v>
          </cell>
          <cell r="O133">
            <v>131</v>
          </cell>
        </row>
        <row r="134">
          <cell r="D134" t="str">
            <v>레미콘타설무근</v>
          </cell>
          <cell r="E134">
            <v>1</v>
          </cell>
          <cell r="F134" t="str">
            <v>m3</v>
          </cell>
          <cell r="G134">
            <v>21000</v>
          </cell>
          <cell r="H134">
            <v>21000</v>
          </cell>
          <cell r="I134">
            <v>21000</v>
          </cell>
          <cell r="J134">
            <v>21000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132</v>
          </cell>
        </row>
        <row r="135">
          <cell r="D135" t="str">
            <v>레미콘타설철근</v>
          </cell>
          <cell r="E135">
            <v>1</v>
          </cell>
          <cell r="F135" t="str">
            <v>m3</v>
          </cell>
          <cell r="G135">
            <v>23160</v>
          </cell>
          <cell r="H135">
            <v>23160</v>
          </cell>
          <cell r="I135">
            <v>23160</v>
          </cell>
          <cell r="J135">
            <v>23160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133</v>
          </cell>
        </row>
        <row r="136">
          <cell r="D136" t="str">
            <v>레미콘타설소형</v>
          </cell>
          <cell r="E136">
            <v>1</v>
          </cell>
          <cell r="F136" t="str">
            <v>m3</v>
          </cell>
          <cell r="G136">
            <v>33120</v>
          </cell>
          <cell r="H136">
            <v>33120</v>
          </cell>
          <cell r="I136">
            <v>33120</v>
          </cell>
          <cell r="J136">
            <v>33120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134</v>
          </cell>
        </row>
        <row r="137">
          <cell r="D137" t="str">
            <v>모르터1:2</v>
          </cell>
          <cell r="E137">
            <v>1</v>
          </cell>
          <cell r="F137" t="str">
            <v>m3</v>
          </cell>
          <cell r="G137">
            <v>40000</v>
          </cell>
          <cell r="H137">
            <v>40000</v>
          </cell>
          <cell r="I137">
            <v>40000</v>
          </cell>
          <cell r="J137">
            <v>40000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135</v>
          </cell>
        </row>
        <row r="138">
          <cell r="D138" t="str">
            <v>모르터1:3</v>
          </cell>
          <cell r="E138">
            <v>1</v>
          </cell>
          <cell r="F138" t="str">
            <v>m3</v>
          </cell>
          <cell r="G138">
            <v>40000</v>
          </cell>
          <cell r="H138">
            <v>40000</v>
          </cell>
          <cell r="I138">
            <v>40000</v>
          </cell>
          <cell r="J138">
            <v>40000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136</v>
          </cell>
        </row>
        <row r="139">
          <cell r="D139" t="str">
            <v>시멘트액체방수C종</v>
          </cell>
          <cell r="E139">
            <v>1</v>
          </cell>
          <cell r="F139" t="str">
            <v>m2</v>
          </cell>
          <cell r="G139">
            <v>18726</v>
          </cell>
          <cell r="H139">
            <v>18726</v>
          </cell>
          <cell r="I139">
            <v>17089</v>
          </cell>
          <cell r="J139">
            <v>17089</v>
          </cell>
          <cell r="K139">
            <v>1637</v>
          </cell>
          <cell r="L139">
            <v>1637</v>
          </cell>
          <cell r="M139">
            <v>0</v>
          </cell>
          <cell r="N139">
            <v>0</v>
          </cell>
          <cell r="O139">
            <v>137</v>
          </cell>
        </row>
        <row r="140">
          <cell r="D140" t="str">
            <v>합판거푸집1회</v>
          </cell>
          <cell r="E140">
            <v>1</v>
          </cell>
          <cell r="F140" t="str">
            <v>m2</v>
          </cell>
          <cell r="G140">
            <v>43956</v>
          </cell>
          <cell r="H140">
            <v>43956</v>
          </cell>
          <cell r="I140">
            <v>29080</v>
          </cell>
          <cell r="J140">
            <v>29080</v>
          </cell>
          <cell r="K140">
            <v>14876</v>
          </cell>
          <cell r="L140">
            <v>14876</v>
          </cell>
          <cell r="M140">
            <v>0</v>
          </cell>
          <cell r="N140">
            <v>0</v>
          </cell>
          <cell r="O140">
            <v>138</v>
          </cell>
        </row>
        <row r="141">
          <cell r="D141" t="str">
            <v>합판거푸집2회</v>
          </cell>
          <cell r="E141">
            <v>1</v>
          </cell>
          <cell r="F141" t="str">
            <v>m2</v>
          </cell>
          <cell r="G141">
            <v>25927</v>
          </cell>
          <cell r="H141">
            <v>25927</v>
          </cell>
          <cell r="I141">
            <v>17448</v>
          </cell>
          <cell r="J141">
            <v>17448</v>
          </cell>
          <cell r="K141">
            <v>8479</v>
          </cell>
          <cell r="L141">
            <v>8479</v>
          </cell>
          <cell r="M141">
            <v>0</v>
          </cell>
          <cell r="N141">
            <v>0</v>
          </cell>
          <cell r="O141">
            <v>139</v>
          </cell>
        </row>
        <row r="142">
          <cell r="D142" t="str">
            <v>합판거푸집3회</v>
          </cell>
          <cell r="E142">
            <v>1</v>
          </cell>
          <cell r="F142" t="str">
            <v>m2</v>
          </cell>
          <cell r="G142">
            <v>20553</v>
          </cell>
          <cell r="H142">
            <v>20553</v>
          </cell>
          <cell r="I142">
            <v>13696</v>
          </cell>
          <cell r="J142">
            <v>13696</v>
          </cell>
          <cell r="K142">
            <v>6857</v>
          </cell>
          <cell r="L142">
            <v>6857</v>
          </cell>
          <cell r="M142">
            <v>0</v>
          </cell>
          <cell r="N142">
            <v>0</v>
          </cell>
          <cell r="O142">
            <v>140</v>
          </cell>
        </row>
        <row r="143">
          <cell r="D143" t="str">
            <v>합판거푸집4회</v>
          </cell>
          <cell r="E143">
            <v>1</v>
          </cell>
          <cell r="F143" t="str">
            <v>m2</v>
          </cell>
          <cell r="G143">
            <v>17597</v>
          </cell>
          <cell r="H143">
            <v>17597</v>
          </cell>
          <cell r="I143">
            <v>11632</v>
          </cell>
          <cell r="J143">
            <v>11632</v>
          </cell>
          <cell r="K143">
            <v>5965</v>
          </cell>
          <cell r="L143">
            <v>5965</v>
          </cell>
          <cell r="M143">
            <v>0</v>
          </cell>
          <cell r="N143">
            <v>0</v>
          </cell>
          <cell r="O143">
            <v>141</v>
          </cell>
        </row>
        <row r="144">
          <cell r="D144" t="str">
            <v>합판거푸집5회</v>
          </cell>
          <cell r="E144">
            <v>1</v>
          </cell>
          <cell r="F144" t="str">
            <v>m2</v>
          </cell>
          <cell r="G144">
            <v>15463</v>
          </cell>
          <cell r="H144">
            <v>15463</v>
          </cell>
          <cell r="I144">
            <v>9945</v>
          </cell>
          <cell r="J144">
            <v>9945</v>
          </cell>
          <cell r="K144">
            <v>5518</v>
          </cell>
          <cell r="L144">
            <v>5518</v>
          </cell>
          <cell r="M144">
            <v>0</v>
          </cell>
          <cell r="N144">
            <v>0</v>
          </cell>
          <cell r="O144">
            <v>142</v>
          </cell>
        </row>
        <row r="145">
          <cell r="D145" t="str">
            <v>합판거푸집6회</v>
          </cell>
          <cell r="E145">
            <v>1</v>
          </cell>
          <cell r="F145" t="str">
            <v>m2</v>
          </cell>
          <cell r="G145">
            <v>14466</v>
          </cell>
          <cell r="H145">
            <v>14466</v>
          </cell>
          <cell r="I145">
            <v>9305</v>
          </cell>
          <cell r="J145">
            <v>9305</v>
          </cell>
          <cell r="K145">
            <v>5161</v>
          </cell>
          <cell r="L145">
            <v>5161</v>
          </cell>
          <cell r="M145">
            <v>0</v>
          </cell>
          <cell r="N145">
            <v>0</v>
          </cell>
          <cell r="O145">
            <v>143</v>
          </cell>
        </row>
        <row r="146">
          <cell r="D146" t="str">
            <v>원형거푸집1회</v>
          </cell>
          <cell r="E146">
            <v>1</v>
          </cell>
          <cell r="F146" t="str">
            <v>m2</v>
          </cell>
          <cell r="G146">
            <v>91637</v>
          </cell>
          <cell r="H146">
            <v>91637</v>
          </cell>
          <cell r="I146">
            <v>60820</v>
          </cell>
          <cell r="J146">
            <v>60820</v>
          </cell>
          <cell r="K146">
            <v>30817</v>
          </cell>
          <cell r="L146">
            <v>30817</v>
          </cell>
          <cell r="M146">
            <v>0</v>
          </cell>
          <cell r="N146">
            <v>0</v>
          </cell>
          <cell r="O146">
            <v>144</v>
          </cell>
        </row>
        <row r="147">
          <cell r="D147" t="str">
            <v>원형거푸집3회</v>
          </cell>
          <cell r="E147">
            <v>1</v>
          </cell>
          <cell r="F147" t="str">
            <v>m2</v>
          </cell>
          <cell r="G147">
            <v>44265</v>
          </cell>
          <cell r="H147">
            <v>44265</v>
          </cell>
          <cell r="I147">
            <v>31322</v>
          </cell>
          <cell r="J147">
            <v>31322</v>
          </cell>
          <cell r="K147">
            <v>12943</v>
          </cell>
          <cell r="L147">
            <v>12943</v>
          </cell>
          <cell r="M147">
            <v>0</v>
          </cell>
          <cell r="N147">
            <v>0</v>
          </cell>
          <cell r="O147">
            <v>145</v>
          </cell>
        </row>
        <row r="148">
          <cell r="D148" t="str">
            <v>강관동바리3개월</v>
          </cell>
          <cell r="E148">
            <v>1</v>
          </cell>
          <cell r="F148" t="str">
            <v>공m3</v>
          </cell>
          <cell r="G148">
            <v>1255</v>
          </cell>
          <cell r="H148">
            <v>1255</v>
          </cell>
          <cell r="I148">
            <v>418</v>
          </cell>
          <cell r="J148">
            <v>418</v>
          </cell>
          <cell r="K148">
            <v>837</v>
          </cell>
          <cell r="L148">
            <v>837</v>
          </cell>
          <cell r="M148">
            <v>0</v>
          </cell>
          <cell r="N148">
            <v>0</v>
          </cell>
          <cell r="O148">
            <v>146</v>
          </cell>
        </row>
        <row r="149">
          <cell r="D149" t="str">
            <v>강관비계3개월</v>
          </cell>
          <cell r="E149">
            <v>1</v>
          </cell>
          <cell r="F149" t="str">
            <v>m2</v>
          </cell>
          <cell r="G149">
            <v>9165</v>
          </cell>
          <cell r="H149">
            <v>9165</v>
          </cell>
          <cell r="I149">
            <v>7500</v>
          </cell>
          <cell r="J149">
            <v>7500</v>
          </cell>
          <cell r="K149">
            <v>1665</v>
          </cell>
          <cell r="L149">
            <v>1665</v>
          </cell>
          <cell r="M149">
            <v>0</v>
          </cell>
          <cell r="N149">
            <v>0</v>
          </cell>
          <cell r="O149">
            <v>147</v>
          </cell>
        </row>
        <row r="150">
          <cell r="D150" t="str">
            <v>잡철물제작설치철물간단</v>
          </cell>
          <cell r="E150">
            <v>1</v>
          </cell>
          <cell r="F150" t="str">
            <v>kg</v>
          </cell>
          <cell r="G150">
            <v>2093</v>
          </cell>
          <cell r="H150">
            <v>2093</v>
          </cell>
          <cell r="I150">
            <v>1972</v>
          </cell>
          <cell r="J150">
            <v>1972</v>
          </cell>
          <cell r="K150">
            <v>121</v>
          </cell>
          <cell r="L150">
            <v>121</v>
          </cell>
          <cell r="M150">
            <v>0</v>
          </cell>
          <cell r="N150">
            <v>0</v>
          </cell>
          <cell r="O150">
            <v>148</v>
          </cell>
        </row>
        <row r="151">
          <cell r="D151" t="str">
            <v>잡철물제작설치(Ton)철물간단</v>
          </cell>
          <cell r="E151">
            <v>1</v>
          </cell>
          <cell r="F151" t="str">
            <v>Ton</v>
          </cell>
          <cell r="G151">
            <v>2094250</v>
          </cell>
          <cell r="H151">
            <v>2094250</v>
          </cell>
          <cell r="I151">
            <v>1972850</v>
          </cell>
          <cell r="J151">
            <v>1972850</v>
          </cell>
          <cell r="K151">
            <v>121400</v>
          </cell>
          <cell r="L151">
            <v>121400</v>
          </cell>
          <cell r="M151">
            <v>0</v>
          </cell>
          <cell r="N151">
            <v>0</v>
          </cell>
          <cell r="O151">
            <v>149</v>
          </cell>
        </row>
        <row r="152">
          <cell r="D152" t="str">
            <v>잡철물제작설치철물보통</v>
          </cell>
          <cell r="E152">
            <v>1</v>
          </cell>
          <cell r="F152" t="str">
            <v>kg</v>
          </cell>
          <cell r="G152">
            <v>2511</v>
          </cell>
          <cell r="H152">
            <v>2511</v>
          </cell>
          <cell r="I152">
            <v>2366</v>
          </cell>
          <cell r="J152">
            <v>2366</v>
          </cell>
          <cell r="K152">
            <v>145</v>
          </cell>
          <cell r="L152">
            <v>145</v>
          </cell>
          <cell r="M152">
            <v>0</v>
          </cell>
          <cell r="N152">
            <v>0</v>
          </cell>
          <cell r="O152">
            <v>150</v>
          </cell>
        </row>
        <row r="153">
          <cell r="D153" t="str">
            <v>잡철물제작설치철물복잡</v>
          </cell>
          <cell r="E153">
            <v>1</v>
          </cell>
          <cell r="F153" t="str">
            <v>kg</v>
          </cell>
          <cell r="G153">
            <v>2929</v>
          </cell>
          <cell r="H153">
            <v>2929</v>
          </cell>
          <cell r="I153">
            <v>2760</v>
          </cell>
          <cell r="J153">
            <v>2760</v>
          </cell>
          <cell r="K153">
            <v>169</v>
          </cell>
          <cell r="L153">
            <v>169</v>
          </cell>
          <cell r="M153">
            <v>0</v>
          </cell>
          <cell r="N153">
            <v>0</v>
          </cell>
          <cell r="O153">
            <v>151</v>
          </cell>
        </row>
        <row r="154">
          <cell r="D154" t="str">
            <v>잡철물제작설치SST간단</v>
          </cell>
          <cell r="E154">
            <v>1</v>
          </cell>
          <cell r="F154" t="str">
            <v>kg</v>
          </cell>
          <cell r="G154">
            <v>2235</v>
          </cell>
          <cell r="H154">
            <v>2235</v>
          </cell>
          <cell r="I154">
            <v>1972</v>
          </cell>
          <cell r="J154">
            <v>1972</v>
          </cell>
          <cell r="K154">
            <v>263</v>
          </cell>
          <cell r="L154">
            <v>263</v>
          </cell>
          <cell r="M154">
            <v>0</v>
          </cell>
          <cell r="N154">
            <v>0</v>
          </cell>
          <cell r="O154">
            <v>152</v>
          </cell>
        </row>
        <row r="155">
          <cell r="D155" t="str">
            <v>잡철물제작설치(Ton)SST간단</v>
          </cell>
          <cell r="E155">
            <v>1</v>
          </cell>
          <cell r="F155" t="str">
            <v>Ton</v>
          </cell>
          <cell r="G155">
            <v>2236093</v>
          </cell>
          <cell r="H155">
            <v>2236093</v>
          </cell>
          <cell r="I155">
            <v>1972850</v>
          </cell>
          <cell r="J155">
            <v>1972850</v>
          </cell>
          <cell r="K155">
            <v>263243</v>
          </cell>
          <cell r="L155">
            <v>263243</v>
          </cell>
          <cell r="M155">
            <v>0</v>
          </cell>
          <cell r="N155">
            <v>0</v>
          </cell>
          <cell r="O155">
            <v>153</v>
          </cell>
        </row>
        <row r="156">
          <cell r="D156" t="str">
            <v>잡철물제작설치SST보통</v>
          </cell>
          <cell r="E156">
            <v>1</v>
          </cell>
          <cell r="F156" t="str">
            <v>kg</v>
          </cell>
          <cell r="G156">
            <v>2681</v>
          </cell>
          <cell r="H156">
            <v>2681</v>
          </cell>
          <cell r="I156">
            <v>2366</v>
          </cell>
          <cell r="J156">
            <v>2366</v>
          </cell>
          <cell r="K156">
            <v>315</v>
          </cell>
          <cell r="L156">
            <v>315</v>
          </cell>
          <cell r="M156">
            <v>0</v>
          </cell>
          <cell r="N156">
            <v>0</v>
          </cell>
          <cell r="O156">
            <v>154</v>
          </cell>
        </row>
        <row r="157">
          <cell r="D157" t="str">
            <v>잡철물제작설치SST복잡</v>
          </cell>
          <cell r="E157">
            <v>1</v>
          </cell>
          <cell r="F157" t="str">
            <v>kg</v>
          </cell>
          <cell r="G157">
            <v>3128</v>
          </cell>
          <cell r="H157">
            <v>3128</v>
          </cell>
          <cell r="I157">
            <v>2760</v>
          </cell>
          <cell r="J157">
            <v>2760</v>
          </cell>
          <cell r="K157">
            <v>368</v>
          </cell>
          <cell r="L157">
            <v>368</v>
          </cell>
          <cell r="M157">
            <v>0</v>
          </cell>
          <cell r="N157">
            <v>0</v>
          </cell>
          <cell r="O157">
            <v>155</v>
          </cell>
        </row>
        <row r="158">
          <cell r="D158" t="str">
            <v>철근가공조립간단</v>
          </cell>
          <cell r="E158">
            <v>1</v>
          </cell>
          <cell r="F158" t="str">
            <v>kg</v>
          </cell>
          <cell r="G158">
            <v>333</v>
          </cell>
          <cell r="H158">
            <v>333</v>
          </cell>
          <cell r="I158">
            <v>324</v>
          </cell>
          <cell r="J158">
            <v>324</v>
          </cell>
          <cell r="K158">
            <v>9</v>
          </cell>
          <cell r="L158">
            <v>9</v>
          </cell>
          <cell r="M158">
            <v>0</v>
          </cell>
          <cell r="N158">
            <v>0</v>
          </cell>
          <cell r="O158">
            <v>156</v>
          </cell>
        </row>
        <row r="159">
          <cell r="D159" t="str">
            <v>철근가공조립보통</v>
          </cell>
          <cell r="E159">
            <v>1</v>
          </cell>
          <cell r="F159" t="str">
            <v>kg</v>
          </cell>
          <cell r="G159">
            <v>376</v>
          </cell>
          <cell r="H159">
            <v>376</v>
          </cell>
          <cell r="I159">
            <v>365</v>
          </cell>
          <cell r="J159">
            <v>365</v>
          </cell>
          <cell r="K159">
            <v>11</v>
          </cell>
          <cell r="L159">
            <v>11</v>
          </cell>
          <cell r="M159">
            <v>0</v>
          </cell>
          <cell r="N159">
            <v>0</v>
          </cell>
          <cell r="O159">
            <v>157</v>
          </cell>
        </row>
        <row r="160">
          <cell r="D160" t="str">
            <v>철근가공조립(Ton)보통</v>
          </cell>
          <cell r="E160">
            <v>1</v>
          </cell>
          <cell r="F160" t="str">
            <v>Ton</v>
          </cell>
          <cell r="G160">
            <v>377063</v>
          </cell>
          <cell r="H160">
            <v>377063</v>
          </cell>
          <cell r="I160">
            <v>365400</v>
          </cell>
          <cell r="J160">
            <v>365400</v>
          </cell>
          <cell r="K160">
            <v>11663</v>
          </cell>
          <cell r="L160">
            <v>11663</v>
          </cell>
          <cell r="M160">
            <v>0</v>
          </cell>
          <cell r="N160">
            <v>0</v>
          </cell>
          <cell r="O160">
            <v>158</v>
          </cell>
        </row>
        <row r="161">
          <cell r="D161" t="str">
            <v>철근가공조립복잡</v>
          </cell>
          <cell r="E161">
            <v>1</v>
          </cell>
          <cell r="F161" t="str">
            <v>kg</v>
          </cell>
          <cell r="G161">
            <v>411</v>
          </cell>
          <cell r="H161">
            <v>411</v>
          </cell>
          <cell r="I161">
            <v>398</v>
          </cell>
          <cell r="J161">
            <v>398</v>
          </cell>
          <cell r="K161">
            <v>13</v>
          </cell>
          <cell r="L161">
            <v>13</v>
          </cell>
          <cell r="M161">
            <v>0</v>
          </cell>
          <cell r="N161">
            <v>0</v>
          </cell>
          <cell r="O161">
            <v>159</v>
          </cell>
        </row>
        <row r="162">
          <cell r="D162" t="str">
            <v>목재가공</v>
          </cell>
          <cell r="E162">
            <v>1</v>
          </cell>
          <cell r="F162" t="str">
            <v>m3</v>
          </cell>
          <cell r="G162">
            <v>424890</v>
          </cell>
          <cell r="H162">
            <v>424890</v>
          </cell>
          <cell r="I162">
            <v>424890</v>
          </cell>
          <cell r="J162">
            <v>424890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160</v>
          </cell>
        </row>
        <row r="163">
          <cell r="D163" t="str">
            <v>목재조립</v>
          </cell>
          <cell r="E163">
            <v>1</v>
          </cell>
          <cell r="F163" t="str">
            <v>m3</v>
          </cell>
          <cell r="G163">
            <v>106830</v>
          </cell>
          <cell r="H163">
            <v>106830</v>
          </cell>
          <cell r="I163">
            <v>106830</v>
          </cell>
          <cell r="J163">
            <v>106830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161</v>
          </cell>
        </row>
        <row r="164">
          <cell r="D164" t="str">
            <v>목재가공조립</v>
          </cell>
          <cell r="E164">
            <v>1</v>
          </cell>
          <cell r="F164" t="str">
            <v>m3</v>
          </cell>
          <cell r="G164">
            <v>531720</v>
          </cell>
          <cell r="H164">
            <v>531720</v>
          </cell>
          <cell r="I164">
            <v>531720</v>
          </cell>
          <cell r="J164">
            <v>531720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162</v>
          </cell>
        </row>
        <row r="165">
          <cell r="D165" t="str">
            <v>모래부설강사</v>
          </cell>
          <cell r="E165">
            <v>1</v>
          </cell>
          <cell r="F165" t="str">
            <v>m3</v>
          </cell>
          <cell r="G165">
            <v>16000</v>
          </cell>
          <cell r="H165">
            <v>16000</v>
          </cell>
          <cell r="I165">
            <v>16000</v>
          </cell>
          <cell r="J165">
            <v>16000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163</v>
          </cell>
        </row>
        <row r="166">
          <cell r="D166" t="str">
            <v>강자갈부설</v>
          </cell>
          <cell r="E166">
            <v>1</v>
          </cell>
          <cell r="F166" t="str">
            <v>m3</v>
          </cell>
          <cell r="G166">
            <v>20000</v>
          </cell>
          <cell r="H166">
            <v>20000</v>
          </cell>
          <cell r="I166">
            <v>20000</v>
          </cell>
          <cell r="J166">
            <v>20000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164</v>
          </cell>
        </row>
        <row r="167">
          <cell r="D167" t="str">
            <v>잡석부설다짐인력</v>
          </cell>
          <cell r="E167">
            <v>1</v>
          </cell>
          <cell r="F167" t="str">
            <v>m3</v>
          </cell>
          <cell r="G167">
            <v>24000</v>
          </cell>
          <cell r="H167">
            <v>24000</v>
          </cell>
          <cell r="I167">
            <v>24000</v>
          </cell>
          <cell r="J167">
            <v>24000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165</v>
          </cell>
        </row>
        <row r="168">
          <cell r="D168" t="str">
            <v>벽돌바닥깔기</v>
          </cell>
          <cell r="E168">
            <v>1</v>
          </cell>
          <cell r="F168" t="str">
            <v>m2</v>
          </cell>
          <cell r="G168">
            <v>6300</v>
          </cell>
          <cell r="H168">
            <v>6300</v>
          </cell>
          <cell r="I168">
            <v>6300</v>
          </cell>
          <cell r="J168">
            <v>6300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166</v>
          </cell>
        </row>
        <row r="169">
          <cell r="D169" t="str">
            <v>벽돌바닥깔기(모)</v>
          </cell>
          <cell r="E169">
            <v>1</v>
          </cell>
          <cell r="F169" t="str">
            <v>m2</v>
          </cell>
          <cell r="G169">
            <v>17640</v>
          </cell>
          <cell r="H169">
            <v>17640</v>
          </cell>
          <cell r="I169">
            <v>17640</v>
          </cell>
          <cell r="J169">
            <v>17640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167</v>
          </cell>
        </row>
        <row r="170">
          <cell r="D170" t="str">
            <v>벽돌쌓기0.5B</v>
          </cell>
          <cell r="E170">
            <v>1</v>
          </cell>
          <cell r="F170" t="str">
            <v>1000매</v>
          </cell>
          <cell r="G170">
            <v>168800</v>
          </cell>
          <cell r="H170">
            <v>168800</v>
          </cell>
          <cell r="I170">
            <v>168800</v>
          </cell>
          <cell r="J170">
            <v>168800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168</v>
          </cell>
        </row>
        <row r="171">
          <cell r="D171" t="str">
            <v>벽돌바닥깔기(평)</v>
          </cell>
          <cell r="E171">
            <v>1</v>
          </cell>
          <cell r="F171" t="str">
            <v>m2</v>
          </cell>
          <cell r="G171">
            <v>10760</v>
          </cell>
          <cell r="H171">
            <v>10760</v>
          </cell>
          <cell r="I171">
            <v>10760</v>
          </cell>
          <cell r="J171">
            <v>10760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169</v>
          </cell>
        </row>
        <row r="172">
          <cell r="D172" t="str">
            <v>석재설치마름돌설치</v>
          </cell>
          <cell r="E172">
            <v>1</v>
          </cell>
          <cell r="F172" t="str">
            <v>m3</v>
          </cell>
          <cell r="G172">
            <v>631000</v>
          </cell>
          <cell r="H172">
            <v>631000</v>
          </cell>
          <cell r="I172">
            <v>631000</v>
          </cell>
          <cell r="J172">
            <v>631000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170</v>
          </cell>
        </row>
        <row r="173">
          <cell r="D173" t="str">
            <v>산석붙임평벽</v>
          </cell>
          <cell r="E173">
            <v>1</v>
          </cell>
          <cell r="F173" t="str">
            <v>m2</v>
          </cell>
          <cell r="G173">
            <v>129600</v>
          </cell>
          <cell r="H173">
            <v>129600</v>
          </cell>
          <cell r="I173">
            <v>129600</v>
          </cell>
          <cell r="J173">
            <v>129600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171</v>
          </cell>
        </row>
        <row r="174">
          <cell r="D174" t="str">
            <v>화강석판붙임습식바닥</v>
          </cell>
          <cell r="E174">
            <v>1</v>
          </cell>
          <cell r="F174" t="str">
            <v>m2</v>
          </cell>
          <cell r="G174">
            <v>48220</v>
          </cell>
          <cell r="H174">
            <v>48220</v>
          </cell>
          <cell r="I174">
            <v>48220</v>
          </cell>
          <cell r="J174">
            <v>48220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172</v>
          </cell>
        </row>
        <row r="175">
          <cell r="D175" t="str">
            <v>스타코마감</v>
          </cell>
          <cell r="E175">
            <v>1</v>
          </cell>
          <cell r="F175" t="str">
            <v>m2</v>
          </cell>
          <cell r="G175">
            <v>35000</v>
          </cell>
          <cell r="H175">
            <v>35000</v>
          </cell>
          <cell r="I175">
            <v>18000</v>
          </cell>
          <cell r="J175">
            <v>18000</v>
          </cell>
          <cell r="K175">
            <v>17000</v>
          </cell>
          <cell r="L175">
            <v>17000</v>
          </cell>
          <cell r="M175">
            <v>0</v>
          </cell>
          <cell r="N175">
            <v>0</v>
          </cell>
          <cell r="O175">
            <v>173</v>
          </cell>
        </row>
        <row r="176">
          <cell r="D176" t="str">
            <v>에폭시바르기</v>
          </cell>
          <cell r="E176">
            <v>1</v>
          </cell>
          <cell r="F176" t="str">
            <v>m2</v>
          </cell>
          <cell r="G176">
            <v>7944</v>
          </cell>
          <cell r="H176">
            <v>7944</v>
          </cell>
          <cell r="I176">
            <v>7080</v>
          </cell>
          <cell r="J176">
            <v>7080</v>
          </cell>
          <cell r="K176">
            <v>864</v>
          </cell>
          <cell r="L176">
            <v>864</v>
          </cell>
          <cell r="M176">
            <v>0</v>
          </cell>
          <cell r="N176">
            <v>0</v>
          </cell>
          <cell r="O176">
            <v>174</v>
          </cell>
        </row>
        <row r="177">
          <cell r="D177" t="str">
            <v>P.E필름깔기0.05x2겹</v>
          </cell>
          <cell r="E177">
            <v>1</v>
          </cell>
          <cell r="F177" t="str">
            <v>m2</v>
          </cell>
          <cell r="G177">
            <v>613</v>
          </cell>
          <cell r="H177">
            <v>613</v>
          </cell>
          <cell r="I177">
            <v>280</v>
          </cell>
          <cell r="J177">
            <v>280</v>
          </cell>
          <cell r="K177">
            <v>333</v>
          </cell>
          <cell r="L177">
            <v>333</v>
          </cell>
          <cell r="M177">
            <v>0</v>
          </cell>
          <cell r="N177">
            <v>0</v>
          </cell>
          <cell r="O177">
            <v>175</v>
          </cell>
        </row>
        <row r="178">
          <cell r="D178" t="str">
            <v>와이어메쉬깔기#8 150x150</v>
          </cell>
          <cell r="E178">
            <v>1</v>
          </cell>
          <cell r="F178" t="str">
            <v>m2</v>
          </cell>
          <cell r="G178">
            <v>1664</v>
          </cell>
          <cell r="H178">
            <v>1664</v>
          </cell>
          <cell r="I178">
            <v>876</v>
          </cell>
          <cell r="J178">
            <v>876</v>
          </cell>
          <cell r="K178">
            <v>788</v>
          </cell>
          <cell r="L178">
            <v>788</v>
          </cell>
          <cell r="M178">
            <v>0</v>
          </cell>
          <cell r="N178">
            <v>0</v>
          </cell>
          <cell r="O178">
            <v>176</v>
          </cell>
        </row>
        <row r="179">
          <cell r="D179" t="str">
            <v>팽창줄눈</v>
          </cell>
          <cell r="E179">
            <v>1</v>
          </cell>
          <cell r="F179" t="str">
            <v>m</v>
          </cell>
          <cell r="G179">
            <v>9010</v>
          </cell>
          <cell r="H179">
            <v>9010</v>
          </cell>
          <cell r="I179">
            <v>2400</v>
          </cell>
          <cell r="J179">
            <v>2400</v>
          </cell>
          <cell r="K179">
            <v>6610</v>
          </cell>
          <cell r="L179">
            <v>6610</v>
          </cell>
          <cell r="M179">
            <v>0</v>
          </cell>
          <cell r="N179">
            <v>0</v>
          </cell>
          <cell r="O179">
            <v>177</v>
          </cell>
        </row>
        <row r="180">
          <cell r="D180" t="str">
            <v>나무말뚝박기(10할)φ100,L=500</v>
          </cell>
          <cell r="E180">
            <v>1</v>
          </cell>
          <cell r="F180" t="str">
            <v>EA</v>
          </cell>
          <cell r="G180">
            <v>1960</v>
          </cell>
          <cell r="H180">
            <v>1960</v>
          </cell>
          <cell r="I180">
            <v>1960</v>
          </cell>
          <cell r="J180">
            <v>1960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178</v>
          </cell>
        </row>
        <row r="181">
          <cell r="D181" t="str">
            <v>콘크리트면보양</v>
          </cell>
          <cell r="E181">
            <v>1</v>
          </cell>
          <cell r="F181" t="str">
            <v>m2</v>
          </cell>
          <cell r="G181">
            <v>1988</v>
          </cell>
          <cell r="H181">
            <v>1988</v>
          </cell>
          <cell r="I181">
            <v>1256</v>
          </cell>
          <cell r="J181">
            <v>1256</v>
          </cell>
          <cell r="K181">
            <v>732</v>
          </cell>
          <cell r="L181">
            <v>732</v>
          </cell>
          <cell r="M181">
            <v>0</v>
          </cell>
          <cell r="N181">
            <v>0</v>
          </cell>
          <cell r="O181">
            <v>179</v>
          </cell>
        </row>
        <row r="182">
          <cell r="D182" t="str">
            <v>바탕만들기콘크리트면</v>
          </cell>
          <cell r="E182">
            <v>1</v>
          </cell>
          <cell r="F182" t="str">
            <v>m2</v>
          </cell>
          <cell r="G182">
            <v>830</v>
          </cell>
          <cell r="H182">
            <v>830</v>
          </cell>
          <cell r="I182">
            <v>708</v>
          </cell>
          <cell r="J182">
            <v>708</v>
          </cell>
          <cell r="K182">
            <v>122</v>
          </cell>
          <cell r="L182">
            <v>122</v>
          </cell>
          <cell r="M182">
            <v>0</v>
          </cell>
          <cell r="N182">
            <v>0</v>
          </cell>
          <cell r="O182">
            <v>180</v>
          </cell>
        </row>
        <row r="183">
          <cell r="D183" t="str">
            <v>앵커볼트설치φ13-16mm</v>
          </cell>
          <cell r="E183">
            <v>1</v>
          </cell>
          <cell r="F183" t="str">
            <v>개소</v>
          </cell>
          <cell r="G183">
            <v>5360</v>
          </cell>
          <cell r="H183">
            <v>5360</v>
          </cell>
          <cell r="I183">
            <v>5360</v>
          </cell>
          <cell r="J183">
            <v>5360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181</v>
          </cell>
        </row>
        <row r="184">
          <cell r="D184" t="str">
            <v>앵커볼트설치φ22-25mm</v>
          </cell>
          <cell r="E184">
            <v>1</v>
          </cell>
          <cell r="F184" t="str">
            <v>개소</v>
          </cell>
          <cell r="G184">
            <v>15410</v>
          </cell>
          <cell r="H184">
            <v>15410</v>
          </cell>
          <cell r="I184">
            <v>15410</v>
          </cell>
          <cell r="J184">
            <v>15410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182</v>
          </cell>
        </row>
        <row r="185">
          <cell r="D185" t="str">
            <v>코킹1cm각</v>
          </cell>
          <cell r="E185">
            <v>1</v>
          </cell>
          <cell r="F185" t="str">
            <v>m</v>
          </cell>
          <cell r="G185">
            <v>2720</v>
          </cell>
          <cell r="H185">
            <v>2720</v>
          </cell>
          <cell r="I185">
            <v>2240</v>
          </cell>
          <cell r="J185">
            <v>2240</v>
          </cell>
          <cell r="K185">
            <v>480</v>
          </cell>
          <cell r="L185">
            <v>480</v>
          </cell>
          <cell r="M185">
            <v>0</v>
          </cell>
          <cell r="N185">
            <v>0</v>
          </cell>
          <cell r="O185">
            <v>183</v>
          </cell>
        </row>
        <row r="186">
          <cell r="D186" t="str">
            <v>벽돌쌓기1.0B</v>
          </cell>
          <cell r="E186">
            <v>1</v>
          </cell>
          <cell r="F186" t="str">
            <v>1000매</v>
          </cell>
          <cell r="G186">
            <v>188800</v>
          </cell>
          <cell r="H186">
            <v>188800</v>
          </cell>
          <cell r="I186">
            <v>188800</v>
          </cell>
          <cell r="J186">
            <v>188800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184</v>
          </cell>
        </row>
        <row r="187">
          <cell r="D187" t="str">
            <v>벽돌깔기평깔기</v>
          </cell>
          <cell r="E187">
            <v>1</v>
          </cell>
          <cell r="F187" t="str">
            <v>m2</v>
          </cell>
          <cell r="G187">
            <v>10760</v>
          </cell>
          <cell r="H187">
            <v>10760</v>
          </cell>
          <cell r="I187">
            <v>10760</v>
          </cell>
          <cell r="J187">
            <v>10760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185</v>
          </cell>
        </row>
        <row r="188">
          <cell r="D188" t="str">
            <v>고무매트부설</v>
          </cell>
          <cell r="E188">
            <v>1</v>
          </cell>
          <cell r="F188" t="str">
            <v>m2</v>
          </cell>
          <cell r="G188">
            <v>5750</v>
          </cell>
          <cell r="H188">
            <v>5750</v>
          </cell>
          <cell r="I188">
            <v>5750</v>
          </cell>
          <cell r="J188">
            <v>5750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186</v>
          </cell>
        </row>
        <row r="189">
          <cell r="D189" t="str">
            <v>수평규준틀귀규준틀</v>
          </cell>
          <cell r="E189">
            <v>1</v>
          </cell>
          <cell r="F189" t="str">
            <v>개소</v>
          </cell>
          <cell r="G189">
            <v>45989</v>
          </cell>
          <cell r="H189">
            <v>45989</v>
          </cell>
          <cell r="I189">
            <v>39300</v>
          </cell>
          <cell r="J189">
            <v>39300</v>
          </cell>
          <cell r="K189">
            <v>6689</v>
          </cell>
          <cell r="L189">
            <v>6689</v>
          </cell>
          <cell r="M189">
            <v>0</v>
          </cell>
          <cell r="N189">
            <v>0</v>
          </cell>
          <cell r="O189">
            <v>187</v>
          </cell>
        </row>
        <row r="190">
          <cell r="D190" t="str">
            <v>쇠흙손마감</v>
          </cell>
          <cell r="E190">
            <v>1</v>
          </cell>
          <cell r="F190" t="str">
            <v>m2</v>
          </cell>
          <cell r="G190">
            <v>3350</v>
          </cell>
          <cell r="H190">
            <v>3350</v>
          </cell>
          <cell r="I190">
            <v>3350</v>
          </cell>
          <cell r="J190">
            <v>3350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188</v>
          </cell>
        </row>
        <row r="191">
          <cell r="D191" t="str">
            <v>등의자"A"L=1800</v>
          </cell>
          <cell r="E191">
            <v>1</v>
          </cell>
          <cell r="F191" t="str">
            <v>개소</v>
          </cell>
          <cell r="G191">
            <v>358745</v>
          </cell>
          <cell r="H191">
            <v>358745</v>
          </cell>
          <cell r="I191">
            <v>76134</v>
          </cell>
          <cell r="J191">
            <v>76134</v>
          </cell>
          <cell r="K191">
            <v>282611</v>
          </cell>
          <cell r="L191">
            <v>282611</v>
          </cell>
          <cell r="M191">
            <v>0</v>
          </cell>
          <cell r="N191">
            <v>0</v>
          </cell>
          <cell r="O191">
            <v>189</v>
          </cell>
        </row>
        <row r="192">
          <cell r="D192" t="str">
            <v>등의자"B"L=1680x670,H=810</v>
          </cell>
          <cell r="E192">
            <v>1</v>
          </cell>
          <cell r="F192" t="str">
            <v>개소</v>
          </cell>
          <cell r="G192">
            <v>457641</v>
          </cell>
          <cell r="H192">
            <v>457641</v>
          </cell>
          <cell r="I192">
            <v>50080</v>
          </cell>
          <cell r="J192">
            <v>50080</v>
          </cell>
          <cell r="K192">
            <v>407561</v>
          </cell>
          <cell r="L192">
            <v>407561</v>
          </cell>
          <cell r="M192">
            <v>0</v>
          </cell>
          <cell r="N192">
            <v>0</v>
          </cell>
          <cell r="O192">
            <v>190</v>
          </cell>
        </row>
        <row r="193">
          <cell r="D193" t="str">
            <v>평의자"B"L=1860x650,H=390</v>
          </cell>
          <cell r="E193">
            <v>1</v>
          </cell>
          <cell r="F193" t="str">
            <v>개소</v>
          </cell>
          <cell r="G193">
            <v>317641</v>
          </cell>
          <cell r="H193">
            <v>317641</v>
          </cell>
          <cell r="I193">
            <v>50080</v>
          </cell>
          <cell r="J193">
            <v>50080</v>
          </cell>
          <cell r="K193">
            <v>267561</v>
          </cell>
          <cell r="L193">
            <v>267561</v>
          </cell>
          <cell r="M193">
            <v>0</v>
          </cell>
          <cell r="N193">
            <v>0</v>
          </cell>
          <cell r="O193">
            <v>191</v>
          </cell>
        </row>
        <row r="194">
          <cell r="D194" t="str">
            <v>자전거보관대2500x2500xH1000</v>
          </cell>
          <cell r="E194">
            <v>1</v>
          </cell>
          <cell r="F194" t="str">
            <v>개소</v>
          </cell>
          <cell r="G194">
            <v>995430</v>
          </cell>
          <cell r="H194">
            <v>995430</v>
          </cell>
          <cell r="I194">
            <v>38508</v>
          </cell>
          <cell r="J194">
            <v>38508</v>
          </cell>
          <cell r="K194">
            <v>956922</v>
          </cell>
          <cell r="L194">
            <v>956922</v>
          </cell>
          <cell r="M194">
            <v>0</v>
          </cell>
          <cell r="N194">
            <v>0</v>
          </cell>
          <cell r="O194">
            <v>192</v>
          </cell>
        </row>
        <row r="195">
          <cell r="D195" t="str">
            <v>방향표지판"B"H2000xW300</v>
          </cell>
          <cell r="E195">
            <v>1</v>
          </cell>
          <cell r="F195" t="str">
            <v>개소</v>
          </cell>
          <cell r="G195">
            <v>921765</v>
          </cell>
          <cell r="H195">
            <v>921765</v>
          </cell>
          <cell r="I195">
            <v>18462</v>
          </cell>
          <cell r="J195">
            <v>18462</v>
          </cell>
          <cell r="K195">
            <v>903303</v>
          </cell>
          <cell r="L195">
            <v>903303</v>
          </cell>
          <cell r="M195">
            <v>0</v>
          </cell>
          <cell r="N195">
            <v>0</v>
          </cell>
          <cell r="O195">
            <v>193</v>
          </cell>
        </row>
        <row r="196">
          <cell r="D196" t="str">
            <v>피크닉테이블1600x1400,H=700</v>
          </cell>
          <cell r="E196">
            <v>1</v>
          </cell>
          <cell r="F196" t="str">
            <v>개소</v>
          </cell>
          <cell r="G196">
            <v>540000</v>
          </cell>
          <cell r="H196">
            <v>540000</v>
          </cell>
          <cell r="I196">
            <v>0</v>
          </cell>
          <cell r="J196">
            <v>0</v>
          </cell>
          <cell r="K196">
            <v>540000</v>
          </cell>
          <cell r="L196">
            <v>540000</v>
          </cell>
          <cell r="M196">
            <v>0</v>
          </cell>
          <cell r="N196">
            <v>0</v>
          </cell>
          <cell r="O196">
            <v>194</v>
          </cell>
        </row>
        <row r="197">
          <cell r="D197" t="str">
            <v>분리수거함1350x338,H=563</v>
          </cell>
          <cell r="E197">
            <v>1</v>
          </cell>
          <cell r="F197" t="str">
            <v>개소</v>
          </cell>
          <cell r="G197">
            <v>930000</v>
          </cell>
          <cell r="H197">
            <v>930000</v>
          </cell>
          <cell r="I197">
            <v>0</v>
          </cell>
          <cell r="J197">
            <v>0</v>
          </cell>
          <cell r="K197">
            <v>930000</v>
          </cell>
          <cell r="L197">
            <v>930000</v>
          </cell>
          <cell r="M197">
            <v>0</v>
          </cell>
          <cell r="N197">
            <v>0</v>
          </cell>
          <cell r="O197">
            <v>195</v>
          </cell>
        </row>
        <row r="198">
          <cell r="D198" t="str">
            <v>점토벽돌포장230x114xT50</v>
          </cell>
          <cell r="E198">
            <v>1</v>
          </cell>
          <cell r="F198" t="str">
            <v>m2</v>
          </cell>
          <cell r="G198">
            <v>6041</v>
          </cell>
          <cell r="H198">
            <v>6041</v>
          </cell>
          <cell r="I198">
            <v>5779</v>
          </cell>
          <cell r="J198">
            <v>5779</v>
          </cell>
          <cell r="K198">
            <v>93</v>
          </cell>
          <cell r="L198">
            <v>93</v>
          </cell>
          <cell r="M198">
            <v>169</v>
          </cell>
          <cell r="N198">
            <v>169</v>
          </cell>
          <cell r="O198">
            <v>196</v>
          </cell>
        </row>
        <row r="199">
          <cell r="D199" t="str">
            <v>고무매트</v>
          </cell>
          <cell r="E199">
            <v>1</v>
          </cell>
          <cell r="F199" t="str">
            <v>m2</v>
          </cell>
          <cell r="G199">
            <v>89129</v>
          </cell>
          <cell r="H199">
            <v>89129</v>
          </cell>
          <cell r="I199">
            <v>16758</v>
          </cell>
          <cell r="J199">
            <v>16758</v>
          </cell>
          <cell r="K199">
            <v>72313</v>
          </cell>
          <cell r="L199">
            <v>72313</v>
          </cell>
          <cell r="M199">
            <v>58</v>
          </cell>
          <cell r="N199">
            <v>58</v>
          </cell>
          <cell r="O199">
            <v>197</v>
          </cell>
        </row>
        <row r="200">
          <cell r="D200" t="str">
            <v>물놀이공간파고라</v>
          </cell>
          <cell r="E200">
            <v>1</v>
          </cell>
          <cell r="F200" t="str">
            <v>개소</v>
          </cell>
          <cell r="G200">
            <v>16737297</v>
          </cell>
          <cell r="H200">
            <v>16737297</v>
          </cell>
          <cell r="I200">
            <v>11176574</v>
          </cell>
          <cell r="J200">
            <v>11176574</v>
          </cell>
          <cell r="K200">
            <v>5560723</v>
          </cell>
          <cell r="L200">
            <v>5560723</v>
          </cell>
          <cell r="M200">
            <v>0</v>
          </cell>
          <cell r="N200">
            <v>0</v>
          </cell>
          <cell r="O200">
            <v>198</v>
          </cell>
        </row>
        <row r="201">
          <cell r="D201" t="str">
            <v>호랑이발광장파고라</v>
          </cell>
          <cell r="E201">
            <v>1</v>
          </cell>
          <cell r="F201" t="str">
            <v>개소</v>
          </cell>
          <cell r="G201">
            <v>61287223</v>
          </cell>
          <cell r="H201">
            <v>61287223</v>
          </cell>
          <cell r="I201">
            <v>40772930</v>
          </cell>
          <cell r="J201">
            <v>40772930</v>
          </cell>
          <cell r="K201">
            <v>20514293</v>
          </cell>
          <cell r="L201">
            <v>20514293</v>
          </cell>
          <cell r="M201">
            <v>0</v>
          </cell>
          <cell r="N201">
            <v>0</v>
          </cell>
          <cell r="O201">
            <v>199</v>
          </cell>
        </row>
        <row r="202">
          <cell r="D202" t="str">
            <v>리빙게이트파고라</v>
          </cell>
          <cell r="E202">
            <v>1</v>
          </cell>
          <cell r="F202" t="str">
            <v>개소</v>
          </cell>
          <cell r="G202">
            <v>27726420</v>
          </cell>
          <cell r="H202">
            <v>27726420</v>
          </cell>
          <cell r="I202">
            <v>18864157</v>
          </cell>
          <cell r="J202">
            <v>18864157</v>
          </cell>
          <cell r="K202">
            <v>8855106</v>
          </cell>
          <cell r="L202">
            <v>8855106</v>
          </cell>
          <cell r="M202">
            <v>7157</v>
          </cell>
          <cell r="N202">
            <v>7157</v>
          </cell>
          <cell r="O202">
            <v>200</v>
          </cell>
        </row>
        <row r="203">
          <cell r="D203" t="str">
            <v>파고라(가제보)D4000</v>
          </cell>
          <cell r="E203">
            <v>1</v>
          </cell>
          <cell r="F203" t="str">
            <v>개소</v>
          </cell>
          <cell r="G203">
            <v>14806891</v>
          </cell>
          <cell r="H203">
            <v>14806891</v>
          </cell>
          <cell r="I203">
            <v>678886</v>
          </cell>
          <cell r="J203">
            <v>678886</v>
          </cell>
          <cell r="K203">
            <v>14128005</v>
          </cell>
          <cell r="L203">
            <v>14128005</v>
          </cell>
          <cell r="M203">
            <v>0</v>
          </cell>
          <cell r="N203">
            <v>0</v>
          </cell>
          <cell r="O203">
            <v>201</v>
          </cell>
        </row>
        <row r="204">
          <cell r="D204" t="str">
            <v>화강석경계(가제보)</v>
          </cell>
          <cell r="E204">
            <v>1</v>
          </cell>
          <cell r="F204" t="str">
            <v>개소</v>
          </cell>
          <cell r="G204">
            <v>12434461</v>
          </cell>
          <cell r="H204">
            <v>12434461</v>
          </cell>
          <cell r="I204">
            <v>3861829</v>
          </cell>
          <cell r="J204">
            <v>3861829</v>
          </cell>
          <cell r="K204">
            <v>8572632</v>
          </cell>
          <cell r="L204">
            <v>8572632</v>
          </cell>
          <cell r="M204">
            <v>0</v>
          </cell>
          <cell r="N204">
            <v>0</v>
          </cell>
          <cell r="O204">
            <v>202</v>
          </cell>
        </row>
        <row r="205">
          <cell r="D205" t="str">
            <v>파고라5200x5200,H=2400</v>
          </cell>
          <cell r="E205">
            <v>1</v>
          </cell>
          <cell r="F205" t="str">
            <v>개소</v>
          </cell>
          <cell r="G205">
            <v>8345337</v>
          </cell>
          <cell r="H205">
            <v>8345337</v>
          </cell>
          <cell r="I205">
            <v>333729</v>
          </cell>
          <cell r="J205">
            <v>333729</v>
          </cell>
          <cell r="K205">
            <v>8010397</v>
          </cell>
          <cell r="L205">
            <v>8010397</v>
          </cell>
          <cell r="M205">
            <v>1211</v>
          </cell>
          <cell r="N205">
            <v>1211</v>
          </cell>
          <cell r="O205">
            <v>203</v>
          </cell>
        </row>
        <row r="206">
          <cell r="D206" t="str">
            <v>파고라"B"R=11.7xH3.0</v>
          </cell>
          <cell r="E206">
            <v>1</v>
          </cell>
          <cell r="F206" t="str">
            <v>개소</v>
          </cell>
          <cell r="G206">
            <v>15896998</v>
          </cell>
          <cell r="H206">
            <v>15896998</v>
          </cell>
          <cell r="I206">
            <v>752727</v>
          </cell>
          <cell r="J206">
            <v>752727</v>
          </cell>
          <cell r="K206">
            <v>15142276</v>
          </cell>
          <cell r="L206">
            <v>15142276</v>
          </cell>
          <cell r="M206">
            <v>1995</v>
          </cell>
          <cell r="N206">
            <v>1995</v>
          </cell>
          <cell r="O206">
            <v>204</v>
          </cell>
        </row>
        <row r="207">
          <cell r="D207" t="str">
            <v>시설안내판"B"H750</v>
          </cell>
          <cell r="E207">
            <v>1</v>
          </cell>
          <cell r="F207" t="str">
            <v>개소</v>
          </cell>
          <cell r="G207">
            <v>653331</v>
          </cell>
          <cell r="H207">
            <v>653331</v>
          </cell>
          <cell r="I207">
            <v>44738</v>
          </cell>
          <cell r="J207">
            <v>44738</v>
          </cell>
          <cell r="K207">
            <v>608593</v>
          </cell>
          <cell r="L207">
            <v>608593</v>
          </cell>
          <cell r="M207">
            <v>0</v>
          </cell>
          <cell r="N207">
            <v>0</v>
          </cell>
          <cell r="O207">
            <v>205</v>
          </cell>
        </row>
        <row r="208">
          <cell r="D208" t="str">
            <v>휴지통"A"D600,H=600</v>
          </cell>
          <cell r="E208">
            <v>1</v>
          </cell>
          <cell r="F208" t="str">
            <v>개소</v>
          </cell>
          <cell r="G208">
            <v>400000</v>
          </cell>
          <cell r="H208">
            <v>400000</v>
          </cell>
          <cell r="I208">
            <v>0</v>
          </cell>
          <cell r="J208">
            <v>0</v>
          </cell>
          <cell r="K208">
            <v>400000</v>
          </cell>
          <cell r="L208">
            <v>400000</v>
          </cell>
          <cell r="M208">
            <v>0</v>
          </cell>
          <cell r="N208">
            <v>0</v>
          </cell>
          <cell r="O208">
            <v>206</v>
          </cell>
        </row>
        <row r="209">
          <cell r="D209" t="str">
            <v>음수전"A"1300x600,H=1000</v>
          </cell>
          <cell r="E209">
            <v>1</v>
          </cell>
          <cell r="F209" t="str">
            <v>개소</v>
          </cell>
          <cell r="G209">
            <v>3186144</v>
          </cell>
          <cell r="H209">
            <v>3186144</v>
          </cell>
          <cell r="I209">
            <v>648618</v>
          </cell>
          <cell r="J209">
            <v>648618</v>
          </cell>
          <cell r="K209">
            <v>2537526</v>
          </cell>
          <cell r="L209">
            <v>2537526</v>
          </cell>
          <cell r="M209">
            <v>0</v>
          </cell>
          <cell r="N209">
            <v>0</v>
          </cell>
          <cell r="O209">
            <v>207</v>
          </cell>
        </row>
        <row r="210">
          <cell r="D210" t="str">
            <v>음수전포장부T30 황등석버너</v>
          </cell>
          <cell r="E210">
            <v>1</v>
          </cell>
          <cell r="F210" t="str">
            <v>m2</v>
          </cell>
          <cell r="G210">
            <v>644015</v>
          </cell>
          <cell r="H210">
            <v>644015</v>
          </cell>
          <cell r="I210">
            <v>363308</v>
          </cell>
          <cell r="J210">
            <v>363308</v>
          </cell>
          <cell r="K210">
            <v>280707</v>
          </cell>
          <cell r="L210">
            <v>280707</v>
          </cell>
          <cell r="M210">
            <v>0</v>
          </cell>
          <cell r="N210">
            <v>0</v>
          </cell>
          <cell r="O210">
            <v>208</v>
          </cell>
        </row>
        <row r="211">
          <cell r="D211" t="str">
            <v>제수변</v>
          </cell>
          <cell r="E211">
            <v>1</v>
          </cell>
          <cell r="F211" t="str">
            <v>개소</v>
          </cell>
          <cell r="G211">
            <v>192041</v>
          </cell>
          <cell r="H211">
            <v>192041</v>
          </cell>
          <cell r="I211">
            <v>62602</v>
          </cell>
          <cell r="J211">
            <v>62602</v>
          </cell>
          <cell r="K211">
            <v>129439</v>
          </cell>
          <cell r="L211">
            <v>129439</v>
          </cell>
          <cell r="M211">
            <v>0</v>
          </cell>
          <cell r="N211">
            <v>0</v>
          </cell>
          <cell r="O211">
            <v>209</v>
          </cell>
        </row>
        <row r="212">
          <cell r="D212" t="str">
            <v>앉음벽"A"L900,H400(2개소)</v>
          </cell>
          <cell r="E212">
            <v>1</v>
          </cell>
          <cell r="F212" t="str">
            <v>식</v>
          </cell>
          <cell r="G212">
            <v>4700905</v>
          </cell>
          <cell r="H212">
            <v>4700905</v>
          </cell>
          <cell r="I212">
            <v>1893290</v>
          </cell>
          <cell r="J212">
            <v>1893290</v>
          </cell>
          <cell r="K212">
            <v>2807615</v>
          </cell>
          <cell r="L212">
            <v>2807615</v>
          </cell>
          <cell r="M212">
            <v>0</v>
          </cell>
          <cell r="N212">
            <v>0</v>
          </cell>
          <cell r="O212">
            <v>210</v>
          </cell>
        </row>
        <row r="213">
          <cell r="D213" t="str">
            <v>앉음벽"B"L1600,H400</v>
          </cell>
          <cell r="E213">
            <v>1</v>
          </cell>
          <cell r="F213" t="str">
            <v>식</v>
          </cell>
          <cell r="G213">
            <v>4171917</v>
          </cell>
          <cell r="H213">
            <v>4171917</v>
          </cell>
          <cell r="I213">
            <v>1654983</v>
          </cell>
          <cell r="J213">
            <v>1654983</v>
          </cell>
          <cell r="K213">
            <v>2516934</v>
          </cell>
          <cell r="L213">
            <v>2516934</v>
          </cell>
          <cell r="M213">
            <v>0</v>
          </cell>
          <cell r="N213">
            <v>0</v>
          </cell>
          <cell r="O213">
            <v>211</v>
          </cell>
        </row>
        <row r="214">
          <cell r="D214" t="str">
            <v>장식벽"B"L1100,H900</v>
          </cell>
          <cell r="E214">
            <v>1</v>
          </cell>
          <cell r="F214" t="str">
            <v>식</v>
          </cell>
          <cell r="G214">
            <v>1729458</v>
          </cell>
          <cell r="H214">
            <v>1729458</v>
          </cell>
          <cell r="I214">
            <v>1133383</v>
          </cell>
          <cell r="J214">
            <v>1133383</v>
          </cell>
          <cell r="K214">
            <v>596075</v>
          </cell>
          <cell r="L214">
            <v>596075</v>
          </cell>
          <cell r="M214">
            <v>0</v>
          </cell>
          <cell r="N214">
            <v>0</v>
          </cell>
          <cell r="O214">
            <v>212</v>
          </cell>
        </row>
        <row r="215">
          <cell r="D215" t="str">
            <v>계단H600</v>
          </cell>
          <cell r="E215">
            <v>1</v>
          </cell>
          <cell r="F215" t="str">
            <v>식</v>
          </cell>
          <cell r="G215">
            <v>157888</v>
          </cell>
          <cell r="H215">
            <v>157888</v>
          </cell>
          <cell r="I215">
            <v>136807</v>
          </cell>
          <cell r="J215">
            <v>136807</v>
          </cell>
          <cell r="K215">
            <v>21081</v>
          </cell>
          <cell r="L215">
            <v>21081</v>
          </cell>
          <cell r="M215">
            <v>0</v>
          </cell>
          <cell r="N215">
            <v>0</v>
          </cell>
          <cell r="O215">
            <v>213</v>
          </cell>
        </row>
        <row r="216">
          <cell r="D216" t="str">
            <v>장식열주H3500xD400</v>
          </cell>
          <cell r="E216">
            <v>1</v>
          </cell>
          <cell r="F216" t="str">
            <v>개소</v>
          </cell>
          <cell r="G216">
            <v>12364305</v>
          </cell>
          <cell r="H216">
            <v>12364305</v>
          </cell>
          <cell r="I216">
            <v>319839</v>
          </cell>
          <cell r="J216">
            <v>319839</v>
          </cell>
          <cell r="K216">
            <v>12044466</v>
          </cell>
          <cell r="L216">
            <v>12044466</v>
          </cell>
          <cell r="M216">
            <v>0</v>
          </cell>
          <cell r="N216">
            <v>0</v>
          </cell>
          <cell r="O216">
            <v>214</v>
          </cell>
        </row>
        <row r="217">
          <cell r="D217" t="str">
            <v>화강석판석포장T30 황등석버너</v>
          </cell>
          <cell r="E217">
            <v>1</v>
          </cell>
          <cell r="F217" t="str">
            <v>m2</v>
          </cell>
          <cell r="G217">
            <v>131763</v>
          </cell>
          <cell r="H217">
            <v>131763</v>
          </cell>
          <cell r="I217">
            <v>57986</v>
          </cell>
          <cell r="J217">
            <v>57986</v>
          </cell>
          <cell r="K217">
            <v>73719</v>
          </cell>
          <cell r="L217">
            <v>73719</v>
          </cell>
          <cell r="M217">
            <v>58</v>
          </cell>
          <cell r="N217">
            <v>58</v>
          </cell>
          <cell r="O217">
            <v>215</v>
          </cell>
        </row>
        <row r="218">
          <cell r="D218" t="str">
            <v>칼라투수콘포장T=10cm</v>
          </cell>
          <cell r="E218">
            <v>1</v>
          </cell>
          <cell r="F218" t="str">
            <v>a</v>
          </cell>
          <cell r="G218">
            <v>7870</v>
          </cell>
          <cell r="H218">
            <v>7870</v>
          </cell>
          <cell r="I218">
            <v>6348</v>
          </cell>
          <cell r="J218">
            <v>6348</v>
          </cell>
          <cell r="K218">
            <v>1257</v>
          </cell>
          <cell r="L218">
            <v>1257</v>
          </cell>
          <cell r="M218">
            <v>265</v>
          </cell>
          <cell r="N218">
            <v>265</v>
          </cell>
          <cell r="O218">
            <v>216</v>
          </cell>
        </row>
        <row r="219">
          <cell r="D219" t="str">
            <v>자연석판석포장450x450xT50</v>
          </cell>
          <cell r="E219">
            <v>1</v>
          </cell>
          <cell r="F219" t="str">
            <v>m2</v>
          </cell>
          <cell r="G219">
            <v>128220</v>
          </cell>
          <cell r="H219">
            <v>128220</v>
          </cell>
          <cell r="I219">
            <v>48220</v>
          </cell>
          <cell r="J219">
            <v>48220</v>
          </cell>
          <cell r="K219">
            <v>80000</v>
          </cell>
          <cell r="L219">
            <v>80000</v>
          </cell>
          <cell r="M219">
            <v>0</v>
          </cell>
          <cell r="N219">
            <v>0</v>
          </cell>
          <cell r="O219">
            <v>217</v>
          </cell>
        </row>
        <row r="220">
          <cell r="D220" t="str">
            <v>평의자L=1800</v>
          </cell>
          <cell r="E220">
            <v>1</v>
          </cell>
          <cell r="F220" t="str">
            <v>개소</v>
          </cell>
          <cell r="G220">
            <v>288241</v>
          </cell>
          <cell r="H220">
            <v>288241</v>
          </cell>
          <cell r="I220">
            <v>50080</v>
          </cell>
          <cell r="J220">
            <v>50080</v>
          </cell>
          <cell r="K220">
            <v>238161</v>
          </cell>
          <cell r="L220">
            <v>238161</v>
          </cell>
          <cell r="M220">
            <v>0</v>
          </cell>
          <cell r="N220">
            <v>0</v>
          </cell>
          <cell r="O220">
            <v>218</v>
          </cell>
        </row>
        <row r="221">
          <cell r="D221" t="str">
            <v>수반1500x500x900</v>
          </cell>
          <cell r="E221">
            <v>1</v>
          </cell>
          <cell r="F221" t="str">
            <v>개소</v>
          </cell>
          <cell r="G221">
            <v>20595027</v>
          </cell>
          <cell r="H221">
            <v>20595027</v>
          </cell>
          <cell r="I221">
            <v>3592416</v>
          </cell>
          <cell r="J221">
            <v>3592416</v>
          </cell>
          <cell r="K221">
            <v>16999823</v>
          </cell>
          <cell r="L221">
            <v>16999823</v>
          </cell>
          <cell r="M221">
            <v>2788</v>
          </cell>
          <cell r="N221">
            <v>2788</v>
          </cell>
          <cell r="O221">
            <v>219</v>
          </cell>
        </row>
        <row r="222">
          <cell r="D222" t="str">
            <v>장식담"A"H=1800,L=23M</v>
          </cell>
          <cell r="E222">
            <v>1</v>
          </cell>
          <cell r="F222" t="str">
            <v>개소</v>
          </cell>
          <cell r="G222">
            <v>10190064</v>
          </cell>
          <cell r="H222">
            <v>10190064</v>
          </cell>
          <cell r="I222">
            <v>6798427</v>
          </cell>
          <cell r="J222">
            <v>6798427</v>
          </cell>
          <cell r="K222">
            <v>3391637</v>
          </cell>
          <cell r="L222">
            <v>3391637</v>
          </cell>
          <cell r="M222">
            <v>0</v>
          </cell>
          <cell r="N222">
            <v>0</v>
          </cell>
          <cell r="O222">
            <v>220</v>
          </cell>
        </row>
        <row r="223">
          <cell r="D223" t="str">
            <v>장식담"B"H=1800,L=32M</v>
          </cell>
          <cell r="E223">
            <v>1</v>
          </cell>
          <cell r="F223" t="str">
            <v>개소</v>
          </cell>
          <cell r="G223">
            <v>16687112</v>
          </cell>
          <cell r="H223">
            <v>16687112</v>
          </cell>
          <cell r="I223">
            <v>11085601</v>
          </cell>
          <cell r="J223">
            <v>11085601</v>
          </cell>
          <cell r="K223">
            <v>5601511</v>
          </cell>
          <cell r="L223">
            <v>5601511</v>
          </cell>
          <cell r="M223">
            <v>0</v>
          </cell>
          <cell r="N223">
            <v>0</v>
          </cell>
          <cell r="O223">
            <v>221</v>
          </cell>
        </row>
        <row r="224">
          <cell r="D224" t="str">
            <v>입구게이트H=3500</v>
          </cell>
          <cell r="E224">
            <v>1</v>
          </cell>
          <cell r="F224" t="str">
            <v>개소</v>
          </cell>
          <cell r="G224">
            <v>560369</v>
          </cell>
          <cell r="H224">
            <v>560369</v>
          </cell>
          <cell r="I224">
            <v>52112</v>
          </cell>
          <cell r="J224">
            <v>52112</v>
          </cell>
          <cell r="K224">
            <v>508257</v>
          </cell>
          <cell r="L224">
            <v>508257</v>
          </cell>
          <cell r="M224">
            <v>0</v>
          </cell>
          <cell r="N224">
            <v>0</v>
          </cell>
          <cell r="O224">
            <v>222</v>
          </cell>
        </row>
        <row r="225">
          <cell r="D225" t="str">
            <v>화강석경계석(직)150x150x1000</v>
          </cell>
          <cell r="E225">
            <v>1</v>
          </cell>
          <cell r="F225" t="str">
            <v>m</v>
          </cell>
          <cell r="G225">
            <v>20795</v>
          </cell>
          <cell r="H225">
            <v>20795</v>
          </cell>
          <cell r="I225">
            <v>19763</v>
          </cell>
          <cell r="J225">
            <v>19763</v>
          </cell>
          <cell r="K225">
            <v>1032</v>
          </cell>
          <cell r="L225">
            <v>1032</v>
          </cell>
          <cell r="M225">
            <v>0</v>
          </cell>
          <cell r="N225">
            <v>0</v>
          </cell>
          <cell r="O225">
            <v>223</v>
          </cell>
        </row>
        <row r="226">
          <cell r="D226" t="str">
            <v>화강석경계석(곡)150x150x1000</v>
          </cell>
          <cell r="E226">
            <v>1</v>
          </cell>
          <cell r="F226" t="str">
            <v>m</v>
          </cell>
          <cell r="G226">
            <v>20795</v>
          </cell>
          <cell r="H226">
            <v>20795</v>
          </cell>
          <cell r="I226">
            <v>19763</v>
          </cell>
          <cell r="J226">
            <v>19763</v>
          </cell>
          <cell r="K226">
            <v>1032</v>
          </cell>
          <cell r="L226">
            <v>1032</v>
          </cell>
          <cell r="M226">
            <v>0</v>
          </cell>
          <cell r="N226">
            <v>0</v>
          </cell>
          <cell r="O226">
            <v>224</v>
          </cell>
        </row>
        <row r="227">
          <cell r="D227" t="str">
            <v>포장경계석(직)100x100x1000</v>
          </cell>
          <cell r="E227">
            <v>1</v>
          </cell>
          <cell r="F227" t="str">
            <v>m</v>
          </cell>
          <cell r="G227">
            <v>20483</v>
          </cell>
          <cell r="H227">
            <v>20483</v>
          </cell>
          <cell r="I227">
            <v>19451</v>
          </cell>
          <cell r="J227">
            <v>19451</v>
          </cell>
          <cell r="K227">
            <v>1032</v>
          </cell>
          <cell r="L227">
            <v>1032</v>
          </cell>
          <cell r="M227">
            <v>0</v>
          </cell>
          <cell r="N227">
            <v>0</v>
          </cell>
          <cell r="O227">
            <v>225</v>
          </cell>
        </row>
        <row r="228">
          <cell r="D228" t="str">
            <v>포장경계석(곡)100x100x1000</v>
          </cell>
          <cell r="E228">
            <v>1</v>
          </cell>
          <cell r="F228" t="str">
            <v>m</v>
          </cell>
          <cell r="G228">
            <v>20483</v>
          </cell>
          <cell r="H228">
            <v>20483</v>
          </cell>
          <cell r="I228">
            <v>19451</v>
          </cell>
          <cell r="J228">
            <v>19451</v>
          </cell>
          <cell r="K228">
            <v>1032</v>
          </cell>
          <cell r="L228">
            <v>1032</v>
          </cell>
          <cell r="M228">
            <v>0</v>
          </cell>
          <cell r="N228">
            <v>0</v>
          </cell>
          <cell r="O228">
            <v>226</v>
          </cell>
        </row>
        <row r="229">
          <cell r="D229" t="str">
            <v>화강석경계석(직)250x200x1000</v>
          </cell>
          <cell r="E229">
            <v>1</v>
          </cell>
          <cell r="F229" t="str">
            <v>m</v>
          </cell>
          <cell r="G229">
            <v>23150</v>
          </cell>
          <cell r="H229">
            <v>23150</v>
          </cell>
          <cell r="I229">
            <v>21602</v>
          </cell>
          <cell r="J229">
            <v>21602</v>
          </cell>
          <cell r="K229">
            <v>1548</v>
          </cell>
          <cell r="L229">
            <v>1548</v>
          </cell>
          <cell r="M229">
            <v>0</v>
          </cell>
          <cell r="N229">
            <v>0</v>
          </cell>
          <cell r="O229">
            <v>227</v>
          </cell>
        </row>
        <row r="230">
          <cell r="D230" t="str">
            <v>수목보호대</v>
          </cell>
          <cell r="E230">
            <v>1</v>
          </cell>
          <cell r="F230" t="str">
            <v>개소</v>
          </cell>
          <cell r="G230">
            <v>199737</v>
          </cell>
          <cell r="H230">
            <v>199737</v>
          </cell>
          <cell r="I230">
            <v>33957</v>
          </cell>
          <cell r="J230">
            <v>33957</v>
          </cell>
          <cell r="K230">
            <v>165780</v>
          </cell>
          <cell r="L230">
            <v>165780</v>
          </cell>
          <cell r="M230">
            <v>0</v>
          </cell>
          <cell r="N230">
            <v>0</v>
          </cell>
          <cell r="O230">
            <v>228</v>
          </cell>
        </row>
        <row r="231">
          <cell r="D231" t="str">
            <v>마사토다짐T=150</v>
          </cell>
          <cell r="E231">
            <v>1</v>
          </cell>
          <cell r="F231" t="str">
            <v>m2</v>
          </cell>
          <cell r="G231">
            <v>5648</v>
          </cell>
          <cell r="H231">
            <v>5648</v>
          </cell>
          <cell r="I231">
            <v>2479</v>
          </cell>
          <cell r="J231">
            <v>2479</v>
          </cell>
          <cell r="K231">
            <v>2288</v>
          </cell>
          <cell r="L231">
            <v>2288</v>
          </cell>
          <cell r="M231">
            <v>881</v>
          </cell>
          <cell r="N231">
            <v>881</v>
          </cell>
          <cell r="O231">
            <v>229</v>
          </cell>
        </row>
        <row r="232">
          <cell r="D232" t="str">
            <v>평상2000x2000,H=400</v>
          </cell>
          <cell r="E232">
            <v>1</v>
          </cell>
          <cell r="F232" t="str">
            <v>개소</v>
          </cell>
          <cell r="G232">
            <v>830000</v>
          </cell>
          <cell r="H232">
            <v>830000</v>
          </cell>
          <cell r="I232">
            <v>0</v>
          </cell>
          <cell r="J232">
            <v>0</v>
          </cell>
          <cell r="K232">
            <v>830000</v>
          </cell>
          <cell r="L232">
            <v>830000</v>
          </cell>
          <cell r="M232">
            <v>0</v>
          </cell>
          <cell r="N232">
            <v>0</v>
          </cell>
          <cell r="O232">
            <v>230</v>
          </cell>
        </row>
        <row r="233">
          <cell r="D233" t="str">
            <v>축구골대</v>
          </cell>
          <cell r="E233">
            <v>1</v>
          </cell>
          <cell r="F233" t="str">
            <v>조</v>
          </cell>
          <cell r="G233">
            <v>1650000</v>
          </cell>
          <cell r="H233">
            <v>1650000</v>
          </cell>
          <cell r="I233">
            <v>150000</v>
          </cell>
          <cell r="J233">
            <v>150000</v>
          </cell>
          <cell r="K233">
            <v>1500000</v>
          </cell>
          <cell r="L233">
            <v>1500000</v>
          </cell>
          <cell r="M233">
            <v>0</v>
          </cell>
          <cell r="N233">
            <v>0</v>
          </cell>
          <cell r="O233">
            <v>231</v>
          </cell>
        </row>
        <row r="234">
          <cell r="D234" t="str">
            <v>야외이동식농구대</v>
          </cell>
          <cell r="E234">
            <v>1</v>
          </cell>
          <cell r="F234" t="str">
            <v>조</v>
          </cell>
          <cell r="G234">
            <v>1870000</v>
          </cell>
          <cell r="H234">
            <v>1870000</v>
          </cell>
          <cell r="I234">
            <v>170000</v>
          </cell>
          <cell r="J234">
            <v>170000</v>
          </cell>
          <cell r="K234">
            <v>1700000</v>
          </cell>
          <cell r="L234">
            <v>1700000</v>
          </cell>
          <cell r="M234">
            <v>0</v>
          </cell>
          <cell r="N234">
            <v>0</v>
          </cell>
          <cell r="O234">
            <v>232</v>
          </cell>
        </row>
        <row r="235">
          <cell r="D235" t="str">
            <v>앉음벽(현장활용)L=13M,H400</v>
          </cell>
          <cell r="E235">
            <v>1</v>
          </cell>
          <cell r="F235" t="str">
            <v>개소</v>
          </cell>
          <cell r="G235">
            <v>681480</v>
          </cell>
          <cell r="H235">
            <v>681480</v>
          </cell>
          <cell r="I235">
            <v>681480</v>
          </cell>
          <cell r="J235">
            <v>681480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233</v>
          </cell>
        </row>
        <row r="236">
          <cell r="D236" t="str">
            <v>KP직관접합및부설D80mm</v>
          </cell>
          <cell r="E236">
            <v>1</v>
          </cell>
          <cell r="F236" t="str">
            <v>구</v>
          </cell>
          <cell r="G236">
            <v>23850</v>
          </cell>
          <cell r="H236">
            <v>23850</v>
          </cell>
          <cell r="I236">
            <v>17000</v>
          </cell>
          <cell r="J236">
            <v>17000</v>
          </cell>
          <cell r="K236">
            <v>6850</v>
          </cell>
          <cell r="L236">
            <v>6850</v>
          </cell>
          <cell r="M236">
            <v>0</v>
          </cell>
          <cell r="N236">
            <v>0</v>
          </cell>
          <cell r="O236">
            <v>234</v>
          </cell>
        </row>
        <row r="237">
          <cell r="D237" t="str">
            <v>나사접합및부설D50mm</v>
          </cell>
          <cell r="E237">
            <v>1</v>
          </cell>
          <cell r="F237" t="str">
            <v>개소</v>
          </cell>
          <cell r="G237">
            <v>9993</v>
          </cell>
          <cell r="H237">
            <v>9993</v>
          </cell>
          <cell r="I237">
            <v>9950</v>
          </cell>
          <cell r="J237">
            <v>9950</v>
          </cell>
          <cell r="K237">
            <v>43</v>
          </cell>
          <cell r="L237">
            <v>43</v>
          </cell>
          <cell r="M237">
            <v>0</v>
          </cell>
          <cell r="N237">
            <v>0</v>
          </cell>
          <cell r="O237">
            <v>235</v>
          </cell>
        </row>
        <row r="238">
          <cell r="D238" t="str">
            <v>제수변보호통설치</v>
          </cell>
          <cell r="E238">
            <v>1</v>
          </cell>
          <cell r="F238" t="str">
            <v>개소</v>
          </cell>
          <cell r="G238">
            <v>147993</v>
          </cell>
          <cell r="H238">
            <v>147993</v>
          </cell>
          <cell r="I238">
            <v>26605</v>
          </cell>
          <cell r="J238">
            <v>26605</v>
          </cell>
          <cell r="K238">
            <v>121388</v>
          </cell>
          <cell r="L238">
            <v>121388</v>
          </cell>
          <cell r="M238">
            <v>0</v>
          </cell>
          <cell r="N238">
            <v>0</v>
          </cell>
          <cell r="O238">
            <v>236</v>
          </cell>
        </row>
        <row r="239">
          <cell r="D239" t="str">
            <v>우수맨홀(3호):다목적D1500mm차도측</v>
          </cell>
          <cell r="E239">
            <v>1</v>
          </cell>
          <cell r="F239" t="str">
            <v>개소</v>
          </cell>
          <cell r="G239">
            <v>884279</v>
          </cell>
          <cell r="H239">
            <v>884279</v>
          </cell>
          <cell r="I239">
            <v>701971</v>
          </cell>
          <cell r="J239">
            <v>701971</v>
          </cell>
          <cell r="K239">
            <v>165801</v>
          </cell>
          <cell r="L239">
            <v>165801</v>
          </cell>
          <cell r="M239">
            <v>16507</v>
          </cell>
          <cell r="N239">
            <v>16507</v>
          </cell>
          <cell r="O239">
            <v>237</v>
          </cell>
        </row>
        <row r="240">
          <cell r="D240" t="str">
            <v>우수맨홀(4호):다목적D1800mm차도측</v>
          </cell>
          <cell r="E240">
            <v>1</v>
          </cell>
          <cell r="F240" t="str">
            <v>개소</v>
          </cell>
          <cell r="G240">
            <v>1284957</v>
          </cell>
          <cell r="H240">
            <v>1284957</v>
          </cell>
          <cell r="I240">
            <v>1078110</v>
          </cell>
          <cell r="J240">
            <v>1078110</v>
          </cell>
          <cell r="K240">
            <v>180949</v>
          </cell>
          <cell r="L240">
            <v>180949</v>
          </cell>
          <cell r="M240">
            <v>25898</v>
          </cell>
          <cell r="N240">
            <v>25898</v>
          </cell>
          <cell r="O240">
            <v>238</v>
          </cell>
        </row>
        <row r="241">
          <cell r="D241" t="str">
            <v>우수맨홀(3호):사계절D1500mm차도측</v>
          </cell>
          <cell r="E241">
            <v>1</v>
          </cell>
          <cell r="F241" t="str">
            <v>개소</v>
          </cell>
          <cell r="G241">
            <v>1374692</v>
          </cell>
          <cell r="H241">
            <v>1374692</v>
          </cell>
          <cell r="I241">
            <v>1142616</v>
          </cell>
          <cell r="J241">
            <v>1142616</v>
          </cell>
          <cell r="K241">
            <v>205067</v>
          </cell>
          <cell r="L241">
            <v>205067</v>
          </cell>
          <cell r="M241">
            <v>27009</v>
          </cell>
          <cell r="N241">
            <v>27009</v>
          </cell>
          <cell r="O241">
            <v>239</v>
          </cell>
        </row>
        <row r="242">
          <cell r="D242" t="str">
            <v>우수맨홀(4호):사계절D1800mm차도측</v>
          </cell>
          <cell r="E242">
            <v>1</v>
          </cell>
          <cell r="F242" t="str">
            <v>개소</v>
          </cell>
          <cell r="G242">
            <v>1660646</v>
          </cell>
          <cell r="H242">
            <v>1660646</v>
          </cell>
          <cell r="I242">
            <v>1419152</v>
          </cell>
          <cell r="J242">
            <v>1419152</v>
          </cell>
          <cell r="K242">
            <v>207730</v>
          </cell>
          <cell r="L242">
            <v>207730</v>
          </cell>
          <cell r="M242">
            <v>33764</v>
          </cell>
          <cell r="N242">
            <v>33764</v>
          </cell>
          <cell r="O242">
            <v>240</v>
          </cell>
        </row>
        <row r="243">
          <cell r="D243" t="str">
            <v>집수정(500x500)BA-TYPE</v>
          </cell>
          <cell r="E243">
            <v>1</v>
          </cell>
          <cell r="F243" t="str">
            <v>개소</v>
          </cell>
          <cell r="G243">
            <v>204977</v>
          </cell>
          <cell r="H243">
            <v>204977</v>
          </cell>
          <cell r="I243">
            <v>113273</v>
          </cell>
          <cell r="J243">
            <v>113273</v>
          </cell>
          <cell r="K243">
            <v>91618</v>
          </cell>
          <cell r="L243">
            <v>91618</v>
          </cell>
          <cell r="M243">
            <v>86</v>
          </cell>
          <cell r="N243">
            <v>86</v>
          </cell>
          <cell r="O243">
            <v>241</v>
          </cell>
        </row>
        <row r="244">
          <cell r="D244" t="str">
            <v>집수정(900x900)A-TYPE</v>
          </cell>
          <cell r="E244">
            <v>1</v>
          </cell>
          <cell r="F244" t="str">
            <v>개소</v>
          </cell>
          <cell r="G244">
            <v>408374</v>
          </cell>
          <cell r="H244">
            <v>408374</v>
          </cell>
          <cell r="I244">
            <v>227554</v>
          </cell>
          <cell r="J244">
            <v>227554</v>
          </cell>
          <cell r="K244">
            <v>180656</v>
          </cell>
          <cell r="L244">
            <v>180656</v>
          </cell>
          <cell r="M244">
            <v>164</v>
          </cell>
          <cell r="N244">
            <v>164</v>
          </cell>
          <cell r="O244">
            <v>242</v>
          </cell>
        </row>
        <row r="245">
          <cell r="D245" t="str">
            <v>집수정(900x1400)B-TYPE</v>
          </cell>
          <cell r="E245">
            <v>1</v>
          </cell>
          <cell r="F245" t="str">
            <v>개소</v>
          </cell>
          <cell r="G245">
            <v>603666</v>
          </cell>
          <cell r="H245">
            <v>603666</v>
          </cell>
          <cell r="I245">
            <v>335645</v>
          </cell>
          <cell r="J245">
            <v>335645</v>
          </cell>
          <cell r="K245">
            <v>267804</v>
          </cell>
          <cell r="L245">
            <v>267804</v>
          </cell>
          <cell r="M245">
            <v>217</v>
          </cell>
          <cell r="N245">
            <v>217</v>
          </cell>
          <cell r="O245">
            <v>243</v>
          </cell>
        </row>
        <row r="246">
          <cell r="D246" t="str">
            <v>맨홀뚜껑설치차도용</v>
          </cell>
          <cell r="E246">
            <v>1</v>
          </cell>
          <cell r="F246" t="str">
            <v>개소</v>
          </cell>
          <cell r="G246">
            <v>132000</v>
          </cell>
          <cell r="H246">
            <v>132000</v>
          </cell>
          <cell r="I246">
            <v>12000</v>
          </cell>
          <cell r="J246">
            <v>12000</v>
          </cell>
          <cell r="K246">
            <v>120000</v>
          </cell>
          <cell r="L246">
            <v>120000</v>
          </cell>
          <cell r="M246">
            <v>0</v>
          </cell>
          <cell r="N246">
            <v>0</v>
          </cell>
          <cell r="O246">
            <v>244</v>
          </cell>
        </row>
        <row r="247">
          <cell r="D247" t="str">
            <v>제수변부설(인력)D80mm</v>
          </cell>
          <cell r="E247">
            <v>1</v>
          </cell>
          <cell r="F247" t="str">
            <v>개소</v>
          </cell>
          <cell r="G247">
            <v>72600</v>
          </cell>
          <cell r="H247">
            <v>72600</v>
          </cell>
          <cell r="I247">
            <v>72600</v>
          </cell>
          <cell r="J247">
            <v>72600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245</v>
          </cell>
        </row>
        <row r="248">
          <cell r="D248" t="str">
            <v>시멘트액체방수1종</v>
          </cell>
          <cell r="E248">
            <v>1</v>
          </cell>
          <cell r="F248" t="str">
            <v>m2</v>
          </cell>
          <cell r="G248">
            <v>12348</v>
          </cell>
          <cell r="H248">
            <v>12348</v>
          </cell>
          <cell r="I248">
            <v>9760</v>
          </cell>
          <cell r="J248">
            <v>9760</v>
          </cell>
          <cell r="K248">
            <v>2588</v>
          </cell>
          <cell r="L248">
            <v>2588</v>
          </cell>
          <cell r="M248">
            <v>0</v>
          </cell>
          <cell r="N248">
            <v>0</v>
          </cell>
          <cell r="O248">
            <v>246</v>
          </cell>
        </row>
        <row r="249">
          <cell r="D249" t="str">
            <v>파형PE관접합및부설D200mm</v>
          </cell>
          <cell r="E249">
            <v>1</v>
          </cell>
          <cell r="F249" t="str">
            <v>개소</v>
          </cell>
          <cell r="G249">
            <v>7530</v>
          </cell>
          <cell r="H249">
            <v>7530</v>
          </cell>
          <cell r="I249">
            <v>2530</v>
          </cell>
          <cell r="J249">
            <v>2530</v>
          </cell>
          <cell r="K249">
            <v>5000</v>
          </cell>
          <cell r="L249">
            <v>5000</v>
          </cell>
          <cell r="M249">
            <v>0</v>
          </cell>
          <cell r="N249">
            <v>0</v>
          </cell>
          <cell r="O249">
            <v>247</v>
          </cell>
        </row>
        <row r="250">
          <cell r="D250" t="str">
            <v>파형PE관접합및부설D150mm</v>
          </cell>
          <cell r="E250">
            <v>1</v>
          </cell>
          <cell r="F250" t="str">
            <v>개소</v>
          </cell>
          <cell r="G250">
            <v>6055</v>
          </cell>
          <cell r="H250">
            <v>6055</v>
          </cell>
          <cell r="I250">
            <v>1955</v>
          </cell>
          <cell r="J250">
            <v>1955</v>
          </cell>
          <cell r="K250">
            <v>4100</v>
          </cell>
          <cell r="L250">
            <v>4100</v>
          </cell>
          <cell r="M250">
            <v>0</v>
          </cell>
          <cell r="N250">
            <v>0</v>
          </cell>
          <cell r="O250">
            <v>248</v>
          </cell>
        </row>
        <row r="251">
          <cell r="D251" t="str">
            <v>부직포설치</v>
          </cell>
          <cell r="E251">
            <v>1</v>
          </cell>
          <cell r="F251" t="str">
            <v>m2</v>
          </cell>
          <cell r="G251">
            <v>1427</v>
          </cell>
          <cell r="H251">
            <v>1427</v>
          </cell>
          <cell r="I251">
            <v>392</v>
          </cell>
          <cell r="J251">
            <v>392</v>
          </cell>
          <cell r="K251">
            <v>1035</v>
          </cell>
          <cell r="L251">
            <v>1035</v>
          </cell>
          <cell r="M251">
            <v>0</v>
          </cell>
          <cell r="N251">
            <v>0</v>
          </cell>
          <cell r="O251">
            <v>249</v>
          </cell>
        </row>
        <row r="252">
          <cell r="D252" t="str">
            <v>방수몰탈바름T30mm</v>
          </cell>
          <cell r="E252">
            <v>1</v>
          </cell>
          <cell r="F252" t="str">
            <v>m2</v>
          </cell>
          <cell r="G252">
            <v>16455</v>
          </cell>
          <cell r="H252">
            <v>16455</v>
          </cell>
          <cell r="I252">
            <v>11880</v>
          </cell>
          <cell r="J252">
            <v>11880</v>
          </cell>
          <cell r="K252">
            <v>4575</v>
          </cell>
          <cell r="L252">
            <v>4575</v>
          </cell>
          <cell r="M252">
            <v>0</v>
          </cell>
          <cell r="N252">
            <v>0</v>
          </cell>
          <cell r="O252">
            <v>250</v>
          </cell>
        </row>
        <row r="253">
          <cell r="D253" t="str">
            <v>플랜지접합D80mm</v>
          </cell>
          <cell r="E253">
            <v>1</v>
          </cell>
          <cell r="F253" t="str">
            <v>구</v>
          </cell>
          <cell r="G253">
            <v>8819</v>
          </cell>
          <cell r="H253">
            <v>8819</v>
          </cell>
          <cell r="I253">
            <v>6000</v>
          </cell>
          <cell r="J253">
            <v>6000</v>
          </cell>
          <cell r="K253">
            <v>2819</v>
          </cell>
          <cell r="L253">
            <v>2819</v>
          </cell>
          <cell r="M253">
            <v>0</v>
          </cell>
          <cell r="N253">
            <v>0</v>
          </cell>
          <cell r="O253">
            <v>251</v>
          </cell>
        </row>
        <row r="254">
          <cell r="D254" t="str">
            <v>VR관접합및부설D300mm</v>
          </cell>
          <cell r="E254">
            <v>1</v>
          </cell>
          <cell r="F254" t="str">
            <v>본</v>
          </cell>
          <cell r="G254">
            <v>49032</v>
          </cell>
          <cell r="H254">
            <v>49032</v>
          </cell>
          <cell r="I254">
            <v>49032</v>
          </cell>
          <cell r="J254">
            <v>49032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252</v>
          </cell>
        </row>
        <row r="255">
          <cell r="D255" t="str">
            <v>VR관접합및부설D450mm</v>
          </cell>
          <cell r="E255">
            <v>1</v>
          </cell>
          <cell r="F255" t="str">
            <v>본</v>
          </cell>
          <cell r="G255">
            <v>49936</v>
          </cell>
          <cell r="H255">
            <v>49936</v>
          </cell>
          <cell r="I255">
            <v>40128</v>
          </cell>
          <cell r="J255">
            <v>40128</v>
          </cell>
          <cell r="K255">
            <v>3078</v>
          </cell>
          <cell r="L255">
            <v>3078</v>
          </cell>
          <cell r="M255">
            <v>6730</v>
          </cell>
          <cell r="N255">
            <v>6730</v>
          </cell>
          <cell r="O255">
            <v>253</v>
          </cell>
        </row>
        <row r="256">
          <cell r="D256" t="str">
            <v>VR관접합및부설D600mm</v>
          </cell>
          <cell r="E256">
            <v>1</v>
          </cell>
          <cell r="F256" t="str">
            <v>본</v>
          </cell>
          <cell r="G256">
            <v>86604</v>
          </cell>
          <cell r="H256">
            <v>86604</v>
          </cell>
          <cell r="I256">
            <v>73150</v>
          </cell>
          <cell r="J256">
            <v>73150</v>
          </cell>
          <cell r="K256">
            <v>4302</v>
          </cell>
          <cell r="L256">
            <v>4302</v>
          </cell>
          <cell r="M256">
            <v>9152</v>
          </cell>
          <cell r="N256">
            <v>9152</v>
          </cell>
          <cell r="O256">
            <v>254</v>
          </cell>
        </row>
        <row r="257">
          <cell r="D257" t="str">
            <v>VR관접합및부설D700mm</v>
          </cell>
          <cell r="E257">
            <v>1</v>
          </cell>
          <cell r="F257" t="str">
            <v>본</v>
          </cell>
          <cell r="G257">
            <v>108567</v>
          </cell>
          <cell r="H257">
            <v>108567</v>
          </cell>
          <cell r="I257">
            <v>92765</v>
          </cell>
          <cell r="J257">
            <v>92765</v>
          </cell>
          <cell r="K257">
            <v>5034</v>
          </cell>
          <cell r="L257">
            <v>5034</v>
          </cell>
          <cell r="M257">
            <v>10768</v>
          </cell>
          <cell r="N257">
            <v>10768</v>
          </cell>
          <cell r="O257">
            <v>255</v>
          </cell>
        </row>
        <row r="258">
          <cell r="D258" t="str">
            <v>VR관접합및부설D800mm</v>
          </cell>
          <cell r="E258">
            <v>1</v>
          </cell>
          <cell r="F258" t="str">
            <v>본</v>
          </cell>
          <cell r="G258">
            <v>131395</v>
          </cell>
          <cell r="H258">
            <v>131395</v>
          </cell>
          <cell r="I258">
            <v>113511</v>
          </cell>
          <cell r="J258">
            <v>113511</v>
          </cell>
          <cell r="K258">
            <v>5770</v>
          </cell>
          <cell r="L258">
            <v>5770</v>
          </cell>
          <cell r="M258">
            <v>12114</v>
          </cell>
          <cell r="N258">
            <v>12114</v>
          </cell>
          <cell r="O258">
            <v>256</v>
          </cell>
        </row>
        <row r="259">
          <cell r="D259" t="str">
            <v>VR관접합및부설D900mm</v>
          </cell>
          <cell r="E259">
            <v>1</v>
          </cell>
          <cell r="F259" t="str">
            <v>본</v>
          </cell>
          <cell r="G259">
            <v>156624</v>
          </cell>
          <cell r="H259">
            <v>156624</v>
          </cell>
          <cell r="I259">
            <v>136160</v>
          </cell>
          <cell r="J259">
            <v>136160</v>
          </cell>
          <cell r="K259">
            <v>6601</v>
          </cell>
          <cell r="L259">
            <v>6601</v>
          </cell>
          <cell r="M259">
            <v>13863</v>
          </cell>
          <cell r="N259">
            <v>13863</v>
          </cell>
          <cell r="O259">
            <v>257</v>
          </cell>
        </row>
        <row r="260">
          <cell r="D260" t="str">
            <v>모래부설(휠타층)T5cm,인력</v>
          </cell>
          <cell r="E260">
            <v>1</v>
          </cell>
          <cell r="F260" t="str">
            <v>m3</v>
          </cell>
          <cell r="G260">
            <v>16000</v>
          </cell>
          <cell r="H260">
            <v>16000</v>
          </cell>
          <cell r="I260">
            <v>16000</v>
          </cell>
          <cell r="J260">
            <v>16000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258</v>
          </cell>
        </row>
        <row r="261">
          <cell r="D261" t="str">
            <v>사다리설치φ19mm스텐레스관</v>
          </cell>
          <cell r="E261">
            <v>1</v>
          </cell>
          <cell r="F261" t="str">
            <v>개소</v>
          </cell>
          <cell r="G261">
            <v>8063</v>
          </cell>
          <cell r="H261">
            <v>8063</v>
          </cell>
          <cell r="I261">
            <v>3097</v>
          </cell>
          <cell r="J261">
            <v>3097</v>
          </cell>
          <cell r="K261">
            <v>4966</v>
          </cell>
          <cell r="L261">
            <v>4966</v>
          </cell>
          <cell r="M261">
            <v>0</v>
          </cell>
          <cell r="N261">
            <v>0</v>
          </cell>
          <cell r="O261">
            <v>259</v>
          </cell>
        </row>
        <row r="262">
          <cell r="D262" t="str">
            <v>하수관천공및접합D450x300mm</v>
          </cell>
          <cell r="E262">
            <v>1</v>
          </cell>
          <cell r="F262" t="str">
            <v>개소</v>
          </cell>
          <cell r="G262">
            <v>6475</v>
          </cell>
          <cell r="H262">
            <v>6475</v>
          </cell>
          <cell r="I262">
            <v>6180</v>
          </cell>
          <cell r="J262">
            <v>6180</v>
          </cell>
          <cell r="K262">
            <v>285</v>
          </cell>
          <cell r="L262">
            <v>285</v>
          </cell>
          <cell r="M262">
            <v>10</v>
          </cell>
          <cell r="N262">
            <v>10</v>
          </cell>
          <cell r="O262">
            <v>260</v>
          </cell>
        </row>
        <row r="263">
          <cell r="D263" t="str">
            <v>하수관천공및접합D900x300mm</v>
          </cell>
          <cell r="E263">
            <v>1</v>
          </cell>
          <cell r="F263" t="str">
            <v>개소</v>
          </cell>
          <cell r="G263">
            <v>11806</v>
          </cell>
          <cell r="H263">
            <v>11806</v>
          </cell>
          <cell r="I263">
            <v>11276</v>
          </cell>
          <cell r="J263">
            <v>11276</v>
          </cell>
          <cell r="K263">
            <v>501</v>
          </cell>
          <cell r="L263">
            <v>501</v>
          </cell>
          <cell r="M263">
            <v>29</v>
          </cell>
          <cell r="N263">
            <v>29</v>
          </cell>
          <cell r="O263">
            <v>261</v>
          </cell>
        </row>
        <row r="264">
          <cell r="D264" t="str">
            <v>콘크리트양생</v>
          </cell>
          <cell r="E264">
            <v>1</v>
          </cell>
          <cell r="F264" t="str">
            <v>a</v>
          </cell>
          <cell r="G264">
            <v>64635</v>
          </cell>
          <cell r="H264">
            <v>64635</v>
          </cell>
          <cell r="I264">
            <v>48000</v>
          </cell>
          <cell r="J264">
            <v>48000</v>
          </cell>
          <cell r="K264">
            <v>16635</v>
          </cell>
          <cell r="L264">
            <v>16635</v>
          </cell>
          <cell r="M264">
            <v>0</v>
          </cell>
          <cell r="N264">
            <v>0</v>
          </cell>
          <cell r="O264">
            <v>262</v>
          </cell>
        </row>
        <row r="265">
          <cell r="D265" t="str">
            <v>KP이형관접합및부설D80mm</v>
          </cell>
          <cell r="E265">
            <v>1</v>
          </cell>
          <cell r="F265" t="str">
            <v>개소</v>
          </cell>
          <cell r="G265">
            <v>12550</v>
          </cell>
          <cell r="H265">
            <v>12550</v>
          </cell>
          <cell r="I265">
            <v>5700</v>
          </cell>
          <cell r="J265">
            <v>5700</v>
          </cell>
          <cell r="K265">
            <v>6850</v>
          </cell>
          <cell r="L265">
            <v>6850</v>
          </cell>
          <cell r="M265">
            <v>0</v>
          </cell>
          <cell r="N265">
            <v>0</v>
          </cell>
          <cell r="O265">
            <v>263</v>
          </cell>
        </row>
        <row r="266">
          <cell r="D266" t="str">
            <v>KP이형관접합및부설D150mm</v>
          </cell>
          <cell r="E266">
            <v>1</v>
          </cell>
          <cell r="F266" t="str">
            <v>개소</v>
          </cell>
          <cell r="G266">
            <v>20780</v>
          </cell>
          <cell r="H266">
            <v>20780</v>
          </cell>
          <cell r="I266">
            <v>10140</v>
          </cell>
          <cell r="J266">
            <v>10140</v>
          </cell>
          <cell r="K266">
            <v>10640</v>
          </cell>
          <cell r="L266">
            <v>10640</v>
          </cell>
          <cell r="M266">
            <v>0</v>
          </cell>
          <cell r="N266">
            <v>0</v>
          </cell>
          <cell r="O266">
            <v>264</v>
          </cell>
        </row>
        <row r="267">
          <cell r="D267" t="str">
            <v>PFP관접합및부설D50mmPM접합</v>
          </cell>
          <cell r="E267">
            <v>1</v>
          </cell>
          <cell r="F267" t="str">
            <v>구</v>
          </cell>
          <cell r="G267">
            <v>9140</v>
          </cell>
          <cell r="H267">
            <v>9140</v>
          </cell>
          <cell r="I267">
            <v>9140</v>
          </cell>
          <cell r="J267">
            <v>9140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265</v>
          </cell>
        </row>
        <row r="268">
          <cell r="D268" t="str">
            <v>배관용홈파기54C이하</v>
          </cell>
          <cell r="E268">
            <v>1</v>
          </cell>
          <cell r="F268" t="str">
            <v>m</v>
          </cell>
          <cell r="G268">
            <v>12058</v>
          </cell>
          <cell r="H268">
            <v>12058</v>
          </cell>
          <cell r="I268">
            <v>12058</v>
          </cell>
          <cell r="J268">
            <v>12058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266</v>
          </cell>
        </row>
        <row r="269">
          <cell r="D269" t="str">
            <v>유성2회 광명단1회철제면</v>
          </cell>
          <cell r="E269">
            <v>1</v>
          </cell>
          <cell r="F269" t="str">
            <v>m2</v>
          </cell>
          <cell r="G269">
            <v>6238</v>
          </cell>
          <cell r="H269">
            <v>6238</v>
          </cell>
          <cell r="I269">
            <v>4720</v>
          </cell>
          <cell r="J269">
            <v>4720</v>
          </cell>
          <cell r="K269">
            <v>1518</v>
          </cell>
          <cell r="L269">
            <v>1518</v>
          </cell>
          <cell r="M269">
            <v>0</v>
          </cell>
          <cell r="N269">
            <v>0</v>
          </cell>
          <cell r="O269">
            <v>267</v>
          </cell>
        </row>
        <row r="270">
          <cell r="D270" t="str">
            <v>동력전원박스</v>
          </cell>
          <cell r="E270">
            <v>1</v>
          </cell>
          <cell r="F270" t="str">
            <v>개소</v>
          </cell>
          <cell r="G270">
            <v>52993</v>
          </cell>
          <cell r="H270">
            <v>52993</v>
          </cell>
          <cell r="I270">
            <v>39014</v>
          </cell>
          <cell r="J270">
            <v>39014</v>
          </cell>
          <cell r="K270">
            <v>13979</v>
          </cell>
          <cell r="L270">
            <v>13979</v>
          </cell>
          <cell r="M270">
            <v>0</v>
          </cell>
          <cell r="N270">
            <v>0</v>
          </cell>
          <cell r="O270">
            <v>268</v>
          </cell>
        </row>
        <row r="271">
          <cell r="D271" t="str">
            <v>가로등기초500x800x1100</v>
          </cell>
          <cell r="E271">
            <v>1</v>
          </cell>
          <cell r="F271" t="str">
            <v>개소</v>
          </cell>
          <cell r="G271">
            <v>78008</v>
          </cell>
          <cell r="H271">
            <v>78008</v>
          </cell>
          <cell r="I271">
            <v>46227</v>
          </cell>
          <cell r="J271">
            <v>46227</v>
          </cell>
          <cell r="K271">
            <v>31781</v>
          </cell>
          <cell r="L271">
            <v>31781</v>
          </cell>
          <cell r="M271">
            <v>0</v>
          </cell>
          <cell r="N271">
            <v>0</v>
          </cell>
          <cell r="O271">
            <v>269</v>
          </cell>
        </row>
        <row r="272">
          <cell r="D272" t="str">
            <v>PANEL"전등"</v>
          </cell>
          <cell r="E272">
            <v>1</v>
          </cell>
          <cell r="F272" t="str">
            <v>면</v>
          </cell>
          <cell r="G272">
            <v>374500</v>
          </cell>
          <cell r="H272">
            <v>374500</v>
          </cell>
          <cell r="I272">
            <v>126620</v>
          </cell>
          <cell r="J272">
            <v>126620</v>
          </cell>
          <cell r="K272">
            <v>247880</v>
          </cell>
          <cell r="L272">
            <v>247880</v>
          </cell>
          <cell r="M272">
            <v>0</v>
          </cell>
          <cell r="N272">
            <v>0</v>
          </cell>
          <cell r="O272">
            <v>270</v>
          </cell>
        </row>
        <row r="273">
          <cell r="D273" t="str">
            <v>두겁석설치3면연마</v>
          </cell>
          <cell r="E273">
            <v>1</v>
          </cell>
          <cell r="F273" t="str">
            <v>m</v>
          </cell>
          <cell r="G273">
            <v>84975</v>
          </cell>
          <cell r="H273">
            <v>84975</v>
          </cell>
          <cell r="I273">
            <v>12975</v>
          </cell>
          <cell r="J273">
            <v>12975</v>
          </cell>
          <cell r="K273">
            <v>72000</v>
          </cell>
          <cell r="L273">
            <v>72000</v>
          </cell>
          <cell r="M273">
            <v>0</v>
          </cell>
          <cell r="N273">
            <v>0</v>
          </cell>
          <cell r="O273">
            <v>271</v>
          </cell>
        </row>
        <row r="274">
          <cell r="D274" t="str">
            <v>세라스톤붙이기산성돌</v>
          </cell>
          <cell r="E274">
            <v>1</v>
          </cell>
          <cell r="F274" t="str">
            <v>m2</v>
          </cell>
          <cell r="G274">
            <v>63172</v>
          </cell>
          <cell r="H274">
            <v>63172</v>
          </cell>
          <cell r="I274">
            <v>28420</v>
          </cell>
          <cell r="J274">
            <v>28420</v>
          </cell>
          <cell r="K274">
            <v>34752</v>
          </cell>
          <cell r="L274">
            <v>34752</v>
          </cell>
          <cell r="M274">
            <v>0</v>
          </cell>
          <cell r="N274">
            <v>0</v>
          </cell>
          <cell r="O274">
            <v>272</v>
          </cell>
        </row>
        <row r="275">
          <cell r="D275" t="str">
            <v>WAVE POOLA부분</v>
          </cell>
          <cell r="E275">
            <v>1</v>
          </cell>
          <cell r="F275" t="str">
            <v>식</v>
          </cell>
          <cell r="G275">
            <v>20146850</v>
          </cell>
          <cell r="H275">
            <v>20146850</v>
          </cell>
          <cell r="I275">
            <v>2300000</v>
          </cell>
          <cell r="J275">
            <v>2300000</v>
          </cell>
          <cell r="K275">
            <v>17846850</v>
          </cell>
          <cell r="L275">
            <v>17846850</v>
          </cell>
          <cell r="M275">
            <v>0</v>
          </cell>
          <cell r="N275">
            <v>0</v>
          </cell>
          <cell r="O275">
            <v>273</v>
          </cell>
        </row>
        <row r="276">
          <cell r="D276" t="str">
            <v>WAVE POOLB부분</v>
          </cell>
          <cell r="E276">
            <v>1</v>
          </cell>
          <cell r="F276" t="str">
            <v>식</v>
          </cell>
          <cell r="G276">
            <v>13143750</v>
          </cell>
          <cell r="H276">
            <v>13143750</v>
          </cell>
          <cell r="I276">
            <v>1725000</v>
          </cell>
          <cell r="J276">
            <v>1725000</v>
          </cell>
          <cell r="K276">
            <v>11418750</v>
          </cell>
          <cell r="L276">
            <v>11418750</v>
          </cell>
          <cell r="M276">
            <v>0</v>
          </cell>
          <cell r="N276">
            <v>0</v>
          </cell>
          <cell r="O276">
            <v>274</v>
          </cell>
        </row>
        <row r="277">
          <cell r="D277" t="str">
            <v>WAVE POOLC부분</v>
          </cell>
          <cell r="E277">
            <v>1</v>
          </cell>
          <cell r="F277" t="str">
            <v>식</v>
          </cell>
          <cell r="G277">
            <v>10909960</v>
          </cell>
          <cell r="H277">
            <v>10909960</v>
          </cell>
          <cell r="I277">
            <v>1150000</v>
          </cell>
          <cell r="J277">
            <v>1150000</v>
          </cell>
          <cell r="K277">
            <v>9759960</v>
          </cell>
          <cell r="L277">
            <v>9759960</v>
          </cell>
          <cell r="M277">
            <v>0</v>
          </cell>
          <cell r="N277">
            <v>0</v>
          </cell>
          <cell r="O277">
            <v>275</v>
          </cell>
        </row>
        <row r="278">
          <cell r="D278" t="str">
            <v>LAP POOLA부분</v>
          </cell>
          <cell r="E278">
            <v>1</v>
          </cell>
          <cell r="F278" t="str">
            <v>식</v>
          </cell>
          <cell r="G278">
            <v>2143100</v>
          </cell>
          <cell r="H278">
            <v>2143100</v>
          </cell>
          <cell r="I278">
            <v>230000</v>
          </cell>
          <cell r="J278">
            <v>230000</v>
          </cell>
          <cell r="K278">
            <v>1913100</v>
          </cell>
          <cell r="L278">
            <v>1913100</v>
          </cell>
          <cell r="M278">
            <v>0</v>
          </cell>
          <cell r="N278">
            <v>0</v>
          </cell>
          <cell r="O278">
            <v>276</v>
          </cell>
        </row>
        <row r="279">
          <cell r="D279" t="str">
            <v>LAP POOLB부분</v>
          </cell>
          <cell r="E279">
            <v>1</v>
          </cell>
          <cell r="F279" t="str">
            <v>식</v>
          </cell>
          <cell r="G279">
            <v>9331000</v>
          </cell>
          <cell r="H279">
            <v>9331000</v>
          </cell>
          <cell r="I279">
            <v>805000</v>
          </cell>
          <cell r="J279">
            <v>805000</v>
          </cell>
          <cell r="K279">
            <v>8526000</v>
          </cell>
          <cell r="L279">
            <v>8526000</v>
          </cell>
          <cell r="M279">
            <v>0</v>
          </cell>
          <cell r="N279">
            <v>0</v>
          </cell>
          <cell r="O279">
            <v>277</v>
          </cell>
        </row>
        <row r="280">
          <cell r="D280" t="str">
            <v>로라슬라이드 1L=25.2M</v>
          </cell>
          <cell r="E280">
            <v>1</v>
          </cell>
          <cell r="F280" t="str">
            <v>식</v>
          </cell>
          <cell r="G280">
            <v>97395000</v>
          </cell>
          <cell r="H280">
            <v>97395000</v>
          </cell>
          <cell r="I280">
            <v>44895000</v>
          </cell>
          <cell r="J280">
            <v>44895000</v>
          </cell>
          <cell r="K280">
            <v>52500000</v>
          </cell>
          <cell r="L280">
            <v>52500000</v>
          </cell>
          <cell r="M280">
            <v>0</v>
          </cell>
          <cell r="N280">
            <v>0</v>
          </cell>
          <cell r="O280">
            <v>278</v>
          </cell>
        </row>
        <row r="281">
          <cell r="D281" t="str">
            <v>로라슬라이드 2L=13.7M</v>
          </cell>
          <cell r="E281">
            <v>1</v>
          </cell>
          <cell r="F281" t="str">
            <v>식</v>
          </cell>
          <cell r="G281">
            <v>47680000</v>
          </cell>
          <cell r="H281">
            <v>47680000</v>
          </cell>
          <cell r="I281">
            <v>22380000</v>
          </cell>
          <cell r="J281">
            <v>22380000</v>
          </cell>
          <cell r="K281">
            <v>25300000</v>
          </cell>
          <cell r="L281">
            <v>25300000</v>
          </cell>
          <cell r="M281">
            <v>0</v>
          </cell>
          <cell r="N281">
            <v>0</v>
          </cell>
          <cell r="O281">
            <v>279</v>
          </cell>
        </row>
        <row r="282">
          <cell r="D282" t="str">
            <v>로라슬라이드 3L=11.6M</v>
          </cell>
          <cell r="E282">
            <v>1</v>
          </cell>
          <cell r="F282" t="str">
            <v>식</v>
          </cell>
          <cell r="G282">
            <v>42528000</v>
          </cell>
          <cell r="H282">
            <v>42528000</v>
          </cell>
          <cell r="I282">
            <v>20328000</v>
          </cell>
          <cell r="J282">
            <v>20328000</v>
          </cell>
          <cell r="K282">
            <v>22200000</v>
          </cell>
          <cell r="L282">
            <v>22200000</v>
          </cell>
          <cell r="M282">
            <v>0</v>
          </cell>
          <cell r="N282">
            <v>0</v>
          </cell>
          <cell r="O282">
            <v>280</v>
          </cell>
        </row>
        <row r="283">
          <cell r="D283" t="str">
            <v>동화놀이동산</v>
          </cell>
          <cell r="E283">
            <v>1</v>
          </cell>
          <cell r="F283" t="str">
            <v>식</v>
          </cell>
          <cell r="G283">
            <v>131597551</v>
          </cell>
          <cell r="H283">
            <v>131597551</v>
          </cell>
          <cell r="I283">
            <v>48443846</v>
          </cell>
          <cell r="J283">
            <v>48443846</v>
          </cell>
          <cell r="K283">
            <v>83140365</v>
          </cell>
          <cell r="L283">
            <v>83140365</v>
          </cell>
          <cell r="M283">
            <v>13340</v>
          </cell>
          <cell r="N283">
            <v>13340</v>
          </cell>
          <cell r="O283">
            <v>281</v>
          </cell>
        </row>
        <row r="284">
          <cell r="D284" t="str">
            <v>소형고압블럭포장맹인용</v>
          </cell>
          <cell r="E284">
            <v>1</v>
          </cell>
          <cell r="F284" t="str">
            <v>m2</v>
          </cell>
          <cell r="G284">
            <v>18319</v>
          </cell>
          <cell r="H284">
            <v>18319</v>
          </cell>
          <cell r="I284">
            <v>6772</v>
          </cell>
          <cell r="J284">
            <v>6772</v>
          </cell>
          <cell r="K284">
            <v>11428</v>
          </cell>
          <cell r="L284">
            <v>11428</v>
          </cell>
          <cell r="M284">
            <v>119</v>
          </cell>
          <cell r="N284">
            <v>119</v>
          </cell>
          <cell r="O284">
            <v>282</v>
          </cell>
        </row>
        <row r="285">
          <cell r="D285" t="str">
            <v>점토벽돌포장맹인용</v>
          </cell>
          <cell r="E285">
            <v>1</v>
          </cell>
          <cell r="F285" t="str">
            <v>m2</v>
          </cell>
          <cell r="G285">
            <v>78486</v>
          </cell>
          <cell r="H285">
            <v>78486</v>
          </cell>
          <cell r="I285">
            <v>6307</v>
          </cell>
          <cell r="J285">
            <v>6307</v>
          </cell>
          <cell r="K285">
            <v>72068</v>
          </cell>
          <cell r="L285">
            <v>72068</v>
          </cell>
          <cell r="M285">
            <v>111</v>
          </cell>
          <cell r="N285">
            <v>111</v>
          </cell>
          <cell r="O285">
            <v>283</v>
          </cell>
        </row>
        <row r="286">
          <cell r="D286" t="str">
            <v>고무점자블럭화강석구간</v>
          </cell>
          <cell r="E286">
            <v>1</v>
          </cell>
          <cell r="F286" t="str">
            <v>m2</v>
          </cell>
          <cell r="G286">
            <v>296322</v>
          </cell>
          <cell r="H286">
            <v>296322</v>
          </cell>
          <cell r="I286">
            <v>53615</v>
          </cell>
          <cell r="J286">
            <v>53615</v>
          </cell>
          <cell r="K286">
            <v>242616</v>
          </cell>
          <cell r="L286">
            <v>242616</v>
          </cell>
          <cell r="M286">
            <v>91</v>
          </cell>
          <cell r="N286">
            <v>91</v>
          </cell>
          <cell r="O286">
            <v>284</v>
          </cell>
        </row>
        <row r="287">
          <cell r="D287" t="str">
            <v>리벳점자블럭유도용</v>
          </cell>
          <cell r="E287">
            <v>1</v>
          </cell>
          <cell r="F287" t="str">
            <v>m2</v>
          </cell>
          <cell r="G287">
            <v>636938</v>
          </cell>
          <cell r="H287">
            <v>636938</v>
          </cell>
          <cell r="I287">
            <v>13800</v>
          </cell>
          <cell r="J287">
            <v>13800</v>
          </cell>
          <cell r="K287">
            <v>623138</v>
          </cell>
          <cell r="L287">
            <v>623138</v>
          </cell>
          <cell r="M287">
            <v>0</v>
          </cell>
          <cell r="N287">
            <v>0</v>
          </cell>
          <cell r="O287">
            <v>285</v>
          </cell>
        </row>
        <row r="288">
          <cell r="D288" t="str">
            <v>분수설비공사연꽃연못</v>
          </cell>
          <cell r="E288">
            <v>1</v>
          </cell>
          <cell r="F288" t="str">
            <v>식</v>
          </cell>
          <cell r="G288">
            <v>65395555</v>
          </cell>
          <cell r="H288">
            <v>65395555</v>
          </cell>
          <cell r="I288">
            <v>12308116</v>
          </cell>
          <cell r="J288">
            <v>12308116</v>
          </cell>
          <cell r="K288">
            <v>53087439</v>
          </cell>
          <cell r="L288">
            <v>53087439</v>
          </cell>
          <cell r="M288">
            <v>0</v>
          </cell>
          <cell r="N288">
            <v>0</v>
          </cell>
          <cell r="O288">
            <v>286</v>
          </cell>
        </row>
        <row r="289">
          <cell r="D289" t="str">
            <v>전기배관공사연꽃연못</v>
          </cell>
          <cell r="E289">
            <v>1</v>
          </cell>
          <cell r="F289" t="str">
            <v>식</v>
          </cell>
          <cell r="G289">
            <v>2812107</v>
          </cell>
          <cell r="H289">
            <v>2812107</v>
          </cell>
          <cell r="I289">
            <v>1903731</v>
          </cell>
          <cell r="J289">
            <v>1903731</v>
          </cell>
          <cell r="K289">
            <v>908376</v>
          </cell>
          <cell r="L289">
            <v>908376</v>
          </cell>
          <cell r="M289">
            <v>0</v>
          </cell>
          <cell r="N289">
            <v>0</v>
          </cell>
          <cell r="O289">
            <v>287</v>
          </cell>
        </row>
        <row r="290">
          <cell r="D290" t="str">
            <v>판넬공사연꽃연못</v>
          </cell>
          <cell r="E290">
            <v>1</v>
          </cell>
          <cell r="F290" t="str">
            <v>식</v>
          </cell>
          <cell r="G290">
            <v>7520172</v>
          </cell>
          <cell r="H290">
            <v>7520172</v>
          </cell>
          <cell r="I290">
            <v>2403259</v>
          </cell>
          <cell r="J290">
            <v>2403259</v>
          </cell>
          <cell r="K290">
            <v>5116913</v>
          </cell>
          <cell r="L290">
            <v>5116913</v>
          </cell>
          <cell r="M290">
            <v>0</v>
          </cell>
          <cell r="N290">
            <v>0</v>
          </cell>
          <cell r="O290">
            <v>288</v>
          </cell>
        </row>
        <row r="291">
          <cell r="D291" t="str">
            <v>펌프류설치7.5HP이하</v>
          </cell>
          <cell r="E291">
            <v>1</v>
          </cell>
          <cell r="F291" t="str">
            <v>대</v>
          </cell>
          <cell r="G291">
            <v>191500</v>
          </cell>
          <cell r="H291">
            <v>191500</v>
          </cell>
          <cell r="I291">
            <v>191500</v>
          </cell>
          <cell r="J291">
            <v>191500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289</v>
          </cell>
        </row>
        <row r="292">
          <cell r="D292" t="str">
            <v>펌프류설치2HP</v>
          </cell>
          <cell r="E292">
            <v>1</v>
          </cell>
          <cell r="F292" t="str">
            <v>대</v>
          </cell>
          <cell r="G292">
            <v>107100</v>
          </cell>
          <cell r="H292">
            <v>107100</v>
          </cell>
          <cell r="I292">
            <v>107100</v>
          </cell>
          <cell r="J292">
            <v>107100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290</v>
          </cell>
        </row>
        <row r="293">
          <cell r="D293" t="str">
            <v>STS SUBMERSIBLE PUMP80Ax1.5KW</v>
          </cell>
          <cell r="E293">
            <v>1</v>
          </cell>
          <cell r="F293" t="str">
            <v>대</v>
          </cell>
          <cell r="G293">
            <v>1969100</v>
          </cell>
          <cell r="H293">
            <v>1969100</v>
          </cell>
          <cell r="I293">
            <v>107100</v>
          </cell>
          <cell r="J293">
            <v>107100</v>
          </cell>
          <cell r="K293">
            <v>1862000</v>
          </cell>
          <cell r="L293">
            <v>1862000</v>
          </cell>
          <cell r="M293">
            <v>0</v>
          </cell>
          <cell r="N293">
            <v>0</v>
          </cell>
          <cell r="O293">
            <v>291</v>
          </cell>
        </row>
        <row r="294">
          <cell r="D294" t="str">
            <v>밸브류설치120-150A</v>
          </cell>
          <cell r="E294">
            <v>1</v>
          </cell>
          <cell r="F294" t="str">
            <v>EA</v>
          </cell>
          <cell r="G294">
            <v>38000</v>
          </cell>
          <cell r="H294">
            <v>38000</v>
          </cell>
          <cell r="I294">
            <v>38000</v>
          </cell>
          <cell r="J294">
            <v>38000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292</v>
          </cell>
        </row>
        <row r="295">
          <cell r="D295" t="str">
            <v>밸브류설치65-100A</v>
          </cell>
          <cell r="E295">
            <v>1</v>
          </cell>
          <cell r="F295" t="str">
            <v>EA</v>
          </cell>
          <cell r="G295">
            <v>15000</v>
          </cell>
          <cell r="H295">
            <v>15000</v>
          </cell>
          <cell r="I295">
            <v>15000</v>
          </cell>
          <cell r="J295">
            <v>15000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293</v>
          </cell>
        </row>
        <row r="296">
          <cell r="D296" t="str">
            <v>밸브류설치50A이하</v>
          </cell>
          <cell r="E296">
            <v>1</v>
          </cell>
          <cell r="F296" t="str">
            <v>EA</v>
          </cell>
          <cell r="G296">
            <v>4200</v>
          </cell>
          <cell r="H296">
            <v>4200</v>
          </cell>
          <cell r="I296">
            <v>4200</v>
          </cell>
          <cell r="J296">
            <v>4200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294</v>
          </cell>
        </row>
        <row r="297">
          <cell r="D297" t="str">
            <v>STS GATE VALVE150A</v>
          </cell>
          <cell r="E297">
            <v>1</v>
          </cell>
          <cell r="F297" t="str">
            <v>EA</v>
          </cell>
          <cell r="G297">
            <v>718000</v>
          </cell>
          <cell r="H297">
            <v>718000</v>
          </cell>
          <cell r="I297">
            <v>38000</v>
          </cell>
          <cell r="J297">
            <v>38000</v>
          </cell>
          <cell r="K297">
            <v>680000</v>
          </cell>
          <cell r="L297">
            <v>680000</v>
          </cell>
          <cell r="M297">
            <v>0</v>
          </cell>
          <cell r="N297">
            <v>0</v>
          </cell>
          <cell r="O297">
            <v>295</v>
          </cell>
        </row>
        <row r="298">
          <cell r="D298" t="str">
            <v>STS GATE VALVE100A</v>
          </cell>
          <cell r="E298">
            <v>1</v>
          </cell>
          <cell r="F298" t="str">
            <v>EA</v>
          </cell>
          <cell r="G298">
            <v>402000</v>
          </cell>
          <cell r="H298">
            <v>402000</v>
          </cell>
          <cell r="I298">
            <v>15000</v>
          </cell>
          <cell r="J298">
            <v>15000</v>
          </cell>
          <cell r="K298">
            <v>387000</v>
          </cell>
          <cell r="L298">
            <v>387000</v>
          </cell>
          <cell r="M298">
            <v>0</v>
          </cell>
          <cell r="N298">
            <v>0</v>
          </cell>
          <cell r="O298">
            <v>296</v>
          </cell>
        </row>
        <row r="299">
          <cell r="D299" t="str">
            <v>STS GATE VALVE50A</v>
          </cell>
          <cell r="E299">
            <v>1</v>
          </cell>
          <cell r="F299" t="str">
            <v>EA</v>
          </cell>
          <cell r="G299">
            <v>185000</v>
          </cell>
          <cell r="H299">
            <v>185000</v>
          </cell>
          <cell r="I299">
            <v>4200</v>
          </cell>
          <cell r="J299">
            <v>4200</v>
          </cell>
          <cell r="K299">
            <v>180800</v>
          </cell>
          <cell r="L299">
            <v>180800</v>
          </cell>
          <cell r="M299">
            <v>0</v>
          </cell>
          <cell r="N299">
            <v>0</v>
          </cell>
          <cell r="O299">
            <v>297</v>
          </cell>
        </row>
        <row r="300">
          <cell r="D300" t="str">
            <v>STS BALL VALVE50A</v>
          </cell>
          <cell r="E300">
            <v>1</v>
          </cell>
          <cell r="F300" t="str">
            <v>EA</v>
          </cell>
          <cell r="G300">
            <v>27200</v>
          </cell>
          <cell r="H300">
            <v>27200</v>
          </cell>
          <cell r="I300">
            <v>4200</v>
          </cell>
          <cell r="J300">
            <v>4200</v>
          </cell>
          <cell r="K300">
            <v>23000</v>
          </cell>
          <cell r="L300">
            <v>23000</v>
          </cell>
          <cell r="M300">
            <v>0</v>
          </cell>
          <cell r="N300">
            <v>0</v>
          </cell>
          <cell r="O300">
            <v>298</v>
          </cell>
        </row>
        <row r="301">
          <cell r="D301" t="str">
            <v>STS BALL VALVE25A</v>
          </cell>
          <cell r="E301">
            <v>1</v>
          </cell>
          <cell r="F301" t="str">
            <v>EA</v>
          </cell>
          <cell r="G301">
            <v>16800</v>
          </cell>
          <cell r="H301">
            <v>16800</v>
          </cell>
          <cell r="I301">
            <v>4200</v>
          </cell>
          <cell r="J301">
            <v>4200</v>
          </cell>
          <cell r="K301">
            <v>12600</v>
          </cell>
          <cell r="L301">
            <v>12600</v>
          </cell>
          <cell r="M301">
            <v>0</v>
          </cell>
          <cell r="N301">
            <v>0</v>
          </cell>
          <cell r="O301">
            <v>299</v>
          </cell>
        </row>
        <row r="302">
          <cell r="D302" t="str">
            <v>STS BUTTERFLY VALVE80A</v>
          </cell>
          <cell r="E302">
            <v>1</v>
          </cell>
          <cell r="F302" t="str">
            <v>EA</v>
          </cell>
          <cell r="G302">
            <v>173000</v>
          </cell>
          <cell r="H302">
            <v>173000</v>
          </cell>
          <cell r="I302">
            <v>15000</v>
          </cell>
          <cell r="J302">
            <v>15000</v>
          </cell>
          <cell r="K302">
            <v>158000</v>
          </cell>
          <cell r="L302">
            <v>158000</v>
          </cell>
          <cell r="M302">
            <v>0</v>
          </cell>
          <cell r="N302">
            <v>0</v>
          </cell>
          <cell r="O302">
            <v>300</v>
          </cell>
        </row>
        <row r="303">
          <cell r="D303" t="str">
            <v>STS CHECK VALVE80A</v>
          </cell>
          <cell r="E303">
            <v>1</v>
          </cell>
          <cell r="F303" t="str">
            <v>EA</v>
          </cell>
          <cell r="G303">
            <v>244500</v>
          </cell>
          <cell r="H303">
            <v>244500</v>
          </cell>
          <cell r="I303">
            <v>15000</v>
          </cell>
          <cell r="J303">
            <v>15000</v>
          </cell>
          <cell r="K303">
            <v>229500</v>
          </cell>
          <cell r="L303">
            <v>229500</v>
          </cell>
          <cell r="M303">
            <v>0</v>
          </cell>
          <cell r="N303">
            <v>0</v>
          </cell>
          <cell r="O303">
            <v>301</v>
          </cell>
        </row>
        <row r="304">
          <cell r="D304" t="str">
            <v>SHARP NOZZLEDSA-200</v>
          </cell>
          <cell r="E304">
            <v>1</v>
          </cell>
          <cell r="F304" t="str">
            <v>EA</v>
          </cell>
          <cell r="G304">
            <v>595200</v>
          </cell>
          <cell r="H304">
            <v>595200</v>
          </cell>
          <cell r="I304">
            <v>55200</v>
          </cell>
          <cell r="J304">
            <v>55200</v>
          </cell>
          <cell r="K304">
            <v>540000</v>
          </cell>
          <cell r="L304">
            <v>540000</v>
          </cell>
          <cell r="M304">
            <v>0</v>
          </cell>
          <cell r="N304">
            <v>0</v>
          </cell>
          <cell r="O304">
            <v>302</v>
          </cell>
        </row>
        <row r="305">
          <cell r="D305" t="str">
            <v>SHARP NOZZLEDSA-125</v>
          </cell>
          <cell r="E305">
            <v>1</v>
          </cell>
          <cell r="F305" t="str">
            <v>EA</v>
          </cell>
          <cell r="G305">
            <v>227000</v>
          </cell>
          <cell r="H305">
            <v>227000</v>
          </cell>
          <cell r="I305">
            <v>17000</v>
          </cell>
          <cell r="J305">
            <v>17000</v>
          </cell>
          <cell r="K305">
            <v>210000</v>
          </cell>
          <cell r="L305">
            <v>210000</v>
          </cell>
          <cell r="M305">
            <v>0</v>
          </cell>
          <cell r="N305">
            <v>0</v>
          </cell>
          <cell r="O305">
            <v>303</v>
          </cell>
        </row>
        <row r="306">
          <cell r="D306" t="str">
            <v>FOG NOZZLEDFN-050</v>
          </cell>
          <cell r="E306">
            <v>1</v>
          </cell>
          <cell r="F306" t="str">
            <v>EA</v>
          </cell>
          <cell r="G306">
            <v>48200</v>
          </cell>
          <cell r="H306">
            <v>48200</v>
          </cell>
          <cell r="I306">
            <v>4200</v>
          </cell>
          <cell r="J306">
            <v>4200</v>
          </cell>
          <cell r="K306">
            <v>44000</v>
          </cell>
          <cell r="L306">
            <v>44000</v>
          </cell>
          <cell r="M306">
            <v>0</v>
          </cell>
          <cell r="N306">
            <v>0</v>
          </cell>
          <cell r="O306">
            <v>304</v>
          </cell>
        </row>
        <row r="307">
          <cell r="D307" t="str">
            <v>UNDERWATER LIGHTUL-150S</v>
          </cell>
          <cell r="E307">
            <v>1</v>
          </cell>
          <cell r="F307" t="str">
            <v>EA</v>
          </cell>
          <cell r="G307">
            <v>187720</v>
          </cell>
          <cell r="H307">
            <v>187720</v>
          </cell>
          <cell r="I307">
            <v>27720</v>
          </cell>
          <cell r="J307">
            <v>27720</v>
          </cell>
          <cell r="K307">
            <v>160000</v>
          </cell>
          <cell r="L307">
            <v>160000</v>
          </cell>
          <cell r="M307">
            <v>0</v>
          </cell>
          <cell r="N307">
            <v>0</v>
          </cell>
          <cell r="O307">
            <v>305</v>
          </cell>
        </row>
        <row r="308">
          <cell r="D308" t="str">
            <v>JOINT BOXDJ-S</v>
          </cell>
          <cell r="E308">
            <v>1</v>
          </cell>
          <cell r="F308" t="str">
            <v>EA</v>
          </cell>
          <cell r="G308">
            <v>144800</v>
          </cell>
          <cell r="H308">
            <v>144800</v>
          </cell>
          <cell r="I308">
            <v>44800</v>
          </cell>
          <cell r="J308">
            <v>44800</v>
          </cell>
          <cell r="K308">
            <v>100000</v>
          </cell>
          <cell r="L308">
            <v>100000</v>
          </cell>
          <cell r="M308">
            <v>0</v>
          </cell>
          <cell r="N308">
            <v>0</v>
          </cell>
          <cell r="O308">
            <v>306</v>
          </cell>
        </row>
        <row r="309">
          <cell r="D309" t="str">
            <v>JOINT BOXDMJ-L</v>
          </cell>
          <cell r="E309">
            <v>1</v>
          </cell>
          <cell r="F309" t="str">
            <v>EA</v>
          </cell>
          <cell r="G309">
            <v>234800</v>
          </cell>
          <cell r="H309">
            <v>234800</v>
          </cell>
          <cell r="I309">
            <v>44800</v>
          </cell>
          <cell r="J309">
            <v>44800</v>
          </cell>
          <cell r="K309">
            <v>190000</v>
          </cell>
          <cell r="L309">
            <v>190000</v>
          </cell>
          <cell r="M309">
            <v>0</v>
          </cell>
          <cell r="N309">
            <v>0</v>
          </cell>
          <cell r="O309">
            <v>307</v>
          </cell>
        </row>
        <row r="310">
          <cell r="D310" t="str">
            <v>CON'C SUPPORT2000x2000x400</v>
          </cell>
          <cell r="E310">
            <v>1</v>
          </cell>
          <cell r="F310" t="str">
            <v>EA</v>
          </cell>
          <cell r="G310">
            <v>253593</v>
          </cell>
          <cell r="H310">
            <v>253593</v>
          </cell>
          <cell r="I310">
            <v>226640</v>
          </cell>
          <cell r="J310">
            <v>226640</v>
          </cell>
          <cell r="K310">
            <v>26953</v>
          </cell>
          <cell r="L310">
            <v>26953</v>
          </cell>
          <cell r="M310">
            <v>0</v>
          </cell>
          <cell r="N310">
            <v>0</v>
          </cell>
          <cell r="O310">
            <v>308</v>
          </cell>
        </row>
        <row r="311">
          <cell r="D311" t="str">
            <v>CON'C SUPPORT1300x1300x500</v>
          </cell>
          <cell r="E311">
            <v>1</v>
          </cell>
          <cell r="F311" t="str">
            <v>EA</v>
          </cell>
          <cell r="G311">
            <v>134896</v>
          </cell>
          <cell r="H311">
            <v>134896</v>
          </cell>
          <cell r="I311">
            <v>116552</v>
          </cell>
          <cell r="J311">
            <v>116552</v>
          </cell>
          <cell r="K311">
            <v>18344</v>
          </cell>
          <cell r="L311">
            <v>18344</v>
          </cell>
          <cell r="M311">
            <v>0</v>
          </cell>
          <cell r="N311">
            <v>0</v>
          </cell>
          <cell r="O311">
            <v>309</v>
          </cell>
        </row>
        <row r="312">
          <cell r="D312" t="str">
            <v>CON'C SUPPORT600x600x500</v>
          </cell>
          <cell r="E312">
            <v>1</v>
          </cell>
          <cell r="F312" t="str">
            <v>EA</v>
          </cell>
          <cell r="G312">
            <v>37288</v>
          </cell>
          <cell r="H312">
            <v>37288</v>
          </cell>
          <cell r="I312">
            <v>29994</v>
          </cell>
          <cell r="J312">
            <v>29994</v>
          </cell>
          <cell r="K312">
            <v>7294</v>
          </cell>
          <cell r="L312">
            <v>7294</v>
          </cell>
          <cell r="M312">
            <v>0</v>
          </cell>
          <cell r="N312">
            <v>0</v>
          </cell>
          <cell r="O312">
            <v>310</v>
          </cell>
        </row>
        <row r="313">
          <cell r="D313" t="str">
            <v>플렉시블콘넥터설치150A</v>
          </cell>
          <cell r="E313">
            <v>1</v>
          </cell>
          <cell r="F313" t="str">
            <v>EA</v>
          </cell>
          <cell r="G313">
            <v>600000</v>
          </cell>
          <cell r="H313">
            <v>600000</v>
          </cell>
          <cell r="I313">
            <v>310000</v>
          </cell>
          <cell r="J313">
            <v>310000</v>
          </cell>
          <cell r="K313">
            <v>290000</v>
          </cell>
          <cell r="L313">
            <v>290000</v>
          </cell>
          <cell r="M313">
            <v>0</v>
          </cell>
          <cell r="N313">
            <v>0</v>
          </cell>
          <cell r="O313">
            <v>311</v>
          </cell>
        </row>
        <row r="314">
          <cell r="D314" t="str">
            <v>플렉시블콘넥터설치100A</v>
          </cell>
          <cell r="E314">
            <v>1</v>
          </cell>
          <cell r="F314" t="str">
            <v>EA</v>
          </cell>
          <cell r="G314">
            <v>346000</v>
          </cell>
          <cell r="H314">
            <v>346000</v>
          </cell>
          <cell r="I314">
            <v>166000</v>
          </cell>
          <cell r="J314">
            <v>166000</v>
          </cell>
          <cell r="K314">
            <v>180000</v>
          </cell>
          <cell r="L314">
            <v>180000</v>
          </cell>
          <cell r="M314">
            <v>0</v>
          </cell>
          <cell r="N314">
            <v>0</v>
          </cell>
          <cell r="O314">
            <v>312</v>
          </cell>
        </row>
        <row r="315">
          <cell r="D315" t="str">
            <v>플렉시블콘넥터설치80A</v>
          </cell>
          <cell r="E315">
            <v>1</v>
          </cell>
          <cell r="F315" t="str">
            <v>EA</v>
          </cell>
          <cell r="G315">
            <v>265000</v>
          </cell>
          <cell r="H315">
            <v>265000</v>
          </cell>
          <cell r="I315">
            <v>112000</v>
          </cell>
          <cell r="J315">
            <v>112000</v>
          </cell>
          <cell r="K315">
            <v>153000</v>
          </cell>
          <cell r="L315">
            <v>153000</v>
          </cell>
          <cell r="M315">
            <v>0</v>
          </cell>
          <cell r="N315">
            <v>0</v>
          </cell>
          <cell r="O315">
            <v>313</v>
          </cell>
        </row>
        <row r="316">
          <cell r="D316" t="str">
            <v>플렉시블콘넥터설치50A</v>
          </cell>
          <cell r="E316">
            <v>1</v>
          </cell>
          <cell r="F316">
            <v>0</v>
          </cell>
          <cell r="G316">
            <v>164000</v>
          </cell>
          <cell r="H316">
            <v>164000</v>
          </cell>
          <cell r="I316">
            <v>74000</v>
          </cell>
          <cell r="J316">
            <v>74000</v>
          </cell>
          <cell r="K316">
            <v>90000</v>
          </cell>
          <cell r="L316">
            <v>90000</v>
          </cell>
          <cell r="M316">
            <v>0</v>
          </cell>
          <cell r="N316">
            <v>0</v>
          </cell>
          <cell r="O316">
            <v>314</v>
          </cell>
        </row>
        <row r="317">
          <cell r="D317" t="str">
            <v>플랜지접합150A</v>
          </cell>
          <cell r="E317">
            <v>1</v>
          </cell>
          <cell r="F317" t="str">
            <v>EA</v>
          </cell>
          <cell r="G317">
            <v>73000</v>
          </cell>
          <cell r="H317">
            <v>73000</v>
          </cell>
          <cell r="I317">
            <v>53000</v>
          </cell>
          <cell r="J317">
            <v>53000</v>
          </cell>
          <cell r="K317">
            <v>20000</v>
          </cell>
          <cell r="L317">
            <v>20000</v>
          </cell>
          <cell r="M317">
            <v>0</v>
          </cell>
          <cell r="N317">
            <v>0</v>
          </cell>
          <cell r="O317">
            <v>315</v>
          </cell>
        </row>
        <row r="318">
          <cell r="D318" t="str">
            <v>플랜지접합100A</v>
          </cell>
          <cell r="E318">
            <v>1</v>
          </cell>
          <cell r="F318" t="str">
            <v>EA</v>
          </cell>
          <cell r="G318">
            <v>55800</v>
          </cell>
          <cell r="H318">
            <v>55800</v>
          </cell>
          <cell r="I318">
            <v>38800</v>
          </cell>
          <cell r="J318">
            <v>38800</v>
          </cell>
          <cell r="K318">
            <v>17000</v>
          </cell>
          <cell r="L318">
            <v>17000</v>
          </cell>
          <cell r="M318">
            <v>0</v>
          </cell>
          <cell r="N318">
            <v>0</v>
          </cell>
          <cell r="O318">
            <v>316</v>
          </cell>
        </row>
        <row r="319">
          <cell r="D319" t="str">
            <v>플랜지접합80A</v>
          </cell>
          <cell r="E319">
            <v>1</v>
          </cell>
          <cell r="F319" t="str">
            <v>EA</v>
          </cell>
          <cell r="G319">
            <v>42960</v>
          </cell>
          <cell r="H319">
            <v>42960</v>
          </cell>
          <cell r="I319">
            <v>28000</v>
          </cell>
          <cell r="J319">
            <v>28000</v>
          </cell>
          <cell r="K319">
            <v>14960</v>
          </cell>
          <cell r="L319">
            <v>14960</v>
          </cell>
          <cell r="M319">
            <v>0</v>
          </cell>
          <cell r="N319">
            <v>0</v>
          </cell>
          <cell r="O319">
            <v>317</v>
          </cell>
        </row>
        <row r="320">
          <cell r="D320" t="str">
            <v>플랜지접합50A</v>
          </cell>
          <cell r="E320">
            <v>1</v>
          </cell>
          <cell r="F320" t="str">
            <v>EA</v>
          </cell>
          <cell r="G320">
            <v>11400</v>
          </cell>
          <cell r="H320">
            <v>11400</v>
          </cell>
          <cell r="I320">
            <v>5000</v>
          </cell>
          <cell r="J320">
            <v>5000</v>
          </cell>
          <cell r="K320">
            <v>6400</v>
          </cell>
          <cell r="L320">
            <v>6400</v>
          </cell>
          <cell r="M320">
            <v>0</v>
          </cell>
          <cell r="N320">
            <v>0</v>
          </cell>
          <cell r="O320">
            <v>318</v>
          </cell>
        </row>
        <row r="321">
          <cell r="D321" t="str">
            <v>스텐레스파이프배관150A</v>
          </cell>
          <cell r="E321">
            <v>1</v>
          </cell>
          <cell r="F321" t="str">
            <v>m</v>
          </cell>
          <cell r="G321">
            <v>104908</v>
          </cell>
          <cell r="H321">
            <v>104908</v>
          </cell>
          <cell r="I321">
            <v>66908</v>
          </cell>
          <cell r="J321">
            <v>66908</v>
          </cell>
          <cell r="K321">
            <v>38000</v>
          </cell>
          <cell r="L321">
            <v>38000</v>
          </cell>
          <cell r="M321">
            <v>0</v>
          </cell>
          <cell r="N321">
            <v>0</v>
          </cell>
          <cell r="O321">
            <v>319</v>
          </cell>
        </row>
        <row r="322">
          <cell r="D322" t="str">
            <v>스텐레스파이프배관100A</v>
          </cell>
          <cell r="E322">
            <v>1</v>
          </cell>
          <cell r="F322" t="str">
            <v>m</v>
          </cell>
          <cell r="G322">
            <v>66110</v>
          </cell>
          <cell r="H322">
            <v>66110</v>
          </cell>
          <cell r="I322">
            <v>44110</v>
          </cell>
          <cell r="J322">
            <v>44110</v>
          </cell>
          <cell r="K322">
            <v>22000</v>
          </cell>
          <cell r="L322">
            <v>22000</v>
          </cell>
          <cell r="M322">
            <v>0</v>
          </cell>
          <cell r="N322">
            <v>0</v>
          </cell>
          <cell r="O322">
            <v>320</v>
          </cell>
        </row>
        <row r="323">
          <cell r="D323" t="str">
            <v>스텐레스파이프배관80A</v>
          </cell>
          <cell r="E323">
            <v>1</v>
          </cell>
          <cell r="F323" t="str">
            <v>m</v>
          </cell>
          <cell r="G323">
            <v>50672</v>
          </cell>
          <cell r="H323">
            <v>50672</v>
          </cell>
          <cell r="I323">
            <v>33602</v>
          </cell>
          <cell r="J323">
            <v>33602</v>
          </cell>
          <cell r="K323">
            <v>17070</v>
          </cell>
          <cell r="L323">
            <v>17070</v>
          </cell>
          <cell r="M323">
            <v>0</v>
          </cell>
          <cell r="N323">
            <v>0</v>
          </cell>
          <cell r="O323">
            <v>321</v>
          </cell>
        </row>
        <row r="324">
          <cell r="D324" t="str">
            <v>스텐레스파이프배관50A</v>
          </cell>
          <cell r="E324">
            <v>1</v>
          </cell>
          <cell r="F324" t="str">
            <v>m</v>
          </cell>
          <cell r="G324">
            <v>34468</v>
          </cell>
          <cell r="H324">
            <v>34468</v>
          </cell>
          <cell r="I324">
            <v>22468</v>
          </cell>
          <cell r="J324">
            <v>22468</v>
          </cell>
          <cell r="K324">
            <v>12000</v>
          </cell>
          <cell r="L324">
            <v>12000</v>
          </cell>
          <cell r="M324">
            <v>0</v>
          </cell>
          <cell r="N324">
            <v>0</v>
          </cell>
          <cell r="O324">
            <v>322</v>
          </cell>
        </row>
        <row r="325">
          <cell r="D325" t="str">
            <v>스텐레스파이프배관15A</v>
          </cell>
          <cell r="E325">
            <v>1</v>
          </cell>
          <cell r="F325" t="str">
            <v>m</v>
          </cell>
          <cell r="G325">
            <v>12465</v>
          </cell>
          <cell r="H325">
            <v>12465</v>
          </cell>
          <cell r="I325">
            <v>9085</v>
          </cell>
          <cell r="J325">
            <v>9085</v>
          </cell>
          <cell r="K325">
            <v>3380</v>
          </cell>
          <cell r="L325">
            <v>3380</v>
          </cell>
          <cell r="M325">
            <v>0</v>
          </cell>
          <cell r="N325">
            <v>0</v>
          </cell>
          <cell r="O325">
            <v>323</v>
          </cell>
        </row>
        <row r="326">
          <cell r="D326" t="str">
            <v>MAIN JOINT BOX</v>
          </cell>
          <cell r="E326">
            <v>1</v>
          </cell>
          <cell r="F326" t="str">
            <v>EA</v>
          </cell>
          <cell r="G326">
            <v>264800</v>
          </cell>
          <cell r="H326">
            <v>264800</v>
          </cell>
          <cell r="I326">
            <v>44800</v>
          </cell>
          <cell r="J326">
            <v>44800</v>
          </cell>
          <cell r="K326">
            <v>220000</v>
          </cell>
          <cell r="L326">
            <v>220000</v>
          </cell>
          <cell r="M326">
            <v>0</v>
          </cell>
          <cell r="N326">
            <v>0</v>
          </cell>
          <cell r="O326">
            <v>324</v>
          </cell>
        </row>
        <row r="327">
          <cell r="D327" t="str">
            <v>BAFFLE80A</v>
          </cell>
          <cell r="E327">
            <v>1</v>
          </cell>
          <cell r="F327" t="str">
            <v>EA</v>
          </cell>
          <cell r="G327">
            <v>133560</v>
          </cell>
          <cell r="H327">
            <v>133560</v>
          </cell>
          <cell r="I327">
            <v>16560</v>
          </cell>
          <cell r="J327">
            <v>16560</v>
          </cell>
          <cell r="K327">
            <v>117000</v>
          </cell>
          <cell r="L327">
            <v>117000</v>
          </cell>
          <cell r="M327">
            <v>0</v>
          </cell>
          <cell r="N327">
            <v>0</v>
          </cell>
          <cell r="O327">
            <v>325</v>
          </cell>
        </row>
        <row r="328">
          <cell r="D328" t="str">
            <v>시운전배관계통</v>
          </cell>
          <cell r="E328">
            <v>1</v>
          </cell>
          <cell r="F328" t="str">
            <v>m</v>
          </cell>
          <cell r="G328">
            <v>1560</v>
          </cell>
          <cell r="H328">
            <v>1560</v>
          </cell>
          <cell r="I328">
            <v>1560</v>
          </cell>
          <cell r="J328">
            <v>1560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326</v>
          </cell>
        </row>
        <row r="329">
          <cell r="D329" t="str">
            <v>점적파이프(LD PIPE)배관13A</v>
          </cell>
          <cell r="E329">
            <v>1</v>
          </cell>
          <cell r="F329" t="str">
            <v>m</v>
          </cell>
          <cell r="G329">
            <v>4440</v>
          </cell>
          <cell r="H329">
            <v>4440</v>
          </cell>
          <cell r="I329">
            <v>2640</v>
          </cell>
          <cell r="J329">
            <v>2640</v>
          </cell>
          <cell r="K329">
            <v>1800</v>
          </cell>
          <cell r="L329">
            <v>1800</v>
          </cell>
          <cell r="M329">
            <v>0</v>
          </cell>
          <cell r="N329">
            <v>0</v>
          </cell>
          <cell r="O329">
            <v>327</v>
          </cell>
        </row>
        <row r="330">
          <cell r="D330" t="str">
            <v>고무시트밸브80A</v>
          </cell>
          <cell r="E330">
            <v>1</v>
          </cell>
          <cell r="F330" t="str">
            <v>EA</v>
          </cell>
          <cell r="G330">
            <v>72600</v>
          </cell>
          <cell r="H330">
            <v>72600</v>
          </cell>
          <cell r="I330">
            <v>72600</v>
          </cell>
          <cell r="J330">
            <v>72600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328</v>
          </cell>
        </row>
        <row r="331">
          <cell r="D331" t="str">
            <v>드레인80A</v>
          </cell>
          <cell r="E331">
            <v>1</v>
          </cell>
          <cell r="F331" t="str">
            <v>EA</v>
          </cell>
          <cell r="G331">
            <v>88460</v>
          </cell>
          <cell r="H331">
            <v>88460</v>
          </cell>
          <cell r="I331">
            <v>18460</v>
          </cell>
          <cell r="J331">
            <v>18460</v>
          </cell>
          <cell r="K331">
            <v>70000</v>
          </cell>
          <cell r="L331">
            <v>70000</v>
          </cell>
          <cell r="M331">
            <v>0</v>
          </cell>
          <cell r="N331">
            <v>0</v>
          </cell>
          <cell r="O331">
            <v>329</v>
          </cell>
        </row>
        <row r="332">
          <cell r="D332" t="str">
            <v>CONTROL PANEL</v>
          </cell>
          <cell r="E332">
            <v>1</v>
          </cell>
          <cell r="F332" t="str">
            <v>면</v>
          </cell>
          <cell r="G332">
            <v>2410000</v>
          </cell>
          <cell r="H332">
            <v>2410000</v>
          </cell>
          <cell r="I332">
            <v>560000</v>
          </cell>
          <cell r="J332">
            <v>560000</v>
          </cell>
          <cell r="K332">
            <v>1850000</v>
          </cell>
          <cell r="L332">
            <v>1850000</v>
          </cell>
          <cell r="M332">
            <v>0</v>
          </cell>
          <cell r="N332">
            <v>0</v>
          </cell>
          <cell r="O332">
            <v>330</v>
          </cell>
        </row>
        <row r="333">
          <cell r="D333" t="str">
            <v>배선공사</v>
          </cell>
          <cell r="E333">
            <v>1</v>
          </cell>
          <cell r="F333" t="str">
            <v>식</v>
          </cell>
          <cell r="G333">
            <v>1008000</v>
          </cell>
          <cell r="H333">
            <v>1008000</v>
          </cell>
          <cell r="I333">
            <v>1008000</v>
          </cell>
          <cell r="J333">
            <v>1008000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331</v>
          </cell>
        </row>
        <row r="334">
          <cell r="D334" t="str">
            <v>DRAIN VALVE 설치25A PIPE 50A</v>
          </cell>
          <cell r="E334">
            <v>1</v>
          </cell>
          <cell r="F334" t="str">
            <v>개소</v>
          </cell>
          <cell r="G334">
            <v>198590</v>
          </cell>
          <cell r="H334">
            <v>198590</v>
          </cell>
          <cell r="I334">
            <v>10650</v>
          </cell>
          <cell r="J334">
            <v>10650</v>
          </cell>
          <cell r="K334">
            <v>187940</v>
          </cell>
          <cell r="L334">
            <v>187940</v>
          </cell>
          <cell r="M334">
            <v>0</v>
          </cell>
          <cell r="N334">
            <v>0</v>
          </cell>
          <cell r="O334">
            <v>332</v>
          </cell>
        </row>
        <row r="335">
          <cell r="D335" t="str">
            <v>QUICK COUPLING VALVE 설치DQV25</v>
          </cell>
          <cell r="E335">
            <v>1</v>
          </cell>
          <cell r="F335" t="str">
            <v>개소</v>
          </cell>
          <cell r="G335">
            <v>297580</v>
          </cell>
          <cell r="H335">
            <v>297580</v>
          </cell>
          <cell r="I335">
            <v>61800</v>
          </cell>
          <cell r="J335">
            <v>61800</v>
          </cell>
          <cell r="K335">
            <v>235780</v>
          </cell>
          <cell r="L335">
            <v>235780</v>
          </cell>
          <cell r="M335">
            <v>0</v>
          </cell>
          <cell r="N335">
            <v>0</v>
          </cell>
          <cell r="O335">
            <v>333</v>
          </cell>
        </row>
        <row r="336">
          <cell r="D336" t="str">
            <v>스프레이건이동SET25A</v>
          </cell>
          <cell r="E336">
            <v>1</v>
          </cell>
          <cell r="F336" t="str">
            <v>SET</v>
          </cell>
          <cell r="G336">
            <v>210700</v>
          </cell>
          <cell r="H336">
            <v>210700</v>
          </cell>
          <cell r="I336">
            <v>0</v>
          </cell>
          <cell r="J336">
            <v>0</v>
          </cell>
          <cell r="K336">
            <v>210700</v>
          </cell>
          <cell r="L336">
            <v>210700</v>
          </cell>
          <cell r="M336">
            <v>0</v>
          </cell>
          <cell r="N336">
            <v>0</v>
          </cell>
          <cell r="O336">
            <v>334</v>
          </cell>
        </row>
        <row r="337">
          <cell r="D337" t="str">
            <v>MAIN VALVE 설치50A</v>
          </cell>
          <cell r="E337">
            <v>1</v>
          </cell>
          <cell r="F337" t="str">
            <v>개소</v>
          </cell>
          <cell r="G337">
            <v>204500</v>
          </cell>
          <cell r="H337">
            <v>204500</v>
          </cell>
          <cell r="I337">
            <v>24100</v>
          </cell>
          <cell r="J337">
            <v>24100</v>
          </cell>
          <cell r="K337">
            <v>180400</v>
          </cell>
          <cell r="L337">
            <v>180400</v>
          </cell>
          <cell r="M337">
            <v>0</v>
          </cell>
          <cell r="N337">
            <v>0</v>
          </cell>
          <cell r="O337">
            <v>335</v>
          </cell>
        </row>
        <row r="338">
          <cell r="D338" t="str">
            <v>PE PIPE 접합50A</v>
          </cell>
          <cell r="E338">
            <v>1</v>
          </cell>
          <cell r="F338" t="str">
            <v>개소</v>
          </cell>
          <cell r="G338">
            <v>7800</v>
          </cell>
          <cell r="H338">
            <v>7800</v>
          </cell>
          <cell r="I338">
            <v>7800</v>
          </cell>
          <cell r="J338">
            <v>7800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336</v>
          </cell>
        </row>
        <row r="339">
          <cell r="D339" t="str">
            <v>나사접합25A</v>
          </cell>
          <cell r="E339">
            <v>1</v>
          </cell>
          <cell r="F339" t="str">
            <v>EA</v>
          </cell>
          <cell r="G339">
            <v>6450</v>
          </cell>
          <cell r="H339">
            <v>6450</v>
          </cell>
          <cell r="I339">
            <v>6450</v>
          </cell>
          <cell r="J339">
            <v>6450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337</v>
          </cell>
        </row>
        <row r="340">
          <cell r="D340" t="str">
            <v>나사접합50A</v>
          </cell>
          <cell r="E340">
            <v>1</v>
          </cell>
          <cell r="F340" t="str">
            <v>EA</v>
          </cell>
          <cell r="G340">
            <v>9950</v>
          </cell>
          <cell r="H340">
            <v>9950</v>
          </cell>
          <cell r="I340">
            <v>9950</v>
          </cell>
          <cell r="J340">
            <v>9950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338</v>
          </cell>
        </row>
        <row r="341">
          <cell r="D341" t="str">
            <v>HOLE가공25A</v>
          </cell>
          <cell r="E341">
            <v>1</v>
          </cell>
          <cell r="F341" t="str">
            <v>EA</v>
          </cell>
          <cell r="G341">
            <v>6000</v>
          </cell>
          <cell r="H341">
            <v>6000</v>
          </cell>
          <cell r="I341">
            <v>6000</v>
          </cell>
          <cell r="J341">
            <v>6000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339</v>
          </cell>
        </row>
        <row r="342">
          <cell r="D342" t="str">
            <v>전선관배관28C</v>
          </cell>
          <cell r="E342">
            <v>1</v>
          </cell>
          <cell r="F342" t="str">
            <v>m</v>
          </cell>
          <cell r="G342">
            <v>9280</v>
          </cell>
          <cell r="H342">
            <v>9280</v>
          </cell>
          <cell r="I342">
            <v>7840</v>
          </cell>
          <cell r="J342">
            <v>7840</v>
          </cell>
          <cell r="K342">
            <v>1440</v>
          </cell>
          <cell r="L342">
            <v>1440</v>
          </cell>
          <cell r="M342">
            <v>0</v>
          </cell>
          <cell r="N342">
            <v>0</v>
          </cell>
          <cell r="O342">
            <v>340</v>
          </cell>
        </row>
        <row r="343">
          <cell r="D343" t="str">
            <v>SUBMERSIBLE PUMP150Ax7.5HP SP77-1</v>
          </cell>
          <cell r="E343">
            <v>1</v>
          </cell>
          <cell r="F343" t="str">
            <v>대</v>
          </cell>
          <cell r="G343">
            <v>5241500</v>
          </cell>
          <cell r="H343">
            <v>5241500</v>
          </cell>
          <cell r="I343">
            <v>191500</v>
          </cell>
          <cell r="J343">
            <v>191500</v>
          </cell>
          <cell r="K343">
            <v>5050000</v>
          </cell>
          <cell r="L343">
            <v>5050000</v>
          </cell>
          <cell r="M343">
            <v>0</v>
          </cell>
          <cell r="N343">
            <v>0</v>
          </cell>
          <cell r="O343">
            <v>341</v>
          </cell>
        </row>
        <row r="344">
          <cell r="D344" t="str">
            <v>SUBMERSIBLE PUMP100Ax7.5HP SP46-2</v>
          </cell>
          <cell r="E344">
            <v>1</v>
          </cell>
          <cell r="F344" t="str">
            <v>대</v>
          </cell>
          <cell r="G344">
            <v>4391500</v>
          </cell>
          <cell r="H344">
            <v>4391500</v>
          </cell>
          <cell r="I344">
            <v>191500</v>
          </cell>
          <cell r="J344">
            <v>191500</v>
          </cell>
          <cell r="K344">
            <v>4200000</v>
          </cell>
          <cell r="L344">
            <v>4200000</v>
          </cell>
          <cell r="M344">
            <v>0</v>
          </cell>
          <cell r="N344">
            <v>0</v>
          </cell>
          <cell r="O344">
            <v>342</v>
          </cell>
        </row>
        <row r="345">
          <cell r="D345" t="str">
            <v>SUBMERSIBLE PUMP50Ax2HP SP14A-3</v>
          </cell>
          <cell r="E345">
            <v>1</v>
          </cell>
          <cell r="F345" t="str">
            <v>대</v>
          </cell>
          <cell r="G345">
            <v>1757100</v>
          </cell>
          <cell r="H345">
            <v>1757100</v>
          </cell>
          <cell r="I345">
            <v>107100</v>
          </cell>
          <cell r="J345">
            <v>107100</v>
          </cell>
          <cell r="K345">
            <v>1650000</v>
          </cell>
          <cell r="L345">
            <v>1650000</v>
          </cell>
          <cell r="M345">
            <v>0</v>
          </cell>
          <cell r="N345">
            <v>0</v>
          </cell>
          <cell r="O345">
            <v>343</v>
          </cell>
        </row>
        <row r="346">
          <cell r="D346" t="str">
            <v>ELP 전선관80A</v>
          </cell>
          <cell r="E346">
            <v>1</v>
          </cell>
          <cell r="F346" t="str">
            <v>m</v>
          </cell>
          <cell r="G346">
            <v>4740</v>
          </cell>
          <cell r="H346">
            <v>4740</v>
          </cell>
          <cell r="I346">
            <v>3740</v>
          </cell>
          <cell r="J346">
            <v>3740</v>
          </cell>
          <cell r="K346">
            <v>1000</v>
          </cell>
          <cell r="L346">
            <v>1000</v>
          </cell>
          <cell r="M346">
            <v>0</v>
          </cell>
          <cell r="N346">
            <v>0</v>
          </cell>
          <cell r="O346">
            <v>344</v>
          </cell>
        </row>
        <row r="347">
          <cell r="D347" t="str">
            <v>전선CVV-SB 8SQx4C</v>
          </cell>
          <cell r="E347">
            <v>1</v>
          </cell>
          <cell r="F347" t="str">
            <v>m</v>
          </cell>
          <cell r="G347">
            <v>5387</v>
          </cell>
          <cell r="H347">
            <v>5387</v>
          </cell>
          <cell r="I347">
            <v>2847</v>
          </cell>
          <cell r="J347">
            <v>2847</v>
          </cell>
          <cell r="K347">
            <v>2540</v>
          </cell>
          <cell r="L347">
            <v>2540</v>
          </cell>
          <cell r="M347">
            <v>0</v>
          </cell>
          <cell r="N347">
            <v>0</v>
          </cell>
          <cell r="O347">
            <v>345</v>
          </cell>
        </row>
        <row r="348">
          <cell r="D348" t="str">
            <v>전선CVV-SB 3.5SQx4C</v>
          </cell>
          <cell r="E348">
            <v>1</v>
          </cell>
          <cell r="F348" t="str">
            <v>m</v>
          </cell>
          <cell r="G348">
            <v>3487</v>
          </cell>
          <cell r="H348">
            <v>3487</v>
          </cell>
          <cell r="I348">
            <v>2117</v>
          </cell>
          <cell r="J348">
            <v>2117</v>
          </cell>
          <cell r="K348">
            <v>1370</v>
          </cell>
          <cell r="L348">
            <v>1370</v>
          </cell>
          <cell r="M348">
            <v>0</v>
          </cell>
          <cell r="N348">
            <v>0</v>
          </cell>
          <cell r="O348">
            <v>346</v>
          </cell>
        </row>
        <row r="349">
          <cell r="D349" t="str">
            <v>전선CVV-SB 5.5SQx3C</v>
          </cell>
          <cell r="E349">
            <v>1</v>
          </cell>
          <cell r="F349" t="str">
            <v>m</v>
          </cell>
          <cell r="G349">
            <v>3438</v>
          </cell>
          <cell r="H349">
            <v>3438</v>
          </cell>
          <cell r="I349">
            <v>1898</v>
          </cell>
          <cell r="J349">
            <v>1898</v>
          </cell>
          <cell r="K349">
            <v>1540</v>
          </cell>
          <cell r="L349">
            <v>1540</v>
          </cell>
          <cell r="M349">
            <v>0</v>
          </cell>
          <cell r="N349">
            <v>0</v>
          </cell>
          <cell r="O349">
            <v>347</v>
          </cell>
        </row>
        <row r="350">
          <cell r="D350" t="str">
            <v>전선CVV-SB 2.0SQx3C</v>
          </cell>
          <cell r="E350">
            <v>1</v>
          </cell>
          <cell r="F350" t="str">
            <v>m</v>
          </cell>
          <cell r="G350">
            <v>2187</v>
          </cell>
          <cell r="H350">
            <v>2187</v>
          </cell>
          <cell r="I350">
            <v>1387</v>
          </cell>
          <cell r="J350">
            <v>1387</v>
          </cell>
          <cell r="K350">
            <v>800</v>
          </cell>
          <cell r="L350">
            <v>800</v>
          </cell>
          <cell r="M350">
            <v>0</v>
          </cell>
          <cell r="N350">
            <v>0</v>
          </cell>
          <cell r="O350">
            <v>348</v>
          </cell>
        </row>
        <row r="351">
          <cell r="D351" t="str">
            <v>전선VCT 2SQx3C</v>
          </cell>
          <cell r="E351">
            <v>1</v>
          </cell>
          <cell r="F351" t="str">
            <v>m</v>
          </cell>
          <cell r="G351">
            <v>1817</v>
          </cell>
          <cell r="H351">
            <v>1817</v>
          </cell>
          <cell r="I351">
            <v>1387</v>
          </cell>
          <cell r="J351">
            <v>1387</v>
          </cell>
          <cell r="K351">
            <v>430</v>
          </cell>
          <cell r="L351">
            <v>430</v>
          </cell>
          <cell r="M351">
            <v>0</v>
          </cell>
          <cell r="N351">
            <v>0</v>
          </cell>
          <cell r="O351">
            <v>349</v>
          </cell>
        </row>
        <row r="352">
          <cell r="D352" t="str">
            <v>전선VCT 1.25SQx3C</v>
          </cell>
          <cell r="E352">
            <v>1</v>
          </cell>
          <cell r="F352" t="str">
            <v>m</v>
          </cell>
          <cell r="G352">
            <v>1717</v>
          </cell>
          <cell r="H352">
            <v>1717</v>
          </cell>
          <cell r="I352">
            <v>1387</v>
          </cell>
          <cell r="J352">
            <v>1387</v>
          </cell>
          <cell r="K352">
            <v>330</v>
          </cell>
          <cell r="L352">
            <v>330</v>
          </cell>
          <cell r="M352">
            <v>0</v>
          </cell>
          <cell r="N352">
            <v>0</v>
          </cell>
          <cell r="O352">
            <v>350</v>
          </cell>
        </row>
        <row r="353">
          <cell r="D353" t="str">
            <v>PANEL 외함W800xH1800xD400 ST</v>
          </cell>
          <cell r="E353">
            <v>1</v>
          </cell>
          <cell r="F353" t="str">
            <v>면</v>
          </cell>
          <cell r="G353">
            <v>1642040</v>
          </cell>
          <cell r="H353">
            <v>1642040</v>
          </cell>
          <cell r="I353">
            <v>782040</v>
          </cell>
          <cell r="J353">
            <v>782040</v>
          </cell>
          <cell r="K353">
            <v>860000</v>
          </cell>
          <cell r="L353">
            <v>860000</v>
          </cell>
          <cell r="M353">
            <v>0</v>
          </cell>
          <cell r="N353">
            <v>0</v>
          </cell>
          <cell r="O353">
            <v>351</v>
          </cell>
        </row>
        <row r="354">
          <cell r="D354" t="str">
            <v>MCCBABS 104AF/100AT</v>
          </cell>
          <cell r="E354">
            <v>1</v>
          </cell>
          <cell r="F354" t="str">
            <v>EA</v>
          </cell>
          <cell r="G354">
            <v>119260</v>
          </cell>
          <cell r="H354">
            <v>119260</v>
          </cell>
          <cell r="I354">
            <v>20160</v>
          </cell>
          <cell r="J354">
            <v>20160</v>
          </cell>
          <cell r="K354">
            <v>99100</v>
          </cell>
          <cell r="L354">
            <v>99100</v>
          </cell>
          <cell r="M354">
            <v>0</v>
          </cell>
          <cell r="N354">
            <v>0</v>
          </cell>
          <cell r="O354">
            <v>352</v>
          </cell>
        </row>
        <row r="355">
          <cell r="D355" t="str">
            <v>MCCBABS 103AF/50AT</v>
          </cell>
          <cell r="E355">
            <v>1</v>
          </cell>
          <cell r="F355" t="str">
            <v>EA</v>
          </cell>
          <cell r="G355">
            <v>100560</v>
          </cell>
          <cell r="H355">
            <v>100560</v>
          </cell>
          <cell r="I355">
            <v>14560</v>
          </cell>
          <cell r="J355">
            <v>14560</v>
          </cell>
          <cell r="K355">
            <v>86000</v>
          </cell>
          <cell r="L355">
            <v>86000</v>
          </cell>
          <cell r="M355">
            <v>0</v>
          </cell>
          <cell r="N355">
            <v>0</v>
          </cell>
          <cell r="O355">
            <v>353</v>
          </cell>
        </row>
        <row r="356">
          <cell r="D356" t="str">
            <v>MCCBABS 103AF/20AT</v>
          </cell>
          <cell r="E356">
            <v>1</v>
          </cell>
          <cell r="F356" t="str">
            <v>EA</v>
          </cell>
          <cell r="G356">
            <v>96640</v>
          </cell>
          <cell r="H356">
            <v>96640</v>
          </cell>
          <cell r="I356">
            <v>10640</v>
          </cell>
          <cell r="J356">
            <v>10640</v>
          </cell>
          <cell r="K356">
            <v>86000</v>
          </cell>
          <cell r="L356">
            <v>86000</v>
          </cell>
          <cell r="M356">
            <v>0</v>
          </cell>
          <cell r="N356">
            <v>0</v>
          </cell>
          <cell r="O356">
            <v>354</v>
          </cell>
        </row>
        <row r="357">
          <cell r="D357" t="str">
            <v>MCCBABS 103AF/10AT</v>
          </cell>
          <cell r="E357">
            <v>1</v>
          </cell>
          <cell r="F357" t="str">
            <v>EA</v>
          </cell>
          <cell r="G357">
            <v>96640</v>
          </cell>
          <cell r="H357">
            <v>96640</v>
          </cell>
          <cell r="I357">
            <v>10640</v>
          </cell>
          <cell r="J357">
            <v>10640</v>
          </cell>
          <cell r="K357">
            <v>86000</v>
          </cell>
          <cell r="L357">
            <v>86000</v>
          </cell>
          <cell r="M357">
            <v>0</v>
          </cell>
          <cell r="N357">
            <v>0</v>
          </cell>
          <cell r="O357">
            <v>355</v>
          </cell>
        </row>
        <row r="358">
          <cell r="D358" t="str">
            <v>ELB2P 20A</v>
          </cell>
          <cell r="E358">
            <v>1</v>
          </cell>
          <cell r="F358" t="str">
            <v>EA</v>
          </cell>
          <cell r="G358">
            <v>21040</v>
          </cell>
          <cell r="H358">
            <v>21040</v>
          </cell>
          <cell r="I358">
            <v>10640</v>
          </cell>
          <cell r="J358">
            <v>10640</v>
          </cell>
          <cell r="K358">
            <v>10400</v>
          </cell>
          <cell r="L358">
            <v>10400</v>
          </cell>
          <cell r="M358">
            <v>0</v>
          </cell>
          <cell r="N358">
            <v>0</v>
          </cell>
          <cell r="O358">
            <v>356</v>
          </cell>
        </row>
        <row r="359">
          <cell r="D359" t="str">
            <v>ELB2P 30A</v>
          </cell>
          <cell r="E359">
            <v>1</v>
          </cell>
          <cell r="F359" t="str">
            <v>EA</v>
          </cell>
          <cell r="G359">
            <v>21040</v>
          </cell>
          <cell r="H359">
            <v>21040</v>
          </cell>
          <cell r="I359">
            <v>10640</v>
          </cell>
          <cell r="J359">
            <v>10640</v>
          </cell>
          <cell r="K359">
            <v>10400</v>
          </cell>
          <cell r="L359">
            <v>10400</v>
          </cell>
          <cell r="M359">
            <v>0</v>
          </cell>
          <cell r="N359">
            <v>0</v>
          </cell>
          <cell r="O359">
            <v>357</v>
          </cell>
        </row>
        <row r="360">
          <cell r="D360" t="str">
            <v>V-METER600V 110x110광각형</v>
          </cell>
          <cell r="E360">
            <v>1</v>
          </cell>
          <cell r="F360" t="str">
            <v>EA</v>
          </cell>
          <cell r="G360">
            <v>33000</v>
          </cell>
          <cell r="H360">
            <v>33000</v>
          </cell>
          <cell r="I360">
            <v>18600</v>
          </cell>
          <cell r="J360">
            <v>18600</v>
          </cell>
          <cell r="K360">
            <v>14400</v>
          </cell>
          <cell r="L360">
            <v>14400</v>
          </cell>
          <cell r="M360">
            <v>0</v>
          </cell>
          <cell r="N360">
            <v>0</v>
          </cell>
          <cell r="O360">
            <v>358</v>
          </cell>
        </row>
        <row r="361">
          <cell r="D361" t="str">
            <v>A-METER110x110 광각형</v>
          </cell>
          <cell r="E361">
            <v>1</v>
          </cell>
          <cell r="F361" t="str">
            <v>EA</v>
          </cell>
          <cell r="G361">
            <v>33000</v>
          </cell>
          <cell r="H361">
            <v>33000</v>
          </cell>
          <cell r="I361">
            <v>18600</v>
          </cell>
          <cell r="J361">
            <v>18600</v>
          </cell>
          <cell r="K361">
            <v>14400</v>
          </cell>
          <cell r="L361">
            <v>14400</v>
          </cell>
          <cell r="M361">
            <v>0</v>
          </cell>
          <cell r="N361">
            <v>0</v>
          </cell>
          <cell r="O361">
            <v>359</v>
          </cell>
        </row>
        <row r="362">
          <cell r="D362" t="str">
            <v>A-METER80x80 광각형</v>
          </cell>
          <cell r="E362">
            <v>1</v>
          </cell>
          <cell r="F362" t="str">
            <v>EA</v>
          </cell>
          <cell r="G362">
            <v>33000</v>
          </cell>
          <cell r="H362">
            <v>33000</v>
          </cell>
          <cell r="I362">
            <v>18600</v>
          </cell>
          <cell r="J362">
            <v>18600</v>
          </cell>
          <cell r="K362">
            <v>14400</v>
          </cell>
          <cell r="L362">
            <v>14400</v>
          </cell>
          <cell r="M362">
            <v>0</v>
          </cell>
          <cell r="N362">
            <v>0</v>
          </cell>
          <cell r="O362">
            <v>360</v>
          </cell>
        </row>
        <row r="363">
          <cell r="D363" t="str">
            <v>CT</v>
          </cell>
          <cell r="E363">
            <v>1</v>
          </cell>
          <cell r="F363" t="str">
            <v>EA</v>
          </cell>
          <cell r="G363">
            <v>27800</v>
          </cell>
          <cell r="H363">
            <v>27800</v>
          </cell>
          <cell r="I363">
            <v>22400</v>
          </cell>
          <cell r="J363">
            <v>22400</v>
          </cell>
          <cell r="K363">
            <v>5400</v>
          </cell>
          <cell r="L363">
            <v>5400</v>
          </cell>
          <cell r="M363">
            <v>0</v>
          </cell>
          <cell r="N363">
            <v>0</v>
          </cell>
          <cell r="O363">
            <v>361</v>
          </cell>
        </row>
        <row r="364">
          <cell r="D364" t="str">
            <v>TIMER24H 정전보상형 MIL72</v>
          </cell>
          <cell r="E364">
            <v>1</v>
          </cell>
          <cell r="F364" t="str">
            <v>EA</v>
          </cell>
          <cell r="G364">
            <v>53200</v>
          </cell>
          <cell r="H364">
            <v>53200</v>
          </cell>
          <cell r="I364">
            <v>11200</v>
          </cell>
          <cell r="J364">
            <v>11200</v>
          </cell>
          <cell r="K364">
            <v>42000</v>
          </cell>
          <cell r="L364">
            <v>42000</v>
          </cell>
          <cell r="M364">
            <v>0</v>
          </cell>
          <cell r="N364">
            <v>0</v>
          </cell>
          <cell r="O364">
            <v>362</v>
          </cell>
        </row>
        <row r="365">
          <cell r="D365" t="str">
            <v>TIMER30min KDT48A</v>
          </cell>
          <cell r="E365">
            <v>1</v>
          </cell>
          <cell r="F365" t="str">
            <v>EA</v>
          </cell>
          <cell r="G365">
            <v>51200</v>
          </cell>
          <cell r="H365">
            <v>51200</v>
          </cell>
          <cell r="I365">
            <v>11200</v>
          </cell>
          <cell r="J365">
            <v>11200</v>
          </cell>
          <cell r="K365">
            <v>40000</v>
          </cell>
          <cell r="L365">
            <v>40000</v>
          </cell>
          <cell r="M365">
            <v>0</v>
          </cell>
          <cell r="N365">
            <v>0</v>
          </cell>
          <cell r="O365">
            <v>363</v>
          </cell>
        </row>
        <row r="366">
          <cell r="D366" t="str">
            <v>MG S/WGMC-40</v>
          </cell>
          <cell r="E366">
            <v>1</v>
          </cell>
          <cell r="F366" t="str">
            <v>EA</v>
          </cell>
          <cell r="G366">
            <v>26100</v>
          </cell>
          <cell r="H366">
            <v>26100</v>
          </cell>
          <cell r="I366">
            <v>16800</v>
          </cell>
          <cell r="J366">
            <v>16800</v>
          </cell>
          <cell r="K366">
            <v>9300</v>
          </cell>
          <cell r="L366">
            <v>9300</v>
          </cell>
          <cell r="M366">
            <v>0</v>
          </cell>
          <cell r="N366">
            <v>0</v>
          </cell>
          <cell r="O366">
            <v>364</v>
          </cell>
        </row>
        <row r="367">
          <cell r="D367" t="str">
            <v>MG S/WGMC-18</v>
          </cell>
          <cell r="E367">
            <v>1</v>
          </cell>
          <cell r="F367" t="str">
            <v>EA</v>
          </cell>
          <cell r="G367">
            <v>26100</v>
          </cell>
          <cell r="H367">
            <v>26100</v>
          </cell>
          <cell r="I367">
            <v>16800</v>
          </cell>
          <cell r="J367">
            <v>16800</v>
          </cell>
          <cell r="K367">
            <v>9300</v>
          </cell>
          <cell r="L367">
            <v>9300</v>
          </cell>
          <cell r="M367">
            <v>0</v>
          </cell>
          <cell r="N367">
            <v>0</v>
          </cell>
          <cell r="O367">
            <v>365</v>
          </cell>
        </row>
        <row r="368">
          <cell r="D368" t="str">
            <v>P.B.L S/W220V 25Φ</v>
          </cell>
          <cell r="E368">
            <v>1</v>
          </cell>
          <cell r="F368" t="str">
            <v>EA</v>
          </cell>
          <cell r="G368">
            <v>10690</v>
          </cell>
          <cell r="H368">
            <v>10690</v>
          </cell>
          <cell r="I368">
            <v>6160</v>
          </cell>
          <cell r="J368">
            <v>6160</v>
          </cell>
          <cell r="K368">
            <v>4530</v>
          </cell>
          <cell r="L368">
            <v>4530</v>
          </cell>
          <cell r="M368">
            <v>0</v>
          </cell>
          <cell r="N368">
            <v>0</v>
          </cell>
          <cell r="O368">
            <v>366</v>
          </cell>
        </row>
        <row r="369">
          <cell r="D369" t="str">
            <v>SEL S/W25Φ</v>
          </cell>
          <cell r="E369">
            <v>1</v>
          </cell>
          <cell r="F369" t="str">
            <v>EA</v>
          </cell>
          <cell r="G369">
            <v>19880</v>
          </cell>
          <cell r="H369">
            <v>19880</v>
          </cell>
          <cell r="I369">
            <v>18480</v>
          </cell>
          <cell r="J369">
            <v>18480</v>
          </cell>
          <cell r="K369">
            <v>1400</v>
          </cell>
          <cell r="L369">
            <v>1400</v>
          </cell>
          <cell r="M369">
            <v>0</v>
          </cell>
          <cell r="N369">
            <v>0</v>
          </cell>
          <cell r="O369">
            <v>367</v>
          </cell>
        </row>
        <row r="370">
          <cell r="D370" t="str">
            <v>PL220V 25Φ</v>
          </cell>
          <cell r="E370">
            <v>1</v>
          </cell>
          <cell r="F370" t="str">
            <v>EA</v>
          </cell>
          <cell r="G370">
            <v>5440</v>
          </cell>
          <cell r="H370">
            <v>5440</v>
          </cell>
          <cell r="I370">
            <v>3640</v>
          </cell>
          <cell r="J370">
            <v>3640</v>
          </cell>
          <cell r="K370">
            <v>1800</v>
          </cell>
          <cell r="L370">
            <v>1800</v>
          </cell>
          <cell r="M370">
            <v>0</v>
          </cell>
          <cell r="N370">
            <v>0</v>
          </cell>
          <cell r="O370">
            <v>368</v>
          </cell>
        </row>
        <row r="371">
          <cell r="D371" t="str">
            <v>CABLEKIV8SQmm</v>
          </cell>
          <cell r="E371">
            <v>1</v>
          </cell>
          <cell r="F371" t="str">
            <v>m</v>
          </cell>
          <cell r="G371">
            <v>1352</v>
          </cell>
          <cell r="H371">
            <v>1352</v>
          </cell>
          <cell r="I371">
            <v>1022</v>
          </cell>
          <cell r="J371">
            <v>1022</v>
          </cell>
          <cell r="K371">
            <v>330</v>
          </cell>
          <cell r="L371">
            <v>330</v>
          </cell>
          <cell r="M371">
            <v>0</v>
          </cell>
          <cell r="N371">
            <v>0</v>
          </cell>
          <cell r="O371">
            <v>369</v>
          </cell>
        </row>
        <row r="372">
          <cell r="D372" t="str">
            <v>CABLE5.5SQmm</v>
          </cell>
          <cell r="E372">
            <v>1</v>
          </cell>
          <cell r="F372" t="str">
            <v>m</v>
          </cell>
          <cell r="G372">
            <v>1179</v>
          </cell>
          <cell r="H372">
            <v>1179</v>
          </cell>
          <cell r="I372">
            <v>949</v>
          </cell>
          <cell r="J372">
            <v>949</v>
          </cell>
          <cell r="K372">
            <v>230</v>
          </cell>
          <cell r="L372">
            <v>230</v>
          </cell>
          <cell r="M372">
            <v>0</v>
          </cell>
          <cell r="N372">
            <v>0</v>
          </cell>
          <cell r="O372">
            <v>370</v>
          </cell>
        </row>
        <row r="373">
          <cell r="D373" t="str">
            <v>CABLE3.5SQmm</v>
          </cell>
          <cell r="E373">
            <v>1</v>
          </cell>
          <cell r="F373" t="str">
            <v>m</v>
          </cell>
          <cell r="G373">
            <v>1033</v>
          </cell>
          <cell r="H373">
            <v>1033</v>
          </cell>
          <cell r="I373">
            <v>803</v>
          </cell>
          <cell r="J373">
            <v>803</v>
          </cell>
          <cell r="K373">
            <v>230</v>
          </cell>
          <cell r="L373">
            <v>230</v>
          </cell>
          <cell r="M373">
            <v>0</v>
          </cell>
          <cell r="N373">
            <v>0</v>
          </cell>
          <cell r="O373">
            <v>371</v>
          </cell>
        </row>
        <row r="374">
          <cell r="D374" t="str">
            <v>CABLE2.0SQmm</v>
          </cell>
          <cell r="E374">
            <v>1</v>
          </cell>
          <cell r="F374" t="str">
            <v>m</v>
          </cell>
          <cell r="G374">
            <v>960</v>
          </cell>
          <cell r="H374">
            <v>960</v>
          </cell>
          <cell r="I374">
            <v>730</v>
          </cell>
          <cell r="J374">
            <v>730</v>
          </cell>
          <cell r="K374">
            <v>230</v>
          </cell>
          <cell r="L374">
            <v>230</v>
          </cell>
          <cell r="M374">
            <v>0</v>
          </cell>
          <cell r="N374">
            <v>0</v>
          </cell>
          <cell r="O374">
            <v>372</v>
          </cell>
        </row>
        <row r="375">
          <cell r="D375" t="str">
            <v>CABLE1.25SQmm</v>
          </cell>
          <cell r="E375">
            <v>1</v>
          </cell>
          <cell r="F375" t="str">
            <v>m</v>
          </cell>
          <cell r="G375">
            <v>960</v>
          </cell>
          <cell r="H375">
            <v>960</v>
          </cell>
          <cell r="I375">
            <v>730</v>
          </cell>
          <cell r="J375">
            <v>730</v>
          </cell>
          <cell r="K375">
            <v>230</v>
          </cell>
          <cell r="L375">
            <v>230</v>
          </cell>
          <cell r="M375">
            <v>0</v>
          </cell>
          <cell r="N375">
            <v>0</v>
          </cell>
          <cell r="O375">
            <v>373</v>
          </cell>
        </row>
        <row r="376">
          <cell r="D376" t="str">
            <v>CABLE0.5SQmm</v>
          </cell>
          <cell r="E376">
            <v>1</v>
          </cell>
          <cell r="F376" t="str">
            <v>m</v>
          </cell>
          <cell r="G376">
            <v>960</v>
          </cell>
          <cell r="H376">
            <v>960</v>
          </cell>
          <cell r="I376">
            <v>730</v>
          </cell>
          <cell r="J376">
            <v>730</v>
          </cell>
          <cell r="K376">
            <v>230</v>
          </cell>
          <cell r="L376">
            <v>230</v>
          </cell>
          <cell r="M376">
            <v>0</v>
          </cell>
          <cell r="N376">
            <v>0</v>
          </cell>
          <cell r="O376">
            <v>374</v>
          </cell>
        </row>
        <row r="377">
          <cell r="D377" t="str">
            <v>CONDENSER50UF</v>
          </cell>
          <cell r="E377">
            <v>1</v>
          </cell>
          <cell r="F377" t="str">
            <v>EA</v>
          </cell>
          <cell r="G377">
            <v>49340</v>
          </cell>
          <cell r="H377">
            <v>49340</v>
          </cell>
          <cell r="I377">
            <v>23400</v>
          </cell>
          <cell r="J377">
            <v>23400</v>
          </cell>
          <cell r="K377">
            <v>25940</v>
          </cell>
          <cell r="L377">
            <v>25940</v>
          </cell>
          <cell r="M377">
            <v>0</v>
          </cell>
          <cell r="N377">
            <v>0</v>
          </cell>
          <cell r="O377">
            <v>375</v>
          </cell>
        </row>
        <row r="378">
          <cell r="D378" t="str">
            <v>CONDENSER10UF</v>
          </cell>
          <cell r="E378">
            <v>1</v>
          </cell>
          <cell r="F378" t="str">
            <v>EA</v>
          </cell>
          <cell r="G378">
            <v>25140</v>
          </cell>
          <cell r="H378">
            <v>25140</v>
          </cell>
          <cell r="I378">
            <v>18720</v>
          </cell>
          <cell r="J378">
            <v>18720</v>
          </cell>
          <cell r="K378">
            <v>6420</v>
          </cell>
          <cell r="L378">
            <v>6420</v>
          </cell>
          <cell r="M378">
            <v>0</v>
          </cell>
          <cell r="N378">
            <v>0</v>
          </cell>
          <cell r="O378">
            <v>376</v>
          </cell>
        </row>
        <row r="379">
          <cell r="D379" t="str">
            <v>실사휀스 설치</v>
          </cell>
          <cell r="E379">
            <v>1</v>
          </cell>
          <cell r="F379" t="str">
            <v>m</v>
          </cell>
          <cell r="G379">
            <v>380460</v>
          </cell>
          <cell r="H379">
            <v>380460</v>
          </cell>
          <cell r="I379">
            <v>142500</v>
          </cell>
          <cell r="J379">
            <v>142500</v>
          </cell>
          <cell r="K379">
            <v>236960</v>
          </cell>
          <cell r="L379">
            <v>236960</v>
          </cell>
          <cell r="M379">
            <v>1000</v>
          </cell>
          <cell r="N379">
            <v>1000</v>
          </cell>
          <cell r="O379">
            <v>377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일위대가표"/>
      <sheetName val="일위대가집계표"/>
      <sheetName val="중기사용료"/>
      <sheetName val="기계장비가격표"/>
      <sheetName val="목록"/>
      <sheetName val="중기조종사 단위단가"/>
      <sheetName val="내역서"/>
      <sheetName val="단가"/>
      <sheetName val="월별수입"/>
      <sheetName val="B"/>
      <sheetName val="유림총괄"/>
      <sheetName val="설비"/>
      <sheetName val="일위대가"/>
      <sheetName val="옥외외등집계표"/>
      <sheetName val="b_balju"/>
      <sheetName val="원하대비"/>
      <sheetName val="원도급"/>
      <sheetName val="하도급"/>
      <sheetName val="신우"/>
      <sheetName val="입찰갑지"/>
      <sheetName val="총괄표"/>
      <sheetName val="내역"/>
      <sheetName val="토 공"/>
      <sheetName val="철 콘"/>
      <sheetName val="자재비"/>
      <sheetName val="내역 (5)"/>
      <sheetName val="부대입찰 갑지1"/>
      <sheetName val="Sheet1"/>
      <sheetName val="부대입찰갑지2용"/>
      <sheetName val="노임"/>
      <sheetName val="지급자재"/>
      <sheetName val="WORK"/>
      <sheetName val="실행철강하도"/>
      <sheetName val="투찰"/>
      <sheetName val="#REF"/>
      <sheetName val="견적조건"/>
      <sheetName val="부대입찰내역"/>
      <sheetName val="삼호개발"/>
      <sheetName val="정주"/>
      <sheetName val="효동"/>
      <sheetName val="Sheet3"/>
      <sheetName val="집계1"/>
      <sheetName val="집계2"/>
      <sheetName val="집계3"/>
      <sheetName val="집계4"/>
      <sheetName val="내(토)"/>
      <sheetName val="내(건)"/>
      <sheetName val="건축"/>
      <sheetName val="건축설비집계"/>
      <sheetName val="건축설비"/>
      <sheetName val="기타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XXXXXX"/>
      <sheetName val="터널공사"/>
      <sheetName val="집계표(터널내)"/>
      <sheetName val="터널공사 비교"/>
      <sheetName val="터널외구간"/>
      <sheetName val="집계표(터널외)"/>
      <sheetName val="터널외구간비교"/>
      <sheetName val="laroux"/>
      <sheetName val="일위"/>
      <sheetName val="원가계산서"/>
      <sheetName val="단가조사서"/>
      <sheetName val="한전공사비 1공"/>
      <sheetName val="한전공사비 2공"/>
      <sheetName val="통합  내역서"/>
      <sheetName val="1공구 내역서"/>
      <sheetName val="2공구 내역서"/>
      <sheetName val="전기수량"/>
      <sheetName val="전열및전력간선"/>
      <sheetName val="전등설비"/>
      <sheetName val="동력설비"/>
      <sheetName val="피뢰침및접지"/>
      <sheetName val="소방"/>
      <sheetName val="약전"/>
      <sheetName val="방송"/>
      <sheetName val="TG전력간선"/>
      <sheetName val="TG전등"/>
      <sheetName val="TG약전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monci"/>
      <sheetName val="원가"/>
      <sheetName val="공사집계표"/>
      <sheetName val="전력간선"/>
      <sheetName val="전등"/>
      <sheetName val="전열"/>
      <sheetName val="전화"/>
      <sheetName val="티브이"/>
      <sheetName val="VXXXXX"/>
      <sheetName val="BID"/>
      <sheetName val="BID (2)"/>
      <sheetName val="견적갑지 (2)"/>
      <sheetName val="일위대가서"/>
      <sheetName val="MCC,분전반"/>
      <sheetName val="PANEL"/>
      <sheetName val="갑지"/>
      <sheetName val="총신대(총괄집계)"/>
      <sheetName val="총신대(신설)"/>
      <sheetName val="총신대(철거)"/>
      <sheetName val="공사개요"/>
      <sheetName val="000000"/>
      <sheetName val="평택항"/>
      <sheetName val="담보금융비용"/>
      <sheetName val="담보금융비용(0.18)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총괄"/>
      <sheetName val="토공"/>
      <sheetName val="흙막이"/>
      <sheetName val="어스앙카"/>
      <sheetName val="구조물"/>
      <sheetName val="방수공"/>
      <sheetName val="지반보강"/>
      <sheetName val="포장공"/>
      <sheetName val="지장물보호공"/>
      <sheetName val="부대공"/>
      <sheetName val="사급자재"/>
      <sheetName val="자재"/>
      <sheetName val="叉택항"/>
      <sheetName val="증감"/>
      <sheetName val="총괄◀"/>
      <sheetName val="원가◀"/>
      <sheetName val="총괄 "/>
      <sheetName val="순공"/>
      <sheetName val="순공◀"/>
      <sheetName val="토목원가◀"/>
      <sheetName val="건축원가◀"/>
      <sheetName val="기계원가◀"/>
      <sheetName val="전기원가◀"/>
      <sheetName val="통신원가◀"/>
      <sheetName val="토목"/>
      <sheetName val="원가계산서(건축)"/>
      <sheetName val="건축3차분2회변경"/>
      <sheetName val="건축3차분2회변경(원가)"/>
      <sheetName val="Sheet11"/>
      <sheetName val="Sheet12"/>
      <sheetName val="Sheet13"/>
      <sheetName val="Sheet14"/>
      <sheetName val="Sheet15"/>
      <sheetName val="Sheet16"/>
      <sheetName val="■총괄"/>
      <sheetName val="순공(ROUND)"/>
      <sheetName val="토목원가"/>
      <sheetName val="건축원가"/>
      <sheetName val="기계원가"/>
      <sheetName val="전기원가"/>
      <sheetName val="통신원가"/>
      <sheetName val="진건차집도급"/>
      <sheetName val="진건실행"/>
      <sheetName val="작업별비목별집계"/>
      <sheetName val="주요자재집계표"/>
      <sheetName val="표지"/>
      <sheetName val="토적표(부지조성)"/>
      <sheetName val="구조물토공집계표"/>
      <sheetName val="배수토공"/>
      <sheetName val="원가계산갑지"/>
      <sheetName val="전(원가)"/>
      <sheetName val="전(중총)"/>
      <sheetName val="전(소총)"/>
      <sheetName val="1.1"/>
      <sheetName val="1.2"/>
      <sheetName val="1.3"/>
      <sheetName val="1.4"/>
      <sheetName val="1.5"/>
      <sheetName val="E(소총)"/>
      <sheetName val="ESCO"/>
      <sheetName val="관(소총)"/>
      <sheetName val="관급"/>
      <sheetName val="통(원가)"/>
      <sheetName val="통(총)"/>
      <sheetName val="2.1"/>
      <sheetName val="2.1(공)"/>
      <sheetName val="2.2"/>
      <sheetName val="소(원가)"/>
      <sheetName val="소(총)"/>
      <sheetName val="3.1"/>
      <sheetName val="3.2"/>
      <sheetName val="일위총괄"/>
      <sheetName val="단가산출"/>
      <sheetName val="기본공율"/>
      <sheetName val="공량산출서"/>
      <sheetName val="공.옥외"/>
      <sheetName val="견적조건보고서"/>
      <sheetName val="견적갑지"/>
      <sheetName val="을지"/>
      <sheetName val="견적갑&quot;A&quot;공구"/>
      <sheetName val="견적조건보고서&quot;A&quot;공구"/>
      <sheetName val="A비엠"/>
      <sheetName val="공율산출"/>
      <sheetName val="기계원가계산서"/>
      <sheetName val="집계"/>
      <sheetName val="가설내역"/>
      <sheetName val="간지"/>
      <sheetName val="전체집계표"/>
      <sheetName val="철근집계"/>
      <sheetName val="삽입도면1"/>
      <sheetName val="강관말뚝"/>
      <sheetName val="간지 (2)"/>
      <sheetName val="암거집계표"/>
      <sheetName val="삽입도면2"/>
      <sheetName val="암거공"/>
      <sheetName val="간지 (3)"/>
      <sheetName val="u-type집계표"/>
      <sheetName val="삽입도면3"/>
      <sheetName val="u-type1"/>
      <sheetName val="u-type2"/>
      <sheetName val="xxxx"/>
      <sheetName val="건설기계평균가격"/>
      <sheetName val="2003년시공계획"/>
      <sheetName val="2003년실행총괄표"/>
      <sheetName val="시공참여자실행계획"/>
      <sheetName val="자재(직영)"/>
      <sheetName val="노무(직영)"/>
      <sheetName val="장비(직영)"/>
      <sheetName val="자재 (시공))"/>
      <sheetName val="노무 (시공)"/>
      <sheetName val="장비 (시공)"/>
      <sheetName val="관리비"/>
      <sheetName val="공정표"/>
      <sheetName val="VXXX"/>
      <sheetName val="공사비대비 (2)"/>
      <sheetName val="공사비대비"/>
      <sheetName val="옹벽공"/>
      <sheetName val="연당4교"/>
      <sheetName val="연당5교"/>
      <sheetName val="연당6교"/>
      <sheetName val="총집계"/>
      <sheetName val="주요기자재 집계"/>
      <sheetName val="주요기자재 산출"/>
      <sheetName val="동력접지집계"/>
      <sheetName val="동력 산출"/>
      <sheetName val="접지 산출"/>
      <sheetName val="건축전기집계"/>
      <sheetName val="조명 산출"/>
      <sheetName val="통신 산출"/>
      <sheetName val="자탐 산출"/>
      <sheetName val="계장집계"/>
      <sheetName val="계장 산출"/>
      <sheetName val="원가계산서(수탁비포함)"/>
      <sheetName val="대총괄표"/>
      <sheetName val="중총괄표"/>
      <sheetName val="소총괄표"/>
      <sheetName val="옥외전력간선"/>
      <sheetName val="전력인입및수변전"/>
      <sheetName val="옥내전력간선"/>
      <sheetName val="동력"/>
      <sheetName val="피뢰침"/>
      <sheetName val="전기TRAY"/>
      <sheetName val="특별교실"/>
      <sheetName val="기숙사"/>
      <sheetName val="화장실"/>
      <sheetName val="총집계-1"/>
      <sheetName val="총집계-2"/>
      <sheetName val="원가-1"/>
      <sheetName val="원가-2"/>
      <sheetName val="노임단가"/>
      <sheetName val="단가조서"/>
      <sheetName val="불광(총괄집계)"/>
      <sheetName val="불광(신설)"/>
      <sheetName val="불광(철거)"/>
      <sheetName val="PACKING OPEN"/>
      <sheetName val="견적정보"/>
      <sheetName val="갑지1"/>
      <sheetName val="집계표1"/>
      <sheetName val="장비비"/>
      <sheetName val="도급내역서"/>
      <sheetName val="실행내역서"/>
      <sheetName val="직종노임"/>
      <sheetName val="운반단가"/>
      <sheetName val="터널투입집계"/>
      <sheetName val="투입내역"/>
      <sheetName val="터널내역"/>
      <sheetName val="설계참고목차"/>
      <sheetName val="수량조서"/>
      <sheetName val="1.스코트변압기"/>
      <sheetName val="2.단권변압기"/>
      <sheetName val="3.가스절연"/>
      <sheetName val="4.가스절연"/>
      <sheetName val="5.전자식제어반"/>
      <sheetName val="6.전자식제어반"/>
      <sheetName val="7.전자식제어반"/>
      <sheetName val="8.소규모제어장치"/>
      <sheetName val="9.고장점표정반"/>
      <sheetName val="10.보조릴레이반"/>
      <sheetName val="11.저압반"/>
      <sheetName val="12.무정전전원장치"/>
      <sheetName val="13.축전지반"/>
      <sheetName val="14.소내용TR"/>
      <sheetName val="15.고압반"/>
      <sheetName val="16.전철RTU"/>
      <sheetName val="17.GP"/>
      <sheetName val="18.기기가대"/>
      <sheetName val="19.모선배선"/>
      <sheetName val="20.제어및전력케이블"/>
      <sheetName val="21.핏트"/>
      <sheetName val="22.스틸그레이팅(M.TR)"/>
      <sheetName val="23.스틸그레이팅(AT)"/>
      <sheetName val="24.접지장치"/>
      <sheetName val="25.전선관"/>
      <sheetName val="26.무근콘크리트"/>
      <sheetName val="27.케이블트레이"/>
      <sheetName val="28.자갈부설"/>
      <sheetName val="29.옥외외등"/>
      <sheetName val="30.무인화설비"/>
      <sheetName val="31.JIB크레인설치"/>
      <sheetName val="32.전력RTU"/>
      <sheetName val="33.지중케이블"/>
      <sheetName val="34.전력용관로"/>
      <sheetName val="35.장주신설"/>
      <sheetName val="36.맨홀"/>
      <sheetName val="37.무인온라인"/>
      <sheetName val="38.영주SCADA"/>
      <sheetName val="39.가설비"/>
      <sheetName val="40.운반비"/>
      <sheetName val="운반비(철재류)"/>
      <sheetName val="운반비(전선류)"/>
      <sheetName val="호표"/>
      <sheetName val="시중노임표"/>
      <sheetName val="견적단가"/>
      <sheetName val="재료단가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합계"/>
      <sheetName val="01.가설공사"/>
      <sheetName val="02.토공사"/>
      <sheetName val="03.철근콘크리트"/>
      <sheetName val="04.조적공사"/>
      <sheetName val="05.방수공사"/>
      <sheetName val="06.타일공사"/>
      <sheetName val="07.석공사"/>
      <sheetName val="08.목공사"/>
      <sheetName val="09.금속공사"/>
      <sheetName val="10.미장공사"/>
      <sheetName val="11.창호공사"/>
      <sheetName val="11.창호-1"/>
      <sheetName val="12.유리공사"/>
      <sheetName val="13.도장공사"/>
      <sheetName val="14.수장공사"/>
      <sheetName val="15.지붕및홈통"/>
      <sheetName val="16.잡공사"/>
      <sheetName val="17.주요자재"/>
      <sheetName val="18.작업부산물"/>
      <sheetName val="증감표"/>
      <sheetName val="수입물자"/>
      <sheetName val="단가비교표"/>
      <sheetName val="MAIN"/>
      <sheetName val="총공사비"/>
      <sheetName val="T1"/>
      <sheetName val="san"/>
      <sheetName val="LIST"/>
      <sheetName val="sw1"/>
      <sheetName val="sw2"/>
      <sheetName val="sw3"/>
      <sheetName val="sw4"/>
      <sheetName val="sw5"/>
      <sheetName val="sw6"/>
      <sheetName val="sw7"/>
      <sheetName val="NOMUBI"/>
      <sheetName val="★현설표지"/>
      <sheetName val="★현장설명서(토공,철콘)"/>
      <sheetName val="★현설참가확인(토공철콘)"/>
      <sheetName val="★현설시 설명자료"/>
      <sheetName val="현설시 설명자료(내부)"/>
      <sheetName val="지역부대토공"/>
      <sheetName val="지역부대철콘"/>
      <sheetName val="恤_x0000__x0000__x0000__x0000_"/>
      <sheetName val="_x0000__x000f__x0000__x0004_ðj_x0000__x0000__x0000_B_x0001__x000a_ð_x0008__x0000__x0000__x0000_-_x0000__x0000_@_x000a__x0000__x0000__x0000__x000b_ð0_x0000_"/>
      <sheetName val="근로자현황파악"/>
      <sheetName val="근로자현황파악 (2)"/>
      <sheetName val="보건증"/>
      <sheetName val="명단"/>
      <sheetName val="협력업체"/>
      <sheetName val="건강진단통보"/>
      <sheetName val="건강진단통보 (2)"/>
      <sheetName val="작업변경신청서"/>
      <sheetName val="노동청"/>
      <sheetName val="노동청 (특검)"/>
      <sheetName val="노동청 (작업)"/>
      <sheetName val="암검사"/>
      <sheetName val="암검사 (2)"/>
      <sheetName val="이중자격완료통보"/>
      <sheetName val="보건교육요청"/>
      <sheetName val="보건교육시행통보"/>
      <sheetName val="일반건강진단통보"/>
      <sheetName val="의보 정정신고"/>
      <sheetName val="자산총괄서"/>
      <sheetName val="영대증축"/>
      <sheetName val="원가(영대증축)"/>
      <sheetName val="전라선(남원)"/>
      <sheetName val="원가(남원)"/>
      <sheetName val="경비(남원)"/>
      <sheetName val="창원"/>
      <sheetName val="원가(창원)"/>
      <sheetName val="대산면"/>
      <sheetName val="원가(대산면)"/>
      <sheetName val="경비(대산면)"/>
      <sheetName val="다산"/>
      <sheetName val="원가(다산)"/>
      <sheetName val="가창"/>
      <sheetName val="원가(가창)"/>
      <sheetName val="경비(가창)"/>
      <sheetName val="Chart1"/>
      <sheetName val="단위내역목록"/>
      <sheetName val="단위내역서"/>
      <sheetName val="원가(1)"/>
      <sheetName val="원가(2)"/>
      <sheetName val="_x000f__x0000__x0004_ðj_x0000_B_x0001__x000a_ð_x0008__x0000_-_x0000_@_x000a_ƒ_x000b_ð0_x0000_¿_x0000__x0008__x0000__x0008__x0000__x0000_?"/>
      <sheetName val="깝데기"/>
      <sheetName val="설명자료"/>
      <sheetName val="수량산출집계표(후)"/>
      <sheetName val="수량산출2(후)"/>
      <sheetName val="수량산출"/>
      <sheetName val="적용단가"/>
      <sheetName val="적용단가 (2)"/>
      <sheetName val="일위대가목록(전+후)"/>
      <sheetName val="일위대가(전+후)"/>
      <sheetName val="알림장"/>
      <sheetName val="예산표지 "/>
      <sheetName val="제잡비2"/>
      <sheetName val="지급자재1"/>
      <sheetName val="지급자재2"/>
      <sheetName val="지급자재3"/>
      <sheetName val="예산집계"/>
      <sheetName val="제잡비1"/>
      <sheetName val="공제금액"/>
      <sheetName val="정기안전점검비"/>
      <sheetName val="정기안전점검비(직접인건비)"/>
      <sheetName val="공제금액(단가산출서용)"/>
      <sheetName val="사토장 (공통공사)"/>
      <sheetName val="기술료(출력말것)"/>
      <sheetName val="경안천1"/>
      <sheetName val="경안천2"/>
      <sheetName val="금강1"/>
      <sheetName val="금강2"/>
      <sheetName val="남천1"/>
      <sheetName val="남천2"/>
      <sheetName val="녹동1"/>
      <sheetName val="녹동2"/>
      <sheetName val="삼산1"/>
      <sheetName val="삼산2"/>
      <sheetName val="서천1"/>
      <sheetName val="서천2"/>
      <sheetName val="성주1"/>
      <sheetName val="성주2"/>
      <sheetName val="수원"/>
      <sheetName val="아주1"/>
      <sheetName val="아주2"/>
      <sheetName val="울진1"/>
      <sheetName val="울진2"/>
      <sheetName val="조양1"/>
      <sheetName val="조양2"/>
      <sheetName val="창녕1"/>
      <sheetName val="창녕2"/>
      <sheetName val="추풍령1"/>
      <sheetName val="추풍령2"/>
      <sheetName val="고단대기"/>
      <sheetName val="공주이인"/>
      <sheetName val="구암도로"/>
      <sheetName val="낙산대교"/>
      <sheetName val="부산3호선"/>
      <sheetName val="서남권철도"/>
      <sheetName val="증평괴산"/>
      <sheetName val="서초IC"/>
      <sheetName val="신길"/>
      <sheetName val="분당1"/>
      <sheetName val="분당2"/>
      <sheetName val="삼막1"/>
      <sheetName val="삼막2"/>
      <sheetName val="김천1"/>
      <sheetName val="김천2"/>
      <sheetName val="용산"/>
      <sheetName val="전주"/>
      <sheetName val="불광(총괄집계ဩ"/>
      <sheetName val="인당매출(2003.11)-전체"/>
      <sheetName val="현장별 인건비(2003.12)"/>
      <sheetName val="인당매출그래프"/>
      <sheetName val="2003ACCM "/>
      <sheetName val="12월"/>
      <sheetName val="보고"/>
      <sheetName val="투찰서표지"/>
      <sheetName val="총괄 (3)"/>
      <sheetName val="원가(총)"/>
      <sheetName val="대안원가"/>
      <sheetName val="원안원가"/>
      <sheetName val="원안"/>
      <sheetName val="대안"/>
      <sheetName val="폐기물"/>
      <sheetName val="이전비 "/>
      <sheetName val="참고"/>
      <sheetName val="갑지 (2)"/>
      <sheetName val="철콘갑지(2)"/>
      <sheetName val="철콘내역서(2)"/>
      <sheetName val="철콘갑지"/>
      <sheetName val="철콘내역서"/>
      <sheetName val="가설도로수량집계(1-8)"/>
      <sheetName val="가설도로입적수량"/>
      <sheetName val="측점(1)-삭제"/>
      <sheetName val="측점(2)-삭제"/>
      <sheetName val="측점(3)-신규"/>
      <sheetName val="측점(4)-신규"/>
      <sheetName val="가호안"/>
      <sheetName val="이식수목"/>
      <sheetName val="훼손예상1"/>
      <sheetName val="훼손예상2"/>
      <sheetName val="산정과정"/>
      <sheetName val="공사비대비표"/>
      <sheetName val="설계변경개요"/>
      <sheetName val="참고list"/>
      <sheetName val="품 및 별표관련변경"/>
      <sheetName val="자재변경"/>
      <sheetName val="내역서 (2002예산산출)"/>
      <sheetName val="토공집계표"/>
      <sheetName val="적용단가산출조서"/>
      <sheetName val="적용단가산출조서 (추가)"/>
      <sheetName val="품셈총괄표"/>
      <sheetName val="품셈"/>
      <sheetName val="추품총괄표"/>
      <sheetName val="추품"/>
      <sheetName val="부표총괄표"/>
      <sheetName val="부표"/>
      <sheetName val="추부총괄표"/>
      <sheetName val="추부"/>
      <sheetName val="추부총괄표."/>
      <sheetName val="추부."/>
      <sheetName val="별표(변경없슴)"/>
      <sheetName val="별표총괄표"/>
      <sheetName val="추별"/>
      <sheetName val="수정 리스트"/>
      <sheetName val="재료단가표"/>
      <sheetName val="_x0000__x000f__x0000__x0004_ðj_x0000__x0000__x0000_B_x0001__x000a_ð_x0008__x0000__x0000__x0000_-€_x0000__x0000_@_x000a__x0000__x0000_ƒ_x0000__x000b_ð0_x0000_"/>
      <sheetName val="_x000f__x0000__x0004_ðj_x0000_B_x0001__x000a_ð_x0008__x0000_-€_x0000_@_x000a_ƒ_x000b_ð0_x0000_¿_x0000__x0008__x0000__x0008__x0000_€_x0000_?"/>
      <sheetName val="기계갑지"/>
      <sheetName val="기계설비공사"/>
      <sheetName val="소화갑지"/>
      <sheetName val="소화설비공사"/>
      <sheetName val="기계설비공사 (품)"/>
      <sheetName val="소화설비공사 (품)"/>
      <sheetName val="기계(3공구)"/>
      <sheetName val="개요"/>
      <sheetName val="Module1"/>
      <sheetName val="대안별개선효과"/>
      <sheetName val="개선효과누계"/>
      <sheetName val="공사이익"/>
      <sheetName val="인천창고"/>
      <sheetName val="금융센터임차"/>
      <sheetName val="자사주펀드"/>
      <sheetName val="동부월드"/>
      <sheetName val="인천공항철도"/>
      <sheetName val="계열사별자금부담"/>
      <sheetName val="자기주식_미반영"/>
      <sheetName val="실행(도급대비)"/>
      <sheetName val="목차"/>
      <sheetName val="1. 공사개요"/>
      <sheetName val="2. 현장기구조직표"/>
      <sheetName val="1단계"/>
      <sheetName val="단면치수"/>
      <sheetName val="식재일위대가"/>
      <sheetName val="기초일위대가"/>
      <sheetName val="단가대비표"/>
      <sheetName val="DATE"/>
      <sheetName val="기본단가표"/>
      <sheetName val="단가 및 재료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공통(20-91)"/>
      <sheetName val="자재단가"/>
      <sheetName val="2공구산출내역"/>
      <sheetName val="VXXXXX"/>
      <sheetName val="갑지"/>
      <sheetName val="개요"/>
      <sheetName val="1안전관리"/>
      <sheetName val="2계약특수조건"/>
      <sheetName val="직불동의서"/>
      <sheetName val="확약서"/>
      <sheetName val="3특기시방서"/>
      <sheetName val="4내역양식"/>
      <sheetName val="5시공물량"/>
      <sheetName val="6참가자명단"/>
      <sheetName val="7작업장인수인계서"/>
      <sheetName val="협력업체"/>
      <sheetName val="실행철강하도"/>
      <sheetName val="골조시행"/>
      <sheetName val="화재 탐지 설비"/>
      <sheetName val="내역서"/>
      <sheetName val="금융비용"/>
      <sheetName val="입출금표"/>
      <sheetName val="데이타"/>
      <sheetName val="식재인부"/>
      <sheetName val="원가계산서"/>
      <sheetName val="99년원가"/>
      <sheetName val="일위대가"/>
      <sheetName val="1_2공구원가계산서"/>
      <sheetName val="1공구산출내역서"/>
      <sheetName val="1,2공구원가계산서"/>
      <sheetName val="시운전연료비"/>
      <sheetName val="기안"/>
      <sheetName val="실행간접비"/>
      <sheetName val="기흥하도용"/>
      <sheetName val="코드표"/>
      <sheetName val="지급자재"/>
      <sheetName val="총괄내역서"/>
      <sheetName val="내역"/>
      <sheetName val="(A)내역서"/>
      <sheetName val="투찰내역"/>
      <sheetName val="원내역"/>
      <sheetName val="원도급"/>
      <sheetName val="하도급"/>
      <sheetName val="목차"/>
      <sheetName val="배수내역"/>
      <sheetName val="당사실시1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사진대지"/>
      <sheetName val="가1"/>
      <sheetName val="가2"/>
      <sheetName val="가3"/>
      <sheetName val="가4"/>
      <sheetName val="가5"/>
      <sheetName val="일위"/>
      <sheetName val="실보(세로)"/>
      <sheetName val="실보(가로)"/>
      <sheetName val="실1"/>
      <sheetName val="실2"/>
      <sheetName val="도로"/>
      <sheetName val="내역서(전기)"/>
      <sheetName val="일위대가(1)"/>
      <sheetName val="주요항목별"/>
      <sheetName val="기성내역"/>
      <sheetName val="설계"/>
      <sheetName val="목록"/>
      <sheetName val="수목데이타"/>
      <sheetName val="집계표"/>
      <sheetName val="기본단가표"/>
      <sheetName val="1단계"/>
      <sheetName val="노임단가"/>
      <sheetName val="백암비스타내역"/>
      <sheetName val="중기사용료"/>
      <sheetName val="PAY2002"/>
      <sheetName val="DANGA"/>
      <sheetName val=" 갑지"/>
      <sheetName val="제직재"/>
      <sheetName val="설직재-1"/>
      <sheetName val="기초"/>
      <sheetName val="공정집계_국별"/>
      <sheetName val="총괄표"/>
      <sheetName val="내역 (제출)"/>
      <sheetName val="산출내역서집계표"/>
      <sheetName val="터파기및재료"/>
      <sheetName val="#REF!"/>
      <sheetName val="설비"/>
      <sheetName val="옥외외등집계표"/>
      <sheetName val="내역표지"/>
      <sheetName val="내역서(당초변경)"/>
      <sheetName val="DATA"/>
      <sheetName val="수목표준대가"/>
      <sheetName val="입찰안"/>
      <sheetName val="하수급견적대비"/>
      <sheetName val="부대내역"/>
      <sheetName val="원가"/>
      <sheetName val="여과지동"/>
      <sheetName val="기초자료"/>
      <sheetName val="일반수량총괄집계"/>
      <sheetName val="변실자재수량(D100)"/>
      <sheetName val="남평내역"/>
      <sheetName val="FB25JN"/>
      <sheetName val="배수관연장조서"/>
      <sheetName val="관급"/>
      <sheetName val="공통가설"/>
      <sheetName val="맨홀수량산출"/>
      <sheetName val="시추주상도"/>
      <sheetName val="ABUT수량-A1"/>
      <sheetName val="주안3차A-A"/>
      <sheetName val="시운전연료"/>
      <sheetName val="월간관리비"/>
      <sheetName val="산출근거"/>
      <sheetName val="재료단가"/>
      <sheetName val="임금단가"/>
      <sheetName val="장비목록표"/>
      <sheetName val="장비운전경비"/>
      <sheetName val="장비손료"/>
      <sheetName val="소방사항"/>
      <sheetName val="2련간지"/>
      <sheetName val="일위대가표"/>
      <sheetName val="플랜트 설치"/>
      <sheetName val="공종별집계표(창고-52평)"/>
      <sheetName val="DATE"/>
      <sheetName val="단가"/>
      <sheetName val="원가계산서(변경)"/>
      <sheetName val="SLAB&quot;1&quot;"/>
      <sheetName val="2000년1차"/>
      <sheetName val="증감내역서"/>
      <sheetName val="VOR"/>
      <sheetName val="대구실행"/>
      <sheetName val="본사인상전"/>
      <sheetName val="1공구"/>
      <sheetName val="대가표(품셈)"/>
      <sheetName val="장비가동"/>
      <sheetName val="토공사"/>
      <sheetName val="수목단가"/>
      <sheetName val="시설수량표"/>
      <sheetName val="식재수량표"/>
      <sheetName val="일위목록"/>
      <sheetName val="월별수입"/>
      <sheetName val="Requirement(Work Crew)"/>
      <sheetName val="간접(90)"/>
      <sheetName val="식재일위대가"/>
      <sheetName val="간접비"/>
      <sheetName val="공통가설공사"/>
      <sheetName val="파이프류"/>
      <sheetName val="을 2"/>
      <sheetName val="을 1"/>
      <sheetName val="SIL98"/>
      <sheetName val="Y-WORK"/>
      <sheetName val="형틀공사"/>
      <sheetName val="환률"/>
      <sheetName val="부대"/>
      <sheetName val="중기조종사 단위단가"/>
      <sheetName val="99노임기준"/>
      <sheetName val="대비2"/>
      <sheetName val="노임"/>
      <sheetName val="S14"/>
      <sheetName val="대목"/>
      <sheetName val="시화점실행"/>
      <sheetName val="1공구원가계산서"/>
      <sheetName val="참고"/>
      <sheetName val="공사개요"/>
      <sheetName val="단가일람"/>
      <sheetName val="단위량당중기"/>
      <sheetName val="4안전율"/>
      <sheetName val="경비 (2)"/>
      <sheetName val="추가예산"/>
      <sheetName val="소화실적"/>
      <sheetName val="sh1"/>
      <sheetName val="원가서"/>
      <sheetName val="위치조서"/>
      <sheetName val="기본단가"/>
      <sheetName val="기성품"/>
      <sheetName val="석재"/>
      <sheetName val="b_balju"/>
      <sheetName val="입찰"/>
      <sheetName val="현경"/>
      <sheetName val="9GNG운반"/>
      <sheetName val="동원(3)"/>
      <sheetName val="예정(3)"/>
      <sheetName val="현장별"/>
      <sheetName val="건축공사"/>
      <sheetName val="예산(착공)"/>
      <sheetName val="2월분"/>
      <sheetName val="const."/>
      <sheetName val="Total"/>
      <sheetName val="신우"/>
      <sheetName val="방수"/>
      <sheetName val="원하대비"/>
      <sheetName val="중기사용료산출근거"/>
      <sheetName val="상승요인분석"/>
      <sheetName val="2.대외공문"/>
      <sheetName val="대비표(토공1안)"/>
      <sheetName val="QandAJunior"/>
      <sheetName val="단가표"/>
      <sheetName val="대림경상68억"/>
      <sheetName val="06 일위대가목록"/>
      <sheetName val="공통비"/>
      <sheetName val="VENDOR LIST"/>
      <sheetName val="건축내역(진해석동)"/>
      <sheetName val="기계내역"/>
      <sheetName val="폐수토목내역서"/>
      <sheetName val="소비자가"/>
      <sheetName val="북부"/>
      <sheetName val="3련 BOX"/>
      <sheetName val="전익자재"/>
      <sheetName val="전익정산집계"/>
      <sheetName val="연습"/>
      <sheetName val="신고조서"/>
      <sheetName val="기본설계기준"/>
      <sheetName val="운항율"/>
      <sheetName val="MIJIBI"/>
      <sheetName val="입력(NO PRINT)"/>
      <sheetName val="화재_탐지_설비"/>
      <sheetName val="범례_(2)"/>
      <sheetName val="내역_(제출)"/>
      <sheetName val="_갑지"/>
      <sheetName val="플랜트_설치"/>
      <sheetName val="맨홀수량산출(A-LINE)"/>
      <sheetName val="요율"/>
      <sheetName val="기초일위"/>
      <sheetName val="시설일위"/>
      <sheetName val="조명일위"/>
      <sheetName val="을-ATYPE"/>
      <sheetName val="직재"/>
      <sheetName val="A-4"/>
      <sheetName val="Apt내역"/>
      <sheetName val="부대시설"/>
      <sheetName val="원가계산(2)"/>
      <sheetName val="견적정보"/>
      <sheetName val="학생내역"/>
      <sheetName val="일위대가목차"/>
      <sheetName val="가중치"/>
      <sheetName val="산출내역서"/>
      <sheetName val="3장 표지"/>
      <sheetName val="기"/>
      <sheetName val="전선(총)"/>
      <sheetName val="5직접"/>
      <sheetName val="수곡내역"/>
      <sheetName val="발주수량표"/>
      <sheetName val="Requirement(Work_Crew)"/>
      <sheetName val="경비_(2)"/>
      <sheetName val="을_2"/>
      <sheetName val="을_1"/>
      <sheetName val="유림총괄"/>
      <sheetName val="T13(P68~72,78)"/>
      <sheetName val="WORK"/>
      <sheetName val="총 원가계산"/>
      <sheetName val="품의서"/>
      <sheetName val="광주운남을"/>
      <sheetName val="견적시담(송포2공구)"/>
      <sheetName val="테이블"/>
      <sheetName val="비용"/>
      <sheetName val="날개벽수량표"/>
      <sheetName val="날개벽"/>
      <sheetName val="대치판정"/>
      <sheetName val="식재가격"/>
      <sheetName val="식재총괄"/>
      <sheetName val="단가 및 재료비"/>
      <sheetName val="예산조서"/>
      <sheetName val="보할공정"/>
      <sheetName val="단가비교"/>
      <sheetName val="공사비증감"/>
      <sheetName val="참조자료"/>
      <sheetName val="공사비대비표B(토공)"/>
      <sheetName val="총괄집계 "/>
      <sheetName val="전체"/>
      <sheetName val="FAX"/>
      <sheetName val="자재"/>
      <sheetName val="물가시세표"/>
      <sheetName val="기계(병원)"/>
      <sheetName val="오산운암"/>
      <sheetName val="역공종"/>
      <sheetName val="준공평가"/>
      <sheetName val="밸브설치"/>
      <sheetName val="조명시설"/>
      <sheetName val="운반공"/>
      <sheetName val="할증 "/>
      <sheetName val="차액보증"/>
      <sheetName val="환율change"/>
      <sheetName val="일용노임단가2001상"/>
      <sheetName val="총괄"/>
      <sheetName val="내역서2안"/>
      <sheetName val="예산내역"/>
      <sheetName val="총괄수지표"/>
      <sheetName val="관로내역원"/>
      <sheetName val="금액"/>
      <sheetName val="실행내역(수정본)"/>
      <sheetName val="O실보"/>
      <sheetName val="말뚝지지력산정"/>
      <sheetName val="기자재비"/>
      <sheetName val="을"/>
      <sheetName val="단가대비표"/>
      <sheetName val="건축내역"/>
      <sheetName val="마산방향"/>
      <sheetName val="관계주식"/>
      <sheetName val="II실행총괄"/>
      <sheetName val="9-1차이내역"/>
      <sheetName val="산출근거1"/>
      <sheetName val="변경내역"/>
      <sheetName val="토공유동표(전체.당초)"/>
      <sheetName val="토공(1)"/>
      <sheetName val="차수공(1)"/>
      <sheetName val="내역(중앙)"/>
      <sheetName val="실행간접비용"/>
      <sheetName val="기본"/>
      <sheetName val="단가조사"/>
      <sheetName val="#2_일위대가목록"/>
      <sheetName val="총공사내역서"/>
      <sheetName val="단가산출"/>
      <sheetName val="상부반력계산(활하중-DB)"/>
      <sheetName val="공사비집계"/>
      <sheetName val="대여현황"/>
      <sheetName val="견적서"/>
      <sheetName val="광주전남"/>
      <sheetName val="단가기준"/>
      <sheetName val="입력"/>
      <sheetName val="단"/>
      <sheetName val="자료"/>
      <sheetName val="Sheet5"/>
      <sheetName val="토목주소"/>
      <sheetName val="프랜트면허"/>
      <sheetName val="총괄표 "/>
      <sheetName val="첨"/>
      <sheetName val="10월"/>
      <sheetName val="명단"/>
      <sheetName val="교수설계"/>
      <sheetName val="수량산출서"/>
      <sheetName val="인건-측정"/>
      <sheetName val="덕전리"/>
      <sheetName val="갑지(추정)"/>
      <sheetName val="Sheet6"/>
      <sheetName val="#3_일위대가목록"/>
      <sheetName val="예총"/>
      <sheetName val="전기단가조사서"/>
      <sheetName val="화성태안9공구내역(실행)"/>
      <sheetName val="수량산출"/>
      <sheetName val="간지"/>
      <sheetName val="환율"/>
      <sheetName val="공량산출서"/>
      <sheetName val="BID"/>
      <sheetName val="APT"/>
      <sheetName val="인건비"/>
      <sheetName val="단가산출서"/>
      <sheetName val="전기설계변경"/>
      <sheetName val="공사"/>
      <sheetName val="간접비계산"/>
      <sheetName val="Xunit (단위환산)"/>
      <sheetName val="기초일위대가"/>
      <sheetName val="위치"/>
      <sheetName val="Sheet22"/>
      <sheetName val="호표"/>
      <sheetName val="전체내역서"/>
      <sheetName val="9811"/>
      <sheetName val="문학간접"/>
      <sheetName val="공양식"/>
      <sheetName val="약품공급2"/>
      <sheetName val="우수관연장및높이"/>
      <sheetName val="우수맨홀평균높이"/>
      <sheetName val="VXXXXXXX"/>
      <sheetName val="단가비교표"/>
      <sheetName val="우수공,맨홀,집수정"/>
      <sheetName val="물량산출"/>
      <sheetName val="비교표"/>
      <sheetName val="공구원가계산"/>
      <sheetName val="4차원가계산서"/>
      <sheetName val="A1"/>
      <sheetName val="일위대가(건축)"/>
      <sheetName val="하조서"/>
      <sheetName val="부재리스트"/>
      <sheetName val="비전경영계획"/>
      <sheetName val="5.정산서"/>
      <sheetName val="직노"/>
      <sheetName val="200"/>
      <sheetName val="일위대가(가설)"/>
      <sheetName val="초곡1교(일반)"/>
      <sheetName val="가시설"/>
      <sheetName val="단중표"/>
      <sheetName val="용접자료"/>
      <sheetName val="내역서 (2)"/>
      <sheetName val="Sens&amp;Anal"/>
      <sheetName val="을지"/>
      <sheetName val="Sheet1 (2)"/>
      <sheetName val="104동"/>
      <sheetName val="우수맨홀공제단위수량"/>
      <sheetName val="선급금신청서"/>
      <sheetName val="내역서-설비"/>
      <sheetName val="8-1"/>
      <sheetName val="회사정보"/>
      <sheetName val="data2"/>
      <sheetName val="단위수량"/>
      <sheetName val="견적"/>
      <sheetName val="몰탈재료산출"/>
      <sheetName val="2-2차도급가산출"/>
      <sheetName val="수량산출서-2"/>
      <sheetName val="콘_재료분리(1)"/>
      <sheetName val="기계경비산출기준"/>
      <sheetName val="배관배선 단가조사"/>
      <sheetName val="일위대가집계"/>
      <sheetName val="Mc1"/>
      <sheetName val="집 계 표"/>
      <sheetName val="터널조도"/>
      <sheetName val="15"/>
      <sheetName val="변경설계(소파2줄)"/>
      <sheetName val="경산"/>
      <sheetName val="단가집계목록"/>
      <sheetName val="3층LOAD"/>
      <sheetName val="1층LOAD"/>
      <sheetName val="지하층LOAD"/>
      <sheetName val="전문품의"/>
      <sheetName val="ITEM"/>
      <sheetName val="본실행경비"/>
      <sheetName val="3.공통공사대비"/>
      <sheetName val="공사비증감내역"/>
      <sheetName val="교통대책내역"/>
      <sheetName val="원가계산 (2)"/>
      <sheetName val="옥외등신설"/>
      <sheetName val="저케CV22신설"/>
      <sheetName val="저케CV38신설"/>
      <sheetName val="저케CV8신설"/>
      <sheetName val="접지3종"/>
      <sheetName val="일위대가-02"/>
      <sheetName val="우석문틀"/>
      <sheetName val="Macro1"/>
      <sheetName val="해피콜"/>
      <sheetName val="대운반(철재)"/>
      <sheetName val="보도경계블럭"/>
      <sheetName val="유방야장기초"/>
      <sheetName val="코드"/>
      <sheetName val="제4절-1"/>
      <sheetName val="세부내역서(소방)"/>
      <sheetName val="토건"/>
      <sheetName val="쌍송교"/>
      <sheetName val="영업.일1"/>
      <sheetName val="96보완계획7.12"/>
      <sheetName val="일위대가목록"/>
      <sheetName val="우성교간선"/>
      <sheetName val="총물량"/>
      <sheetName val="포천송우교회_CheckList"/>
      <sheetName val="CT"/>
      <sheetName val="본지사합"/>
      <sheetName val="기초목록"/>
      <sheetName val="단가(자재)"/>
      <sheetName val="철근량"/>
      <sheetName val="＃호안블록"/>
      <sheetName val="준검 내역서"/>
      <sheetName val="BSD _2_"/>
      <sheetName val="N賃率-職"/>
      <sheetName val="I一般比"/>
      <sheetName val="노무비"/>
      <sheetName val="기초자료입력"/>
      <sheetName val="중기목록"/>
      <sheetName val="단가목록"/>
      <sheetName val="B1(반포1차)"/>
      <sheetName val="품셈TABLE"/>
      <sheetName val="빙장비사양"/>
      <sheetName val="조명율표"/>
      <sheetName val="마산월령동골조물량변경"/>
      <sheetName val="관급자재"/>
      <sheetName val="INPUT"/>
      <sheetName val="수입"/>
      <sheetName val="차수"/>
      <sheetName val="아파트 "/>
      <sheetName val="인건비단가"/>
      <sheetName val="실행내역서(DCU)"/>
      <sheetName val="02 공사개요"/>
      <sheetName val="우수공"/>
      <sheetName val="문10"/>
      <sheetName val="직접비"/>
      <sheetName val="송전재료비"/>
      <sheetName val="기계경비일람"/>
      <sheetName val="설비2차"/>
      <sheetName val="울산자동제어"/>
      <sheetName val="일위_파일"/>
      <sheetName val="조건"/>
      <sheetName val="현장관리비"/>
      <sheetName val="일반부표"/>
      <sheetName val="물가시세"/>
      <sheetName val="수정계획3"/>
      <sheetName val="04연봉(임원)"/>
      <sheetName val="98수문일위"/>
      <sheetName val="기초단가"/>
      <sheetName val="Sheet4"/>
      <sheetName val="JUCKEYK"/>
      <sheetName val="BSD (2)"/>
      <sheetName val="의정부문예회관변경내역"/>
      <sheetName val="hvac(제어동)"/>
      <sheetName val="일일"/>
      <sheetName val="사업관리"/>
      <sheetName val="포장(수량)-관로부"/>
      <sheetName val="단면가정"/>
      <sheetName val="복공분기"/>
      <sheetName val="#2정산"/>
      <sheetName val="원본"/>
      <sheetName val="물가대비표"/>
      <sheetName val="건축"/>
      <sheetName val="단면치수"/>
      <sheetName val="적격점수&lt;300억미만&gt;"/>
      <sheetName val="철콘"/>
      <sheetName val="3BL공동구 수량"/>
      <sheetName val="경비"/>
      <sheetName val="전산소모"/>
      <sheetName val="원료"/>
      <sheetName val="BOX전기내역"/>
      <sheetName val="자재단가비교표"/>
      <sheetName val="●수량(침구보관창고-21평)"/>
      <sheetName val="공내역서"/>
      <sheetName val="내역원본"/>
      <sheetName val="월명지여방"/>
      <sheetName val="가설공사비"/>
      <sheetName val="유역면적"/>
      <sheetName val="토적계산"/>
      <sheetName val="소야공정계획표"/>
      <sheetName val="실행내역서 "/>
      <sheetName val="기계경비목록"/>
      <sheetName val="손익분석"/>
      <sheetName val="1-내역"/>
      <sheetName val="총계"/>
      <sheetName val="이형관중량"/>
      <sheetName val="심사공종"/>
      <sheetName val="일위대가(목록)"/>
      <sheetName val="산근(목록)"/>
      <sheetName val="재료비"/>
      <sheetName val="토공"/>
      <sheetName val="원형1호맨홀토공수량"/>
      <sheetName val="9509"/>
      <sheetName val="감액총괄표"/>
      <sheetName val="물류최종8월7"/>
      <sheetName val="남양시작동010313100%"/>
      <sheetName val="조직"/>
      <sheetName val="공정량산출내역서 "/>
      <sheetName val="수량집계"/>
      <sheetName val="0Title"/>
      <sheetName val="득점현황"/>
      <sheetName val="안양동교 1안"/>
      <sheetName val="S&amp;R"/>
      <sheetName val="산수(hd-0)"/>
      <sheetName val="산수(hd-1)"/>
      <sheetName val="기준FACTOR"/>
      <sheetName val="6호기"/>
      <sheetName val="70%"/>
      <sheetName val="산출내역(K2)"/>
      <sheetName val="구조물공"/>
      <sheetName val="제출내역 (2)"/>
      <sheetName val="6공구(당초)"/>
      <sheetName val="부대공"/>
      <sheetName val="배수공"/>
      <sheetName val="투찰"/>
      <sheetName val="Macro2"/>
      <sheetName val="전체제잡비"/>
      <sheetName val="세골재  T2 변경 현황"/>
      <sheetName val="포장공"/>
      <sheetName val="배수공 주요자재 집계표"/>
      <sheetName val="3차설계"/>
      <sheetName val="106C0300"/>
      <sheetName val="COPING"/>
      <sheetName val="업체목록"/>
      <sheetName val="자재일위(경)"/>
      <sheetName val="기계경비집계"/>
      <sheetName val="자재목록"/>
      <sheetName val="TRE TABLE"/>
      <sheetName val="간접"/>
      <sheetName val="TYPE-A"/>
      <sheetName val="총갑지"/>
      <sheetName val="공종별내역서(총차)"/>
      <sheetName val="인사자료총집계"/>
      <sheetName val="일용노임단가"/>
      <sheetName val="집계"/>
      <sheetName val="덤프트럭계수"/>
      <sheetName val="견적의뢰서"/>
      <sheetName val="00상노임"/>
      <sheetName val="관계주식명세"/>
      <sheetName val="저"/>
      <sheetName val="COVER"/>
      <sheetName val="총괄-1"/>
      <sheetName val="금액내역서"/>
      <sheetName val="예산서"/>
      <sheetName val="구조물터파기수량집계"/>
      <sheetName val="측구터파기공수량집계"/>
      <sheetName val="배수공 시멘트 및 골재량 산출"/>
      <sheetName val="국산화"/>
      <sheetName val="제잡비"/>
      <sheetName val="공정코드"/>
      <sheetName val="인원계획-미화"/>
      <sheetName val="식재"/>
      <sheetName val="시설물"/>
      <sheetName val="식재출력용"/>
      <sheetName val="유지관리"/>
      <sheetName val="HRSG SMALL07220"/>
      <sheetName val="98지급계획"/>
      <sheetName val="반포2차"/>
      <sheetName val="8)중점관리장비현황"/>
      <sheetName val="유림골조"/>
      <sheetName val="★도급내역"/>
      <sheetName val="1.봉천근생"/>
      <sheetName val="AS복구"/>
      <sheetName val="중기터파기"/>
      <sheetName val="변수값"/>
      <sheetName val="중기상차"/>
      <sheetName val="포장복구집계"/>
      <sheetName val="제품현황"/>
      <sheetName val="익월작업계힉"/>
      <sheetName val="총무팀"/>
      <sheetName val="마포-임현"/>
      <sheetName val="중기"/>
      <sheetName val="제출내역"/>
      <sheetName val="xxxxxx"/>
      <sheetName val="원남"/>
      <sheetName val="원가계산(조,투,실)"/>
      <sheetName val="관리비"/>
      <sheetName val="조사가추정"/>
      <sheetName val="업체"/>
      <sheetName val="대비집계장(견적)"/>
      <sheetName val="원가계산"/>
      <sheetName val="설계집계장"/>
      <sheetName val="실행집계장"/>
      <sheetName val="투찰집계장"/>
      <sheetName val="♣총괄내역서♣"/>
      <sheetName val="실행내역서"/>
      <sheetName val="실행하도사항"/>
      <sheetName val="실행별지"/>
      <sheetName val="실행하도잡비"/>
      <sheetName val="실행토공하도"/>
      <sheetName val="실행철콘하도"/>
      <sheetName val="실행토공견갑"/>
      <sheetName val="실행토공견적"/>
      <sheetName val="실행철콘견갑"/>
      <sheetName val="실행철콘견적"/>
      <sheetName val="실행철강견갑"/>
      <sheetName val="실행철강견적"/>
      <sheetName val="단산"/>
      <sheetName val="감가상각"/>
      <sheetName val="견적을지"/>
      <sheetName val="당정동공통이수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KCHON"/>
      <sheetName val="1,2공구원가계산서"/>
      <sheetName val="1공구산출내역서"/>
      <sheetName val="일위대가"/>
      <sheetName val="본체"/>
      <sheetName val="2공구산출내역"/>
      <sheetName val="수목데이타"/>
      <sheetName val="2련간지"/>
      <sheetName val="원가계산서"/>
      <sheetName val="06 일위대가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단가산출"/>
      <sheetName val="코드표"/>
      <sheetName val="설비"/>
      <sheetName val="1,2공구원가계산서"/>
      <sheetName val="1공구산출내역서"/>
      <sheetName val="원가계산서(변경)"/>
      <sheetName val="조끼"/>
      <sheetName val="2공구산출내역"/>
      <sheetName val="1공구원가계산서"/>
      <sheetName val="공통(20-91)"/>
      <sheetName val="기본단가표"/>
      <sheetName val="산수배수"/>
      <sheetName val="견적서갑지연속"/>
      <sheetName val="일위대가"/>
      <sheetName val="단가조사"/>
      <sheetName val="실행철강하도"/>
      <sheetName val="원가계산서"/>
      <sheetName val="BSD (2)"/>
      <sheetName val="기성내역"/>
      <sheetName val="내역서"/>
      <sheetName val="일위"/>
      <sheetName val="가스"/>
      <sheetName val="대운반(철재)"/>
      <sheetName val="자재단가"/>
      <sheetName val="원가서"/>
      <sheetName val="DANGA"/>
      <sheetName val="투찰내역"/>
      <sheetName val="원가"/>
      <sheetName val="배수관연장조서"/>
      <sheetName val="ilch"/>
      <sheetName val="단위단가"/>
      <sheetName val="임율_(2)"/>
      <sheetName val="sh1"/>
      <sheetName val="화재 탐지 설비"/>
      <sheetName val="06 일위대가목록"/>
      <sheetName val="database"/>
      <sheetName val="ABUT수량-A1"/>
      <sheetName val="준검 내역서"/>
      <sheetName val="1"/>
      <sheetName val="공정집계_국별"/>
      <sheetName val="내역서2안"/>
      <sheetName val="인구"/>
      <sheetName val="환경평가"/>
      <sheetName val="지급자재"/>
      <sheetName val="대치판정"/>
      <sheetName val="DB구축"/>
      <sheetName val="여과지동"/>
      <sheetName val="기초자료"/>
      <sheetName val="현장관리비"/>
      <sheetName val="(당평)자재"/>
      <sheetName val="1호맨홀가감수량"/>
      <sheetName val="산출근거"/>
      <sheetName val="토사(PE)"/>
      <sheetName val="(포장)BOQ-실적공사"/>
      <sheetName val="물집"/>
      <sheetName val="목차"/>
      <sheetName val="2"/>
      <sheetName val="원가계산(2)"/>
      <sheetName val="05전반노무비"/>
      <sheetName val="내역"/>
      <sheetName val=" 갑지"/>
      <sheetName val="2련간지"/>
      <sheetName val="연습"/>
      <sheetName val="안양동교 1안"/>
      <sheetName val="배수내역"/>
      <sheetName val="_REF"/>
      <sheetName val="인건비"/>
      <sheetName val="맨홀수량산출"/>
      <sheetName val="내역서단가산출용"/>
      <sheetName val="제직재"/>
      <sheetName val="설직재-1"/>
      <sheetName val="콘크리트댐수량산출"/>
      <sheetName val="감가상각"/>
      <sheetName val="부대내역"/>
      <sheetName val="계수시트"/>
      <sheetName val="날개벽수량표"/>
      <sheetName val="일위대가(1)"/>
      <sheetName val="개요"/>
      <sheetName val="산출내역서"/>
      <sheetName val="3차준공"/>
      <sheetName val="당사실시1"/>
      <sheetName val="1단계"/>
      <sheetName val="일반수량총괄집계"/>
      <sheetName val="중기사용료산출근거"/>
      <sheetName val="단가 및 재료비"/>
      <sheetName val="설계"/>
      <sheetName val="간접(90)"/>
      <sheetName val="총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서 "/>
      <sheetName val="총괄내역집계"/>
      <sheetName val="내역서"/>
      <sheetName val="수량산출서"/>
      <sheetName val="일위대가표"/>
      <sheetName val="단가조사서"/>
      <sheetName val="대경바스컴 "/>
      <sheetName val="동양AV "/>
      <sheetName val="(주)인터엠"/>
      <sheetName val="DATE"/>
      <sheetName val="전체"/>
      <sheetName val="여수진남경기장"/>
      <sheetName val="단위중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집계"/>
      <sheetName val="관수"/>
      <sheetName val="내역서"/>
      <sheetName val="산출내역서"/>
      <sheetName val="단위중량"/>
      <sheetName val="laroux"/>
      <sheetName val="자료입력"/>
      <sheetName val="공사계획서"/>
      <sheetName val="공사비예산서"/>
      <sheetName val="예산명세서"/>
      <sheetName val="품셈총괄"/>
      <sheetName val="설계명세서"/>
      <sheetName val="부표총괄"/>
      <sheetName val="부  표"/>
      <sheetName val="별표총괄"/>
      <sheetName val="별   표"/>
      <sheetName val="수량총괄"/>
      <sheetName val="수량산출"/>
      <sheetName val="실행"/>
      <sheetName val="청천내"/>
      <sheetName val="목록"/>
      <sheetName val="원가서"/>
      <sheetName val="일위(시설)"/>
      <sheetName val="전체"/>
      <sheetName val="노무비단가"/>
      <sheetName val="수목데이타"/>
      <sheetName val="진입도로"/>
      <sheetName val="DATE"/>
      <sheetName val="설계내역서"/>
      <sheetName val="데이타"/>
      <sheetName val="ABUT수량-A1"/>
      <sheetName val="코드표"/>
      <sheetName val="(A)내역서"/>
      <sheetName val="실행철강하도"/>
      <sheetName val="DATA"/>
      <sheetName val="노임"/>
      <sheetName val="1,2공구원가계산서"/>
      <sheetName val="수목표준대가"/>
      <sheetName val="1공구산출내역서"/>
      <sheetName val="대치판정"/>
      <sheetName val="일위대가"/>
      <sheetName val="sh1"/>
      <sheetName val="기둥(원형)"/>
      <sheetName val="인력소운반"/>
      <sheetName val="일위대가목록"/>
      <sheetName val="노무비"/>
      <sheetName val="진주방향"/>
      <sheetName val="견적서"/>
      <sheetName val="Sheet1"/>
      <sheetName val="노무단가"/>
      <sheetName val="정부노임단가"/>
      <sheetName val="노무비 근거"/>
      <sheetName val="예산서"/>
      <sheetName val="원가계산서 "/>
      <sheetName val="설계예시"/>
      <sheetName val="S0"/>
      <sheetName val="계수시트"/>
      <sheetName val="원가계산서"/>
      <sheetName val="2공구산출내역"/>
      <sheetName val="현장관리비"/>
      <sheetName val="산수배수"/>
      <sheetName val="일위대가(1)"/>
      <sheetName val="전기단가조사서"/>
      <sheetName val="투찰내역"/>
      <sheetName val="공사분석"/>
      <sheetName val="유입량"/>
      <sheetName val="실행대비"/>
      <sheetName val="남대문빌딩"/>
      <sheetName val="일위대가표 "/>
      <sheetName val="1단계"/>
      <sheetName val="자재단가"/>
      <sheetName val="건축내역"/>
      <sheetName val="기자재비"/>
      <sheetName val="수목데이타 "/>
      <sheetName val="TRE TABLE"/>
      <sheetName val="const."/>
      <sheetName val="을지"/>
      <sheetName val="총괄"/>
      <sheetName val="노임단가"/>
      <sheetName val="공조기"/>
      <sheetName val="6공구(당초)"/>
      <sheetName val="하수급견적대비"/>
      <sheetName val="남양구조시험동"/>
      <sheetName val="신대방33(적용)"/>
      <sheetName val="갑지"/>
      <sheetName val="배수공 주요자재 집계표"/>
      <sheetName val="인부신상자료"/>
      <sheetName val="이형관중량"/>
      <sheetName val="일위대가(목록)"/>
      <sheetName val="산근(목록)"/>
      <sheetName val="재료비"/>
      <sheetName val="토공"/>
      <sheetName val="산출내역서집계표"/>
      <sheetName val="간 지1"/>
      <sheetName val="내역"/>
      <sheetName val="금리계산"/>
      <sheetName val="배수내역"/>
      <sheetName val="을"/>
      <sheetName val="건설실행"/>
      <sheetName val="전체분내역서"/>
      <sheetName val="준검 내역서"/>
      <sheetName val="4차원가계산서"/>
      <sheetName val="1유리"/>
      <sheetName val="기술부 VENDOR LIST"/>
      <sheetName val="원가계산"/>
      <sheetName val="DANGA"/>
      <sheetName val="판관(용역)"/>
      <sheetName val="중기조종사 단위단가"/>
      <sheetName val="상반기손익차2총괄"/>
      <sheetName val="비교1"/>
      <sheetName val="기기리스트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계산출기초"/>
      <sheetName val="부대공Ⅱ"/>
      <sheetName val="자료"/>
      <sheetName val="교통대책내역"/>
      <sheetName val="노임조서"/>
      <sheetName val="노무비 "/>
      <sheetName val="공구"/>
      <sheetName val="협력업체"/>
      <sheetName val="단가표"/>
      <sheetName val="간접"/>
      <sheetName val="토목내역서 (도급단가)"/>
      <sheetName val="퍼스트"/>
      <sheetName val="예산분개"/>
      <sheetName val="2.냉난방설비공사"/>
      <sheetName val="7.자동제어공사"/>
      <sheetName val="인건비"/>
      <sheetName val="내역서(토목)"/>
      <sheetName val="냉천부속동"/>
      <sheetName val="bid"/>
      <sheetName val="공통가설"/>
      <sheetName val="실행내역"/>
      <sheetName val="입찰보고"/>
      <sheetName val="남양주부대"/>
      <sheetName val="일위대가목차"/>
      <sheetName val="공조기휀"/>
      <sheetName val="AHU집계"/>
      <sheetName val="지수"/>
      <sheetName val="wall"/>
      <sheetName val="Front"/>
      <sheetName val="unit"/>
      <sheetName val="JUCKEYK"/>
      <sheetName val="R&amp;D"/>
      <sheetName val="경비"/>
      <sheetName val="총괄내역서"/>
      <sheetName val="MIJIBI"/>
      <sheetName val="UPDATA"/>
      <sheetName val="제경비율"/>
      <sheetName val="노단"/>
      <sheetName val="36단가"/>
      <sheetName val="36수량"/>
      <sheetName val="동해title"/>
      <sheetName val="경산"/>
      <sheetName val="견적접수"/>
      <sheetName val="기초일위"/>
      <sheetName val="시설일위"/>
      <sheetName val="조명일위"/>
      <sheetName val="공통(20-91)"/>
      <sheetName val="BSD (2)"/>
      <sheetName val="건축내역서"/>
      <sheetName val="설비내역서"/>
      <sheetName val="전기내역서"/>
      <sheetName val="집계표"/>
      <sheetName val="수량산출서 (2)"/>
      <sheetName val="수정"/>
      <sheetName val="자재단가비교표"/>
      <sheetName val="간접(90)"/>
      <sheetName val="98지급계획"/>
      <sheetName val="원가&amp;하도급원가"/>
      <sheetName val="원도급"/>
      <sheetName val="하도급"/>
      <sheetName val="중기사용료산출근거"/>
      <sheetName val="단가 및 재료비"/>
      <sheetName val="갑지1"/>
      <sheetName val="연부97-1"/>
      <sheetName val="현장경비"/>
      <sheetName val="2련간지"/>
      <sheetName val="우각부보강"/>
      <sheetName val="VXXXXX"/>
      <sheetName val="단가비교"/>
      <sheetName val="한강운반비"/>
      <sheetName val="표준차도부연장집계-ASP"/>
      <sheetName val="2"/>
      <sheetName val="7.공정표"/>
      <sheetName val="가도공"/>
      <sheetName val="일위대가(가설)"/>
      <sheetName val="인공LIST"/>
      <sheetName val="인건-측정"/>
      <sheetName val=" 내역"/>
      <sheetName val="수량산출서"/>
      <sheetName val="금액"/>
      <sheetName val="구리토평1전기"/>
      <sheetName val="용산1(해보)"/>
      <sheetName val="건축"/>
      <sheetName val="추가예산"/>
      <sheetName val="본실행경비"/>
      <sheetName val="터파기및재료"/>
      <sheetName val="단위단가"/>
      <sheetName val="단가산출"/>
      <sheetName val="테이블"/>
      <sheetName val="토공사"/>
      <sheetName val="단가"/>
      <sheetName val="Cash"/>
      <sheetName val="수지예산"/>
      <sheetName val="단가표 (2)"/>
      <sheetName val="Macro2"/>
      <sheetName val="Macro1"/>
      <sheetName val="유치원내역"/>
      <sheetName val="전기설계변경"/>
      <sheetName val="96노임기준"/>
      <sheetName val="200"/>
      <sheetName val="(4-2)열관류값-2"/>
      <sheetName val="입력"/>
      <sheetName val="설계서(본관)"/>
      <sheetName val="rate"/>
      <sheetName val="도로경계블럭단위수량"/>
      <sheetName val="도로경계블럭단위토공"/>
      <sheetName val="L형측구단위수량"/>
      <sheetName val="L형측구연장조서"/>
      <sheetName val="2000년1차"/>
      <sheetName val="접속단위"/>
      <sheetName val="220 (2)"/>
      <sheetName val="97 사업추정(WEKI)"/>
      <sheetName val="터널조도"/>
      <sheetName val="참조M"/>
      <sheetName val="ⴭⴭⴭⴭⴭ"/>
      <sheetName val="Sheet5"/>
      <sheetName val="중강당 내역"/>
      <sheetName val="개소별수량산출"/>
      <sheetName val="총괄표"/>
      <sheetName val="Mc1"/>
      <sheetName val="철콘공사"/>
      <sheetName val="손익분석"/>
      <sheetName val="우수"/>
      <sheetName val="6호기"/>
      <sheetName val="단면치수"/>
      <sheetName val="이티입력"/>
      <sheetName val="인력터파기품"/>
      <sheetName val="기본단가표"/>
      <sheetName val="전산망"/>
      <sheetName val="일위목록"/>
      <sheetName val="자재일람"/>
      <sheetName val="노임,재료비"/>
      <sheetName val="static.cal"/>
      <sheetName val="연결임시"/>
      <sheetName val="우수공"/>
      <sheetName val="집수정(600-700)"/>
      <sheetName val="총괄집계표"/>
      <sheetName val="도급"/>
      <sheetName val="b_balju"/>
      <sheetName val="공조실"/>
      <sheetName val="조명시설"/>
      <sheetName val="신우"/>
      <sheetName val="교대시점"/>
      <sheetName val="일위대가표"/>
      <sheetName val="2.대외공문"/>
      <sheetName val="정공공사"/>
      <sheetName val="■ 철거수량산출"/>
      <sheetName val="구조물철거타공정이월"/>
      <sheetName val="인원계획"/>
      <sheetName val="97년 추정"/>
      <sheetName val="001"/>
      <sheetName val="01"/>
      <sheetName val="지급자재"/>
      <sheetName val="간접비계산"/>
      <sheetName val="민감도"/>
      <sheetName val="예정(3)"/>
      <sheetName val="9GNG운반"/>
      <sheetName val="단가대비표"/>
      <sheetName val="99노임기준"/>
      <sheetName val="45,46"/>
      <sheetName val="Y-WORK"/>
      <sheetName val="9-1차이내역"/>
      <sheetName val="연속벽현황"/>
      <sheetName val="설계서"/>
      <sheetName val="주소"/>
      <sheetName val="식재인부"/>
      <sheetName val="FACTOR"/>
      <sheetName val="A LINE"/>
      <sheetName val="Eq. Mobilization"/>
      <sheetName val="직접비"/>
      <sheetName val="주요항목별"/>
      <sheetName val="실행간접비"/>
      <sheetName val="일위"/>
      <sheetName val="#REF"/>
      <sheetName val="이월"/>
      <sheetName val="계약내역서"/>
      <sheetName val="실행(ALT1)"/>
      <sheetName val="가로등기초"/>
      <sheetName val="PAD TR보호대기초"/>
      <sheetName val="수주현황2월"/>
      <sheetName val="대로근거"/>
      <sheetName val="1.취수장"/>
      <sheetName val="DOWEL(SLAB상)"/>
      <sheetName val="DOWEL(SLAB하)"/>
      <sheetName val="시화점실행"/>
      <sheetName val="토공유동표(전체.당초)"/>
      <sheetName val="물량표S"/>
      <sheetName val="견적"/>
      <sheetName val="부__표"/>
      <sheetName val="별___표"/>
      <sheetName val="설계카드"/>
      <sheetName val="설비"/>
      <sheetName val="대가표(품셈)"/>
      <sheetName val="인원"/>
      <sheetName val="Sheet1 (2)"/>
      <sheetName val="여과지동"/>
      <sheetName val="기초자료"/>
      <sheetName val="상 부"/>
      <sheetName val="값"/>
      <sheetName val="06 일위대가목록"/>
      <sheetName val="산근목록"/>
      <sheetName val="중기경비목록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서"/>
      <sheetName val="일위대가"/>
      <sheetName val="산출근거(집계)"/>
      <sheetName val="산출근거-1"/>
      <sheetName val="산출근거-2"/>
      <sheetName val="단가비교표"/>
      <sheetName val="단위수량-1"/>
      <sheetName val="노무비 근거"/>
      <sheetName val="000000"/>
      <sheetName val="작업예정량"/>
      <sheetName val="관.자 제작비"/>
      <sheetName val="단가산출 (2)"/>
      <sheetName val="단가산출기초조사서"/>
      <sheetName val="노무비 "/>
      <sheetName val="총괄내역서(1구역)"/>
      <sheetName val="제경비산출서(1구역)"/>
      <sheetName val="총괄표(1구역)"/>
      <sheetName val="원가계산서(1)"/>
      <sheetName val="설계서(갑)"/>
      <sheetName val="갑지1"/>
      <sheetName val="총괄내역서(2구역)"/>
      <sheetName val="제경비산출서(2구역)"/>
      <sheetName val="총괄표(2구역)"/>
      <sheetName val="원가계산서(2구역)"/>
      <sheetName val="설계서(갑2)"/>
      <sheetName val="갑지2"/>
      <sheetName val="준공조서1구역"/>
      <sheetName val="준공조서2구역"/>
      <sheetName val="전체"/>
      <sheetName val="금액결정"/>
      <sheetName val="산출내역서"/>
      <sheetName val="기초코드"/>
      <sheetName val="실행철강하도"/>
      <sheetName val="합정로내역서(토목)"/>
      <sheetName val="기자재비"/>
      <sheetName val="MOTOR"/>
      <sheetName val="9GNG운반"/>
      <sheetName val="자재단가"/>
      <sheetName val="기술부 VENDOR LIST"/>
      <sheetName val="전차선로 물량표"/>
      <sheetName val="한강운반비"/>
      <sheetName val="#REF"/>
      <sheetName val="자재"/>
      <sheetName val="공통(20-91)"/>
      <sheetName val="인제내역"/>
      <sheetName val="건설실행"/>
      <sheetName val="2.1  노무비 평균단가산출"/>
      <sheetName val="DATA"/>
      <sheetName val="데이타"/>
      <sheetName val="2공구산출내역"/>
      <sheetName val="1,2공구원가계산서"/>
      <sheetName val="1공구산출내역서"/>
      <sheetName val="현장관리비"/>
      <sheetName val="원가계산서"/>
      <sheetName val="맨홀수량산출"/>
      <sheetName val="유입량"/>
      <sheetName val="단가산출"/>
      <sheetName val="기둥(원형)"/>
      <sheetName val="배수내역"/>
      <sheetName val="북방3터널"/>
      <sheetName val="원형1호맨홀토공수량"/>
      <sheetName val="인부신상자료"/>
      <sheetName val="DANGA"/>
      <sheetName val="기흥하도용"/>
      <sheetName val="DATE"/>
      <sheetName val="갑지"/>
      <sheetName val="관급"/>
      <sheetName val="코드표"/>
      <sheetName val="이형관중량"/>
      <sheetName val="일위대가(목록)"/>
      <sheetName val="산근(목록)"/>
      <sheetName val="재료비"/>
      <sheetName val="토공"/>
      <sheetName val="사용자일위"/>
      <sheetName val="화재 탐지 설비"/>
      <sheetName val="노임"/>
      <sheetName val="단가비교"/>
      <sheetName val="L_RPTB02_01"/>
      <sheetName val="산수배수"/>
      <sheetName val="이월"/>
      <sheetName val="업체별기성내역"/>
      <sheetName val="일괄인쇄"/>
      <sheetName val="sheet1"/>
      <sheetName val="Sheet3"/>
      <sheetName val="노무"/>
      <sheetName val="노임단가"/>
      <sheetName val="옥외외등집계표"/>
      <sheetName val="단위단가"/>
      <sheetName val="터널조도"/>
      <sheetName val="이월가격"/>
      <sheetName val="노임조서"/>
      <sheetName val="본공사"/>
      <sheetName val="설계예시"/>
      <sheetName val="을지"/>
      <sheetName val="ITEM"/>
      <sheetName val="산출"/>
      <sheetName val="수량산출서"/>
      <sheetName val="산출서집계"/>
      <sheetName val="간선계산"/>
      <sheetName val="개요"/>
      <sheetName val="단가 및 재료비"/>
      <sheetName val="12.일위대가"/>
      <sheetName val="갑(전기)"/>
      <sheetName val="갑(계장)"/>
      <sheetName val="을"/>
      <sheetName val="사업수지"/>
      <sheetName val="일위대가(동대문운동장별관)"/>
      <sheetName val="일위"/>
      <sheetName val="22인공"/>
      <sheetName val="수량산출"/>
      <sheetName val="5.공량산출서"/>
      <sheetName val="b_balju"/>
      <sheetName val="정부노임단가"/>
      <sheetName val="산출근거"/>
      <sheetName val="내역서"/>
      <sheetName val="6.이토처리시간"/>
      <sheetName val="인건비(VOICE)"/>
      <sheetName val="I一般比"/>
      <sheetName val="N賃率-職"/>
      <sheetName val="일위대가(총괄)"/>
      <sheetName val="단가"/>
      <sheetName val="원가"/>
      <sheetName val="Sheet2"/>
      <sheetName val="단가산출서"/>
      <sheetName val="공사비집계"/>
      <sheetName val="일위대가(1)"/>
      <sheetName val="식재"/>
      <sheetName val="시설물"/>
      <sheetName val="식재출력용"/>
      <sheetName val="유지관리"/>
      <sheetName val="인원"/>
      <sheetName val="설계내역서"/>
      <sheetName val="Macro2"/>
      <sheetName val="Macro1"/>
      <sheetName val="SG"/>
      <sheetName val="예가표"/>
      <sheetName val="일위(시설)"/>
      <sheetName val="철거산출근거"/>
      <sheetName val="인입관수량총괄"/>
      <sheetName val="간접비계산"/>
      <sheetName val="목차"/>
      <sheetName val="연습"/>
      <sheetName val="시화점실행"/>
      <sheetName val="저"/>
      <sheetName val="인력터파기품"/>
      <sheetName val="대차"/>
      <sheetName val="예산총괄"/>
      <sheetName val="b_balju (2)"/>
      <sheetName val="b_gunmul"/>
      <sheetName val="단위수량"/>
      <sheetName val="투자효율분석"/>
      <sheetName val="일위대가표"/>
      <sheetName val="집계"/>
      <sheetName val="자재테이블"/>
      <sheetName val="통신원가"/>
      <sheetName val="터파기및재료"/>
      <sheetName val="투찰내역"/>
      <sheetName val="여과지동"/>
      <sheetName val="기초자료"/>
      <sheetName val="포장공"/>
      <sheetName val="단가대비표"/>
      <sheetName val="내역"/>
      <sheetName val="안양동교 1안"/>
      <sheetName val=" HIT-&gt;HMC 견적(3900)"/>
      <sheetName val="부하계산서"/>
      <sheetName val="설계조건"/>
      <sheetName val="가로등기초"/>
      <sheetName val="PAD TR보호대기초"/>
      <sheetName val="B1(반포1차)"/>
      <sheetName val="1유리"/>
      <sheetName val="ABUT수량-A1"/>
      <sheetName val="XL4Poppy"/>
      <sheetName val="Y-WORK"/>
      <sheetName val="공사비총괄표"/>
      <sheetName val="기본단가표"/>
      <sheetName val="정산내역"/>
      <sheetName val="Total"/>
      <sheetName val="일위대가(계측기설치)"/>
      <sheetName val="인원계획"/>
      <sheetName val="총괄내역서"/>
      <sheetName val="산출내역서집계표"/>
      <sheetName val="인건비"/>
      <sheetName val="원가서"/>
      <sheetName val="IT-BAT"/>
      <sheetName val="기본단가"/>
      <sheetName val="Tot-sum"/>
      <sheetName val="집계표"/>
      <sheetName val="간접(90)"/>
      <sheetName val="개소별수량산출"/>
      <sheetName val="준검 내역서"/>
      <sheetName val="토목"/>
      <sheetName val="차액보증"/>
      <sheetName val="재료"/>
      <sheetName val="식재인부"/>
      <sheetName val="VXXXXXXX"/>
      <sheetName val="모델명"/>
      <sheetName val="2"/>
      <sheetName val="단위중량"/>
      <sheetName val="유치원내역"/>
      <sheetName val="9509"/>
      <sheetName val="노무비"/>
      <sheetName val="SP-B1"/>
      <sheetName val="예산변경사항"/>
      <sheetName val="Baby일위대가"/>
      <sheetName val="IMPEADENCE MAP 취수장"/>
      <sheetName val="배관배선 단가조사"/>
      <sheetName val="일위대가집계"/>
      <sheetName val="토공실행"/>
      <sheetName val="3련 BOX"/>
      <sheetName val="BOX(1.5X1.5)"/>
      <sheetName val="XXXXXX"/>
      <sheetName val="대비"/>
      <sheetName val="2.대외공문"/>
      <sheetName val="본사인상전"/>
      <sheetName val="단가조사서"/>
      <sheetName val="첨부1"/>
      <sheetName val="PAY2002"/>
      <sheetName val="실행기초"/>
      <sheetName val="자재단가비교표"/>
      <sheetName val="기본설계기준"/>
      <sheetName val="Sheet5"/>
      <sheetName val="실행간접비"/>
      <sheetName val="TEMP1"/>
      <sheetName val="TEMP2"/>
      <sheetName val="BS"/>
      <sheetName val="PL"/>
      <sheetName val="IMP(MAIN)"/>
      <sheetName val="IMP (REACTOR)"/>
      <sheetName val="표지 (2)"/>
      <sheetName val="단락전류-A"/>
      <sheetName val="공사비예산서"/>
      <sheetName val="주공 갑지"/>
      <sheetName val="CT"/>
      <sheetName val="3.공통공사대비"/>
      <sheetName val="도로포장면적산출(1)"/>
      <sheetName val="급수공사"/>
      <sheetName val="설계카드"/>
      <sheetName val="J"/>
      <sheetName val="심의위원명단"/>
      <sheetName val="2공구하도급내역서"/>
      <sheetName val="토목단가"/>
      <sheetName val="3BL공동구 수량"/>
      <sheetName val="제경비율"/>
      <sheetName val="부표(010427)"/>
      <sheetName val="원가계산서(변경)"/>
      <sheetName val="견적"/>
      <sheetName val="식음료"/>
      <sheetName val="기준"/>
      <sheetName val="기성내역"/>
      <sheetName val="본선"/>
      <sheetName val="일위집계(기존)"/>
      <sheetName val="DATA입력"/>
      <sheetName val="단면상수 및 주빔설계"/>
      <sheetName val="위치조서"/>
      <sheetName val="추가예산"/>
      <sheetName val="A LINE"/>
      <sheetName val="자재일람"/>
      <sheetName val="Sheet13"/>
      <sheetName val="간선"/>
      <sheetName val="하조서"/>
      <sheetName val="BID"/>
      <sheetName val="총괄표"/>
      <sheetName val="입찰견적보고서"/>
      <sheetName val="가로등내역서"/>
      <sheetName val="CTEMCOST"/>
      <sheetName val="실행대비"/>
      <sheetName val="현장관리비 산출내역"/>
      <sheetName val="금리계산"/>
      <sheetName val="통신물량"/>
      <sheetName val="일위목록"/>
      <sheetName val="골조시행"/>
      <sheetName val="공내역"/>
      <sheetName val="일반부표"/>
      <sheetName val="3월집계"/>
      <sheetName val="대치판정"/>
      <sheetName val="1.수인터널"/>
      <sheetName val="개거총"/>
      <sheetName val="여암교"/>
      <sheetName val="참조"/>
      <sheetName val="가시설수량"/>
      <sheetName val="1공구원가계산서"/>
      <sheetName val="토공(1)"/>
      <sheetName val="차수공(1)"/>
      <sheetName val="부대시설"/>
      <sheetName val="경비"/>
      <sheetName val="1.적격점수"/>
      <sheetName val="WORK"/>
      <sheetName val="간 지1"/>
      <sheetName val="주소"/>
      <sheetName val="97년 추정"/>
      <sheetName val="일반공사"/>
      <sheetName val="수토공단위당"/>
      <sheetName val="조명율표"/>
      <sheetName val="차도조도계산"/>
      <sheetName val="제출내역 (2)"/>
      <sheetName val="TEL"/>
      <sheetName val="전선 및 전선관"/>
      <sheetName val="J直材4"/>
      <sheetName val="미장"/>
      <sheetName val="철골"/>
      <sheetName val="#2_일위대가목록"/>
      <sheetName val="MAT"/>
      <sheetName val="A-4"/>
      <sheetName val="입력"/>
      <sheetName val="중기비"/>
      <sheetName val="그림모음"/>
      <sheetName val="Proposal"/>
      <sheetName val="견적정보"/>
      <sheetName val="견적내역"/>
      <sheetName val="CM 1"/>
      <sheetName val="조건표"/>
      <sheetName val="백암비스타내역"/>
      <sheetName val="시운전연료비"/>
      <sheetName val="단가일람"/>
      <sheetName val="파이프류"/>
      <sheetName val="굴착현장"/>
      <sheetName val="일위대가(가설)"/>
      <sheetName val="½ÄÀçÃâ·Â¿ë"/>
      <sheetName val="½Ã¼³¹°"/>
      <sheetName val="½ÄÀç"/>
      <sheetName val="À¯Áö°ü¸®"/>
      <sheetName val="´Ü°¡"/>
      <sheetName val="4)유동표"/>
      <sheetName val="부하계산"/>
      <sheetName val="대림경상68억"/>
      <sheetName val="2000년1차"/>
      <sheetName val="COPING"/>
      <sheetName val="내역서(상세)"/>
      <sheetName val="200"/>
      <sheetName val="입찰안"/>
      <sheetName val="일위대가목차"/>
      <sheetName val="지급자재"/>
      <sheetName val="단가표"/>
      <sheetName val="DATA1"/>
      <sheetName val="투찰"/>
      <sheetName val="단가조사-1"/>
      <sheetName val="단가조사-2"/>
      <sheetName val="목록"/>
      <sheetName val="NOMUBI"/>
      <sheetName val="선로정수"/>
      <sheetName val="분전함신설"/>
      <sheetName val="접지1종"/>
      <sheetName val="공사비증감"/>
      <sheetName val="우성교간선"/>
      <sheetName val="현황정리"/>
      <sheetName val="도근좌표"/>
      <sheetName val="단면치수"/>
      <sheetName val="신고조서"/>
      <sheetName val="이설집계(1공구)"/>
      <sheetName val="일위_파일"/>
      <sheetName val="을 2"/>
      <sheetName val="을 1"/>
      <sheetName val="BJJIN"/>
      <sheetName val="전압강하계산"/>
      <sheetName val="내역서 "/>
      <sheetName val="설계서"/>
      <sheetName val="전국현황"/>
      <sheetName val="실행간접비용"/>
      <sheetName val="단가비교표_공통1"/>
      <sheetName val="인원DATA"/>
      <sheetName val="제진기"/>
      <sheetName val="수목데이타"/>
      <sheetName val="대운반(철재)"/>
      <sheetName val="Imp-Data"/>
      <sheetName val="2련간지"/>
      <sheetName val="DB"/>
      <sheetName val="부하표"/>
      <sheetName val="98NS-N"/>
      <sheetName val="남양주부대"/>
      <sheetName val="공정집계_국별"/>
      <sheetName val="관급자재"/>
      <sheetName val="NYS"/>
      <sheetName val="대우단가(풍산)"/>
      <sheetName val="96보완계획7.12"/>
      <sheetName val="단 부"/>
      <sheetName val="Sheet1 (2)"/>
      <sheetName val="MAIN_TABLE"/>
      <sheetName val="wall"/>
      <sheetName val="남양내역"/>
      <sheetName val="가스"/>
      <sheetName val="중기일위대가"/>
      <sheetName val="내역서(당초변경)"/>
      <sheetName val="6월실적"/>
      <sheetName val="Testing"/>
      <sheetName val="손익분석"/>
      <sheetName val="공통가설"/>
      <sheetName val="TABLE"/>
      <sheetName val="공사비 내역 (가)"/>
      <sheetName val="사전총괄표"/>
      <sheetName val="포장복구집계"/>
      <sheetName val="공내역서"/>
      <sheetName val="주beam"/>
      <sheetName val="인천제철"/>
      <sheetName val="91"/>
      <sheetName val="71"/>
      <sheetName val="노무비_근거"/>
      <sheetName val="관_자_제작비"/>
      <sheetName val="단가산출_(2)"/>
      <sheetName val="노무비_"/>
      <sheetName val="2_1__노무비_평균단가산출"/>
      <sheetName val="전차선로_물량표"/>
      <sheetName val="기술부_VENDOR_LIST"/>
      <sheetName val="화재_탐지_설비"/>
      <sheetName val="단가_및_재료비"/>
      <sheetName val="안양동교_1안"/>
      <sheetName val="_HIT-&gt;HMC_견적(3900)"/>
      <sheetName val="실행"/>
      <sheetName val="1단계"/>
      <sheetName val="총괄"/>
      <sheetName val="98내역"/>
      <sheetName val="전기설계변경"/>
      <sheetName val="Xunit (단위환산)"/>
      <sheetName val="당초명세(평)"/>
      <sheetName val="설비"/>
      <sheetName val="월별수입"/>
      <sheetName val="경산"/>
      <sheetName val="인명부"/>
      <sheetName val="계화배수"/>
      <sheetName val="설직재-1"/>
      <sheetName val="직노"/>
      <sheetName val="명단"/>
      <sheetName val="단가(자재)"/>
      <sheetName val="단가(노임)"/>
      <sheetName val="기초목록"/>
      <sheetName val="1차 내역서"/>
      <sheetName val="적용인원(지우지말것)"/>
      <sheetName val="갑"/>
      <sheetName val="문학간접"/>
      <sheetName val="Sheet4"/>
      <sheetName val="설 계"/>
      <sheetName val="송전재료비"/>
      <sheetName val="2002하반기노임기준"/>
      <sheetName val="단가조사"/>
      <sheetName val="의정부문예회관변경내역"/>
      <sheetName val="주요항목별"/>
      <sheetName val="기계경비(시간당)"/>
      <sheetName val="FACTOR"/>
      <sheetName val="base"/>
      <sheetName val="국산화"/>
      <sheetName val="동우-견적서"/>
      <sheetName val="원하대비"/>
      <sheetName val="원도급"/>
      <sheetName val="하도급"/>
      <sheetName val="우수공,맨홀,집수정"/>
      <sheetName val="비용"/>
      <sheetName val="수정계획3"/>
      <sheetName val="유림총괄"/>
      <sheetName val="6PILE  (돌출)"/>
      <sheetName val="횡배위치"/>
      <sheetName val="기계경비"/>
      <sheetName val="한전분담금"/>
      <sheetName val="도면자료제출일정"/>
      <sheetName val="날개벽수량표"/>
      <sheetName val="맨홀수량산출(A-LINE)"/>
      <sheetName val="직재"/>
      <sheetName val="옥외등신설"/>
      <sheetName val="저케CV22신설"/>
      <sheetName val="저케CV38신설"/>
      <sheetName val="저케CV8신설"/>
      <sheetName val="접지3종"/>
      <sheetName val="기"/>
      <sheetName val="전선(총)"/>
      <sheetName val="중기사용료산출근거"/>
      <sheetName val="내역서2안"/>
      <sheetName val="1"/>
      <sheetName val="5. 현장관리비(new) "/>
      <sheetName val="내   역"/>
      <sheetName val="보할공정"/>
      <sheetName val="공사개요"/>
      <sheetName val="06 일위대가목록"/>
      <sheetName val="설계"/>
      <sheetName val="내역서 (평창)"/>
      <sheetName val="값"/>
      <sheetName val="각종단가"/>
      <sheetName val="토공연장"/>
      <sheetName val="인입직관"/>
      <sheetName val="감시제어"/>
      <sheetName val="목차임시"/>
      <sheetName val="견적대비"/>
      <sheetName val="1월"/>
      <sheetName val="기계경비적용기준"/>
      <sheetName val="조명시설"/>
      <sheetName val="제잡비산출내역"/>
      <sheetName val="공종"/>
      <sheetName val="자료"/>
      <sheetName val="현장별"/>
      <sheetName val="시설물일위"/>
      <sheetName val="가설공사"/>
      <sheetName val="단가결정"/>
      <sheetName val="내역아"/>
      <sheetName val="울타리"/>
      <sheetName val="비대칭계수"/>
      <sheetName val="전동기 SPEC"/>
      <sheetName val="동력설비"/>
      <sheetName val="SW개발대상목록(기능점수)"/>
      <sheetName val="심사물량"/>
      <sheetName val="부대공"/>
      <sheetName val="방호벽"/>
      <sheetName val="낙석방지책"/>
      <sheetName val="실행내역_원본"/>
      <sheetName val="전기"/>
      <sheetName val="당정동경상이수"/>
      <sheetName val="당정동공통이수"/>
      <sheetName val="을지  (2)"/>
      <sheetName val="국내조달(통합-1)"/>
      <sheetName val="안정계산"/>
      <sheetName val="단면검토"/>
      <sheetName val="BSD (2)"/>
      <sheetName val="사용자정의"/>
      <sheetName val="제품표준규격"/>
      <sheetName val="단"/>
      <sheetName val="설계명세서"/>
      <sheetName val="신우"/>
      <sheetName val="MCC제원"/>
      <sheetName val="허용전류-IEC DATA"/>
      <sheetName val="빌딩 안내"/>
      <sheetName val="익산-"/>
      <sheetName val="인건-측정"/>
      <sheetName val="부대대비"/>
      <sheetName val="냉연집계"/>
      <sheetName val="일위총괄표"/>
      <sheetName val="제경비"/>
      <sheetName val="20관리비율"/>
      <sheetName val="1.변압기용량"/>
      <sheetName val="요약&amp;결과"/>
      <sheetName val="산근9사전재해영향소요인력"/>
      <sheetName val="교각1"/>
      <sheetName val="대가표(품셈)"/>
      <sheetName val="선급금신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1공구산출내역서"/>
      <sheetName val="산출내역서"/>
      <sheetName val="노임단가"/>
      <sheetName val="조명시설"/>
      <sheetName val="일위(시설)"/>
      <sheetName val="단가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HMEN"/>
      <sheetName val="#REF"/>
      <sheetName val="산출내역서"/>
      <sheetName val="내역서"/>
      <sheetName val="인건-측정"/>
      <sheetName val="신우"/>
      <sheetName val="유치원내역"/>
      <sheetName val="부하계산서"/>
      <sheetName val="부하(성남)"/>
      <sheetName val="터파기및재료"/>
      <sheetName val="일위대가목록"/>
      <sheetName val="자재단가비교표"/>
      <sheetName val="건축내역"/>
      <sheetName val="1,2공구원가계산서"/>
      <sheetName val="실행철강하도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#REF"/>
      <sheetName val="전기2005"/>
      <sheetName val="요율"/>
      <sheetName val="인건-측정"/>
      <sheetName val="EJ"/>
      <sheetName val="2000노임기준"/>
      <sheetName val="시중노임단가"/>
      <sheetName val="방식총괄"/>
      <sheetName val="품셈"/>
      <sheetName val="약품공급2"/>
      <sheetName val="교각계산"/>
      <sheetName val="코드일람표2001년10월"/>
      <sheetName val="RE9604"/>
      <sheetName val="8설7발"/>
      <sheetName val="NEAYUK"/>
      <sheetName val="신우"/>
      <sheetName val="자재단가비교표"/>
      <sheetName val="건축내역"/>
      <sheetName val="일위목록"/>
      <sheetName val="직노"/>
      <sheetName val="수량산출서"/>
      <sheetName val="DATE"/>
      <sheetName val="4.전기"/>
      <sheetName val="집계표"/>
      <sheetName val="일위대가목록"/>
      <sheetName val="401"/>
      <sheetName val="산출내역서"/>
      <sheetName val="편입토지조서"/>
      <sheetName val="봉양~조차장간고하개명(신설)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예산조서(전송)"/>
      <sheetName val="공사원가계산서"/>
      <sheetName val="노임단가표"/>
      <sheetName val="자재단가"/>
      <sheetName val="기초자료입력"/>
      <sheetName val="Y-WORK"/>
      <sheetName val="노임단가"/>
      <sheetName val="전체"/>
      <sheetName val="손익분석"/>
      <sheetName val="갑지"/>
      <sheetName val="전기일위목록"/>
      <sheetName val="옥외1"/>
      <sheetName val="Macro(전선)"/>
      <sheetName val="내역서1"/>
      <sheetName val="잡철물"/>
      <sheetName val="집계표2"/>
      <sheetName val="sw1"/>
      <sheetName val="NOMU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심사결과원가계산서"/>
      <sheetName val="일위대가변경전후"/>
      <sheetName val="내역서을"/>
      <sheetName val="(C)원내역"/>
      <sheetName val="#REF"/>
      <sheetName val="내역서"/>
      <sheetName val="건축내역"/>
      <sheetName val="자재단가"/>
      <sheetName val="요율"/>
      <sheetName val="06상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보행자로"/>
      <sheetName val="일반구간"/>
      <sheetName val="DATA"/>
      <sheetName val="조명율표"/>
      <sheetName val="Sheet2"/>
      <sheetName val="체감식 "/>
      <sheetName val="일위대가"/>
      <sheetName val="데이타"/>
      <sheetName val="2000년1차"/>
      <sheetName val="2000전체분"/>
      <sheetName val="조경일람"/>
      <sheetName val="약품공급2"/>
      <sheetName val="조명일위"/>
      <sheetName val="간접1"/>
      <sheetName val="#REF"/>
      <sheetName val="계산서4"/>
      <sheetName val="1,2공구원가계산서"/>
      <sheetName val="1공구산출내역서"/>
      <sheetName val="99총공사내역서"/>
      <sheetName val="공사비증감"/>
      <sheetName val="sheet1"/>
      <sheetName val="BID"/>
      <sheetName val="단가일람"/>
      <sheetName val="내역서(전기)"/>
      <sheetName val="주안3차A-A"/>
      <sheetName val="내역"/>
      <sheetName val="문학간접"/>
      <sheetName val="내역서"/>
      <sheetName val="접지수량"/>
      <sheetName val="표  지"/>
      <sheetName val="DB"/>
      <sheetName val="분전반"/>
      <sheetName val="2.1  노무비 평균단가산출"/>
      <sheetName val="기성내역"/>
      <sheetName val="Macro(차단기)"/>
      <sheetName val="산근"/>
      <sheetName val="산출근거"/>
      <sheetName val="DATE"/>
      <sheetName val="원가계산서"/>
      <sheetName val="4.전기"/>
      <sheetName val="건축2"/>
      <sheetName val="자재일람"/>
      <sheetName val="전체"/>
      <sheetName val="전체제잡비"/>
      <sheetName val="신호등일위대가"/>
      <sheetName val="수목표준대가"/>
      <sheetName val="준검 내역서"/>
      <sheetName val="건축내역"/>
      <sheetName val="b_balju"/>
      <sheetName val="G.R300경비"/>
      <sheetName val="Total"/>
      <sheetName val="옥내소화전계산서"/>
      <sheetName val="인부노임"/>
      <sheetName val="N賃率-職"/>
      <sheetName val="노임단가"/>
      <sheetName val="기본단가표"/>
      <sheetName val="단가조사"/>
      <sheetName val="13LPMCC"/>
      <sheetName val="교각1"/>
      <sheetName val="단위단가"/>
      <sheetName val="설계서"/>
      <sheetName val="EBSDATA"/>
      <sheetName val="제조노임"/>
      <sheetName val="당진1,2호기전선관설치및접지4차공사내역서-을지"/>
      <sheetName val="공사비총괄"/>
      <sheetName val="일위목록"/>
      <sheetName val="요율"/>
      <sheetName val="상-교대(A1-A2)"/>
      <sheetName val="기준정보"/>
      <sheetName val="노임"/>
      <sheetName val="전기일위대가"/>
      <sheetName val="갑지"/>
      <sheetName val="앉음벽 (2)"/>
      <sheetName val="견적조건"/>
      <sheetName val="교통대책내역"/>
      <sheetName val="내   역"/>
      <sheetName val="품셈TABLE"/>
      <sheetName val="실행철강하도"/>
      <sheetName val="Data &amp; Result"/>
      <sheetName val="총괄표"/>
      <sheetName val="9GNG운반"/>
      <sheetName val="준공정산"/>
      <sheetName val="적용토목"/>
      <sheetName val="단가조사-2"/>
      <sheetName val="예산명세서"/>
      <sheetName val="설계명세서"/>
      <sheetName val="산출내역서"/>
      <sheetName val="자료입력"/>
      <sheetName val="1차 내역서"/>
      <sheetName val="점검총괄"/>
      <sheetName val="2공구산출내역"/>
      <sheetName val="N賃率_職"/>
      <sheetName val="자재단가"/>
      <sheetName val="전기일위목록"/>
      <sheetName val="기흥하도용"/>
      <sheetName val="관리,공감"/>
      <sheetName val="설계예산서"/>
      <sheetName val="예산내역서"/>
      <sheetName val="49단가"/>
      <sheetName val="직접경비호표"/>
      <sheetName val="현장설명"/>
      <sheetName val="비탈면보호공수량산출"/>
      <sheetName val="전체_1설계"/>
      <sheetName val="노무비"/>
      <sheetName val="산수배수"/>
      <sheetName val="도담구내 개소별 명세"/>
      <sheetName val="실행내역"/>
      <sheetName val="토목주소"/>
      <sheetName val="토목"/>
      <sheetName val="수량(금호)"/>
      <sheetName val="RE9604"/>
      <sheetName val="제잡비"/>
      <sheetName val="경산"/>
      <sheetName val="ELEC"/>
      <sheetName val="인원계획"/>
      <sheetName val="도급"/>
      <sheetName val="전기"/>
      <sheetName val="코드표"/>
      <sheetName val="Sheet1 (2)"/>
      <sheetName val="조경"/>
      <sheetName val="401"/>
      <sheetName val="전체항목"/>
      <sheetName val="설계"/>
      <sheetName val="검암내역"/>
      <sheetName val="조도계산"/>
      <sheetName val="식재가격"/>
      <sheetName val="식재총괄"/>
      <sheetName val="COST"/>
      <sheetName val="철거산출근거"/>
      <sheetName val="하남내역"/>
      <sheetName val="대비"/>
      <sheetName val="1단계"/>
      <sheetName val="원가계산서구조조정"/>
      <sheetName val="96노임기준"/>
      <sheetName val="냉천부속동"/>
      <sheetName val="결재갑지"/>
      <sheetName val="7단가"/>
      <sheetName val="실행기초"/>
      <sheetName val="LD"/>
      <sheetName val="Macro(전선)"/>
      <sheetName val="단가산출"/>
      <sheetName val="조명시설"/>
      <sheetName val="실행대비"/>
      <sheetName val="터파기및재료"/>
      <sheetName val="S0"/>
      <sheetName val="공통가설"/>
      <sheetName val="내역서을"/>
      <sheetName val="실행내역서 "/>
      <sheetName val="위치조서"/>
      <sheetName val="퍼스트"/>
      <sheetName val="전기2005"/>
      <sheetName val="자재단가비교표"/>
      <sheetName val="제작기술지원센터"/>
      <sheetName val="현장관리비참조"/>
      <sheetName val="자산TOTAL"/>
      <sheetName val="22전열"/>
      <sheetName val="천방교접속"/>
      <sheetName val="대포2교접속"/>
      <sheetName val="C1ㅇ"/>
      <sheetName val="원가총괄"/>
      <sheetName val="101동"/>
      <sheetName val="수량산출서"/>
      <sheetName val="시운전연료"/>
      <sheetName val="집계표"/>
      <sheetName val="제경비"/>
      <sheetName val="일위대가목록"/>
      <sheetName val="PAY2002"/>
      <sheetName val="봉양~조차장간고하개명(신설)"/>
      <sheetName val="JUCKEYK"/>
      <sheetName val="설계조건"/>
      <sheetName val="을"/>
      <sheetName val="손익분석"/>
      <sheetName val="총괄내역서"/>
      <sheetName val="전사 (2)"/>
      <sheetName val="BA (2)"/>
      <sheetName val="CP (2)"/>
      <sheetName val="A갑지"/>
      <sheetName val="물량산출근거-지상층"/>
      <sheetName val="잔수량(작성)"/>
      <sheetName val="자재단가표"/>
      <sheetName val="관로내역원"/>
      <sheetName val="플랜트 설치"/>
      <sheetName val="산출기준"/>
      <sheetName val="자동제어"/>
      <sheetName val="프랜트면허"/>
      <sheetName val="직공비"/>
      <sheetName val="DATA1"/>
      <sheetName val="동해title"/>
      <sheetName val="관급자재"/>
      <sheetName val="단가비교"/>
      <sheetName val="전기설계변경"/>
      <sheetName val="단가대비표"/>
      <sheetName val="관리비비계상"/>
      <sheetName val="1안"/>
      <sheetName val="단가비교표"/>
      <sheetName val="제안서"/>
      <sheetName val="행정표준(1)"/>
      <sheetName val="행정표준(2)"/>
      <sheetName val="TEL"/>
      <sheetName val="평면선형"/>
      <sheetName val="#2_일위대가목록"/>
      <sheetName val="일위대가표"/>
      <sheetName val="중기"/>
      <sheetName val="금융비용"/>
      <sheetName val="개소별수량산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자금입금"/>
      <sheetName val="1.취수장"/>
      <sheetName val="Sheet15"/>
      <sheetName val="우수관매설및 우수받이"/>
      <sheetName val="내역기준"/>
      <sheetName val="환율change"/>
      <sheetName val="회로내역(승인)"/>
      <sheetName val="Baby일위대가"/>
      <sheetName val="적점"/>
      <sheetName val="재료"/>
      <sheetName val="남양주부대"/>
      <sheetName val="9811"/>
      <sheetName val="현장조사"/>
      <sheetName val="노무비 근거"/>
      <sheetName val="4)유동표"/>
      <sheetName val="b_balju_cho"/>
      <sheetName val="계수시트"/>
      <sheetName val="일위대가목차"/>
      <sheetName val="1.설계조건"/>
      <sheetName val="시중노임단가"/>
      <sheetName val="8.2TON"/>
      <sheetName val="__MAIN"/>
      <sheetName val="점유현황"/>
      <sheetName val="암거단위-1련"/>
      <sheetName val="현장경비"/>
      <sheetName val="토목내역서"/>
      <sheetName val="전신"/>
      <sheetName val="건축공사"/>
      <sheetName val="간이설계(4-15)"/>
      <sheetName val="진주방향"/>
      <sheetName val="마산방향"/>
      <sheetName val="마산방향철근집계"/>
      <sheetName val="명일작업계획 (3)"/>
      <sheetName val="공사비예산서"/>
      <sheetName val="인사자료총집계"/>
      <sheetName val="CALCULATION"/>
      <sheetName val="수량명세서"/>
      <sheetName val="과업별 상세(계산 1)"/>
      <sheetName val="98지급계획"/>
      <sheetName val="실행(표지,갑,을)"/>
      <sheetName val="단가조사-1"/>
      <sheetName val="시중노임(공사)"/>
      <sheetName val="환경기계공정표 (3)"/>
      <sheetName val="노무비 "/>
      <sheetName val="SILICATE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Resource2"/>
      <sheetName val="단조-노임"/>
      <sheetName val="수량산출서 (2)"/>
      <sheetName val="터널조도"/>
      <sheetName val="입력"/>
      <sheetName val="&lt;--"/>
      <sheetName val="sub"/>
      <sheetName val="목록"/>
      <sheetName val="식재인부"/>
      <sheetName val="2002하반기노임기준"/>
      <sheetName val="품셈"/>
      <sheetName val="BQ(실행)"/>
      <sheetName val="MOTOR"/>
      <sheetName val="수량산출"/>
      <sheetName val="기계실냉난방"/>
      <sheetName val="재료값"/>
      <sheetName val="암거 제원표"/>
      <sheetName val="Sheet16"/>
      <sheetName val="구조물수량집계표"/>
      <sheetName val="코드"/>
      <sheetName val="ABUT수량-A1"/>
      <sheetName val="교각계산"/>
      <sheetName val="단가표"/>
      <sheetName val="잡철물"/>
      <sheetName val="분전반계산서(석관)"/>
      <sheetName val="AS접수관리"/>
      <sheetName val="제조 경영"/>
      <sheetName val="내역(가지)"/>
      <sheetName val="2000노임기준"/>
      <sheetName val="입찰안"/>
      <sheetName val="F-Assump"/>
      <sheetName val="자재co"/>
      <sheetName val="기초입력 DATA"/>
      <sheetName val="교량"/>
      <sheetName val="전선(총)"/>
      <sheetName val="일위산출근거"/>
      <sheetName val="전철"/>
      <sheetName val="예산조서(전송)"/>
      <sheetName val="Macro1"/>
      <sheetName val="지중자재단가"/>
      <sheetName val="MANUFACTORY"/>
      <sheetName val="기초자료입력"/>
      <sheetName val="체감식_"/>
      <sheetName val="표__지"/>
      <sheetName val="2_1__노무비_평균단가산출"/>
      <sheetName val="준검_내역서"/>
      <sheetName val="G_R300경비"/>
      <sheetName val="판"/>
      <sheetName val="통신대가"/>
      <sheetName val="2001년 건설노임"/>
      <sheetName val="자재"/>
      <sheetName val="제수변 수량집계표(보통)"/>
      <sheetName val="Macro2"/>
      <sheetName val="일위CODE"/>
      <sheetName val="효성CB 1P기초"/>
      <sheetName val="금액내역서"/>
      <sheetName val="일반공사"/>
      <sheetName val="노임단가(08.01)"/>
      <sheetName val="현장관리비"/>
      <sheetName val="견적내역"/>
      <sheetName val="단가대비"/>
      <sheetName val="전기산출"/>
      <sheetName val="양식_자재단가조사표"/>
      <sheetName val="설비2차"/>
      <sheetName val="주택(백만원)"/>
      <sheetName val="주택"/>
      <sheetName val="wall"/>
      <sheetName val="설계서(본관)"/>
      <sheetName val="장비 (2)"/>
      <sheetName val="갑지(추정)"/>
      <sheetName val="13.노임단가"/>
      <sheetName val="자재테이블"/>
      <sheetName val="6PILE  (돌출)"/>
      <sheetName val="예산M12A"/>
      <sheetName val="설계예시"/>
      <sheetName val="단가 "/>
      <sheetName val="단가조사_2"/>
      <sheetName val="설계서(7)"/>
      <sheetName val="예산서(6)"/>
      <sheetName val="우각부보강"/>
      <sheetName val="재무조건"/>
      <sheetName val="실행(1)"/>
      <sheetName val="원가"/>
      <sheetName val="내역(원안-대안)"/>
      <sheetName val="공사비총괄표"/>
      <sheetName val="단중표"/>
      <sheetName val="BH-1 (2)"/>
      <sheetName val="토목내역"/>
      <sheetName val="도근좌표"/>
      <sheetName val="5.동별횡주관경"/>
      <sheetName val="부대대비"/>
      <sheetName val="냉연집계"/>
      <sheetName val="경상직원"/>
      <sheetName val="전산망"/>
      <sheetName val="신규일위대가"/>
      <sheetName val="정부노임단가"/>
      <sheetName val="인원"/>
      <sheetName val="설비"/>
      <sheetName val="총괄집계표"/>
      <sheetName val="단위중량"/>
      <sheetName val="여과지동"/>
      <sheetName val="기초자료"/>
      <sheetName val="공사개요"/>
      <sheetName val="입력창"/>
      <sheetName val="단가조사서"/>
      <sheetName val="장비가동집계표"/>
      <sheetName val="제출내역 (2)"/>
      <sheetName val="상행선"/>
      <sheetName val="전입"/>
      <sheetName val="현관"/>
      <sheetName val="기기리스트"/>
      <sheetName val="인부신상자료"/>
      <sheetName val="자재(원원+원대)"/>
      <sheetName val="제품목록"/>
      <sheetName val="EQT-ESTN"/>
      <sheetName val="1공구(입찰내역)"/>
      <sheetName val="A 견적"/>
      <sheetName val="분뇨"/>
      <sheetName val="조건표 (2)"/>
      <sheetName val="공사비산출내역"/>
      <sheetName val="유림총괄"/>
      <sheetName val="한강운반비"/>
      <sheetName val="SUB일위대가(이음)"/>
      <sheetName val="급,배기팬"/>
      <sheetName val="청주(철골발주의뢰서)"/>
      <sheetName val="확약서"/>
      <sheetName val="과천MAIN"/>
      <sheetName val="일반수량총괄"/>
      <sheetName val="98비정기소모"/>
      <sheetName val="공정증감대ㅈ표"/>
      <sheetName val="시중노임"/>
      <sheetName val="기타#9"/>
      <sheetName val="일위"/>
      <sheetName val="단가"/>
      <sheetName val="파일구성"/>
      <sheetName val="오동"/>
      <sheetName val="대조"/>
      <sheetName val="나한"/>
      <sheetName val="견"/>
      <sheetName val="신리"/>
      <sheetName val="지수"/>
      <sheetName val="부대내역"/>
      <sheetName val="수토공단위당"/>
      <sheetName val="SLAB&quot;1&quot;"/>
      <sheetName val="1.설계기준"/>
      <sheetName val="지급자재"/>
      <sheetName val="비교표"/>
      <sheetName val="소업1교"/>
      <sheetName val="투찰내역"/>
      <sheetName val="재학생"/>
      <sheetName val="집1"/>
      <sheetName val="기준"/>
      <sheetName val="직원동원계획"/>
      <sheetName val="공사착공계"/>
      <sheetName val="SHEET PILE단가"/>
      <sheetName val="3.판관비명세서"/>
      <sheetName val="D"/>
      <sheetName val="자금수지"/>
      <sheetName val="사업성"/>
      <sheetName val="6월실적"/>
      <sheetName val="EQ-R1"/>
      <sheetName val="95WBS"/>
      <sheetName val="제노임"/>
      <sheetName val="소비자가"/>
      <sheetName val="말뚝지지력산정"/>
      <sheetName val="Customer Databas"/>
      <sheetName val="수우미양가(Vlookup)"/>
      <sheetName val="분전함신설"/>
      <sheetName val="접지1종"/>
      <sheetName val="통신물량"/>
      <sheetName val="등가관장표"/>
      <sheetName val="Sheet13"/>
      <sheetName val="내역산출자료"/>
      <sheetName val="일위산출"/>
      <sheetName val="기계경비(시간당)"/>
      <sheetName val="eq_data"/>
      <sheetName val="차액보증"/>
      <sheetName val="일위-1"/>
      <sheetName val="물가대비표"/>
      <sheetName val="단가 및 재료비"/>
      <sheetName val="견적"/>
      <sheetName val="국내조달(통합-1)"/>
      <sheetName val="실행내역 "/>
      <sheetName val="노임단가 _2_"/>
      <sheetName val="노임단가 (2)"/>
      <sheetName val="가시설단위수량"/>
      <sheetName val="SORCE1"/>
      <sheetName val="건설성적"/>
      <sheetName val="편입토지조서"/>
      <sheetName val="NEYOK"/>
      <sheetName val="재료비노무비"/>
      <sheetName val="산식3"/>
      <sheetName val="정리부09"/>
      <sheetName val="48전력선로일위"/>
      <sheetName val="SHL"/>
      <sheetName val="6호기"/>
      <sheetName val="앉음벽_(2)"/>
      <sheetName val="Data_&amp;_Result"/>
      <sheetName val="1_취수장"/>
      <sheetName val="토공3"/>
      <sheetName val="돈암사업"/>
      <sheetName val="가격조사서"/>
      <sheetName val="대비2"/>
      <sheetName val="건축원가계산서"/>
      <sheetName val="추가예산"/>
      <sheetName val="관로공사"/>
      <sheetName val="0303"/>
      <sheetName val="2"/>
      <sheetName val="전동기"/>
      <sheetName val="제품"/>
      <sheetName val="6. 안전관리비"/>
      <sheetName val="LF자재단가"/>
      <sheetName val="토내역"/>
      <sheetName val="MILL"/>
      <sheetName val="SHEET"/>
      <sheetName val="안정계산"/>
      <sheetName val="단면검토"/>
      <sheetName val="INPUTDATA"/>
      <sheetName val="원가서"/>
      <sheetName val="8설7발"/>
      <sheetName val="건축"/>
      <sheetName val="간접비계산"/>
      <sheetName val="인건-측정"/>
      <sheetName val="98수문일위"/>
      <sheetName val="Main"/>
      <sheetName val="BLOCK(1)"/>
      <sheetName val="일위대가(1)"/>
      <sheetName val="수량3"/>
      <sheetName val="포장물량집계"/>
      <sheetName val="미드수량"/>
      <sheetName val="장비가동"/>
      <sheetName val="도"/>
      <sheetName val="매입"/>
      <sheetName val="10공구일위"/>
      <sheetName val="재료비"/>
      <sheetName val="토공계산서(부체도로)"/>
      <sheetName val="A LINE"/>
      <sheetName val="예산서"/>
      <sheetName val="공정코드"/>
      <sheetName val="재정비내역"/>
      <sheetName val="지적고시내역"/>
      <sheetName val="공량산출근거서"/>
      <sheetName val="내역서1"/>
      <sheetName val="설비내역서"/>
      <sheetName val="건축내역서"/>
      <sheetName val="전기내역서"/>
      <sheetName val="조경내역서"/>
      <sheetName val="Calcs"/>
      <sheetName val="적용단위길이"/>
      <sheetName val="바닥판"/>
      <sheetName val="FILE1"/>
      <sheetName val="입력DATA"/>
      <sheetName val="대치판정"/>
      <sheetName val="단가산출서"/>
      <sheetName val="배선DATA"/>
      <sheetName val="철근량"/>
      <sheetName val="검토"/>
      <sheetName val="2-1.토목"/>
      <sheetName val="정산을지"/>
      <sheetName val="아파트건축"/>
      <sheetName val="제출내역"/>
      <sheetName val="기존단가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D4" t="str">
            <v>HOUSE SIDE</v>
          </cell>
          <cell r="E4" t="str">
            <v>STREET SIDE</v>
          </cell>
        </row>
        <row r="5">
          <cell r="B5">
            <v>9.9999999999999995E-7</v>
          </cell>
          <cell r="C5">
            <v>0.1</v>
          </cell>
          <cell r="D5">
            <v>0.01</v>
          </cell>
          <cell r="E5">
            <v>3.5000000000000003E-2</v>
          </cell>
        </row>
        <row r="6">
          <cell r="B6">
            <v>0.110001</v>
          </cell>
          <cell r="C6">
            <v>0.11</v>
          </cell>
          <cell r="D6">
            <v>1.14E-2</v>
          </cell>
          <cell r="E6">
            <v>3.7500000000000006E-2</v>
          </cell>
        </row>
        <row r="7">
          <cell r="B7">
            <v>0.120001</v>
          </cell>
          <cell r="C7">
            <v>0.12</v>
          </cell>
          <cell r="D7">
            <v>1.2800000000000001E-2</v>
          </cell>
          <cell r="E7">
            <v>0.04</v>
          </cell>
        </row>
        <row r="8">
          <cell r="B8">
            <v>0.13000100000000001</v>
          </cell>
          <cell r="C8">
            <v>0.13</v>
          </cell>
          <cell r="D8">
            <v>1.4200000000000001E-2</v>
          </cell>
          <cell r="E8">
            <v>4.2500000000000003E-2</v>
          </cell>
        </row>
        <row r="9">
          <cell r="B9">
            <v>0.14000100000000001</v>
          </cell>
          <cell r="C9">
            <v>0.14000000000000001</v>
          </cell>
          <cell r="D9">
            <v>1.5599999999999999E-2</v>
          </cell>
          <cell r="E9">
            <v>4.4999999999999998E-2</v>
          </cell>
        </row>
        <row r="10">
          <cell r="B10">
            <v>0.15000100000000002</v>
          </cell>
          <cell r="C10">
            <v>0.15000000000000002</v>
          </cell>
          <cell r="D10">
            <v>1.7000000000000001E-2</v>
          </cell>
          <cell r="E10">
            <v>4.7500000000000001E-2</v>
          </cell>
        </row>
        <row r="11">
          <cell r="B11">
            <v>0.16000100000000003</v>
          </cell>
          <cell r="C11">
            <v>0.16000000000000003</v>
          </cell>
          <cell r="D11">
            <v>1.84E-2</v>
          </cell>
          <cell r="E11">
            <v>0.05</v>
          </cell>
        </row>
        <row r="12">
          <cell r="B12">
            <v>0.17000100000000004</v>
          </cell>
          <cell r="C12">
            <v>0.17000000000000004</v>
          </cell>
          <cell r="D12">
            <v>1.9799999999999998E-2</v>
          </cell>
          <cell r="E12">
            <v>5.2500000000000005E-2</v>
          </cell>
        </row>
        <row r="13">
          <cell r="B13">
            <v>0.18000100000000005</v>
          </cell>
          <cell r="C13">
            <v>0.18000000000000005</v>
          </cell>
          <cell r="D13">
            <v>2.12E-2</v>
          </cell>
          <cell r="E13">
            <v>5.5E-2</v>
          </cell>
        </row>
        <row r="14">
          <cell r="B14">
            <v>0.19000100000000006</v>
          </cell>
          <cell r="C14">
            <v>0.19000000000000006</v>
          </cell>
          <cell r="D14">
            <v>2.2600000000000002E-2</v>
          </cell>
          <cell r="E14">
            <v>5.7499999999999996E-2</v>
          </cell>
        </row>
        <row r="15">
          <cell r="B15">
            <v>0.20000100000000007</v>
          </cell>
          <cell r="C15">
            <v>0.20000000000000007</v>
          </cell>
          <cell r="D15">
            <v>2.4E-2</v>
          </cell>
          <cell r="E15">
            <v>0.06</v>
          </cell>
        </row>
        <row r="16">
          <cell r="B16">
            <v>0.21000100000000008</v>
          </cell>
          <cell r="C16">
            <v>0.21000000000000008</v>
          </cell>
          <cell r="D16">
            <v>2.46E-2</v>
          </cell>
          <cell r="E16">
            <v>6.3E-2</v>
          </cell>
        </row>
        <row r="17">
          <cell r="B17">
            <v>0.22000100000000009</v>
          </cell>
          <cell r="C17">
            <v>0.22000000000000008</v>
          </cell>
          <cell r="D17">
            <v>2.52E-2</v>
          </cell>
          <cell r="E17">
            <v>6.6000000000000003E-2</v>
          </cell>
        </row>
        <row r="18">
          <cell r="B18">
            <v>0.23000100000000009</v>
          </cell>
          <cell r="C18">
            <v>0.23000000000000009</v>
          </cell>
          <cell r="D18">
            <v>2.58E-2</v>
          </cell>
          <cell r="E18">
            <v>6.9000000000000006E-2</v>
          </cell>
        </row>
        <row r="19">
          <cell r="B19">
            <v>0.2400010000000001</v>
          </cell>
          <cell r="C19">
            <v>0.2400000000000001</v>
          </cell>
          <cell r="D19">
            <v>2.64E-2</v>
          </cell>
          <cell r="E19">
            <v>7.1999999999999995E-2</v>
          </cell>
        </row>
        <row r="20">
          <cell r="B20">
            <v>0.25000100000000008</v>
          </cell>
          <cell r="C20">
            <v>0.25000000000000011</v>
          </cell>
          <cell r="D20">
            <v>2.7E-2</v>
          </cell>
          <cell r="E20">
            <v>7.4999999999999997E-2</v>
          </cell>
        </row>
        <row r="21">
          <cell r="B21">
            <v>0.26000100000000009</v>
          </cell>
          <cell r="C21">
            <v>0.26000000000000012</v>
          </cell>
          <cell r="D21">
            <v>2.76E-2</v>
          </cell>
          <cell r="E21">
            <v>7.8E-2</v>
          </cell>
        </row>
        <row r="22">
          <cell r="B22">
            <v>0.2700010000000001</v>
          </cell>
          <cell r="C22">
            <v>0.27000000000000013</v>
          </cell>
          <cell r="D22">
            <v>2.8199999999999999E-2</v>
          </cell>
          <cell r="E22">
            <v>8.1000000000000003E-2</v>
          </cell>
        </row>
        <row r="23">
          <cell r="B23">
            <v>0.28000100000000011</v>
          </cell>
          <cell r="C23">
            <v>0.28000000000000014</v>
          </cell>
          <cell r="D23">
            <v>2.8799999999999999E-2</v>
          </cell>
          <cell r="E23">
            <v>8.3999999999999991E-2</v>
          </cell>
        </row>
        <row r="24">
          <cell r="B24">
            <v>0.29000100000000012</v>
          </cell>
          <cell r="C24">
            <v>0.29000000000000015</v>
          </cell>
          <cell r="D24">
            <v>2.9399999999999999E-2</v>
          </cell>
          <cell r="E24">
            <v>8.6999999999999994E-2</v>
          </cell>
        </row>
        <row r="25">
          <cell r="B25">
            <v>0.30000100000000013</v>
          </cell>
          <cell r="C25">
            <v>0.30000000000000016</v>
          </cell>
          <cell r="D25">
            <v>0.03</v>
          </cell>
          <cell r="E25">
            <v>0.09</v>
          </cell>
        </row>
        <row r="26">
          <cell r="B26">
            <v>0.31000100000000014</v>
          </cell>
          <cell r="C26">
            <v>0.31000000000000016</v>
          </cell>
          <cell r="D26">
            <v>3.1E-2</v>
          </cell>
          <cell r="E26">
            <v>9.2999999999999999E-2</v>
          </cell>
        </row>
        <row r="27">
          <cell r="B27">
            <v>0.32000100000000015</v>
          </cell>
          <cell r="C27">
            <v>0.32000000000000017</v>
          </cell>
          <cell r="D27">
            <v>3.2000000000000001E-2</v>
          </cell>
          <cell r="E27">
            <v>9.6000000000000002E-2</v>
          </cell>
        </row>
        <row r="28">
          <cell r="B28">
            <v>0.33000100000000016</v>
          </cell>
          <cell r="C28">
            <v>0.33000000000000018</v>
          </cell>
          <cell r="D28">
            <v>3.3000000000000002E-2</v>
          </cell>
          <cell r="E28">
            <v>9.9000000000000005E-2</v>
          </cell>
        </row>
        <row r="29">
          <cell r="B29">
            <v>0.34000100000000016</v>
          </cell>
          <cell r="C29">
            <v>0.34000000000000019</v>
          </cell>
          <cell r="D29">
            <v>3.4000000000000002E-2</v>
          </cell>
          <cell r="E29">
            <v>0.10199999999999999</v>
          </cell>
        </row>
        <row r="30">
          <cell r="B30">
            <v>0.35000100000000017</v>
          </cell>
          <cell r="C30">
            <v>0.3500000000000002</v>
          </cell>
          <cell r="D30">
            <v>3.5000000000000003E-2</v>
          </cell>
          <cell r="E30">
            <v>0.105</v>
          </cell>
        </row>
        <row r="31">
          <cell r="B31">
            <v>0.36000100000000018</v>
          </cell>
          <cell r="C31">
            <v>0.36000000000000021</v>
          </cell>
          <cell r="D31">
            <v>3.6000000000000004E-2</v>
          </cell>
          <cell r="E31">
            <v>0.108</v>
          </cell>
        </row>
        <row r="32">
          <cell r="B32">
            <v>0.37000100000000019</v>
          </cell>
          <cell r="C32">
            <v>0.37000000000000022</v>
          </cell>
          <cell r="D32">
            <v>3.6999999999999998E-2</v>
          </cell>
          <cell r="E32">
            <v>0.111</v>
          </cell>
        </row>
        <row r="33">
          <cell r="B33">
            <v>0.3800010000000002</v>
          </cell>
          <cell r="C33">
            <v>0.38000000000000023</v>
          </cell>
          <cell r="D33">
            <v>3.7999999999999999E-2</v>
          </cell>
          <cell r="E33">
            <v>0.11399999999999999</v>
          </cell>
        </row>
        <row r="34">
          <cell r="B34">
            <v>0.39000100000000021</v>
          </cell>
          <cell r="C34">
            <v>0.39000000000000024</v>
          </cell>
          <cell r="D34">
            <v>3.9E-2</v>
          </cell>
          <cell r="E34">
            <v>0.11699999999999999</v>
          </cell>
        </row>
        <row r="35">
          <cell r="B35">
            <v>0.40000100000000022</v>
          </cell>
          <cell r="C35">
            <v>0.40000000000000024</v>
          </cell>
          <cell r="D35">
            <v>0.04</v>
          </cell>
          <cell r="E35">
            <v>0.12</v>
          </cell>
        </row>
        <row r="36">
          <cell r="B36">
            <v>0.41000100000000023</v>
          </cell>
          <cell r="C36">
            <v>0.41000000000000025</v>
          </cell>
          <cell r="D36">
            <v>4.1000000000000002E-2</v>
          </cell>
          <cell r="E36">
            <v>0.123</v>
          </cell>
        </row>
        <row r="37">
          <cell r="B37">
            <v>0.42000100000000024</v>
          </cell>
          <cell r="C37">
            <v>0.42000000000000026</v>
          </cell>
          <cell r="D37">
            <v>4.2000000000000003E-2</v>
          </cell>
          <cell r="E37">
            <v>0.126</v>
          </cell>
        </row>
        <row r="38">
          <cell r="B38">
            <v>0.43000100000000024</v>
          </cell>
          <cell r="C38">
            <v>0.43000000000000027</v>
          </cell>
          <cell r="D38">
            <v>4.3000000000000003E-2</v>
          </cell>
          <cell r="E38">
            <v>0.129</v>
          </cell>
        </row>
        <row r="39">
          <cell r="B39">
            <v>0.44000100000000025</v>
          </cell>
          <cell r="C39">
            <v>0.44000000000000028</v>
          </cell>
          <cell r="D39">
            <v>4.4000000000000004E-2</v>
          </cell>
          <cell r="E39">
            <v>0.13200000000000001</v>
          </cell>
        </row>
        <row r="40">
          <cell r="B40">
            <v>0.45000100000000026</v>
          </cell>
          <cell r="C40">
            <v>0.45000000000000029</v>
          </cell>
          <cell r="D40">
            <v>4.4999999999999998E-2</v>
          </cell>
          <cell r="E40">
            <v>0.13500000000000001</v>
          </cell>
        </row>
        <row r="41">
          <cell r="B41">
            <v>0.46000100000000027</v>
          </cell>
          <cell r="C41">
            <v>0.4600000000000003</v>
          </cell>
          <cell r="D41">
            <v>4.5999999999999999E-2</v>
          </cell>
          <cell r="E41">
            <v>0.13800000000000001</v>
          </cell>
        </row>
        <row r="42">
          <cell r="B42">
            <v>0.47000100000000028</v>
          </cell>
          <cell r="C42">
            <v>0.47000000000000031</v>
          </cell>
          <cell r="D42">
            <v>4.7E-2</v>
          </cell>
          <cell r="E42">
            <v>0.14099999999999999</v>
          </cell>
        </row>
        <row r="43">
          <cell r="B43">
            <v>0.48000100000000029</v>
          </cell>
          <cell r="C43">
            <v>0.48000000000000032</v>
          </cell>
          <cell r="D43">
            <v>4.8000000000000001E-2</v>
          </cell>
          <cell r="E43">
            <v>0.14399999999999999</v>
          </cell>
        </row>
        <row r="44">
          <cell r="B44">
            <v>0.4900010000000003</v>
          </cell>
          <cell r="C44">
            <v>0.49000000000000032</v>
          </cell>
          <cell r="D44">
            <v>4.9000000000000002E-2</v>
          </cell>
          <cell r="E44">
            <v>0.14699999999999999</v>
          </cell>
        </row>
        <row r="45">
          <cell r="B45">
            <v>0.50000100000000036</v>
          </cell>
          <cell r="C45">
            <v>0.50000000000000033</v>
          </cell>
          <cell r="D45">
            <v>0.05</v>
          </cell>
          <cell r="E45">
            <v>0.15</v>
          </cell>
        </row>
        <row r="46">
          <cell r="B46">
            <v>0.51000100000000037</v>
          </cell>
          <cell r="C46">
            <v>0.51000000000000034</v>
          </cell>
          <cell r="D46">
            <v>5.0700000000000002E-2</v>
          </cell>
          <cell r="E46">
            <v>0.153</v>
          </cell>
        </row>
        <row r="47">
          <cell r="B47">
            <v>0.52000100000000038</v>
          </cell>
          <cell r="C47">
            <v>0.52000000000000035</v>
          </cell>
          <cell r="D47">
            <v>5.1400000000000001E-2</v>
          </cell>
          <cell r="E47">
            <v>0.156</v>
          </cell>
        </row>
        <row r="48">
          <cell r="B48">
            <v>0.53000100000000039</v>
          </cell>
          <cell r="C48">
            <v>0.53000000000000036</v>
          </cell>
          <cell r="D48">
            <v>5.21E-2</v>
          </cell>
          <cell r="E48">
            <v>0.159</v>
          </cell>
        </row>
        <row r="49">
          <cell r="B49">
            <v>0.5400010000000004</v>
          </cell>
          <cell r="C49">
            <v>0.54000000000000037</v>
          </cell>
          <cell r="D49">
            <v>5.28E-2</v>
          </cell>
          <cell r="E49">
            <v>0.16200000000000001</v>
          </cell>
        </row>
        <row r="50">
          <cell r="B50">
            <v>0.55000100000000041</v>
          </cell>
          <cell r="C50">
            <v>0.55000000000000038</v>
          </cell>
          <cell r="D50">
            <v>5.3500000000000006E-2</v>
          </cell>
          <cell r="E50">
            <v>0.16499999999999998</v>
          </cell>
        </row>
        <row r="51">
          <cell r="B51">
            <v>0.56000100000000042</v>
          </cell>
          <cell r="C51">
            <v>0.56000000000000039</v>
          </cell>
          <cell r="D51">
            <v>5.4199999999999998E-2</v>
          </cell>
          <cell r="E51">
            <v>0.16799999999999998</v>
          </cell>
        </row>
        <row r="52">
          <cell r="B52">
            <v>0.57000100000000042</v>
          </cell>
          <cell r="C52">
            <v>0.5700000000000004</v>
          </cell>
          <cell r="D52">
            <v>5.4900000000000004E-2</v>
          </cell>
          <cell r="E52">
            <v>0.17099999999999999</v>
          </cell>
        </row>
        <row r="53">
          <cell r="B53">
            <v>0.58000100000000043</v>
          </cell>
          <cell r="C53">
            <v>0.5800000000000004</v>
          </cell>
          <cell r="D53">
            <v>5.5600000000000004E-2</v>
          </cell>
          <cell r="E53">
            <v>0.17399999999999999</v>
          </cell>
        </row>
        <row r="54">
          <cell r="B54">
            <v>0.59000100000000044</v>
          </cell>
          <cell r="C54">
            <v>0.59000000000000041</v>
          </cell>
          <cell r="D54">
            <v>5.6300000000000003E-2</v>
          </cell>
          <cell r="E54">
            <v>0.17699999999999999</v>
          </cell>
        </row>
        <row r="55">
          <cell r="B55">
            <v>0.60000100000000045</v>
          </cell>
          <cell r="C55">
            <v>0.60000000000000042</v>
          </cell>
          <cell r="D55">
            <v>5.7000000000000002E-2</v>
          </cell>
          <cell r="E55">
            <v>0.18</v>
          </cell>
        </row>
        <row r="56">
          <cell r="B56">
            <v>0.61000100000000046</v>
          </cell>
          <cell r="C56">
            <v>0.61000000000000043</v>
          </cell>
          <cell r="D56">
            <v>5.7599999999999998E-2</v>
          </cell>
          <cell r="E56">
            <v>0.183</v>
          </cell>
        </row>
        <row r="57">
          <cell r="B57">
            <v>0.62000100000000047</v>
          </cell>
          <cell r="C57">
            <v>0.62000000000000044</v>
          </cell>
          <cell r="D57">
            <v>5.8200000000000002E-2</v>
          </cell>
          <cell r="E57">
            <v>0.186</v>
          </cell>
        </row>
        <row r="58">
          <cell r="B58">
            <v>0.63000100000000048</v>
          </cell>
          <cell r="C58">
            <v>0.63000000000000045</v>
          </cell>
          <cell r="D58">
            <v>5.8800000000000005E-2</v>
          </cell>
          <cell r="E58">
            <v>0.189</v>
          </cell>
        </row>
        <row r="59">
          <cell r="B59">
            <v>0.64000100000000049</v>
          </cell>
          <cell r="C59">
            <v>0.64000000000000046</v>
          </cell>
          <cell r="D59">
            <v>5.9400000000000001E-2</v>
          </cell>
          <cell r="E59">
            <v>0.192</v>
          </cell>
        </row>
        <row r="60">
          <cell r="B60">
            <v>0.6500010000000005</v>
          </cell>
          <cell r="C60">
            <v>0.65000000000000047</v>
          </cell>
          <cell r="D60">
            <v>0.06</v>
          </cell>
          <cell r="E60">
            <v>0.19500000000000001</v>
          </cell>
        </row>
        <row r="61">
          <cell r="B61">
            <v>0.6600010000000005</v>
          </cell>
          <cell r="C61">
            <v>0.66000000000000048</v>
          </cell>
          <cell r="D61">
            <v>6.0600000000000001E-2</v>
          </cell>
          <cell r="E61">
            <v>0.19800000000000001</v>
          </cell>
        </row>
        <row r="62">
          <cell r="B62">
            <v>0.67000100000000051</v>
          </cell>
          <cell r="C62">
            <v>0.67000000000000048</v>
          </cell>
          <cell r="D62">
            <v>6.1200000000000004E-2</v>
          </cell>
          <cell r="E62">
            <v>0.20099999999999998</v>
          </cell>
        </row>
        <row r="63">
          <cell r="B63">
            <v>0.68000100000000052</v>
          </cell>
          <cell r="C63">
            <v>0.68000000000000049</v>
          </cell>
          <cell r="D63">
            <v>6.1800000000000001E-2</v>
          </cell>
          <cell r="E63">
            <v>0.20399999999999999</v>
          </cell>
        </row>
        <row r="64">
          <cell r="B64">
            <v>0.69000100000000053</v>
          </cell>
          <cell r="C64">
            <v>0.6900000000000005</v>
          </cell>
          <cell r="D64">
            <v>6.2399999999999997E-2</v>
          </cell>
          <cell r="E64">
            <v>0.20699999999999999</v>
          </cell>
        </row>
        <row r="65">
          <cell r="B65">
            <v>0.70000100000000054</v>
          </cell>
          <cell r="C65">
            <v>0.70000000000000051</v>
          </cell>
          <cell r="D65">
            <v>6.3E-2</v>
          </cell>
          <cell r="E65">
            <v>0.21</v>
          </cell>
        </row>
        <row r="66">
          <cell r="B66">
            <v>0.71000100000000055</v>
          </cell>
          <cell r="C66">
            <v>0.71000000000000052</v>
          </cell>
          <cell r="D66">
            <v>6.3700000000000007E-2</v>
          </cell>
          <cell r="E66">
            <v>0.21299999999999999</v>
          </cell>
        </row>
        <row r="67">
          <cell r="B67">
            <v>0.72000100000000056</v>
          </cell>
          <cell r="C67">
            <v>0.72000000000000053</v>
          </cell>
          <cell r="D67">
            <v>6.4399999999999999E-2</v>
          </cell>
          <cell r="E67">
            <v>0.216</v>
          </cell>
        </row>
        <row r="68">
          <cell r="B68">
            <v>0.73000100000000057</v>
          </cell>
          <cell r="C68">
            <v>0.73000000000000054</v>
          </cell>
          <cell r="D68">
            <v>6.5100000000000005E-2</v>
          </cell>
          <cell r="E68">
            <v>0.219</v>
          </cell>
        </row>
        <row r="69">
          <cell r="B69">
            <v>0.74000100000000057</v>
          </cell>
          <cell r="C69">
            <v>0.74000000000000055</v>
          </cell>
          <cell r="D69">
            <v>6.5799999999999997E-2</v>
          </cell>
          <cell r="E69">
            <v>0.222</v>
          </cell>
        </row>
        <row r="70">
          <cell r="B70">
            <v>0.75000100000000058</v>
          </cell>
          <cell r="C70">
            <v>0.75000000000000056</v>
          </cell>
          <cell r="D70">
            <v>6.6500000000000004E-2</v>
          </cell>
          <cell r="E70">
            <v>0.22499999999999998</v>
          </cell>
        </row>
        <row r="71">
          <cell r="B71">
            <v>0.76000100000000059</v>
          </cell>
          <cell r="C71">
            <v>0.76000000000000056</v>
          </cell>
          <cell r="D71">
            <v>6.720000000000001E-2</v>
          </cell>
          <cell r="E71">
            <v>0.22799999999999998</v>
          </cell>
        </row>
        <row r="72">
          <cell r="B72">
            <v>0.7700010000000006</v>
          </cell>
          <cell r="C72">
            <v>0.77000000000000057</v>
          </cell>
          <cell r="D72">
            <v>6.7900000000000002E-2</v>
          </cell>
          <cell r="E72">
            <v>0.23099999999999998</v>
          </cell>
        </row>
        <row r="73">
          <cell r="B73">
            <v>0.78000100000000061</v>
          </cell>
          <cell r="C73">
            <v>0.78000000000000058</v>
          </cell>
          <cell r="D73">
            <v>6.8600000000000008E-2</v>
          </cell>
          <cell r="E73">
            <v>0.23399999999999999</v>
          </cell>
        </row>
        <row r="74">
          <cell r="B74">
            <v>0.79000100000000062</v>
          </cell>
          <cell r="C74">
            <v>0.79000000000000059</v>
          </cell>
          <cell r="D74">
            <v>6.93E-2</v>
          </cell>
          <cell r="E74">
            <v>0.23699999999999999</v>
          </cell>
        </row>
        <row r="75">
          <cell r="B75">
            <v>0.80000100000000063</v>
          </cell>
          <cell r="C75">
            <v>0.8000000000000006</v>
          </cell>
          <cell r="D75">
            <v>7.0000000000000007E-2</v>
          </cell>
          <cell r="E75">
            <v>0.24</v>
          </cell>
        </row>
        <row r="76">
          <cell r="B76">
            <v>0.81000100000000064</v>
          </cell>
          <cell r="C76">
            <v>0.81000000000000061</v>
          </cell>
          <cell r="D76">
            <v>7.060000000000001E-2</v>
          </cell>
          <cell r="E76">
            <v>0.24299999999999999</v>
          </cell>
        </row>
        <row r="77">
          <cell r="B77">
            <v>0.82000100000000065</v>
          </cell>
          <cell r="C77">
            <v>0.82000000000000062</v>
          </cell>
          <cell r="D77">
            <v>7.1199999999999999E-2</v>
          </cell>
          <cell r="E77">
            <v>0.246</v>
          </cell>
        </row>
        <row r="78">
          <cell r="B78">
            <v>0.83000100000000065</v>
          </cell>
          <cell r="C78">
            <v>0.83000000000000063</v>
          </cell>
          <cell r="D78">
            <v>7.1800000000000003E-2</v>
          </cell>
          <cell r="E78">
            <v>0.249</v>
          </cell>
        </row>
        <row r="79">
          <cell r="B79">
            <v>0.84000100000000066</v>
          </cell>
          <cell r="C79">
            <v>0.84000000000000064</v>
          </cell>
          <cell r="D79">
            <v>7.2400000000000006E-2</v>
          </cell>
          <cell r="E79">
            <v>0.252</v>
          </cell>
        </row>
        <row r="80">
          <cell r="B80">
            <v>0.85000100000000067</v>
          </cell>
          <cell r="C80">
            <v>0.85000000000000064</v>
          </cell>
          <cell r="D80">
            <v>7.3000000000000009E-2</v>
          </cell>
          <cell r="E80">
            <v>0.255</v>
          </cell>
        </row>
        <row r="81">
          <cell r="B81">
            <v>0.86000100000000068</v>
          </cell>
          <cell r="C81">
            <v>0.86000000000000065</v>
          </cell>
          <cell r="D81">
            <v>7.3599999999999999E-2</v>
          </cell>
          <cell r="E81">
            <v>0.25800000000000001</v>
          </cell>
        </row>
        <row r="82">
          <cell r="B82">
            <v>0.87000100000000069</v>
          </cell>
          <cell r="C82">
            <v>0.87000000000000066</v>
          </cell>
          <cell r="D82">
            <v>7.4200000000000002E-2</v>
          </cell>
          <cell r="E82">
            <v>0.26100000000000001</v>
          </cell>
        </row>
        <row r="83">
          <cell r="B83">
            <v>0.8800010000000007</v>
          </cell>
          <cell r="C83">
            <v>0.88000000000000067</v>
          </cell>
          <cell r="D83">
            <v>7.4800000000000005E-2</v>
          </cell>
          <cell r="E83">
            <v>0.26400000000000001</v>
          </cell>
        </row>
        <row r="84">
          <cell r="B84">
            <v>0.89000100000000071</v>
          </cell>
          <cell r="C84">
            <v>0.89000000000000068</v>
          </cell>
          <cell r="D84">
            <v>7.5399999999999995E-2</v>
          </cell>
          <cell r="E84">
            <v>0.26700000000000002</v>
          </cell>
        </row>
        <row r="85">
          <cell r="B85">
            <v>0.90000100000000072</v>
          </cell>
          <cell r="C85">
            <v>0.90000000000000069</v>
          </cell>
          <cell r="D85">
            <v>7.5999999999999998E-2</v>
          </cell>
          <cell r="E85">
            <v>0.27</v>
          </cell>
        </row>
        <row r="86">
          <cell r="B86">
            <v>0.91000100000000073</v>
          </cell>
          <cell r="C86">
            <v>0.9100000000000007</v>
          </cell>
          <cell r="D86">
            <v>7.6399999999999996E-2</v>
          </cell>
          <cell r="E86">
            <v>0.27200000000000002</v>
          </cell>
        </row>
        <row r="87">
          <cell r="B87">
            <v>0.92000100000000073</v>
          </cell>
          <cell r="C87">
            <v>0.92000000000000071</v>
          </cell>
          <cell r="D87">
            <v>7.6799999999999993E-2</v>
          </cell>
          <cell r="E87">
            <v>0.27400000000000002</v>
          </cell>
        </row>
        <row r="88">
          <cell r="B88">
            <v>0.93000100000000074</v>
          </cell>
          <cell r="C88">
            <v>0.93000000000000071</v>
          </cell>
          <cell r="D88">
            <v>7.7200000000000005E-2</v>
          </cell>
          <cell r="E88">
            <v>0.27600000000000002</v>
          </cell>
        </row>
        <row r="89">
          <cell r="B89">
            <v>0.94000100000000075</v>
          </cell>
          <cell r="C89">
            <v>0.94000000000000072</v>
          </cell>
          <cell r="D89">
            <v>7.7600000000000002E-2</v>
          </cell>
          <cell r="E89">
            <v>0.27800000000000002</v>
          </cell>
        </row>
        <row r="90">
          <cell r="B90">
            <v>0.95000100000000076</v>
          </cell>
          <cell r="C90">
            <v>0.95000000000000073</v>
          </cell>
          <cell r="D90">
            <v>7.8E-2</v>
          </cell>
          <cell r="E90">
            <v>0.28000000000000003</v>
          </cell>
        </row>
        <row r="91">
          <cell r="B91">
            <v>0.96000100000000077</v>
          </cell>
          <cell r="C91">
            <v>0.96000000000000074</v>
          </cell>
          <cell r="D91">
            <v>7.8399999999999997E-2</v>
          </cell>
          <cell r="E91">
            <v>0.28199999999999997</v>
          </cell>
        </row>
        <row r="92">
          <cell r="B92">
            <v>0.97000100000000078</v>
          </cell>
          <cell r="C92">
            <v>0.97000000000000075</v>
          </cell>
          <cell r="D92">
            <v>7.8799999999999995E-2</v>
          </cell>
          <cell r="E92">
            <v>0.28399999999999997</v>
          </cell>
        </row>
        <row r="93">
          <cell r="B93">
            <v>0.98000100000000079</v>
          </cell>
          <cell r="C93">
            <v>0.98000000000000076</v>
          </cell>
          <cell r="D93">
            <v>7.9200000000000007E-2</v>
          </cell>
          <cell r="E93">
            <v>0.28599999999999998</v>
          </cell>
        </row>
        <row r="94">
          <cell r="B94">
            <v>0.9900010000000008</v>
          </cell>
          <cell r="C94">
            <v>0.99000000000000077</v>
          </cell>
          <cell r="D94">
            <v>7.9600000000000004E-2</v>
          </cell>
          <cell r="E94">
            <v>0.28799999999999998</v>
          </cell>
        </row>
        <row r="95">
          <cell r="B95">
            <v>1.0000010000000006</v>
          </cell>
          <cell r="C95">
            <v>1.0000000000000007</v>
          </cell>
          <cell r="D95">
            <v>0.08</v>
          </cell>
          <cell r="E95">
            <v>0.28999999999999998</v>
          </cell>
        </row>
        <row r="96">
          <cell r="B96">
            <v>1.0100010000000006</v>
          </cell>
          <cell r="C96">
            <v>1.0100000000000007</v>
          </cell>
          <cell r="D96">
            <v>8.0500000000000002E-2</v>
          </cell>
          <cell r="E96">
            <v>0.29269999999999996</v>
          </cell>
        </row>
        <row r="97">
          <cell r="B97">
            <v>1.0200010000000006</v>
          </cell>
          <cell r="C97">
            <v>1.0200000000000007</v>
          </cell>
          <cell r="D97">
            <v>8.1000000000000003E-2</v>
          </cell>
          <cell r="E97">
            <v>0.2954</v>
          </cell>
        </row>
        <row r="98">
          <cell r="B98">
            <v>1.0300010000000006</v>
          </cell>
          <cell r="C98">
            <v>1.0300000000000007</v>
          </cell>
          <cell r="D98">
            <v>8.1500000000000003E-2</v>
          </cell>
          <cell r="E98">
            <v>0.29809999999999998</v>
          </cell>
        </row>
        <row r="99">
          <cell r="B99">
            <v>1.0400010000000006</v>
          </cell>
          <cell r="C99">
            <v>1.0400000000000007</v>
          </cell>
          <cell r="D99">
            <v>8.2000000000000003E-2</v>
          </cell>
          <cell r="E99">
            <v>0.30080000000000001</v>
          </cell>
        </row>
        <row r="100">
          <cell r="B100">
            <v>1.0500010000000006</v>
          </cell>
          <cell r="C100">
            <v>1.0500000000000007</v>
          </cell>
          <cell r="D100">
            <v>8.2500000000000004E-2</v>
          </cell>
          <cell r="E100">
            <v>0.30349999999999999</v>
          </cell>
        </row>
        <row r="101">
          <cell r="B101">
            <v>1.0600010000000006</v>
          </cell>
          <cell r="C101">
            <v>1.0600000000000007</v>
          </cell>
          <cell r="D101">
            <v>8.3000000000000004E-2</v>
          </cell>
          <cell r="E101">
            <v>0.30619999999999997</v>
          </cell>
        </row>
        <row r="102">
          <cell r="B102">
            <v>1.0700010000000006</v>
          </cell>
          <cell r="C102">
            <v>1.0700000000000007</v>
          </cell>
          <cell r="D102">
            <v>8.3500000000000005E-2</v>
          </cell>
          <cell r="E102">
            <v>0.30890000000000001</v>
          </cell>
        </row>
        <row r="103">
          <cell r="B103">
            <v>1.0800010000000007</v>
          </cell>
          <cell r="C103">
            <v>1.0800000000000007</v>
          </cell>
          <cell r="D103">
            <v>8.4000000000000005E-2</v>
          </cell>
          <cell r="E103">
            <v>0.31159999999999999</v>
          </cell>
        </row>
        <row r="104">
          <cell r="B104">
            <v>1.0900010000000007</v>
          </cell>
          <cell r="C104">
            <v>1.0900000000000007</v>
          </cell>
          <cell r="D104">
            <v>8.4500000000000006E-2</v>
          </cell>
          <cell r="E104">
            <v>0.31430000000000002</v>
          </cell>
        </row>
        <row r="105">
          <cell r="B105">
            <v>1.1000010000000007</v>
          </cell>
          <cell r="C105">
            <v>1.1000000000000008</v>
          </cell>
          <cell r="D105">
            <v>8.5000000000000006E-2</v>
          </cell>
          <cell r="E105">
            <v>0.317</v>
          </cell>
        </row>
        <row r="106">
          <cell r="B106">
            <v>1.1100010000000007</v>
          </cell>
          <cell r="C106">
            <v>1.1100000000000008</v>
          </cell>
          <cell r="D106">
            <v>8.5500000000000007E-2</v>
          </cell>
          <cell r="E106">
            <v>0.31930000000000003</v>
          </cell>
        </row>
        <row r="107">
          <cell r="B107">
            <v>1.1200010000000007</v>
          </cell>
          <cell r="C107">
            <v>1.1200000000000008</v>
          </cell>
          <cell r="D107">
            <v>8.6000000000000007E-2</v>
          </cell>
          <cell r="E107">
            <v>0.3216</v>
          </cell>
        </row>
        <row r="108">
          <cell r="B108">
            <v>1.1300010000000007</v>
          </cell>
          <cell r="C108">
            <v>1.1300000000000008</v>
          </cell>
          <cell r="D108">
            <v>8.6500000000000007E-2</v>
          </cell>
          <cell r="E108">
            <v>0.32390000000000002</v>
          </cell>
        </row>
        <row r="109">
          <cell r="B109">
            <v>1.1400010000000007</v>
          </cell>
          <cell r="C109">
            <v>1.1400000000000008</v>
          </cell>
          <cell r="D109">
            <v>8.7000000000000008E-2</v>
          </cell>
          <cell r="E109">
            <v>0.32619999999999999</v>
          </cell>
        </row>
        <row r="110">
          <cell r="B110">
            <v>1.1500010000000007</v>
          </cell>
          <cell r="C110">
            <v>1.1500000000000008</v>
          </cell>
          <cell r="D110">
            <v>8.7499999999999994E-2</v>
          </cell>
          <cell r="E110">
            <v>0.32850000000000001</v>
          </cell>
        </row>
        <row r="111">
          <cell r="B111">
            <v>1.1600010000000007</v>
          </cell>
          <cell r="C111">
            <v>1.1600000000000008</v>
          </cell>
          <cell r="D111">
            <v>8.7999999999999995E-2</v>
          </cell>
          <cell r="E111">
            <v>0.33080000000000004</v>
          </cell>
        </row>
        <row r="112">
          <cell r="B112">
            <v>1.1700010000000007</v>
          </cell>
          <cell r="C112">
            <v>1.1700000000000008</v>
          </cell>
          <cell r="D112">
            <v>8.8499999999999995E-2</v>
          </cell>
          <cell r="E112">
            <v>0.33310000000000001</v>
          </cell>
        </row>
        <row r="113">
          <cell r="B113">
            <v>1.1800010000000007</v>
          </cell>
          <cell r="C113">
            <v>1.1800000000000008</v>
          </cell>
          <cell r="D113">
            <v>8.8999999999999996E-2</v>
          </cell>
          <cell r="E113">
            <v>0.33540000000000003</v>
          </cell>
        </row>
        <row r="114">
          <cell r="B114">
            <v>1.1900010000000008</v>
          </cell>
          <cell r="C114">
            <v>1.1900000000000008</v>
          </cell>
          <cell r="D114">
            <v>8.9499999999999996E-2</v>
          </cell>
          <cell r="E114">
            <v>0.3377</v>
          </cell>
        </row>
        <row r="115">
          <cell r="B115">
            <v>1.2000010000000008</v>
          </cell>
          <cell r="C115">
            <v>1.2000000000000008</v>
          </cell>
          <cell r="D115">
            <v>0.09</v>
          </cell>
          <cell r="E115">
            <v>0.34</v>
          </cell>
        </row>
        <row r="116">
          <cell r="B116">
            <v>1.2100010000000008</v>
          </cell>
          <cell r="C116">
            <v>1.2100000000000009</v>
          </cell>
          <cell r="D116">
            <v>9.0200000000000002E-2</v>
          </cell>
          <cell r="E116">
            <v>0.34160000000000001</v>
          </cell>
        </row>
        <row r="117">
          <cell r="B117">
            <v>1.2200010000000008</v>
          </cell>
          <cell r="C117">
            <v>1.2200000000000009</v>
          </cell>
          <cell r="D117">
            <v>9.0399999999999994E-2</v>
          </cell>
          <cell r="E117">
            <v>0.34320000000000001</v>
          </cell>
        </row>
        <row r="118">
          <cell r="B118">
            <v>1.2300010000000008</v>
          </cell>
          <cell r="C118">
            <v>1.2300000000000009</v>
          </cell>
          <cell r="D118">
            <v>9.06E-2</v>
          </cell>
          <cell r="E118">
            <v>0.3448</v>
          </cell>
        </row>
        <row r="119">
          <cell r="B119">
            <v>1.2400010000000008</v>
          </cell>
          <cell r="C119">
            <v>1.2400000000000009</v>
          </cell>
          <cell r="D119">
            <v>9.0799999999999992E-2</v>
          </cell>
          <cell r="E119">
            <v>0.34639999999999999</v>
          </cell>
        </row>
        <row r="120">
          <cell r="B120">
            <v>1.2500010000000008</v>
          </cell>
          <cell r="C120">
            <v>1.2500000000000009</v>
          </cell>
          <cell r="D120">
            <v>9.0999999999999998E-2</v>
          </cell>
          <cell r="E120">
            <v>0.34799999999999998</v>
          </cell>
        </row>
        <row r="121">
          <cell r="B121">
            <v>1.2600010000000008</v>
          </cell>
          <cell r="C121">
            <v>1.2600000000000009</v>
          </cell>
          <cell r="D121">
            <v>9.1200000000000003E-2</v>
          </cell>
          <cell r="E121">
            <v>0.34960000000000002</v>
          </cell>
        </row>
        <row r="122">
          <cell r="B122">
            <v>1.2700010000000008</v>
          </cell>
          <cell r="C122">
            <v>1.2700000000000009</v>
          </cell>
          <cell r="D122">
            <v>9.1399999999999995E-2</v>
          </cell>
          <cell r="E122">
            <v>0.35120000000000001</v>
          </cell>
        </row>
        <row r="123">
          <cell r="B123">
            <v>1.2800010000000008</v>
          </cell>
          <cell r="C123">
            <v>1.2800000000000009</v>
          </cell>
          <cell r="D123">
            <v>9.1600000000000001E-2</v>
          </cell>
          <cell r="E123">
            <v>0.3528</v>
          </cell>
        </row>
        <row r="124">
          <cell r="B124">
            <v>1.2900010000000008</v>
          </cell>
          <cell r="C124">
            <v>1.2900000000000009</v>
          </cell>
          <cell r="D124">
            <v>9.1799999999999993E-2</v>
          </cell>
          <cell r="E124">
            <v>0.35439999999999999</v>
          </cell>
        </row>
        <row r="125">
          <cell r="B125">
            <v>1.3000010000000009</v>
          </cell>
          <cell r="C125">
            <v>1.3000000000000009</v>
          </cell>
          <cell r="D125">
            <v>9.1999999999999998E-2</v>
          </cell>
          <cell r="E125">
            <v>0.35599999999999998</v>
          </cell>
        </row>
        <row r="126">
          <cell r="B126">
            <v>1.3100010000000009</v>
          </cell>
          <cell r="C126">
            <v>1.3100000000000009</v>
          </cell>
          <cell r="D126">
            <v>9.2399999999999996E-2</v>
          </cell>
          <cell r="E126">
            <v>0.3574</v>
          </cell>
        </row>
        <row r="127">
          <cell r="B127">
            <v>1.3200010000000009</v>
          </cell>
          <cell r="C127">
            <v>1.320000000000001</v>
          </cell>
          <cell r="D127">
            <v>9.2799999999999994E-2</v>
          </cell>
          <cell r="E127">
            <v>0.35880000000000001</v>
          </cell>
        </row>
        <row r="128">
          <cell r="B128">
            <v>1.3300010000000009</v>
          </cell>
          <cell r="C128">
            <v>1.330000000000001</v>
          </cell>
          <cell r="D128">
            <v>9.3200000000000005E-2</v>
          </cell>
          <cell r="E128">
            <v>0.36019999999999996</v>
          </cell>
        </row>
        <row r="129">
          <cell r="B129">
            <v>1.3400010000000009</v>
          </cell>
          <cell r="C129">
            <v>1.340000000000001</v>
          </cell>
          <cell r="D129">
            <v>9.3600000000000003E-2</v>
          </cell>
          <cell r="E129">
            <v>0.36159999999999998</v>
          </cell>
        </row>
        <row r="130">
          <cell r="B130">
            <v>1.3500010000000009</v>
          </cell>
          <cell r="C130">
            <v>1.350000000000001</v>
          </cell>
          <cell r="D130">
            <v>9.4E-2</v>
          </cell>
          <cell r="E130">
            <v>0.36299999999999999</v>
          </cell>
        </row>
        <row r="131">
          <cell r="B131">
            <v>1.3600010000000009</v>
          </cell>
          <cell r="C131">
            <v>1.360000000000001</v>
          </cell>
          <cell r="D131">
            <v>9.4399999999999998E-2</v>
          </cell>
          <cell r="E131">
            <v>0.3644</v>
          </cell>
        </row>
        <row r="132">
          <cell r="B132">
            <v>1.3700010000000009</v>
          </cell>
          <cell r="C132">
            <v>1.370000000000001</v>
          </cell>
          <cell r="D132">
            <v>9.4799999999999995E-2</v>
          </cell>
          <cell r="E132">
            <v>0.36580000000000001</v>
          </cell>
        </row>
        <row r="133">
          <cell r="B133">
            <v>1.3800010000000009</v>
          </cell>
          <cell r="C133">
            <v>1.380000000000001</v>
          </cell>
          <cell r="D133">
            <v>9.5200000000000007E-2</v>
          </cell>
          <cell r="E133">
            <v>0.36719999999999997</v>
          </cell>
        </row>
        <row r="134">
          <cell r="B134">
            <v>1.3900010000000009</v>
          </cell>
          <cell r="C134">
            <v>1.390000000000001</v>
          </cell>
          <cell r="D134">
            <v>9.5600000000000004E-2</v>
          </cell>
          <cell r="E134">
            <v>0.36859999999999998</v>
          </cell>
        </row>
        <row r="135">
          <cell r="B135">
            <v>1.4000010000000009</v>
          </cell>
          <cell r="C135">
            <v>1.400000000000001</v>
          </cell>
          <cell r="D135">
            <v>9.6000000000000002E-2</v>
          </cell>
          <cell r="E135">
            <v>0.37</v>
          </cell>
        </row>
        <row r="136">
          <cell r="B136">
            <v>1.4100010000000009</v>
          </cell>
          <cell r="C136">
            <v>1.410000000000001</v>
          </cell>
          <cell r="D136">
            <v>9.6299999999999997E-2</v>
          </cell>
          <cell r="E136">
            <v>0.3715</v>
          </cell>
        </row>
        <row r="137">
          <cell r="B137">
            <v>1.420001000000001</v>
          </cell>
          <cell r="C137">
            <v>1.420000000000001</v>
          </cell>
          <cell r="D137">
            <v>9.6600000000000005E-2</v>
          </cell>
          <cell r="E137">
            <v>0.373</v>
          </cell>
        </row>
        <row r="138">
          <cell r="B138">
            <v>1.430001000000001</v>
          </cell>
          <cell r="C138">
            <v>1.430000000000001</v>
          </cell>
          <cell r="D138">
            <v>9.69E-2</v>
          </cell>
          <cell r="E138">
            <v>0.3745</v>
          </cell>
        </row>
        <row r="139">
          <cell r="B139">
            <v>1.440001000000001</v>
          </cell>
          <cell r="C139">
            <v>1.4400000000000011</v>
          </cell>
          <cell r="D139">
            <v>9.7200000000000009E-2</v>
          </cell>
          <cell r="E139">
            <v>0.376</v>
          </cell>
        </row>
        <row r="140">
          <cell r="B140">
            <v>1.450001000000001</v>
          </cell>
          <cell r="C140">
            <v>1.4500000000000011</v>
          </cell>
          <cell r="D140">
            <v>9.7500000000000003E-2</v>
          </cell>
          <cell r="E140">
            <v>0.3775</v>
          </cell>
        </row>
        <row r="141">
          <cell r="B141">
            <v>1.460001000000001</v>
          </cell>
          <cell r="C141">
            <v>1.4600000000000011</v>
          </cell>
          <cell r="D141">
            <v>9.7799999999999998E-2</v>
          </cell>
          <cell r="E141">
            <v>0.379</v>
          </cell>
        </row>
        <row r="142">
          <cell r="B142">
            <v>1.470001000000001</v>
          </cell>
          <cell r="C142">
            <v>1.4700000000000011</v>
          </cell>
          <cell r="D142">
            <v>9.8100000000000007E-2</v>
          </cell>
          <cell r="E142">
            <v>0.3805</v>
          </cell>
        </row>
        <row r="143">
          <cell r="B143">
            <v>1.480001000000001</v>
          </cell>
          <cell r="C143">
            <v>1.4800000000000011</v>
          </cell>
          <cell r="D143">
            <v>9.8400000000000001E-2</v>
          </cell>
          <cell r="E143">
            <v>0.38200000000000001</v>
          </cell>
        </row>
        <row r="144">
          <cell r="B144">
            <v>1.490001000000001</v>
          </cell>
          <cell r="C144">
            <v>1.4900000000000011</v>
          </cell>
          <cell r="D144">
            <v>9.870000000000001E-2</v>
          </cell>
          <cell r="E144">
            <v>0.38350000000000001</v>
          </cell>
        </row>
        <row r="145">
          <cell r="B145">
            <v>1.500001000000001</v>
          </cell>
          <cell r="C145">
            <v>1.5000000000000011</v>
          </cell>
          <cell r="D145">
            <v>9.9000000000000005E-2</v>
          </cell>
          <cell r="E145">
            <v>0.38500000000000001</v>
          </cell>
        </row>
        <row r="146">
          <cell r="B146">
            <v>1.510001000000001</v>
          </cell>
          <cell r="C146">
            <v>1.5100000000000011</v>
          </cell>
          <cell r="D146">
            <v>9.9100000000000008E-2</v>
          </cell>
          <cell r="E146">
            <v>0.38650000000000001</v>
          </cell>
        </row>
        <row r="147">
          <cell r="B147">
            <v>1.520001000000001</v>
          </cell>
          <cell r="C147">
            <v>1.5200000000000011</v>
          </cell>
          <cell r="D147">
            <v>9.920000000000001E-2</v>
          </cell>
          <cell r="E147">
            <v>0.38800000000000001</v>
          </cell>
        </row>
        <row r="148">
          <cell r="B148">
            <v>1.5300010000000011</v>
          </cell>
          <cell r="C148">
            <v>1.5300000000000011</v>
          </cell>
          <cell r="D148">
            <v>9.9299999999999999E-2</v>
          </cell>
          <cell r="E148">
            <v>0.38950000000000001</v>
          </cell>
        </row>
        <row r="149">
          <cell r="B149">
            <v>1.5400010000000011</v>
          </cell>
          <cell r="C149">
            <v>1.5400000000000011</v>
          </cell>
          <cell r="D149">
            <v>9.9400000000000002E-2</v>
          </cell>
          <cell r="E149">
            <v>0.39100000000000001</v>
          </cell>
        </row>
        <row r="150">
          <cell r="B150">
            <v>1.5500010000000011</v>
          </cell>
          <cell r="C150">
            <v>1.5500000000000012</v>
          </cell>
          <cell r="D150">
            <v>9.9500000000000005E-2</v>
          </cell>
          <cell r="E150">
            <v>0.39250000000000002</v>
          </cell>
        </row>
        <row r="151">
          <cell r="B151">
            <v>1.5600010000000011</v>
          </cell>
          <cell r="C151">
            <v>1.5600000000000012</v>
          </cell>
          <cell r="D151">
            <v>9.9600000000000008E-2</v>
          </cell>
          <cell r="E151">
            <v>0.39400000000000002</v>
          </cell>
        </row>
        <row r="152">
          <cell r="B152">
            <v>1.5700010000000011</v>
          </cell>
          <cell r="C152">
            <v>1.5700000000000012</v>
          </cell>
          <cell r="D152">
            <v>9.9700000000000011E-2</v>
          </cell>
          <cell r="E152">
            <v>0.39550000000000002</v>
          </cell>
        </row>
        <row r="153">
          <cell r="B153">
            <v>1.5800010000000011</v>
          </cell>
          <cell r="C153">
            <v>1.5800000000000012</v>
          </cell>
          <cell r="D153">
            <v>9.98E-2</v>
          </cell>
          <cell r="E153">
            <v>0.39700000000000002</v>
          </cell>
        </row>
        <row r="154">
          <cell r="B154">
            <v>1.5900010000000011</v>
          </cell>
          <cell r="C154">
            <v>1.5900000000000012</v>
          </cell>
          <cell r="D154">
            <v>9.9900000000000003E-2</v>
          </cell>
          <cell r="E154">
            <v>0.39850000000000002</v>
          </cell>
        </row>
        <row r="155">
          <cell r="B155">
            <v>1.6000010000000011</v>
          </cell>
          <cell r="C155">
            <v>1.6000000000000012</v>
          </cell>
          <cell r="D155">
            <v>0.1</v>
          </cell>
          <cell r="E155">
            <v>0.4</v>
          </cell>
        </row>
        <row r="156">
          <cell r="B156">
            <v>1.6100010000000011</v>
          </cell>
          <cell r="C156">
            <v>1.6100000000000012</v>
          </cell>
          <cell r="D156">
            <v>0.1003</v>
          </cell>
          <cell r="E156">
            <v>0.40100000000000002</v>
          </cell>
        </row>
        <row r="157">
          <cell r="B157">
            <v>1.6200010000000011</v>
          </cell>
          <cell r="C157">
            <v>1.6200000000000012</v>
          </cell>
          <cell r="D157">
            <v>0.10060000000000001</v>
          </cell>
          <cell r="E157">
            <v>0.40200000000000002</v>
          </cell>
        </row>
        <row r="158">
          <cell r="B158">
            <v>1.6300010000000011</v>
          </cell>
          <cell r="C158">
            <v>1.6300000000000012</v>
          </cell>
          <cell r="D158">
            <v>0.1009</v>
          </cell>
          <cell r="E158">
            <v>0.40300000000000002</v>
          </cell>
        </row>
        <row r="159">
          <cell r="B159">
            <v>1.6400010000000012</v>
          </cell>
          <cell r="C159">
            <v>1.6400000000000012</v>
          </cell>
          <cell r="D159">
            <v>0.1012</v>
          </cell>
          <cell r="E159">
            <v>0.40400000000000003</v>
          </cell>
        </row>
        <row r="160">
          <cell r="B160">
            <v>1.6500010000000012</v>
          </cell>
          <cell r="C160">
            <v>1.6500000000000012</v>
          </cell>
          <cell r="D160">
            <v>0.10150000000000001</v>
          </cell>
          <cell r="E160">
            <v>0.40500000000000003</v>
          </cell>
        </row>
        <row r="161">
          <cell r="B161">
            <v>1.6600010000000012</v>
          </cell>
          <cell r="C161">
            <v>1.6600000000000013</v>
          </cell>
          <cell r="D161">
            <v>0.1018</v>
          </cell>
          <cell r="E161">
            <v>0.40599999999999997</v>
          </cell>
        </row>
        <row r="162">
          <cell r="B162">
            <v>1.6700010000000012</v>
          </cell>
          <cell r="C162">
            <v>1.6700000000000013</v>
          </cell>
          <cell r="D162">
            <v>0.1021</v>
          </cell>
          <cell r="E162">
            <v>0.40699999999999997</v>
          </cell>
        </row>
        <row r="163">
          <cell r="B163">
            <v>1.6800010000000012</v>
          </cell>
          <cell r="C163">
            <v>1.6800000000000013</v>
          </cell>
          <cell r="D163">
            <v>0.10239999999999999</v>
          </cell>
          <cell r="E163">
            <v>0.40799999999999997</v>
          </cell>
        </row>
        <row r="164">
          <cell r="B164">
            <v>1.6900010000000012</v>
          </cell>
          <cell r="C164">
            <v>1.6900000000000013</v>
          </cell>
          <cell r="D164">
            <v>0.1027</v>
          </cell>
          <cell r="E164">
            <v>0.40899999999999997</v>
          </cell>
        </row>
        <row r="165">
          <cell r="B165">
            <v>1.7000010000000012</v>
          </cell>
          <cell r="C165">
            <v>1.7000000000000013</v>
          </cell>
          <cell r="D165">
            <v>0.10299999999999999</v>
          </cell>
          <cell r="E165">
            <v>0.41</v>
          </cell>
        </row>
        <row r="166">
          <cell r="B166">
            <v>1.7100010000000012</v>
          </cell>
          <cell r="C166">
            <v>1.7100000000000013</v>
          </cell>
          <cell r="D166">
            <v>0.10329999999999999</v>
          </cell>
          <cell r="E166">
            <v>0.4113</v>
          </cell>
        </row>
        <row r="167">
          <cell r="B167">
            <v>1.7200010000000012</v>
          </cell>
          <cell r="C167">
            <v>1.7200000000000013</v>
          </cell>
          <cell r="D167">
            <v>0.1036</v>
          </cell>
          <cell r="E167">
            <v>0.41259999999999997</v>
          </cell>
        </row>
        <row r="168">
          <cell r="B168">
            <v>1.7300010000000012</v>
          </cell>
          <cell r="C168">
            <v>1.7300000000000013</v>
          </cell>
          <cell r="D168">
            <v>0.10389999999999999</v>
          </cell>
          <cell r="E168">
            <v>0.41389999999999999</v>
          </cell>
        </row>
        <row r="169">
          <cell r="B169">
            <v>1.7400010000000012</v>
          </cell>
          <cell r="C169">
            <v>1.7400000000000013</v>
          </cell>
          <cell r="D169">
            <v>0.1042</v>
          </cell>
          <cell r="E169">
            <v>0.41519999999999996</v>
          </cell>
        </row>
        <row r="170">
          <cell r="B170">
            <v>1.7500010000000013</v>
          </cell>
          <cell r="C170">
            <v>1.7500000000000013</v>
          </cell>
          <cell r="D170">
            <v>0.1045</v>
          </cell>
          <cell r="E170">
            <v>0.41649999999999998</v>
          </cell>
        </row>
        <row r="171">
          <cell r="B171">
            <v>1.7600010000000013</v>
          </cell>
          <cell r="C171">
            <v>1.7600000000000013</v>
          </cell>
          <cell r="D171">
            <v>0.10479999999999999</v>
          </cell>
          <cell r="E171">
            <v>0.4178</v>
          </cell>
        </row>
        <row r="172">
          <cell r="B172">
            <v>1.7700010000000013</v>
          </cell>
          <cell r="C172">
            <v>1.7700000000000014</v>
          </cell>
          <cell r="D172">
            <v>0.1051</v>
          </cell>
          <cell r="E172">
            <v>0.41909999999999997</v>
          </cell>
        </row>
        <row r="173">
          <cell r="B173">
            <v>1.7800010000000013</v>
          </cell>
          <cell r="C173">
            <v>1.7800000000000014</v>
          </cell>
          <cell r="D173">
            <v>0.10539999999999999</v>
          </cell>
          <cell r="E173">
            <v>0.4204</v>
          </cell>
        </row>
        <row r="174">
          <cell r="B174">
            <v>1.7900010000000013</v>
          </cell>
          <cell r="C174">
            <v>1.7900000000000014</v>
          </cell>
          <cell r="D174">
            <v>0.1057</v>
          </cell>
          <cell r="E174">
            <v>0.42169999999999996</v>
          </cell>
        </row>
        <row r="175">
          <cell r="B175">
            <v>1.8000010000000013</v>
          </cell>
          <cell r="C175">
            <v>1.8000000000000014</v>
          </cell>
          <cell r="D175">
            <v>0.106</v>
          </cell>
          <cell r="E175">
            <v>0.42299999999999999</v>
          </cell>
        </row>
        <row r="176">
          <cell r="B176">
            <v>1.8100010000000013</v>
          </cell>
          <cell r="C176">
            <v>1.8100000000000014</v>
          </cell>
          <cell r="D176">
            <v>0.10639999999999999</v>
          </cell>
          <cell r="E176">
            <v>0.42369999999999997</v>
          </cell>
        </row>
        <row r="177">
          <cell r="B177">
            <v>1.8200010000000013</v>
          </cell>
          <cell r="C177">
            <v>1.8200000000000014</v>
          </cell>
          <cell r="D177">
            <v>0.10679999999999999</v>
          </cell>
          <cell r="E177">
            <v>0.4244</v>
          </cell>
        </row>
        <row r="178">
          <cell r="B178">
            <v>1.8300010000000013</v>
          </cell>
          <cell r="C178">
            <v>1.8300000000000014</v>
          </cell>
          <cell r="D178">
            <v>0.1072</v>
          </cell>
          <cell r="E178">
            <v>0.42509999999999998</v>
          </cell>
        </row>
        <row r="179">
          <cell r="B179">
            <v>1.8400010000000013</v>
          </cell>
          <cell r="C179">
            <v>1.8400000000000014</v>
          </cell>
          <cell r="D179">
            <v>0.1076</v>
          </cell>
          <cell r="E179">
            <v>0.42580000000000001</v>
          </cell>
        </row>
        <row r="180">
          <cell r="B180">
            <v>1.8500010000000013</v>
          </cell>
          <cell r="C180">
            <v>1.8500000000000014</v>
          </cell>
          <cell r="D180">
            <v>0.108</v>
          </cell>
          <cell r="E180">
            <v>0.42649999999999999</v>
          </cell>
        </row>
        <row r="181">
          <cell r="B181">
            <v>1.8600010000000013</v>
          </cell>
          <cell r="C181">
            <v>1.8600000000000014</v>
          </cell>
          <cell r="D181">
            <v>0.1084</v>
          </cell>
          <cell r="E181">
            <v>0.42719999999999997</v>
          </cell>
        </row>
        <row r="182">
          <cell r="B182">
            <v>1.8700010000000014</v>
          </cell>
          <cell r="C182">
            <v>1.8700000000000014</v>
          </cell>
          <cell r="D182">
            <v>0.10879999999999999</v>
          </cell>
          <cell r="E182">
            <v>0.4279</v>
          </cell>
        </row>
        <row r="183">
          <cell r="B183">
            <v>1.8800010000000014</v>
          </cell>
          <cell r="C183">
            <v>1.8800000000000014</v>
          </cell>
          <cell r="D183">
            <v>0.10920000000000001</v>
          </cell>
          <cell r="E183">
            <v>0.42859999999999998</v>
          </cell>
        </row>
        <row r="184">
          <cell r="B184">
            <v>1.8900010000000014</v>
          </cell>
          <cell r="C184">
            <v>1.8900000000000015</v>
          </cell>
          <cell r="D184">
            <v>0.1096</v>
          </cell>
          <cell r="E184">
            <v>0.42930000000000001</v>
          </cell>
        </row>
        <row r="185">
          <cell r="B185">
            <v>1.9000010000000014</v>
          </cell>
          <cell r="C185">
            <v>1.9000000000000015</v>
          </cell>
          <cell r="D185">
            <v>0.11</v>
          </cell>
          <cell r="E185">
            <v>0.43</v>
          </cell>
        </row>
        <row r="186">
          <cell r="B186">
            <v>1.9100010000000014</v>
          </cell>
          <cell r="C186">
            <v>1.9100000000000015</v>
          </cell>
          <cell r="D186">
            <v>0.1101</v>
          </cell>
          <cell r="E186">
            <v>0.43080000000000002</v>
          </cell>
        </row>
        <row r="187">
          <cell r="B187">
            <v>1.9200010000000014</v>
          </cell>
          <cell r="C187">
            <v>1.9200000000000015</v>
          </cell>
          <cell r="D187">
            <v>0.11020000000000001</v>
          </cell>
          <cell r="E187">
            <v>0.43159999999999998</v>
          </cell>
        </row>
        <row r="188">
          <cell r="B188">
            <v>1.9300010000000014</v>
          </cell>
          <cell r="C188">
            <v>1.9300000000000015</v>
          </cell>
          <cell r="D188">
            <v>0.1103</v>
          </cell>
          <cell r="E188">
            <v>0.43240000000000001</v>
          </cell>
        </row>
        <row r="189">
          <cell r="B189">
            <v>1.9400010000000014</v>
          </cell>
          <cell r="C189">
            <v>1.9400000000000015</v>
          </cell>
          <cell r="D189">
            <v>0.1104</v>
          </cell>
          <cell r="E189">
            <v>0.43319999999999997</v>
          </cell>
        </row>
        <row r="190">
          <cell r="B190">
            <v>1.9500010000000014</v>
          </cell>
          <cell r="C190">
            <v>1.9500000000000015</v>
          </cell>
          <cell r="D190">
            <v>0.1105</v>
          </cell>
          <cell r="E190">
            <v>0.434</v>
          </cell>
        </row>
        <row r="191">
          <cell r="B191">
            <v>1.9600010000000014</v>
          </cell>
          <cell r="C191">
            <v>1.9600000000000015</v>
          </cell>
          <cell r="D191">
            <v>0.1106</v>
          </cell>
          <cell r="E191">
            <v>0.43480000000000002</v>
          </cell>
        </row>
        <row r="192">
          <cell r="B192">
            <v>1.9700010000000014</v>
          </cell>
          <cell r="C192">
            <v>1.9700000000000015</v>
          </cell>
          <cell r="D192">
            <v>0.11070000000000001</v>
          </cell>
          <cell r="E192">
            <v>0.43559999999999999</v>
          </cell>
        </row>
        <row r="193">
          <cell r="B193">
            <v>1.9800010000000015</v>
          </cell>
          <cell r="C193">
            <v>1.9800000000000015</v>
          </cell>
          <cell r="D193">
            <v>0.1108</v>
          </cell>
          <cell r="E193">
            <v>0.43640000000000001</v>
          </cell>
        </row>
        <row r="194">
          <cell r="B194">
            <v>1.9900010000000015</v>
          </cell>
          <cell r="C194">
            <v>1.9900000000000015</v>
          </cell>
          <cell r="D194">
            <v>0.1109</v>
          </cell>
          <cell r="E194">
            <v>0.43719999999999998</v>
          </cell>
        </row>
        <row r="195">
          <cell r="B195">
            <v>2.0000010000000015</v>
          </cell>
          <cell r="C195">
            <v>2.0000000000000013</v>
          </cell>
          <cell r="D195">
            <v>0.111</v>
          </cell>
          <cell r="E195">
            <v>0.438</v>
          </cell>
        </row>
        <row r="196">
          <cell r="B196">
            <v>2.0100010000000013</v>
          </cell>
          <cell r="C196">
            <v>2.0100000000000011</v>
          </cell>
          <cell r="D196">
            <v>0.1111</v>
          </cell>
          <cell r="E196">
            <v>0.43880000000000002</v>
          </cell>
        </row>
        <row r="197">
          <cell r="B197">
            <v>2.020001000000001</v>
          </cell>
          <cell r="C197">
            <v>2.0200000000000009</v>
          </cell>
          <cell r="D197">
            <v>0.11120000000000001</v>
          </cell>
          <cell r="E197">
            <v>0.43959999999999999</v>
          </cell>
        </row>
        <row r="198">
          <cell r="B198">
            <v>2.0300010000000008</v>
          </cell>
          <cell r="C198">
            <v>2.0300000000000007</v>
          </cell>
          <cell r="D198">
            <v>0.1113</v>
          </cell>
          <cell r="E198">
            <v>0.44040000000000001</v>
          </cell>
        </row>
        <row r="199">
          <cell r="B199">
            <v>2.0400010000000006</v>
          </cell>
          <cell r="C199">
            <v>2.0400000000000005</v>
          </cell>
          <cell r="D199">
            <v>0.1114</v>
          </cell>
          <cell r="E199">
            <v>0.44119999999999998</v>
          </cell>
        </row>
        <row r="200">
          <cell r="B200">
            <v>2.0500010000000004</v>
          </cell>
          <cell r="C200">
            <v>2.0500000000000003</v>
          </cell>
          <cell r="D200">
            <v>0.1115</v>
          </cell>
          <cell r="E200">
            <v>0.442</v>
          </cell>
        </row>
        <row r="201">
          <cell r="B201">
            <v>2.0600010000000002</v>
          </cell>
          <cell r="C201">
            <v>2.06</v>
          </cell>
          <cell r="D201">
            <v>0.1116</v>
          </cell>
          <cell r="E201">
            <v>0.44280000000000003</v>
          </cell>
        </row>
        <row r="202">
          <cell r="B202">
            <v>2.070001</v>
          </cell>
          <cell r="C202">
            <v>2.0699999999999998</v>
          </cell>
          <cell r="D202">
            <v>0.11170000000000001</v>
          </cell>
          <cell r="E202">
            <v>0.44359999999999999</v>
          </cell>
        </row>
        <row r="203">
          <cell r="B203">
            <v>2.0800009999999998</v>
          </cell>
          <cell r="C203">
            <v>2.0799999999999996</v>
          </cell>
          <cell r="D203">
            <v>0.1118</v>
          </cell>
          <cell r="E203">
            <v>0.44440000000000002</v>
          </cell>
        </row>
        <row r="204">
          <cell r="B204">
            <v>2.0900009999999996</v>
          </cell>
          <cell r="C204">
            <v>2.0899999999999994</v>
          </cell>
          <cell r="D204">
            <v>0.1119</v>
          </cell>
          <cell r="E204">
            <v>0.44519999999999998</v>
          </cell>
        </row>
        <row r="205">
          <cell r="B205">
            <v>2.1000009999999993</v>
          </cell>
          <cell r="C205">
            <v>2.0999999999999992</v>
          </cell>
          <cell r="D205">
            <v>0.112</v>
          </cell>
          <cell r="E205">
            <v>0.44600000000000001</v>
          </cell>
        </row>
        <row r="206">
          <cell r="B206">
            <v>2.1100009999999991</v>
          </cell>
          <cell r="C206">
            <v>2.109999999999999</v>
          </cell>
          <cell r="D206">
            <v>0.11210000000000001</v>
          </cell>
          <cell r="E206">
            <v>0.44669999999999999</v>
          </cell>
        </row>
        <row r="207">
          <cell r="B207">
            <v>2.1200009999999989</v>
          </cell>
          <cell r="C207">
            <v>2.1199999999999988</v>
          </cell>
          <cell r="D207">
            <v>0.11220000000000001</v>
          </cell>
          <cell r="E207">
            <v>0.44740000000000002</v>
          </cell>
        </row>
        <row r="208">
          <cell r="B208">
            <v>2.1300009999999987</v>
          </cell>
          <cell r="C208">
            <v>2.1299999999999986</v>
          </cell>
          <cell r="D208">
            <v>0.1123</v>
          </cell>
          <cell r="E208">
            <v>0.4481</v>
          </cell>
        </row>
        <row r="209">
          <cell r="B209">
            <v>2.1400009999999985</v>
          </cell>
          <cell r="C209">
            <v>2.1399999999999983</v>
          </cell>
          <cell r="D209">
            <v>0.1124</v>
          </cell>
          <cell r="E209">
            <v>0.44880000000000003</v>
          </cell>
        </row>
        <row r="210">
          <cell r="B210">
            <v>2.1500009999999983</v>
          </cell>
          <cell r="C210">
            <v>2.1499999999999981</v>
          </cell>
          <cell r="D210">
            <v>0.1125</v>
          </cell>
          <cell r="E210">
            <v>0.44950000000000001</v>
          </cell>
        </row>
        <row r="211">
          <cell r="B211">
            <v>2.1600009999999981</v>
          </cell>
          <cell r="C211">
            <v>2.1599999999999979</v>
          </cell>
          <cell r="D211">
            <v>0.11260000000000001</v>
          </cell>
          <cell r="E211">
            <v>0.45019999999999999</v>
          </cell>
        </row>
        <row r="212">
          <cell r="B212">
            <v>2.1700009999999978</v>
          </cell>
          <cell r="C212">
            <v>2.1699999999999977</v>
          </cell>
          <cell r="D212">
            <v>0.11270000000000001</v>
          </cell>
          <cell r="E212">
            <v>0.45090000000000002</v>
          </cell>
        </row>
        <row r="213">
          <cell r="B213">
            <v>2.1800009999999976</v>
          </cell>
          <cell r="C213">
            <v>2.1799999999999975</v>
          </cell>
          <cell r="D213">
            <v>0.1128</v>
          </cell>
          <cell r="E213">
            <v>0.4516</v>
          </cell>
        </row>
        <row r="214">
          <cell r="B214">
            <v>2.1900009999999974</v>
          </cell>
          <cell r="C214">
            <v>2.1899999999999973</v>
          </cell>
          <cell r="D214">
            <v>0.1129</v>
          </cell>
          <cell r="E214">
            <v>0.45230000000000004</v>
          </cell>
        </row>
        <row r="215">
          <cell r="B215">
            <v>2.2000009999999972</v>
          </cell>
          <cell r="C215">
            <v>2.1999999999999971</v>
          </cell>
          <cell r="D215">
            <v>0.113</v>
          </cell>
          <cell r="E215">
            <v>0.45300000000000001</v>
          </cell>
        </row>
        <row r="216">
          <cell r="B216">
            <v>2.210000999999997</v>
          </cell>
          <cell r="C216">
            <v>2.2099999999999969</v>
          </cell>
          <cell r="D216">
            <v>0.11310000000000001</v>
          </cell>
          <cell r="E216">
            <v>0.45369999999999999</v>
          </cell>
        </row>
        <row r="217">
          <cell r="B217">
            <v>2.2200009999999968</v>
          </cell>
          <cell r="C217">
            <v>2.2199999999999966</v>
          </cell>
          <cell r="D217">
            <v>0.11320000000000001</v>
          </cell>
          <cell r="E217">
            <v>0.45440000000000003</v>
          </cell>
        </row>
        <row r="218">
          <cell r="B218">
            <v>2.2300009999999966</v>
          </cell>
          <cell r="C218">
            <v>2.2299999999999964</v>
          </cell>
          <cell r="D218">
            <v>0.1133</v>
          </cell>
          <cell r="E218">
            <v>0.4551</v>
          </cell>
        </row>
        <row r="219">
          <cell r="B219">
            <v>2.2400009999999964</v>
          </cell>
          <cell r="C219">
            <v>2.2399999999999962</v>
          </cell>
          <cell r="D219">
            <v>0.1134</v>
          </cell>
          <cell r="E219">
            <v>0.45580000000000004</v>
          </cell>
        </row>
        <row r="220">
          <cell r="B220">
            <v>2.2500009999999961</v>
          </cell>
          <cell r="C220">
            <v>2.249999999999996</v>
          </cell>
          <cell r="D220">
            <v>0.1135</v>
          </cell>
          <cell r="E220">
            <v>0.45650000000000002</v>
          </cell>
        </row>
        <row r="221">
          <cell r="B221">
            <v>2.2600009999999959</v>
          </cell>
          <cell r="C221">
            <v>2.2599999999999958</v>
          </cell>
          <cell r="D221">
            <v>0.11360000000000001</v>
          </cell>
          <cell r="E221">
            <v>0.4572</v>
          </cell>
        </row>
        <row r="222">
          <cell r="B222">
            <v>2.2700009999999957</v>
          </cell>
          <cell r="C222">
            <v>2.2699999999999956</v>
          </cell>
          <cell r="D222">
            <v>0.11370000000000001</v>
          </cell>
          <cell r="E222">
            <v>0.45790000000000003</v>
          </cell>
        </row>
        <row r="223">
          <cell r="B223">
            <v>2.2800009999999955</v>
          </cell>
          <cell r="C223">
            <v>2.2799999999999954</v>
          </cell>
          <cell r="D223">
            <v>0.1138</v>
          </cell>
          <cell r="E223">
            <v>0.45860000000000001</v>
          </cell>
        </row>
        <row r="224">
          <cell r="B224">
            <v>2.2900009999999953</v>
          </cell>
          <cell r="C224">
            <v>2.2899999999999952</v>
          </cell>
          <cell r="D224">
            <v>0.1139</v>
          </cell>
          <cell r="E224">
            <v>0.45930000000000004</v>
          </cell>
        </row>
        <row r="225">
          <cell r="B225">
            <v>2.3000009999999951</v>
          </cell>
          <cell r="C225">
            <v>2.2999999999999949</v>
          </cell>
          <cell r="D225">
            <v>0.114</v>
          </cell>
          <cell r="E225">
            <v>0.46</v>
          </cell>
        </row>
        <row r="226">
          <cell r="B226">
            <v>2.3100009999999949</v>
          </cell>
          <cell r="C226">
            <v>2.3099999999999947</v>
          </cell>
          <cell r="D226">
            <v>0.11410000000000001</v>
          </cell>
          <cell r="E226">
            <v>0.46030000000000004</v>
          </cell>
        </row>
        <row r="227">
          <cell r="B227">
            <v>2.3200009999999947</v>
          </cell>
          <cell r="C227">
            <v>2.3199999999999945</v>
          </cell>
          <cell r="D227">
            <v>0.11420000000000001</v>
          </cell>
          <cell r="E227">
            <v>0.46060000000000001</v>
          </cell>
        </row>
        <row r="228">
          <cell r="B228">
            <v>2.3300009999999944</v>
          </cell>
          <cell r="C228">
            <v>2.3299999999999943</v>
          </cell>
          <cell r="D228">
            <v>0.1143</v>
          </cell>
          <cell r="E228">
            <v>0.46090000000000003</v>
          </cell>
        </row>
        <row r="229">
          <cell r="B229">
            <v>2.3400009999999942</v>
          </cell>
          <cell r="C229">
            <v>2.3399999999999941</v>
          </cell>
          <cell r="D229">
            <v>0.1144</v>
          </cell>
          <cell r="E229">
            <v>0.4612</v>
          </cell>
        </row>
        <row r="230">
          <cell r="B230">
            <v>2.350000999999994</v>
          </cell>
          <cell r="C230">
            <v>2.3499999999999939</v>
          </cell>
          <cell r="D230">
            <v>0.1145</v>
          </cell>
          <cell r="E230">
            <v>0.46150000000000002</v>
          </cell>
        </row>
        <row r="231">
          <cell r="B231">
            <v>2.3600009999999938</v>
          </cell>
          <cell r="C231">
            <v>2.3599999999999937</v>
          </cell>
          <cell r="D231">
            <v>0.11460000000000001</v>
          </cell>
          <cell r="E231">
            <v>0.46180000000000004</v>
          </cell>
        </row>
        <row r="232">
          <cell r="B232">
            <v>2.3700009999999936</v>
          </cell>
          <cell r="C232">
            <v>2.3699999999999934</v>
          </cell>
          <cell r="D232">
            <v>0.11470000000000001</v>
          </cell>
          <cell r="E232">
            <v>0.46210000000000001</v>
          </cell>
        </row>
        <row r="233">
          <cell r="B233">
            <v>2.3800009999999934</v>
          </cell>
          <cell r="C233">
            <v>2.3799999999999932</v>
          </cell>
          <cell r="D233">
            <v>0.1148</v>
          </cell>
          <cell r="E233">
            <v>0.46240000000000003</v>
          </cell>
        </row>
        <row r="234">
          <cell r="B234">
            <v>2.3900009999999932</v>
          </cell>
          <cell r="C234">
            <v>2.389999999999993</v>
          </cell>
          <cell r="D234">
            <v>0.1149</v>
          </cell>
          <cell r="E234">
            <v>0.4627</v>
          </cell>
        </row>
        <row r="235">
          <cell r="B235">
            <v>2.4000009999999929</v>
          </cell>
          <cell r="C235">
            <v>2.3999999999999928</v>
          </cell>
          <cell r="D235">
            <v>0.115</v>
          </cell>
          <cell r="E235">
            <v>0.46300000000000002</v>
          </cell>
        </row>
        <row r="236">
          <cell r="B236">
            <v>2.4100009999999927</v>
          </cell>
          <cell r="C236">
            <v>2.4099999999999926</v>
          </cell>
          <cell r="D236">
            <v>0.11510000000000001</v>
          </cell>
          <cell r="E236">
            <v>0.46360000000000001</v>
          </cell>
        </row>
        <row r="237">
          <cell r="B237">
            <v>2.4200009999999925</v>
          </cell>
          <cell r="C237">
            <v>2.4199999999999924</v>
          </cell>
          <cell r="D237">
            <v>0.11520000000000001</v>
          </cell>
          <cell r="E237">
            <v>0.4642</v>
          </cell>
        </row>
        <row r="238">
          <cell r="B238">
            <v>2.4300009999999923</v>
          </cell>
          <cell r="C238">
            <v>2.4299999999999922</v>
          </cell>
          <cell r="D238">
            <v>0.1153</v>
          </cell>
          <cell r="E238">
            <v>0.46479999999999999</v>
          </cell>
        </row>
        <row r="239">
          <cell r="B239">
            <v>2.4400009999999921</v>
          </cell>
          <cell r="C239">
            <v>2.439999999999992</v>
          </cell>
          <cell r="D239">
            <v>0.1154</v>
          </cell>
          <cell r="E239">
            <v>0.46539999999999998</v>
          </cell>
        </row>
        <row r="240">
          <cell r="B240">
            <v>2.4500009999999919</v>
          </cell>
          <cell r="C240">
            <v>2.4499999999999917</v>
          </cell>
          <cell r="D240">
            <v>0.11550000000000001</v>
          </cell>
          <cell r="E240">
            <v>0.46599999999999997</v>
          </cell>
        </row>
        <row r="241">
          <cell r="B241">
            <v>2.4600009999999917</v>
          </cell>
          <cell r="C241">
            <v>2.4599999999999915</v>
          </cell>
          <cell r="D241">
            <v>0.11560000000000001</v>
          </cell>
          <cell r="E241">
            <v>0.46660000000000001</v>
          </cell>
        </row>
        <row r="242">
          <cell r="B242">
            <v>2.4700009999999915</v>
          </cell>
          <cell r="C242">
            <v>2.4699999999999913</v>
          </cell>
          <cell r="D242">
            <v>0.11570000000000001</v>
          </cell>
          <cell r="E242">
            <v>0.4672</v>
          </cell>
        </row>
        <row r="243">
          <cell r="B243">
            <v>2.4800009999999912</v>
          </cell>
          <cell r="C243">
            <v>2.4799999999999911</v>
          </cell>
          <cell r="D243">
            <v>0.1158</v>
          </cell>
          <cell r="E243">
            <v>0.46779999999999999</v>
          </cell>
        </row>
        <row r="244">
          <cell r="B244">
            <v>2.490000999999991</v>
          </cell>
          <cell r="C244">
            <v>2.4899999999999909</v>
          </cell>
          <cell r="D244">
            <v>0.1159</v>
          </cell>
          <cell r="E244">
            <v>0.46839999999999998</v>
          </cell>
        </row>
        <row r="245">
          <cell r="B245">
            <v>2.5000009999999908</v>
          </cell>
          <cell r="C245">
            <v>2.4999999999999907</v>
          </cell>
          <cell r="D245">
            <v>0.11600000000000001</v>
          </cell>
          <cell r="E245">
            <v>0.46899999999999997</v>
          </cell>
        </row>
        <row r="246">
          <cell r="B246">
            <v>2.5100009999999906</v>
          </cell>
          <cell r="C246">
            <v>2.5099999999999905</v>
          </cell>
          <cell r="D246">
            <v>0.11610000000000001</v>
          </cell>
          <cell r="E246">
            <v>0.46929999999999999</v>
          </cell>
        </row>
        <row r="247">
          <cell r="B247">
            <v>2.5200009999999904</v>
          </cell>
          <cell r="C247">
            <v>2.5199999999999902</v>
          </cell>
          <cell r="D247">
            <v>0.11620000000000001</v>
          </cell>
          <cell r="E247">
            <v>0.46959999999999996</v>
          </cell>
        </row>
        <row r="248">
          <cell r="B248">
            <v>2.5300009999999902</v>
          </cell>
          <cell r="C248">
            <v>2.52999999999999</v>
          </cell>
          <cell r="D248">
            <v>0.1163</v>
          </cell>
          <cell r="E248">
            <v>0.46989999999999998</v>
          </cell>
        </row>
        <row r="249">
          <cell r="B249">
            <v>2.54000099999999</v>
          </cell>
          <cell r="C249">
            <v>2.5399999999999898</v>
          </cell>
          <cell r="D249">
            <v>0.1164</v>
          </cell>
          <cell r="E249">
            <v>0.47019999999999995</v>
          </cell>
        </row>
        <row r="250">
          <cell r="B250">
            <v>2.5500009999999897</v>
          </cell>
          <cell r="C250">
            <v>2.5499999999999896</v>
          </cell>
          <cell r="D250">
            <v>0.11650000000000001</v>
          </cell>
          <cell r="E250">
            <v>0.47049999999999997</v>
          </cell>
        </row>
        <row r="251">
          <cell r="B251">
            <v>2.5600009999999895</v>
          </cell>
          <cell r="C251">
            <v>2.5599999999999894</v>
          </cell>
          <cell r="D251">
            <v>0.11660000000000001</v>
          </cell>
          <cell r="E251">
            <v>0.4708</v>
          </cell>
        </row>
        <row r="252">
          <cell r="B252">
            <v>2.5700009999999893</v>
          </cell>
          <cell r="C252">
            <v>2.5699999999999892</v>
          </cell>
          <cell r="D252">
            <v>0.11670000000000001</v>
          </cell>
          <cell r="E252">
            <v>0.47109999999999996</v>
          </cell>
        </row>
        <row r="253">
          <cell r="B253">
            <v>2.5800009999999891</v>
          </cell>
          <cell r="C253">
            <v>2.579999999999989</v>
          </cell>
          <cell r="D253">
            <v>0.1168</v>
          </cell>
          <cell r="E253">
            <v>0.47139999999999999</v>
          </cell>
        </row>
        <row r="254">
          <cell r="B254">
            <v>2.5900009999999889</v>
          </cell>
          <cell r="C254">
            <v>2.5899999999999888</v>
          </cell>
          <cell r="D254">
            <v>0.1169</v>
          </cell>
          <cell r="E254">
            <v>0.47169999999999995</v>
          </cell>
        </row>
        <row r="255">
          <cell r="B255">
            <v>2.6000009999999887</v>
          </cell>
          <cell r="C255">
            <v>2.5999999999999885</v>
          </cell>
          <cell r="D255">
            <v>0.11700000000000001</v>
          </cell>
          <cell r="E255">
            <v>0.47199999999999998</v>
          </cell>
        </row>
        <row r="256">
          <cell r="B256">
            <v>2.6100009999999885</v>
          </cell>
          <cell r="C256">
            <v>2.6099999999999883</v>
          </cell>
          <cell r="D256">
            <v>0.11710000000000001</v>
          </cell>
          <cell r="E256">
            <v>0.47239999999999999</v>
          </cell>
        </row>
        <row r="257">
          <cell r="B257">
            <v>2.6200009999999883</v>
          </cell>
          <cell r="C257">
            <v>2.6199999999999881</v>
          </cell>
          <cell r="D257">
            <v>0.1172</v>
          </cell>
          <cell r="E257">
            <v>0.4728</v>
          </cell>
        </row>
        <row r="258">
          <cell r="B258">
            <v>2.630000999999988</v>
          </cell>
          <cell r="C258">
            <v>2.6299999999999879</v>
          </cell>
          <cell r="D258">
            <v>0.1173</v>
          </cell>
          <cell r="E258">
            <v>0.47319999999999995</v>
          </cell>
        </row>
        <row r="259">
          <cell r="B259">
            <v>2.6400009999999878</v>
          </cell>
          <cell r="C259">
            <v>2.6399999999999877</v>
          </cell>
          <cell r="D259">
            <v>0.1174</v>
          </cell>
          <cell r="E259">
            <v>0.47359999999999997</v>
          </cell>
        </row>
        <row r="260">
          <cell r="B260">
            <v>2.6500009999999876</v>
          </cell>
          <cell r="C260">
            <v>2.6499999999999875</v>
          </cell>
          <cell r="D260">
            <v>0.11749999999999999</v>
          </cell>
          <cell r="E260">
            <v>0.47399999999999998</v>
          </cell>
        </row>
        <row r="261">
          <cell r="B261">
            <v>2.6600009999999874</v>
          </cell>
          <cell r="C261">
            <v>2.6599999999999873</v>
          </cell>
          <cell r="D261">
            <v>0.1176</v>
          </cell>
          <cell r="E261">
            <v>0.47439999999999999</v>
          </cell>
        </row>
        <row r="262">
          <cell r="B262">
            <v>2.6700009999999872</v>
          </cell>
          <cell r="C262">
            <v>2.6699999999999871</v>
          </cell>
          <cell r="D262">
            <v>0.1177</v>
          </cell>
          <cell r="E262">
            <v>0.4748</v>
          </cell>
        </row>
        <row r="263">
          <cell r="B263">
            <v>2.680000999999987</v>
          </cell>
          <cell r="C263">
            <v>2.6799999999999868</v>
          </cell>
          <cell r="D263">
            <v>0.1178</v>
          </cell>
          <cell r="E263">
            <v>0.47519999999999996</v>
          </cell>
        </row>
        <row r="264">
          <cell r="B264">
            <v>2.6900009999999868</v>
          </cell>
          <cell r="C264">
            <v>2.6899999999999866</v>
          </cell>
          <cell r="D264">
            <v>0.11789999999999999</v>
          </cell>
          <cell r="E264">
            <v>0.47559999999999997</v>
          </cell>
        </row>
        <row r="265">
          <cell r="B265">
            <v>2.7000009999999866</v>
          </cell>
          <cell r="C265">
            <v>2.6999999999999864</v>
          </cell>
          <cell r="D265">
            <v>0.11799999999999999</v>
          </cell>
          <cell r="E265">
            <v>0.47599999999999998</v>
          </cell>
        </row>
        <row r="266">
          <cell r="B266">
            <v>2.7100009999999863</v>
          </cell>
          <cell r="C266">
            <v>2.7099999999999862</v>
          </cell>
          <cell r="D266">
            <v>0.1181</v>
          </cell>
          <cell r="E266">
            <v>0.47639999999999999</v>
          </cell>
        </row>
        <row r="267">
          <cell r="B267">
            <v>2.7200009999999861</v>
          </cell>
          <cell r="C267">
            <v>2.719999999999986</v>
          </cell>
          <cell r="D267">
            <v>0.1182</v>
          </cell>
          <cell r="E267">
            <v>0.4768</v>
          </cell>
        </row>
        <row r="268">
          <cell r="B268">
            <v>2.7300009999999859</v>
          </cell>
          <cell r="C268">
            <v>2.7299999999999858</v>
          </cell>
          <cell r="D268">
            <v>0.11829999999999999</v>
          </cell>
          <cell r="E268">
            <v>0.47719999999999996</v>
          </cell>
        </row>
        <row r="269">
          <cell r="B269">
            <v>2.7400009999999857</v>
          </cell>
          <cell r="C269">
            <v>2.7399999999999856</v>
          </cell>
          <cell r="D269">
            <v>0.11839999999999999</v>
          </cell>
          <cell r="E269">
            <v>0.47759999999999997</v>
          </cell>
        </row>
        <row r="270">
          <cell r="B270">
            <v>2.7500009999999855</v>
          </cell>
          <cell r="C270">
            <v>2.7499999999999853</v>
          </cell>
          <cell r="D270">
            <v>0.11849999999999999</v>
          </cell>
          <cell r="E270">
            <v>0.47799999999999998</v>
          </cell>
        </row>
        <row r="271">
          <cell r="B271">
            <v>2.7600009999999853</v>
          </cell>
          <cell r="C271">
            <v>2.7599999999999851</v>
          </cell>
          <cell r="D271">
            <v>0.1186</v>
          </cell>
          <cell r="E271">
            <v>0.47839999999999999</v>
          </cell>
        </row>
        <row r="272">
          <cell r="B272">
            <v>2.7700009999999851</v>
          </cell>
          <cell r="C272">
            <v>2.7699999999999849</v>
          </cell>
          <cell r="D272">
            <v>0.1187</v>
          </cell>
          <cell r="E272">
            <v>0.4788</v>
          </cell>
        </row>
        <row r="273">
          <cell r="B273">
            <v>2.7800009999999848</v>
          </cell>
          <cell r="C273">
            <v>2.7799999999999847</v>
          </cell>
          <cell r="D273">
            <v>0.11879999999999999</v>
          </cell>
          <cell r="E273">
            <v>0.47919999999999996</v>
          </cell>
        </row>
        <row r="274">
          <cell r="B274">
            <v>2.7900009999999846</v>
          </cell>
          <cell r="C274">
            <v>2.7899999999999845</v>
          </cell>
          <cell r="D274">
            <v>0.11889999999999999</v>
          </cell>
          <cell r="E274">
            <v>0.47959999999999997</v>
          </cell>
        </row>
        <row r="275">
          <cell r="B275">
            <v>2.8000009999999844</v>
          </cell>
          <cell r="C275">
            <v>2.7999999999999843</v>
          </cell>
          <cell r="D275">
            <v>0.11899999999999999</v>
          </cell>
          <cell r="E275">
            <v>0.48</v>
          </cell>
        </row>
        <row r="276">
          <cell r="B276">
            <v>2.8100009999999842</v>
          </cell>
          <cell r="C276">
            <v>2.8099999999999841</v>
          </cell>
          <cell r="D276">
            <v>0.1191</v>
          </cell>
          <cell r="E276">
            <v>0.48019999999999996</v>
          </cell>
        </row>
        <row r="277">
          <cell r="B277">
            <v>2.820000999999984</v>
          </cell>
          <cell r="C277">
            <v>2.8199999999999839</v>
          </cell>
          <cell r="D277">
            <v>0.1192</v>
          </cell>
          <cell r="E277">
            <v>0.48039999999999999</v>
          </cell>
        </row>
        <row r="278">
          <cell r="B278">
            <v>2.8300009999999838</v>
          </cell>
          <cell r="C278">
            <v>2.8299999999999836</v>
          </cell>
          <cell r="D278">
            <v>0.11929999999999999</v>
          </cell>
          <cell r="E278">
            <v>0.48059999999999997</v>
          </cell>
        </row>
        <row r="279">
          <cell r="B279">
            <v>2.8400009999999836</v>
          </cell>
          <cell r="C279">
            <v>2.8399999999999834</v>
          </cell>
          <cell r="D279">
            <v>0.11939999999999999</v>
          </cell>
          <cell r="E279">
            <v>0.48080000000000001</v>
          </cell>
        </row>
        <row r="280">
          <cell r="B280">
            <v>2.8500009999999834</v>
          </cell>
          <cell r="C280">
            <v>2.8499999999999832</v>
          </cell>
          <cell r="D280">
            <v>0.1195</v>
          </cell>
          <cell r="E280">
            <v>0.48099999999999998</v>
          </cell>
        </row>
        <row r="281">
          <cell r="B281">
            <v>2.8600009999999831</v>
          </cell>
          <cell r="C281">
            <v>2.859999999999983</v>
          </cell>
          <cell r="D281">
            <v>0.1196</v>
          </cell>
          <cell r="E281">
            <v>0.48119999999999996</v>
          </cell>
        </row>
        <row r="282">
          <cell r="B282">
            <v>2.8700009999999829</v>
          </cell>
          <cell r="C282">
            <v>2.8699999999999828</v>
          </cell>
          <cell r="D282">
            <v>0.1197</v>
          </cell>
          <cell r="E282">
            <v>0.48139999999999999</v>
          </cell>
        </row>
        <row r="283">
          <cell r="B283">
            <v>2.8800009999999827</v>
          </cell>
          <cell r="C283">
            <v>2.8799999999999826</v>
          </cell>
          <cell r="D283">
            <v>0.11979999999999999</v>
          </cell>
          <cell r="E283">
            <v>0.48159999999999997</v>
          </cell>
        </row>
        <row r="284">
          <cell r="B284">
            <v>2.8900009999999825</v>
          </cell>
          <cell r="C284">
            <v>2.8899999999999824</v>
          </cell>
          <cell r="D284">
            <v>0.11989999999999999</v>
          </cell>
          <cell r="E284">
            <v>0.48180000000000001</v>
          </cell>
        </row>
        <row r="285">
          <cell r="B285">
            <v>2.9000009999999823</v>
          </cell>
          <cell r="C285">
            <v>2.8999999999999821</v>
          </cell>
          <cell r="D285">
            <v>0.12</v>
          </cell>
          <cell r="E285">
            <v>0.48199999999999998</v>
          </cell>
        </row>
        <row r="286">
          <cell r="B286">
            <v>2.9100009999999821</v>
          </cell>
          <cell r="C286">
            <v>2.9099999999999819</v>
          </cell>
          <cell r="D286">
            <v>0.1201</v>
          </cell>
          <cell r="E286">
            <v>0.48219999999999996</v>
          </cell>
        </row>
        <row r="287">
          <cell r="B287">
            <v>2.9200009999999819</v>
          </cell>
          <cell r="C287">
            <v>2.9199999999999817</v>
          </cell>
          <cell r="D287">
            <v>0.1202</v>
          </cell>
          <cell r="E287">
            <v>0.4824</v>
          </cell>
        </row>
        <row r="288">
          <cell r="B288">
            <v>2.9300009999999816</v>
          </cell>
          <cell r="C288">
            <v>2.9299999999999815</v>
          </cell>
          <cell r="D288">
            <v>0.12029999999999999</v>
          </cell>
          <cell r="E288">
            <v>0.48259999999999997</v>
          </cell>
        </row>
        <row r="289">
          <cell r="B289">
            <v>2.9400009999999814</v>
          </cell>
          <cell r="C289">
            <v>2.9399999999999813</v>
          </cell>
          <cell r="D289">
            <v>0.12039999999999999</v>
          </cell>
          <cell r="E289">
            <v>0.48280000000000001</v>
          </cell>
        </row>
        <row r="290">
          <cell r="B290">
            <v>2.9500009999999812</v>
          </cell>
          <cell r="C290">
            <v>2.9499999999999811</v>
          </cell>
          <cell r="D290">
            <v>0.1205</v>
          </cell>
          <cell r="E290">
            <v>0.48299999999999998</v>
          </cell>
        </row>
        <row r="291">
          <cell r="B291">
            <v>2.960000999999981</v>
          </cell>
          <cell r="C291">
            <v>2.9599999999999809</v>
          </cell>
          <cell r="D291">
            <v>0.1206</v>
          </cell>
          <cell r="E291">
            <v>0.48319999999999996</v>
          </cell>
        </row>
        <row r="292">
          <cell r="B292">
            <v>2.9700009999999808</v>
          </cell>
          <cell r="C292">
            <v>2.9699999999999807</v>
          </cell>
          <cell r="D292">
            <v>0.1207</v>
          </cell>
          <cell r="E292">
            <v>0.4834</v>
          </cell>
        </row>
        <row r="293">
          <cell r="B293">
            <v>2.9800009999999806</v>
          </cell>
          <cell r="C293">
            <v>2.9799999999999804</v>
          </cell>
          <cell r="D293">
            <v>0.12079999999999999</v>
          </cell>
          <cell r="E293">
            <v>0.48359999999999997</v>
          </cell>
        </row>
        <row r="294">
          <cell r="B294">
            <v>2.9900009999999804</v>
          </cell>
          <cell r="C294">
            <v>2.9899999999999802</v>
          </cell>
          <cell r="D294">
            <v>0.12089999999999999</v>
          </cell>
          <cell r="E294">
            <v>0.48380000000000001</v>
          </cell>
        </row>
        <row r="295">
          <cell r="B295">
            <v>3.0000009999999802</v>
          </cell>
          <cell r="C295">
            <v>2.99999999999998</v>
          </cell>
          <cell r="D295">
            <v>0.121</v>
          </cell>
          <cell r="E295">
            <v>0.48399999999999999</v>
          </cell>
        </row>
        <row r="296">
          <cell r="B296">
            <v>3.0100009999999799</v>
          </cell>
          <cell r="C296">
            <v>3.0099999999999798</v>
          </cell>
          <cell r="D296">
            <v>0.12111999999999999</v>
          </cell>
          <cell r="E296">
            <v>0.48430000000000001</v>
          </cell>
        </row>
        <row r="297">
          <cell r="B297">
            <v>3.0200009999999797</v>
          </cell>
          <cell r="C297">
            <v>3.0199999999999796</v>
          </cell>
          <cell r="D297">
            <v>0.12124</v>
          </cell>
          <cell r="E297">
            <v>0.48459999999999998</v>
          </cell>
        </row>
        <row r="298">
          <cell r="B298">
            <v>3.0300009999999795</v>
          </cell>
          <cell r="C298">
            <v>3.0299999999999794</v>
          </cell>
          <cell r="D298">
            <v>0.12136</v>
          </cell>
          <cell r="E298">
            <v>0.4849</v>
          </cell>
        </row>
        <row r="299">
          <cell r="B299">
            <v>3.0400009999999793</v>
          </cell>
          <cell r="C299">
            <v>3.0399999999999792</v>
          </cell>
          <cell r="D299">
            <v>0.12148</v>
          </cell>
          <cell r="E299">
            <v>0.48519999999999996</v>
          </cell>
        </row>
        <row r="300">
          <cell r="B300">
            <v>3.0500009999999791</v>
          </cell>
          <cell r="C300">
            <v>3.049999999999979</v>
          </cell>
          <cell r="D300">
            <v>0.1216</v>
          </cell>
          <cell r="E300">
            <v>0.48549999999999999</v>
          </cell>
        </row>
        <row r="301">
          <cell r="B301">
            <v>3.0600009999999789</v>
          </cell>
          <cell r="C301">
            <v>3.0599999999999787</v>
          </cell>
          <cell r="D301">
            <v>0.12171999999999999</v>
          </cell>
          <cell r="E301">
            <v>0.48580000000000001</v>
          </cell>
        </row>
        <row r="302">
          <cell r="B302">
            <v>3.0700009999999787</v>
          </cell>
          <cell r="C302">
            <v>3.0699999999999785</v>
          </cell>
          <cell r="D302">
            <v>0.12184</v>
          </cell>
          <cell r="E302">
            <v>0.48609999999999998</v>
          </cell>
        </row>
        <row r="303">
          <cell r="B303">
            <v>3.0800009999999785</v>
          </cell>
          <cell r="C303">
            <v>3.0799999999999783</v>
          </cell>
          <cell r="D303">
            <v>0.12196</v>
          </cell>
          <cell r="E303">
            <v>0.4864</v>
          </cell>
        </row>
        <row r="304">
          <cell r="B304">
            <v>3.0900009999999782</v>
          </cell>
          <cell r="C304">
            <v>3.0899999999999781</v>
          </cell>
          <cell r="D304">
            <v>0.12208000000000001</v>
          </cell>
          <cell r="E304">
            <v>0.48669999999999997</v>
          </cell>
        </row>
        <row r="305">
          <cell r="B305">
            <v>3.100000999999978</v>
          </cell>
          <cell r="C305">
            <v>3.0999999999999779</v>
          </cell>
          <cell r="D305">
            <v>0.1222</v>
          </cell>
          <cell r="E305">
            <v>0.48699999999999999</v>
          </cell>
        </row>
        <row r="306">
          <cell r="B306">
            <v>3.1100009999999778</v>
          </cell>
          <cell r="C306">
            <v>3.1099999999999777</v>
          </cell>
          <cell r="D306">
            <v>0.12218</v>
          </cell>
          <cell r="E306">
            <v>0.48730000000000001</v>
          </cell>
        </row>
        <row r="307">
          <cell r="B307">
            <v>3.1200009999999776</v>
          </cell>
          <cell r="C307">
            <v>3.1199999999999775</v>
          </cell>
          <cell r="D307">
            <v>0.12216</v>
          </cell>
          <cell r="E307">
            <v>0.48759999999999998</v>
          </cell>
        </row>
        <row r="308">
          <cell r="B308">
            <v>3.1300009999999774</v>
          </cell>
          <cell r="C308">
            <v>3.1299999999999772</v>
          </cell>
          <cell r="D308">
            <v>0.12214</v>
          </cell>
          <cell r="E308">
            <v>0.4879</v>
          </cell>
        </row>
        <row r="309">
          <cell r="B309">
            <v>3.1400009999999772</v>
          </cell>
          <cell r="C309">
            <v>3.139999999999977</v>
          </cell>
          <cell r="D309">
            <v>0.12212000000000001</v>
          </cell>
          <cell r="E309">
            <v>0.48819999999999997</v>
          </cell>
        </row>
        <row r="310">
          <cell r="B310">
            <v>3.150000999999977</v>
          </cell>
          <cell r="C310">
            <v>3.1499999999999768</v>
          </cell>
          <cell r="D310">
            <v>0.1221</v>
          </cell>
          <cell r="E310">
            <v>0.48849999999999999</v>
          </cell>
        </row>
        <row r="311">
          <cell r="B311">
            <v>3.1600009999999767</v>
          </cell>
          <cell r="C311">
            <v>3.1599999999999766</v>
          </cell>
          <cell r="D311">
            <v>0.12207999999999999</v>
          </cell>
          <cell r="E311">
            <v>0.48880000000000001</v>
          </cell>
        </row>
        <row r="312">
          <cell r="B312">
            <v>3.1700009999999765</v>
          </cell>
          <cell r="C312">
            <v>3.1699999999999764</v>
          </cell>
          <cell r="D312">
            <v>0.12206</v>
          </cell>
          <cell r="E312">
            <v>0.48909999999999998</v>
          </cell>
        </row>
        <row r="313">
          <cell r="B313">
            <v>3.1800009999999763</v>
          </cell>
          <cell r="C313">
            <v>3.1799999999999762</v>
          </cell>
          <cell r="D313">
            <v>0.12204</v>
          </cell>
          <cell r="E313">
            <v>0.4894</v>
          </cell>
        </row>
        <row r="314">
          <cell r="B314">
            <v>3.1900009999999761</v>
          </cell>
          <cell r="C314">
            <v>3.189999999999976</v>
          </cell>
          <cell r="D314">
            <v>0.12202</v>
          </cell>
          <cell r="E314">
            <v>0.48969999999999997</v>
          </cell>
        </row>
        <row r="315">
          <cell r="B315">
            <v>3.2000009999999759</v>
          </cell>
          <cell r="C315">
            <v>3.1999999999999758</v>
          </cell>
          <cell r="D315">
            <v>0.122</v>
          </cell>
          <cell r="E315">
            <v>0.49</v>
          </cell>
        </row>
        <row r="316">
          <cell r="B316">
            <v>3.2100009999999757</v>
          </cell>
          <cell r="C316">
            <v>3.2099999999999755</v>
          </cell>
          <cell r="D316">
            <v>0.1221</v>
          </cell>
          <cell r="E316">
            <v>0.49019999999999997</v>
          </cell>
        </row>
        <row r="317">
          <cell r="B317">
            <v>3.2200009999999755</v>
          </cell>
          <cell r="C317">
            <v>3.2199999999999753</v>
          </cell>
          <cell r="D317">
            <v>0.1222</v>
          </cell>
          <cell r="E317">
            <v>0.4904</v>
          </cell>
        </row>
        <row r="318">
          <cell r="B318">
            <v>3.2300009999999753</v>
          </cell>
          <cell r="C318">
            <v>3.2299999999999751</v>
          </cell>
          <cell r="D318">
            <v>0.12229999999999999</v>
          </cell>
          <cell r="E318">
            <v>0.49059999999999998</v>
          </cell>
        </row>
        <row r="319">
          <cell r="B319">
            <v>3.240000999999975</v>
          </cell>
          <cell r="C319">
            <v>3.2399999999999749</v>
          </cell>
          <cell r="D319">
            <v>0.12239999999999999</v>
          </cell>
          <cell r="E319">
            <v>0.49080000000000001</v>
          </cell>
        </row>
        <row r="320">
          <cell r="B320">
            <v>3.2500009999999748</v>
          </cell>
          <cell r="C320">
            <v>3.2499999999999747</v>
          </cell>
          <cell r="D320">
            <v>0.1225</v>
          </cell>
          <cell r="E320">
            <v>0.49099999999999999</v>
          </cell>
        </row>
        <row r="321">
          <cell r="B321">
            <v>3.2600009999999746</v>
          </cell>
          <cell r="C321">
            <v>3.2599999999999745</v>
          </cell>
          <cell r="D321">
            <v>0.1226</v>
          </cell>
          <cell r="E321">
            <v>0.49119999999999997</v>
          </cell>
        </row>
        <row r="322">
          <cell r="B322">
            <v>3.2700009999999744</v>
          </cell>
          <cell r="C322">
            <v>3.2699999999999743</v>
          </cell>
          <cell r="D322">
            <v>0.1227</v>
          </cell>
          <cell r="E322">
            <v>0.4914</v>
          </cell>
        </row>
        <row r="323">
          <cell r="B323">
            <v>3.2800009999999742</v>
          </cell>
          <cell r="C323">
            <v>3.279999999999974</v>
          </cell>
          <cell r="D323">
            <v>0.12279999999999999</v>
          </cell>
          <cell r="E323">
            <v>0.49159999999999998</v>
          </cell>
        </row>
        <row r="324">
          <cell r="B324">
            <v>3.290000999999974</v>
          </cell>
          <cell r="C324">
            <v>3.2899999999999738</v>
          </cell>
          <cell r="D324">
            <v>0.1229</v>
          </cell>
          <cell r="E324">
            <v>0.49180000000000001</v>
          </cell>
        </row>
        <row r="325">
          <cell r="B325">
            <v>3.3000009999999738</v>
          </cell>
          <cell r="C325">
            <v>3.2999999999999736</v>
          </cell>
          <cell r="D325">
            <v>0.123</v>
          </cell>
          <cell r="E325">
            <v>0.49199999999999999</v>
          </cell>
        </row>
        <row r="326">
          <cell r="B326">
            <v>3.3100009999999735</v>
          </cell>
          <cell r="C326">
            <v>3.3099999999999734</v>
          </cell>
          <cell r="D326">
            <v>0.123</v>
          </cell>
          <cell r="E326">
            <v>0.49230000000000002</v>
          </cell>
        </row>
        <row r="327">
          <cell r="B327">
            <v>3.3200009999999733</v>
          </cell>
          <cell r="C327">
            <v>3.3199999999999732</v>
          </cell>
          <cell r="D327">
            <v>0.123</v>
          </cell>
          <cell r="E327">
            <v>0.49259999999999998</v>
          </cell>
        </row>
        <row r="328">
          <cell r="B328">
            <v>3.3300009999999731</v>
          </cell>
          <cell r="C328">
            <v>3.329999999999973</v>
          </cell>
          <cell r="D328">
            <v>0.123</v>
          </cell>
          <cell r="E328">
            <v>0.4929</v>
          </cell>
        </row>
        <row r="329">
          <cell r="B329">
            <v>3.3400009999999729</v>
          </cell>
          <cell r="C329">
            <v>3.3399999999999728</v>
          </cell>
          <cell r="D329">
            <v>0.123</v>
          </cell>
          <cell r="E329">
            <v>0.49319999999999997</v>
          </cell>
        </row>
        <row r="330">
          <cell r="B330">
            <v>3.3500009999999727</v>
          </cell>
          <cell r="C330">
            <v>3.3499999999999726</v>
          </cell>
          <cell r="D330">
            <v>0.123</v>
          </cell>
          <cell r="E330">
            <v>0.49349999999999999</v>
          </cell>
        </row>
        <row r="331">
          <cell r="B331">
            <v>3.3600009999999725</v>
          </cell>
          <cell r="C331">
            <v>3.3599999999999723</v>
          </cell>
          <cell r="D331">
            <v>0.123</v>
          </cell>
          <cell r="E331">
            <v>0.49380000000000002</v>
          </cell>
        </row>
        <row r="332">
          <cell r="B332">
            <v>3.3700009999999723</v>
          </cell>
          <cell r="C332">
            <v>3.3699999999999721</v>
          </cell>
          <cell r="D332">
            <v>0.123</v>
          </cell>
          <cell r="E332">
            <v>0.49409999999999998</v>
          </cell>
        </row>
        <row r="333">
          <cell r="B333">
            <v>3.3800009999999721</v>
          </cell>
          <cell r="C333">
            <v>3.3799999999999719</v>
          </cell>
          <cell r="D333">
            <v>0.123</v>
          </cell>
          <cell r="E333">
            <v>0.49440000000000001</v>
          </cell>
        </row>
        <row r="334">
          <cell r="B334">
            <v>3.3900009999999718</v>
          </cell>
          <cell r="C334">
            <v>3.3899999999999717</v>
          </cell>
          <cell r="D334">
            <v>0.123</v>
          </cell>
          <cell r="E334">
            <v>0.49469999999999997</v>
          </cell>
        </row>
        <row r="335">
          <cell r="B335">
            <v>3.4000009999999716</v>
          </cell>
          <cell r="C335">
            <v>3.3999999999999715</v>
          </cell>
          <cell r="D335">
            <v>0.123</v>
          </cell>
          <cell r="E335">
            <v>0.495</v>
          </cell>
        </row>
        <row r="336">
          <cell r="B336">
            <v>3.4100009999999714</v>
          </cell>
          <cell r="C336">
            <v>3.4099999999999713</v>
          </cell>
          <cell r="D336">
            <v>0.1231</v>
          </cell>
          <cell r="E336">
            <v>0.49519999999999997</v>
          </cell>
        </row>
        <row r="337">
          <cell r="B337">
            <v>3.4200009999999712</v>
          </cell>
          <cell r="C337">
            <v>3.4199999999999711</v>
          </cell>
          <cell r="D337">
            <v>0.1232</v>
          </cell>
          <cell r="E337">
            <v>0.49540000000000001</v>
          </cell>
        </row>
        <row r="338">
          <cell r="B338">
            <v>3.430000999999971</v>
          </cell>
          <cell r="C338">
            <v>3.4299999999999708</v>
          </cell>
          <cell r="D338">
            <v>0.12329999999999999</v>
          </cell>
          <cell r="E338">
            <v>0.49559999999999998</v>
          </cell>
        </row>
        <row r="339">
          <cell r="B339">
            <v>3.4400009999999708</v>
          </cell>
          <cell r="C339">
            <v>3.4399999999999706</v>
          </cell>
          <cell r="D339">
            <v>0.1234</v>
          </cell>
          <cell r="E339">
            <v>0.49580000000000002</v>
          </cell>
        </row>
        <row r="340">
          <cell r="B340">
            <v>3.4500009999999706</v>
          </cell>
          <cell r="C340">
            <v>3.4499999999999704</v>
          </cell>
          <cell r="D340">
            <v>0.1235</v>
          </cell>
          <cell r="E340">
            <v>0.496</v>
          </cell>
        </row>
        <row r="341">
          <cell r="B341">
            <v>3.4600009999999704</v>
          </cell>
          <cell r="C341">
            <v>3.4599999999999702</v>
          </cell>
          <cell r="D341">
            <v>0.1236</v>
          </cell>
          <cell r="E341">
            <v>0.49619999999999997</v>
          </cell>
        </row>
        <row r="342">
          <cell r="B342">
            <v>3.4700009999999701</v>
          </cell>
          <cell r="C342">
            <v>3.46999999999997</v>
          </cell>
          <cell r="D342">
            <v>0.1237</v>
          </cell>
          <cell r="E342">
            <v>0.49640000000000001</v>
          </cell>
        </row>
        <row r="343">
          <cell r="B343">
            <v>3.4800009999999699</v>
          </cell>
          <cell r="C343">
            <v>3.4799999999999698</v>
          </cell>
          <cell r="D343">
            <v>0.12379999999999999</v>
          </cell>
          <cell r="E343">
            <v>0.49659999999999999</v>
          </cell>
        </row>
        <row r="344">
          <cell r="B344">
            <v>3.4900009999999697</v>
          </cell>
          <cell r="C344">
            <v>3.4899999999999696</v>
          </cell>
          <cell r="D344">
            <v>0.1239</v>
          </cell>
          <cell r="E344">
            <v>0.49680000000000002</v>
          </cell>
        </row>
        <row r="345">
          <cell r="B345">
            <v>3.5000009999999695</v>
          </cell>
          <cell r="C345">
            <v>3.4999999999999694</v>
          </cell>
          <cell r="D345">
            <v>0.124</v>
          </cell>
          <cell r="E345">
            <v>0.497</v>
          </cell>
        </row>
        <row r="346">
          <cell r="B346">
            <v>3.5100009999999693</v>
          </cell>
          <cell r="C346">
            <v>3.5099999999999691</v>
          </cell>
          <cell r="D346">
            <v>0.124</v>
          </cell>
          <cell r="E346">
            <v>0.49709999999999999</v>
          </cell>
        </row>
        <row r="347">
          <cell r="B347">
            <v>3.5200009999999691</v>
          </cell>
          <cell r="C347">
            <v>3.5199999999999689</v>
          </cell>
          <cell r="D347">
            <v>0.124</v>
          </cell>
          <cell r="E347">
            <v>0.49719999999999998</v>
          </cell>
        </row>
        <row r="348">
          <cell r="B348">
            <v>3.5300009999999689</v>
          </cell>
          <cell r="C348">
            <v>3.5299999999999687</v>
          </cell>
          <cell r="D348">
            <v>0.124</v>
          </cell>
          <cell r="E348">
            <v>0.49730000000000002</v>
          </cell>
        </row>
        <row r="349">
          <cell r="B349">
            <v>3.5400009999999686</v>
          </cell>
          <cell r="C349">
            <v>3.5399999999999685</v>
          </cell>
          <cell r="D349">
            <v>0.124</v>
          </cell>
          <cell r="E349">
            <v>0.49740000000000001</v>
          </cell>
        </row>
        <row r="350">
          <cell r="B350">
            <v>3.5500009999999684</v>
          </cell>
          <cell r="C350">
            <v>3.5499999999999683</v>
          </cell>
          <cell r="D350">
            <v>0.124</v>
          </cell>
          <cell r="E350">
            <v>0.4975</v>
          </cell>
        </row>
        <row r="351">
          <cell r="B351">
            <v>3.5600009999999682</v>
          </cell>
          <cell r="C351">
            <v>3.5599999999999681</v>
          </cell>
          <cell r="D351">
            <v>0.124</v>
          </cell>
          <cell r="E351">
            <v>0.49759999999999999</v>
          </cell>
        </row>
        <row r="352">
          <cell r="B352">
            <v>3.570000999999968</v>
          </cell>
          <cell r="C352">
            <v>3.5699999999999679</v>
          </cell>
          <cell r="D352">
            <v>0.124</v>
          </cell>
          <cell r="E352">
            <v>0.49769999999999998</v>
          </cell>
        </row>
        <row r="353">
          <cell r="B353">
            <v>3.5800009999999678</v>
          </cell>
          <cell r="C353">
            <v>3.5799999999999677</v>
          </cell>
          <cell r="D353">
            <v>0.124</v>
          </cell>
          <cell r="E353">
            <v>0.49780000000000002</v>
          </cell>
        </row>
        <row r="354">
          <cell r="B354">
            <v>3.5900009999999676</v>
          </cell>
          <cell r="C354">
            <v>3.5899999999999674</v>
          </cell>
          <cell r="D354">
            <v>0.124</v>
          </cell>
          <cell r="E354">
            <v>0.49790000000000001</v>
          </cell>
        </row>
        <row r="355">
          <cell r="B355">
            <v>3.6000009999999674</v>
          </cell>
          <cell r="C355">
            <v>3.5999999999999672</v>
          </cell>
          <cell r="D355">
            <v>0.124</v>
          </cell>
          <cell r="E355">
            <v>0.498</v>
          </cell>
        </row>
        <row r="356">
          <cell r="B356">
            <v>3.6100009999999672</v>
          </cell>
          <cell r="C356">
            <v>3.609999999999967</v>
          </cell>
          <cell r="D356">
            <v>0.1241</v>
          </cell>
          <cell r="E356">
            <v>0.49809999999999999</v>
          </cell>
        </row>
        <row r="357">
          <cell r="B357">
            <v>3.6200009999999669</v>
          </cell>
          <cell r="C357">
            <v>3.6199999999999668</v>
          </cell>
          <cell r="D357">
            <v>0.1242</v>
          </cell>
          <cell r="E357">
            <v>0.49819999999999998</v>
          </cell>
        </row>
        <row r="358">
          <cell r="B358">
            <v>3.6300009999999667</v>
          </cell>
          <cell r="C358">
            <v>3.6299999999999666</v>
          </cell>
          <cell r="D358">
            <v>0.12429999999999999</v>
          </cell>
          <cell r="E358">
            <v>0.49830000000000002</v>
          </cell>
        </row>
        <row r="359">
          <cell r="B359">
            <v>3.6400009999999665</v>
          </cell>
          <cell r="C359">
            <v>3.6399999999999664</v>
          </cell>
          <cell r="D359">
            <v>0.1244</v>
          </cell>
          <cell r="E359">
            <v>0.49840000000000001</v>
          </cell>
        </row>
        <row r="360">
          <cell r="B360">
            <v>3.6500009999999663</v>
          </cell>
          <cell r="C360">
            <v>3.6499999999999662</v>
          </cell>
          <cell r="D360">
            <v>0.1245</v>
          </cell>
          <cell r="E360">
            <v>0.4985</v>
          </cell>
        </row>
        <row r="361">
          <cell r="B361">
            <v>3.6600009999999661</v>
          </cell>
          <cell r="C361">
            <v>3.6599999999999659</v>
          </cell>
          <cell r="D361">
            <v>0.1246</v>
          </cell>
          <cell r="E361">
            <v>0.49859999999999999</v>
          </cell>
        </row>
        <row r="362">
          <cell r="B362">
            <v>3.6700009999999659</v>
          </cell>
          <cell r="C362">
            <v>3.6699999999999657</v>
          </cell>
          <cell r="D362">
            <v>0.12470000000000001</v>
          </cell>
          <cell r="E362">
            <v>0.49869999999999998</v>
          </cell>
        </row>
        <row r="363">
          <cell r="B363">
            <v>3.6800009999999657</v>
          </cell>
          <cell r="C363">
            <v>3.6799999999999655</v>
          </cell>
          <cell r="D363">
            <v>0.12479999999999999</v>
          </cell>
          <cell r="E363">
            <v>0.49880000000000002</v>
          </cell>
        </row>
        <row r="364">
          <cell r="B364">
            <v>3.6900009999999654</v>
          </cell>
          <cell r="C364">
            <v>3.6899999999999653</v>
          </cell>
          <cell r="D364">
            <v>0.1249</v>
          </cell>
          <cell r="E364">
            <v>0.49890000000000001</v>
          </cell>
        </row>
        <row r="365">
          <cell r="B365">
            <v>3.7000009999999652</v>
          </cell>
          <cell r="C365">
            <v>3.6999999999999651</v>
          </cell>
          <cell r="D365">
            <v>0.125</v>
          </cell>
          <cell r="E365">
            <v>0.499</v>
          </cell>
        </row>
        <row r="366">
          <cell r="B366">
            <v>3.710000999999965</v>
          </cell>
          <cell r="C366">
            <v>3.7099999999999649</v>
          </cell>
          <cell r="D366">
            <v>0.125</v>
          </cell>
          <cell r="E366">
            <v>0.49909999999999999</v>
          </cell>
        </row>
        <row r="367">
          <cell r="B367">
            <v>3.7200009999999648</v>
          </cell>
          <cell r="C367">
            <v>3.7199999999999647</v>
          </cell>
          <cell r="D367">
            <v>0.125</v>
          </cell>
          <cell r="E367">
            <v>0.49919999999999998</v>
          </cell>
        </row>
        <row r="368">
          <cell r="B368">
            <v>3.7300009999999646</v>
          </cell>
          <cell r="C368">
            <v>3.7299999999999645</v>
          </cell>
          <cell r="D368">
            <v>0.125</v>
          </cell>
          <cell r="E368">
            <v>0.49930000000000002</v>
          </cell>
        </row>
        <row r="369">
          <cell r="B369">
            <v>3.7400009999999644</v>
          </cell>
          <cell r="C369">
            <v>3.7399999999999642</v>
          </cell>
          <cell r="D369">
            <v>0.125</v>
          </cell>
          <cell r="E369">
            <v>0.49940000000000001</v>
          </cell>
        </row>
        <row r="370">
          <cell r="B370">
            <v>3.7500009999999642</v>
          </cell>
          <cell r="C370">
            <v>3.749999999999964</v>
          </cell>
          <cell r="D370">
            <v>0.125</v>
          </cell>
          <cell r="E370">
            <v>0.4995</v>
          </cell>
        </row>
        <row r="371">
          <cell r="B371">
            <v>3.760000999999964</v>
          </cell>
          <cell r="C371">
            <v>3.7599999999999638</v>
          </cell>
          <cell r="D371">
            <v>0.125</v>
          </cell>
          <cell r="E371">
            <v>0.49959999999999999</v>
          </cell>
        </row>
        <row r="372">
          <cell r="B372">
            <v>3.7700009999999637</v>
          </cell>
          <cell r="C372">
            <v>3.7699999999999636</v>
          </cell>
          <cell r="D372">
            <v>0.125</v>
          </cell>
          <cell r="E372">
            <v>0.49969999999999998</v>
          </cell>
        </row>
        <row r="373">
          <cell r="B373">
            <v>3.7800009999999635</v>
          </cell>
          <cell r="C373">
            <v>3.7799999999999634</v>
          </cell>
          <cell r="D373">
            <v>0.125</v>
          </cell>
          <cell r="E373">
            <v>0.49980000000000002</v>
          </cell>
        </row>
        <row r="374">
          <cell r="B374">
            <v>3.7900009999999633</v>
          </cell>
          <cell r="C374">
            <v>3.7899999999999632</v>
          </cell>
          <cell r="D374">
            <v>0.125</v>
          </cell>
          <cell r="E374">
            <v>0.49990000000000001</v>
          </cell>
        </row>
        <row r="375">
          <cell r="B375">
            <v>3.8000009999999631</v>
          </cell>
          <cell r="C375">
            <v>3.799999999999963</v>
          </cell>
          <cell r="D375">
            <v>0.125</v>
          </cell>
          <cell r="E375">
            <v>0.5</v>
          </cell>
        </row>
        <row r="376">
          <cell r="B376">
            <v>3.8100009999999629</v>
          </cell>
          <cell r="C376">
            <v>3.8099999999999627</v>
          </cell>
          <cell r="D376">
            <v>0.12509999999999999</v>
          </cell>
          <cell r="E376">
            <v>0.50009999999999999</v>
          </cell>
        </row>
        <row r="377">
          <cell r="B377">
            <v>3.8200009999999627</v>
          </cell>
          <cell r="C377">
            <v>3.8199999999999625</v>
          </cell>
          <cell r="D377">
            <v>0.12520000000000001</v>
          </cell>
          <cell r="E377">
            <v>0.50019999999999998</v>
          </cell>
        </row>
        <row r="378">
          <cell r="B378">
            <v>3.8300009999999625</v>
          </cell>
          <cell r="C378">
            <v>3.8299999999999623</v>
          </cell>
          <cell r="D378">
            <v>0.12529999999999999</v>
          </cell>
          <cell r="E378">
            <v>0.50029999999999997</v>
          </cell>
        </row>
        <row r="379">
          <cell r="B379">
            <v>3.8400009999999623</v>
          </cell>
          <cell r="C379">
            <v>3.8399999999999621</v>
          </cell>
          <cell r="D379">
            <v>0.12540000000000001</v>
          </cell>
          <cell r="E379">
            <v>0.50039999999999996</v>
          </cell>
        </row>
        <row r="380">
          <cell r="B380">
            <v>3.850000999999962</v>
          </cell>
          <cell r="C380">
            <v>3.8499999999999619</v>
          </cell>
          <cell r="D380">
            <v>0.1255</v>
          </cell>
          <cell r="E380">
            <v>0.50049999999999994</v>
          </cell>
        </row>
        <row r="381">
          <cell r="B381">
            <v>3.8600009999999618</v>
          </cell>
          <cell r="C381">
            <v>3.8599999999999617</v>
          </cell>
          <cell r="D381">
            <v>0.12559999999999999</v>
          </cell>
          <cell r="E381">
            <v>0.50060000000000004</v>
          </cell>
        </row>
        <row r="382">
          <cell r="B382">
            <v>3.8700009999999616</v>
          </cell>
          <cell r="C382">
            <v>3.8699999999999615</v>
          </cell>
          <cell r="D382">
            <v>0.12570000000000001</v>
          </cell>
          <cell r="E382">
            <v>0.50070000000000003</v>
          </cell>
        </row>
        <row r="383">
          <cell r="B383">
            <v>3.8800009999999614</v>
          </cell>
          <cell r="C383">
            <v>3.8799999999999613</v>
          </cell>
          <cell r="D383">
            <v>0.1258</v>
          </cell>
          <cell r="E383">
            <v>0.50080000000000002</v>
          </cell>
        </row>
        <row r="384">
          <cell r="B384">
            <v>3.8900009999999612</v>
          </cell>
          <cell r="C384">
            <v>3.889999999999961</v>
          </cell>
          <cell r="D384">
            <v>0.12590000000000001</v>
          </cell>
          <cell r="E384">
            <v>0.50090000000000001</v>
          </cell>
        </row>
        <row r="385">
          <cell r="B385">
            <v>3.900000999999961</v>
          </cell>
          <cell r="C385">
            <v>3.8999999999999608</v>
          </cell>
          <cell r="D385">
            <v>0.126</v>
          </cell>
          <cell r="E385">
            <v>0.501</v>
          </cell>
        </row>
        <row r="386">
          <cell r="B386">
            <v>3.9100009999999608</v>
          </cell>
          <cell r="C386">
            <v>3.9099999999999606</v>
          </cell>
          <cell r="D386">
            <v>0.126</v>
          </cell>
          <cell r="E386">
            <v>0.50109999999999999</v>
          </cell>
        </row>
        <row r="387">
          <cell r="B387">
            <v>3.9200009999999605</v>
          </cell>
          <cell r="C387">
            <v>3.9199999999999604</v>
          </cell>
          <cell r="D387">
            <v>0.126</v>
          </cell>
          <cell r="E387">
            <v>0.50119999999999998</v>
          </cell>
        </row>
        <row r="388">
          <cell r="B388">
            <v>3.9300009999999603</v>
          </cell>
          <cell r="C388">
            <v>3.9299999999999602</v>
          </cell>
          <cell r="D388">
            <v>0.126</v>
          </cell>
          <cell r="E388">
            <v>0.50129999999999997</v>
          </cell>
        </row>
        <row r="389">
          <cell r="B389">
            <v>3.9400009999999601</v>
          </cell>
          <cell r="C389">
            <v>3.93999999999996</v>
          </cell>
          <cell r="D389">
            <v>0.126</v>
          </cell>
          <cell r="E389">
            <v>0.50139999999999996</v>
          </cell>
        </row>
        <row r="390">
          <cell r="B390">
            <v>3.9500009999999599</v>
          </cell>
          <cell r="C390">
            <v>3.9499999999999598</v>
          </cell>
          <cell r="D390">
            <v>0.126</v>
          </cell>
          <cell r="E390">
            <v>0.50150000000000006</v>
          </cell>
        </row>
        <row r="391">
          <cell r="B391">
            <v>3.9600009999999597</v>
          </cell>
          <cell r="C391">
            <v>3.9599999999999596</v>
          </cell>
          <cell r="D391">
            <v>0.126</v>
          </cell>
          <cell r="E391">
            <v>0.50160000000000005</v>
          </cell>
        </row>
        <row r="392">
          <cell r="B392">
            <v>3.9700009999999595</v>
          </cell>
          <cell r="C392">
            <v>3.9699999999999593</v>
          </cell>
          <cell r="D392">
            <v>0.126</v>
          </cell>
          <cell r="E392">
            <v>0.50170000000000003</v>
          </cell>
        </row>
        <row r="393">
          <cell r="B393">
            <v>3.9800009999999593</v>
          </cell>
          <cell r="C393">
            <v>3.9799999999999591</v>
          </cell>
          <cell r="D393">
            <v>0.126</v>
          </cell>
          <cell r="E393">
            <v>0.50180000000000002</v>
          </cell>
        </row>
        <row r="394">
          <cell r="B394">
            <v>3.9900009999999591</v>
          </cell>
          <cell r="C394">
            <v>3.9899999999999589</v>
          </cell>
          <cell r="D394">
            <v>0.126</v>
          </cell>
          <cell r="E394">
            <v>0.50190000000000001</v>
          </cell>
        </row>
        <row r="395">
          <cell r="B395">
            <v>4.0000009999999584</v>
          </cell>
          <cell r="C395">
            <v>3.9999999999999587</v>
          </cell>
          <cell r="D395">
            <v>0.126</v>
          </cell>
          <cell r="E395">
            <v>0.502</v>
          </cell>
        </row>
        <row r="396">
          <cell r="B396">
            <v>4.0100009999999591</v>
          </cell>
          <cell r="C396">
            <v>4.0099999999999589</v>
          </cell>
          <cell r="D396">
            <v>0.12609999999999999</v>
          </cell>
          <cell r="E396">
            <v>0.502</v>
          </cell>
        </row>
        <row r="397">
          <cell r="B397">
            <v>4.0200009999999589</v>
          </cell>
          <cell r="C397">
            <v>4.0199999999999587</v>
          </cell>
          <cell r="D397">
            <v>0.12620000000000001</v>
          </cell>
          <cell r="E397">
            <v>0.502</v>
          </cell>
        </row>
        <row r="398">
          <cell r="B398">
            <v>4.0300009999999586</v>
          </cell>
          <cell r="C398">
            <v>4.0299999999999585</v>
          </cell>
          <cell r="D398">
            <v>0.1263</v>
          </cell>
          <cell r="E398">
            <v>0.502</v>
          </cell>
        </row>
        <row r="399">
          <cell r="B399">
            <v>4.0400009999999584</v>
          </cell>
          <cell r="C399">
            <v>4.0399999999999583</v>
          </cell>
          <cell r="D399">
            <v>0.12640000000000001</v>
          </cell>
          <cell r="E399">
            <v>0.502</v>
          </cell>
        </row>
        <row r="400">
          <cell r="B400">
            <v>4.0500009999999582</v>
          </cell>
          <cell r="C400">
            <v>4.0499999999999581</v>
          </cell>
          <cell r="D400">
            <v>0.1265</v>
          </cell>
          <cell r="E400">
            <v>0.502</v>
          </cell>
        </row>
        <row r="401">
          <cell r="B401">
            <v>4.060000999999958</v>
          </cell>
          <cell r="C401">
            <v>4.0599999999999579</v>
          </cell>
          <cell r="D401">
            <v>0.12659999999999999</v>
          </cell>
          <cell r="E401">
            <v>0.502</v>
          </cell>
        </row>
        <row r="402">
          <cell r="B402">
            <v>4.0700009999999578</v>
          </cell>
          <cell r="C402">
            <v>4.0699999999999577</v>
          </cell>
          <cell r="D402">
            <v>0.12670000000000001</v>
          </cell>
          <cell r="E402">
            <v>0.502</v>
          </cell>
        </row>
        <row r="403">
          <cell r="B403">
            <v>4.0800009999999576</v>
          </cell>
          <cell r="C403">
            <v>4.0799999999999574</v>
          </cell>
          <cell r="D403">
            <v>0.1268</v>
          </cell>
          <cell r="E403">
            <v>0.502</v>
          </cell>
        </row>
        <row r="404">
          <cell r="B404">
            <v>4.0900009999999574</v>
          </cell>
          <cell r="C404">
            <v>4.0899999999999572</v>
          </cell>
          <cell r="D404">
            <v>0.12690000000000001</v>
          </cell>
          <cell r="E404">
            <v>0.502</v>
          </cell>
        </row>
        <row r="405">
          <cell r="B405">
            <v>4.1000009999999572</v>
          </cell>
          <cell r="C405">
            <v>4.099999999999957</v>
          </cell>
          <cell r="D405">
            <v>0.127</v>
          </cell>
          <cell r="E405">
            <v>0.502</v>
          </cell>
        </row>
        <row r="406">
          <cell r="B406">
            <v>4.1100009999999569</v>
          </cell>
          <cell r="C406">
            <v>4.1099999999999568</v>
          </cell>
          <cell r="D406">
            <v>0.127</v>
          </cell>
          <cell r="E406">
            <v>0.50209999999999999</v>
          </cell>
        </row>
        <row r="407">
          <cell r="B407">
            <v>4.1200009999999567</v>
          </cell>
          <cell r="C407">
            <v>4.1199999999999566</v>
          </cell>
          <cell r="D407">
            <v>0.127</v>
          </cell>
          <cell r="E407">
            <v>0.50219999999999998</v>
          </cell>
        </row>
        <row r="408">
          <cell r="B408">
            <v>4.1300009999999565</v>
          </cell>
          <cell r="C408">
            <v>4.1299999999999564</v>
          </cell>
          <cell r="D408">
            <v>0.127</v>
          </cell>
          <cell r="E408">
            <v>0.50229999999999997</v>
          </cell>
        </row>
        <row r="409">
          <cell r="B409">
            <v>4.1400009999999563</v>
          </cell>
          <cell r="C409">
            <v>4.1399999999999562</v>
          </cell>
          <cell r="D409">
            <v>0.127</v>
          </cell>
          <cell r="E409">
            <v>0.50239999999999996</v>
          </cell>
        </row>
        <row r="410">
          <cell r="B410">
            <v>4.1500009999999561</v>
          </cell>
          <cell r="C410">
            <v>4.1499999999999559</v>
          </cell>
          <cell r="D410">
            <v>0.127</v>
          </cell>
          <cell r="E410">
            <v>0.50249999999999995</v>
          </cell>
        </row>
        <row r="411">
          <cell r="B411">
            <v>4.1600009999999559</v>
          </cell>
          <cell r="C411">
            <v>4.1599999999999557</v>
          </cell>
          <cell r="D411">
            <v>0.127</v>
          </cell>
          <cell r="E411">
            <v>0.50260000000000005</v>
          </cell>
        </row>
        <row r="412">
          <cell r="B412">
            <v>4.1700009999999557</v>
          </cell>
          <cell r="C412">
            <v>4.1699999999999555</v>
          </cell>
          <cell r="D412">
            <v>0.127</v>
          </cell>
          <cell r="E412">
            <v>0.50270000000000004</v>
          </cell>
        </row>
        <row r="413">
          <cell r="B413">
            <v>4.1800009999999554</v>
          </cell>
          <cell r="C413">
            <v>4.1799999999999553</v>
          </cell>
          <cell r="D413">
            <v>0.127</v>
          </cell>
          <cell r="E413">
            <v>0.50280000000000002</v>
          </cell>
        </row>
        <row r="414">
          <cell r="B414">
            <v>4.1900009999999552</v>
          </cell>
          <cell r="C414">
            <v>4.1899999999999551</v>
          </cell>
          <cell r="D414">
            <v>0.127</v>
          </cell>
          <cell r="E414">
            <v>0.50290000000000001</v>
          </cell>
        </row>
        <row r="415">
          <cell r="B415">
            <v>4.200000999999955</v>
          </cell>
          <cell r="C415">
            <v>4.1999999999999549</v>
          </cell>
          <cell r="D415">
            <v>0.127</v>
          </cell>
          <cell r="E415">
            <v>0.503</v>
          </cell>
        </row>
        <row r="416">
          <cell r="B416">
            <v>4.2100009999999548</v>
          </cell>
          <cell r="C416">
            <v>4.2099999999999547</v>
          </cell>
          <cell r="D416">
            <v>0.12709999999999999</v>
          </cell>
          <cell r="E416">
            <v>0.503</v>
          </cell>
        </row>
        <row r="417">
          <cell r="B417">
            <v>4.2200009999999546</v>
          </cell>
          <cell r="C417">
            <v>4.2199999999999545</v>
          </cell>
          <cell r="D417">
            <v>0.12720000000000001</v>
          </cell>
          <cell r="E417">
            <v>0.503</v>
          </cell>
        </row>
        <row r="418">
          <cell r="B418">
            <v>4.2300009999999544</v>
          </cell>
          <cell r="C418">
            <v>4.2299999999999542</v>
          </cell>
          <cell r="D418">
            <v>0.1273</v>
          </cell>
          <cell r="E418">
            <v>0.503</v>
          </cell>
        </row>
        <row r="419">
          <cell r="B419">
            <v>4.2400009999999542</v>
          </cell>
          <cell r="C419">
            <v>4.239999999999954</v>
          </cell>
          <cell r="D419">
            <v>0.12740000000000001</v>
          </cell>
          <cell r="E419">
            <v>0.503</v>
          </cell>
        </row>
        <row r="420">
          <cell r="B420">
            <v>4.250000999999954</v>
          </cell>
          <cell r="C420">
            <v>4.2499999999999538</v>
          </cell>
          <cell r="D420">
            <v>0.1275</v>
          </cell>
          <cell r="E420">
            <v>0.503</v>
          </cell>
        </row>
        <row r="421">
          <cell r="B421">
            <v>4.2600009999999537</v>
          </cell>
          <cell r="C421">
            <v>4.2599999999999536</v>
          </cell>
          <cell r="D421">
            <v>0.12759999999999999</v>
          </cell>
          <cell r="E421">
            <v>0.503</v>
          </cell>
        </row>
        <row r="422">
          <cell r="B422">
            <v>4.2700009999999535</v>
          </cell>
          <cell r="C422">
            <v>4.2699999999999534</v>
          </cell>
          <cell r="D422">
            <v>0.12770000000000001</v>
          </cell>
          <cell r="E422">
            <v>0.503</v>
          </cell>
        </row>
        <row r="423">
          <cell r="B423">
            <v>4.2800009999999533</v>
          </cell>
          <cell r="C423">
            <v>4.2799999999999532</v>
          </cell>
          <cell r="D423">
            <v>0.1278</v>
          </cell>
          <cell r="E423">
            <v>0.503</v>
          </cell>
        </row>
        <row r="424">
          <cell r="B424">
            <v>4.2900009999999531</v>
          </cell>
          <cell r="C424">
            <v>4.289999999999953</v>
          </cell>
          <cell r="D424">
            <v>0.12790000000000001</v>
          </cell>
          <cell r="E424">
            <v>0.503</v>
          </cell>
        </row>
        <row r="425">
          <cell r="B425">
            <v>4.3000009999999529</v>
          </cell>
          <cell r="C425">
            <v>4.2999999999999527</v>
          </cell>
          <cell r="D425">
            <v>0.128</v>
          </cell>
          <cell r="E425">
            <v>0.503</v>
          </cell>
        </row>
        <row r="426">
          <cell r="B426">
            <v>4.3100009999999527</v>
          </cell>
          <cell r="C426">
            <v>4.3099999999999525</v>
          </cell>
          <cell r="D426">
            <v>0.128</v>
          </cell>
          <cell r="E426">
            <v>0.50309999999999999</v>
          </cell>
        </row>
        <row r="427">
          <cell r="B427">
            <v>4.3200009999999525</v>
          </cell>
          <cell r="C427">
            <v>4.3199999999999523</v>
          </cell>
          <cell r="D427">
            <v>0.128</v>
          </cell>
          <cell r="E427">
            <v>0.50319999999999998</v>
          </cell>
        </row>
        <row r="428">
          <cell r="B428">
            <v>4.3300009999999522</v>
          </cell>
          <cell r="C428">
            <v>4.3299999999999521</v>
          </cell>
          <cell r="D428">
            <v>0.128</v>
          </cell>
          <cell r="E428">
            <v>0.50329999999999997</v>
          </cell>
        </row>
        <row r="429">
          <cell r="B429">
            <v>4.340000999999952</v>
          </cell>
          <cell r="C429">
            <v>4.3399999999999519</v>
          </cell>
          <cell r="D429">
            <v>0.128</v>
          </cell>
          <cell r="E429">
            <v>0.50339999999999996</v>
          </cell>
        </row>
        <row r="430">
          <cell r="B430">
            <v>4.3500009999999518</v>
          </cell>
          <cell r="C430">
            <v>4.3499999999999517</v>
          </cell>
          <cell r="D430">
            <v>0.128</v>
          </cell>
          <cell r="E430">
            <v>0.50350000000000006</v>
          </cell>
        </row>
        <row r="431">
          <cell r="B431">
            <v>4.3600009999999516</v>
          </cell>
          <cell r="C431">
            <v>4.3599999999999515</v>
          </cell>
          <cell r="D431">
            <v>0.128</v>
          </cell>
          <cell r="E431">
            <v>0.50360000000000005</v>
          </cell>
        </row>
        <row r="432">
          <cell r="B432">
            <v>4.3700009999999514</v>
          </cell>
          <cell r="C432">
            <v>4.3699999999999513</v>
          </cell>
          <cell r="D432">
            <v>0.128</v>
          </cell>
          <cell r="E432">
            <v>0.50370000000000004</v>
          </cell>
        </row>
        <row r="433">
          <cell r="B433">
            <v>4.3800009999999512</v>
          </cell>
          <cell r="C433">
            <v>4.379999999999951</v>
          </cell>
          <cell r="D433">
            <v>0.128</v>
          </cell>
          <cell r="E433">
            <v>0.50380000000000003</v>
          </cell>
        </row>
        <row r="434">
          <cell r="B434">
            <v>4.390000999999951</v>
          </cell>
          <cell r="C434">
            <v>4.3899999999999508</v>
          </cell>
          <cell r="D434">
            <v>0.128</v>
          </cell>
          <cell r="E434">
            <v>0.50390000000000001</v>
          </cell>
        </row>
        <row r="435">
          <cell r="B435">
            <v>4.4000009999999508</v>
          </cell>
          <cell r="C435">
            <v>4.3999999999999506</v>
          </cell>
          <cell r="D435">
            <v>0.128</v>
          </cell>
          <cell r="E435">
            <v>0.504</v>
          </cell>
        </row>
        <row r="436">
          <cell r="B436">
            <v>4.4100009999999505</v>
          </cell>
          <cell r="C436">
            <v>4.4099999999999504</v>
          </cell>
          <cell r="D436">
            <v>0.12809999999999999</v>
          </cell>
          <cell r="E436">
            <v>0.50409999999999999</v>
          </cell>
        </row>
        <row r="437">
          <cell r="B437">
            <v>4.4200009999999503</v>
          </cell>
          <cell r="C437">
            <v>4.4199999999999502</v>
          </cell>
          <cell r="D437">
            <v>0.12820000000000001</v>
          </cell>
          <cell r="E437">
            <v>0.50419999999999998</v>
          </cell>
        </row>
        <row r="438">
          <cell r="B438">
            <v>4.4300009999999501</v>
          </cell>
          <cell r="C438">
            <v>4.42999999999995</v>
          </cell>
          <cell r="D438">
            <v>0.1283</v>
          </cell>
          <cell r="E438">
            <v>0.50429999999999997</v>
          </cell>
        </row>
        <row r="439">
          <cell r="B439">
            <v>4.4400009999999499</v>
          </cell>
          <cell r="C439">
            <v>4.4399999999999498</v>
          </cell>
          <cell r="D439">
            <v>0.12840000000000001</v>
          </cell>
          <cell r="E439">
            <v>0.50439999999999996</v>
          </cell>
        </row>
        <row r="440">
          <cell r="B440">
            <v>4.4500009999999497</v>
          </cell>
          <cell r="C440">
            <v>4.4499999999999496</v>
          </cell>
          <cell r="D440">
            <v>0.1285</v>
          </cell>
          <cell r="E440">
            <v>0.50449999999999995</v>
          </cell>
        </row>
        <row r="441">
          <cell r="B441">
            <v>4.4600009999999495</v>
          </cell>
          <cell r="C441">
            <v>4.4599999999999493</v>
          </cell>
          <cell r="D441">
            <v>0.12859999999999999</v>
          </cell>
          <cell r="E441">
            <v>0.50460000000000005</v>
          </cell>
        </row>
        <row r="442">
          <cell r="B442">
            <v>4.4700009999999493</v>
          </cell>
          <cell r="C442">
            <v>4.4699999999999491</v>
          </cell>
          <cell r="D442">
            <v>0.12870000000000001</v>
          </cell>
          <cell r="E442">
            <v>0.50470000000000004</v>
          </cell>
        </row>
        <row r="443">
          <cell r="B443">
            <v>4.4800009999999491</v>
          </cell>
          <cell r="C443">
            <v>4.4799999999999489</v>
          </cell>
          <cell r="D443">
            <v>0.1288</v>
          </cell>
          <cell r="E443">
            <v>0.50480000000000003</v>
          </cell>
        </row>
        <row r="444">
          <cell r="B444">
            <v>4.4900009999999488</v>
          </cell>
          <cell r="C444">
            <v>4.4899999999999487</v>
          </cell>
          <cell r="D444">
            <v>0.12890000000000001</v>
          </cell>
          <cell r="E444">
            <v>0.50490000000000002</v>
          </cell>
        </row>
        <row r="445">
          <cell r="B445">
            <v>4.5000009999999486</v>
          </cell>
          <cell r="C445">
            <v>4.4999999999999485</v>
          </cell>
          <cell r="D445">
            <v>0.129</v>
          </cell>
          <cell r="E445">
            <v>0.505</v>
          </cell>
        </row>
        <row r="446">
          <cell r="B446">
            <v>4.5100009999999484</v>
          </cell>
          <cell r="C446">
            <v>4.5099999999999483</v>
          </cell>
          <cell r="D446">
            <v>0.129</v>
          </cell>
          <cell r="E446">
            <v>0.50509999999999999</v>
          </cell>
        </row>
        <row r="447">
          <cell r="B447">
            <v>4.5200009999999482</v>
          </cell>
          <cell r="C447">
            <v>4.5199999999999481</v>
          </cell>
          <cell r="D447">
            <v>0.129</v>
          </cell>
          <cell r="E447">
            <v>0.50519999999999998</v>
          </cell>
        </row>
        <row r="448">
          <cell r="B448">
            <v>4.530000999999948</v>
          </cell>
          <cell r="C448">
            <v>4.5299999999999478</v>
          </cell>
          <cell r="D448">
            <v>0.129</v>
          </cell>
          <cell r="E448">
            <v>0.50529999999999997</v>
          </cell>
        </row>
        <row r="449">
          <cell r="B449">
            <v>4.5400009999999478</v>
          </cell>
          <cell r="C449">
            <v>4.5399999999999476</v>
          </cell>
          <cell r="D449">
            <v>0.129</v>
          </cell>
          <cell r="E449">
            <v>0.50539999999999996</v>
          </cell>
        </row>
        <row r="450">
          <cell r="B450">
            <v>4.5500009999999476</v>
          </cell>
          <cell r="C450">
            <v>4.5499999999999474</v>
          </cell>
          <cell r="D450">
            <v>0.129</v>
          </cell>
          <cell r="E450">
            <v>0.50550000000000006</v>
          </cell>
        </row>
        <row r="451">
          <cell r="B451">
            <v>4.5600009999999473</v>
          </cell>
          <cell r="C451">
            <v>4.5599999999999472</v>
          </cell>
          <cell r="D451">
            <v>0.129</v>
          </cell>
          <cell r="E451">
            <v>0.50560000000000005</v>
          </cell>
        </row>
        <row r="452">
          <cell r="B452">
            <v>4.5700009999999471</v>
          </cell>
          <cell r="C452">
            <v>4.569999999999947</v>
          </cell>
          <cell r="D452">
            <v>0.129</v>
          </cell>
          <cell r="E452">
            <v>0.50570000000000004</v>
          </cell>
        </row>
        <row r="453">
          <cell r="B453">
            <v>4.5800009999999469</v>
          </cell>
          <cell r="C453">
            <v>4.5799999999999468</v>
          </cell>
          <cell r="D453">
            <v>0.129</v>
          </cell>
          <cell r="E453">
            <v>0.50580000000000003</v>
          </cell>
        </row>
        <row r="454">
          <cell r="B454">
            <v>4.5900009999999467</v>
          </cell>
          <cell r="C454">
            <v>4.5899999999999466</v>
          </cell>
          <cell r="D454">
            <v>0.129</v>
          </cell>
          <cell r="E454">
            <v>0.50590000000000002</v>
          </cell>
        </row>
        <row r="455">
          <cell r="B455">
            <v>4.6000009999999465</v>
          </cell>
          <cell r="C455">
            <v>4.5999999999999464</v>
          </cell>
          <cell r="D455">
            <v>0.129</v>
          </cell>
          <cell r="E455">
            <v>0.50600000000000001</v>
          </cell>
        </row>
        <row r="456">
          <cell r="B456">
            <v>4.6100009999999463</v>
          </cell>
          <cell r="C456">
            <v>4.6099999999999461</v>
          </cell>
          <cell r="D456">
            <v>0.12909999999999999</v>
          </cell>
          <cell r="E456">
            <v>0.50609999999999999</v>
          </cell>
        </row>
        <row r="457">
          <cell r="B457">
            <v>4.6200009999999461</v>
          </cell>
          <cell r="C457">
            <v>4.6199999999999459</v>
          </cell>
          <cell r="D457">
            <v>0.12920000000000001</v>
          </cell>
          <cell r="E457">
            <v>0.50619999999999998</v>
          </cell>
        </row>
        <row r="458">
          <cell r="B458">
            <v>4.6300009999999459</v>
          </cell>
          <cell r="C458">
            <v>4.6299999999999457</v>
          </cell>
          <cell r="D458">
            <v>0.1293</v>
          </cell>
          <cell r="E458">
            <v>0.50629999999999997</v>
          </cell>
        </row>
        <row r="459">
          <cell r="B459">
            <v>4.6400009999999456</v>
          </cell>
          <cell r="C459">
            <v>4.6399999999999455</v>
          </cell>
          <cell r="D459">
            <v>0.12940000000000002</v>
          </cell>
          <cell r="E459">
            <v>0.50639999999999996</v>
          </cell>
        </row>
        <row r="460">
          <cell r="B460">
            <v>4.6500009999999454</v>
          </cell>
          <cell r="C460">
            <v>4.6499999999999453</v>
          </cell>
          <cell r="D460">
            <v>0.1295</v>
          </cell>
          <cell r="E460">
            <v>0.50649999999999995</v>
          </cell>
        </row>
        <row r="461">
          <cell r="B461">
            <v>4.6600009999999452</v>
          </cell>
          <cell r="C461">
            <v>4.6599999999999451</v>
          </cell>
          <cell r="D461">
            <v>0.12959999999999999</v>
          </cell>
          <cell r="E461">
            <v>0.50660000000000005</v>
          </cell>
        </row>
        <row r="462">
          <cell r="B462">
            <v>4.670000999999945</v>
          </cell>
          <cell r="C462">
            <v>4.6699999999999449</v>
          </cell>
          <cell r="D462">
            <v>0.12970000000000001</v>
          </cell>
          <cell r="E462">
            <v>0.50670000000000004</v>
          </cell>
        </row>
        <row r="463">
          <cell r="B463">
            <v>4.6800009999999448</v>
          </cell>
          <cell r="C463">
            <v>4.6799999999999446</v>
          </cell>
          <cell r="D463">
            <v>0.1298</v>
          </cell>
          <cell r="E463">
            <v>0.50680000000000003</v>
          </cell>
        </row>
        <row r="464">
          <cell r="B464">
            <v>4.6900009999999446</v>
          </cell>
          <cell r="C464">
            <v>4.6899999999999444</v>
          </cell>
          <cell r="D464">
            <v>0.12990000000000002</v>
          </cell>
          <cell r="E464">
            <v>0.50690000000000002</v>
          </cell>
        </row>
        <row r="465">
          <cell r="B465">
            <v>4.7000009999999444</v>
          </cell>
          <cell r="C465">
            <v>4.6999999999999442</v>
          </cell>
          <cell r="D465">
            <v>0.13</v>
          </cell>
          <cell r="E465">
            <v>0.50700000000000001</v>
          </cell>
        </row>
        <row r="466">
          <cell r="B466">
            <v>4.7100009999999441</v>
          </cell>
          <cell r="C466">
            <v>4.709999999999944</v>
          </cell>
          <cell r="D466">
            <v>0.13</v>
          </cell>
          <cell r="E466">
            <v>0.5071</v>
          </cell>
        </row>
        <row r="467">
          <cell r="B467">
            <v>4.7200009999999439</v>
          </cell>
          <cell r="C467">
            <v>4.7199999999999438</v>
          </cell>
          <cell r="D467">
            <v>0.13</v>
          </cell>
          <cell r="E467">
            <v>0.50719999999999998</v>
          </cell>
        </row>
        <row r="468">
          <cell r="B468">
            <v>4.7300009999999437</v>
          </cell>
          <cell r="C468">
            <v>4.7299999999999436</v>
          </cell>
          <cell r="D468">
            <v>0.13</v>
          </cell>
          <cell r="E468">
            <v>0.50729999999999997</v>
          </cell>
        </row>
        <row r="469">
          <cell r="B469">
            <v>4.7400009999999435</v>
          </cell>
          <cell r="C469">
            <v>4.7399999999999434</v>
          </cell>
          <cell r="D469">
            <v>0.13</v>
          </cell>
          <cell r="E469">
            <v>0.50739999999999996</v>
          </cell>
        </row>
        <row r="470">
          <cell r="B470">
            <v>4.7500009999999433</v>
          </cell>
          <cell r="C470">
            <v>4.7499999999999432</v>
          </cell>
          <cell r="D470">
            <v>0.13</v>
          </cell>
          <cell r="E470">
            <v>0.50750000000000006</v>
          </cell>
        </row>
        <row r="471">
          <cell r="B471">
            <v>4.7600009999999431</v>
          </cell>
          <cell r="C471">
            <v>4.7599999999999429</v>
          </cell>
          <cell r="D471">
            <v>0.13</v>
          </cell>
          <cell r="E471">
            <v>0.50760000000000005</v>
          </cell>
        </row>
        <row r="472">
          <cell r="B472">
            <v>4.7700009999999429</v>
          </cell>
          <cell r="C472">
            <v>4.7699999999999427</v>
          </cell>
          <cell r="D472">
            <v>0.13</v>
          </cell>
          <cell r="E472">
            <v>0.50770000000000004</v>
          </cell>
        </row>
        <row r="473">
          <cell r="B473">
            <v>4.7800009999999427</v>
          </cell>
          <cell r="C473">
            <v>4.7799999999999425</v>
          </cell>
          <cell r="D473">
            <v>0.13</v>
          </cell>
          <cell r="E473">
            <v>0.50780000000000003</v>
          </cell>
        </row>
        <row r="474">
          <cell r="B474">
            <v>4.7900009999999424</v>
          </cell>
          <cell r="C474">
            <v>4.7899999999999423</v>
          </cell>
          <cell r="D474">
            <v>0.13</v>
          </cell>
          <cell r="E474">
            <v>0.50790000000000002</v>
          </cell>
        </row>
        <row r="475">
          <cell r="B475">
            <v>4.8000009999999422</v>
          </cell>
          <cell r="C475">
            <v>4.7999999999999421</v>
          </cell>
          <cell r="D475">
            <v>0.13</v>
          </cell>
          <cell r="E475">
            <v>0.50800000000000001</v>
          </cell>
        </row>
        <row r="476">
          <cell r="B476">
            <v>4.810000999999942</v>
          </cell>
          <cell r="C476">
            <v>4.8099999999999419</v>
          </cell>
          <cell r="D476">
            <v>0.13009999999999999</v>
          </cell>
          <cell r="E476">
            <v>0.5081</v>
          </cell>
        </row>
        <row r="477">
          <cell r="B477">
            <v>4.8200009999999418</v>
          </cell>
          <cell r="C477">
            <v>4.8199999999999417</v>
          </cell>
          <cell r="D477">
            <v>0.13020000000000001</v>
          </cell>
          <cell r="E477">
            <v>0.50819999999999999</v>
          </cell>
        </row>
        <row r="478">
          <cell r="B478">
            <v>4.8300009999999416</v>
          </cell>
          <cell r="C478">
            <v>4.8299999999999415</v>
          </cell>
          <cell r="D478">
            <v>0.1303</v>
          </cell>
          <cell r="E478">
            <v>0.50829999999999997</v>
          </cell>
        </row>
        <row r="479">
          <cell r="B479">
            <v>4.8400009999999414</v>
          </cell>
          <cell r="C479">
            <v>4.8399999999999412</v>
          </cell>
          <cell r="D479">
            <v>0.13040000000000002</v>
          </cell>
          <cell r="E479">
            <v>0.50839999999999996</v>
          </cell>
        </row>
        <row r="480">
          <cell r="B480">
            <v>4.8500009999999412</v>
          </cell>
          <cell r="C480">
            <v>4.849999999999941</v>
          </cell>
          <cell r="D480">
            <v>0.1305</v>
          </cell>
          <cell r="E480">
            <v>0.50849999999999995</v>
          </cell>
        </row>
        <row r="481">
          <cell r="B481">
            <v>4.860000999999941</v>
          </cell>
          <cell r="C481">
            <v>4.8599999999999408</v>
          </cell>
          <cell r="D481">
            <v>0.13059999999999999</v>
          </cell>
          <cell r="E481">
            <v>0.50860000000000005</v>
          </cell>
        </row>
        <row r="482">
          <cell r="B482">
            <v>4.8700009999999407</v>
          </cell>
          <cell r="C482">
            <v>4.8699999999999406</v>
          </cell>
          <cell r="D482">
            <v>0.13070000000000001</v>
          </cell>
          <cell r="E482">
            <v>0.50870000000000004</v>
          </cell>
        </row>
        <row r="483">
          <cell r="B483">
            <v>4.8800009999999405</v>
          </cell>
          <cell r="C483">
            <v>4.8799999999999404</v>
          </cell>
          <cell r="D483">
            <v>0.1308</v>
          </cell>
          <cell r="E483">
            <v>0.50880000000000003</v>
          </cell>
        </row>
        <row r="484">
          <cell r="B484">
            <v>4.8900009999999403</v>
          </cell>
          <cell r="C484">
            <v>4.8899999999999402</v>
          </cell>
          <cell r="D484">
            <v>0.13090000000000002</v>
          </cell>
          <cell r="E484">
            <v>0.50890000000000002</v>
          </cell>
        </row>
        <row r="485">
          <cell r="B485">
            <v>4.9000009999999401</v>
          </cell>
          <cell r="C485">
            <v>4.89999999999994</v>
          </cell>
          <cell r="D485">
            <v>0.13100000000000001</v>
          </cell>
          <cell r="E485">
            <v>0.50900000000000001</v>
          </cell>
        </row>
        <row r="486">
          <cell r="B486">
            <v>4.9100009999999399</v>
          </cell>
          <cell r="C486">
            <v>4.9099999999999397</v>
          </cell>
          <cell r="D486">
            <v>0.13100000000000001</v>
          </cell>
          <cell r="E486">
            <v>0.5091</v>
          </cell>
        </row>
        <row r="487">
          <cell r="B487">
            <v>4.9200009999999397</v>
          </cell>
          <cell r="C487">
            <v>4.9199999999999395</v>
          </cell>
          <cell r="D487">
            <v>0.13100000000000001</v>
          </cell>
          <cell r="E487">
            <v>0.50919999999999999</v>
          </cell>
        </row>
        <row r="488">
          <cell r="B488">
            <v>4.9300009999999395</v>
          </cell>
          <cell r="C488">
            <v>4.9299999999999393</v>
          </cell>
          <cell r="D488">
            <v>0.13100000000000001</v>
          </cell>
          <cell r="E488">
            <v>0.50929999999999997</v>
          </cell>
        </row>
        <row r="489">
          <cell r="B489">
            <v>4.9400009999999392</v>
          </cell>
          <cell r="C489">
            <v>4.9399999999999391</v>
          </cell>
          <cell r="D489">
            <v>0.13100000000000001</v>
          </cell>
          <cell r="E489">
            <v>0.50939999999999996</v>
          </cell>
        </row>
        <row r="490">
          <cell r="B490">
            <v>4.950000999999939</v>
          </cell>
          <cell r="C490">
            <v>4.9499999999999389</v>
          </cell>
          <cell r="D490">
            <v>0.13100000000000001</v>
          </cell>
          <cell r="E490">
            <v>0.50950000000000006</v>
          </cell>
        </row>
        <row r="491">
          <cell r="B491">
            <v>4.9600009999999388</v>
          </cell>
          <cell r="C491">
            <v>4.9599999999999387</v>
          </cell>
          <cell r="D491">
            <v>0.13100000000000001</v>
          </cell>
          <cell r="E491">
            <v>0.50960000000000005</v>
          </cell>
        </row>
        <row r="492">
          <cell r="B492">
            <v>4.9700009999999386</v>
          </cell>
          <cell r="C492">
            <v>4.9699999999999385</v>
          </cell>
          <cell r="D492">
            <v>0.13100000000000001</v>
          </cell>
          <cell r="E492">
            <v>0.50970000000000004</v>
          </cell>
        </row>
        <row r="493">
          <cell r="B493">
            <v>4.9800009999999384</v>
          </cell>
          <cell r="C493">
            <v>4.9799999999999383</v>
          </cell>
          <cell r="D493">
            <v>0.13100000000000001</v>
          </cell>
          <cell r="E493">
            <v>0.50980000000000003</v>
          </cell>
        </row>
        <row r="494">
          <cell r="B494">
            <v>4.9900009999999382</v>
          </cell>
          <cell r="C494">
            <v>4.989999999999938</v>
          </cell>
          <cell r="D494">
            <v>0.13100000000000001</v>
          </cell>
          <cell r="E494">
            <v>0.50990000000000002</v>
          </cell>
        </row>
        <row r="495">
          <cell r="B495">
            <v>5.000000999999938</v>
          </cell>
          <cell r="C495">
            <v>4.9999999999999378</v>
          </cell>
          <cell r="D495">
            <v>0.13100000000000001</v>
          </cell>
          <cell r="E495">
            <v>0.51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포조"/>
      <sheetName val="포장조서"/>
      <sheetName val="재료집계(2)"/>
      <sheetName val="축구"/>
      <sheetName val="다목적"/>
      <sheetName val="롤러"/>
      <sheetName val="VXXXXXXX"/>
      <sheetName val="간지"/>
      <sheetName val="갑지"/>
      <sheetName val="갑지 (2)"/>
      <sheetName val="레"/>
      <sheetName val="아칼"/>
      <sheetName val="철"/>
      <sheetName val="포장재"/>
      <sheetName val="주자집"/>
      <sheetName val="수량집계"/>
      <sheetName val="다집"/>
      <sheetName val="다"/>
      <sheetName val="풋집"/>
      <sheetName val="풋"/>
      <sheetName val="배집"/>
      <sheetName val="배"/>
      <sheetName val="X집"/>
      <sheetName val="X"/>
      <sheetName val="게집"/>
      <sheetName val="게"/>
      <sheetName val="재료집계(1)"/>
      <sheetName val="인조잔디 "/>
      <sheetName val="게이트볼"/>
      <sheetName val="재료집계(3)"/>
      <sheetName val="테니스장"/>
      <sheetName val="Sheet1"/>
      <sheetName val="테니스"/>
      <sheetName val="집계"/>
      <sheetName val="단면"/>
      <sheetName val="조명율표"/>
      <sheetName val="입찰안"/>
      <sheetName val="단가산출2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중기"/>
      <sheetName val="시간"/>
      <sheetName val="목록"/>
      <sheetName val="산근"/>
      <sheetName val="이식"/>
      <sheetName val="중기운반"/>
      <sheetName val="시험비"/>
      <sheetName val="투입대수"/>
      <sheetName val="투입시간"/>
      <sheetName val="입찰안"/>
      <sheetName val="중기사용료"/>
      <sheetName val="조경일람"/>
      <sheetName val="약품공급2"/>
      <sheetName val="내역서적용수량"/>
      <sheetName val="조명율표"/>
      <sheetName val="2000년1차"/>
      <sheetName val="DATE"/>
      <sheetName val="내역서"/>
      <sheetName val="조명일위"/>
      <sheetName val="단조-노임"/>
      <sheetName val="노무비"/>
      <sheetName val="산출근거"/>
      <sheetName val="B.중기"/>
      <sheetName val="앉음벽 (2)"/>
      <sheetName val="기본단가표"/>
      <sheetName val="101동"/>
      <sheetName val="단가산출(00d)"/>
      <sheetName val="#REF"/>
      <sheetName val="2000전체분"/>
      <sheetName val="기초일위"/>
      <sheetName val="시설일위"/>
      <sheetName val="신규일위대가"/>
      <sheetName val="공사착공계"/>
      <sheetName val="자재단가비교표"/>
      <sheetName val="종배수관면벽구"/>
      <sheetName val="일위대가목록"/>
      <sheetName val="단가산출"/>
      <sheetName val="4차원가계산서"/>
      <sheetName val="guard(mac)"/>
      <sheetName val="세부내역"/>
      <sheetName val="8설7발"/>
      <sheetName val="준검 내역서"/>
      <sheetName val="200"/>
      <sheetName val="대가목록"/>
      <sheetName val="항목등록"/>
      <sheetName val="일위대가"/>
      <sheetName val="교각1"/>
      <sheetName val="단가 및 재료비"/>
      <sheetName val="직공비"/>
      <sheetName val="조경"/>
      <sheetName val="선급금신청서"/>
      <sheetName val="접지수량"/>
      <sheetName val="N賃率-職"/>
      <sheetName val="종배수관설치현황"/>
      <sheetName val="토사(PE)"/>
      <sheetName val="터파기및재료"/>
      <sheetName val="내역서1"/>
      <sheetName val="자료"/>
      <sheetName val="내역전기"/>
      <sheetName val="교통대책내역"/>
      <sheetName val="조명시설"/>
      <sheetName val="금융비용"/>
      <sheetName val="INPUT"/>
      <sheetName val="토목공사일반"/>
      <sheetName val="석축산출서"/>
      <sheetName val="표지"/>
      <sheetName val="공정증감대ㅈ표"/>
    </sheetNames>
    <sheetDataSet>
      <sheetData sheetId="0"/>
      <sheetData sheetId="1" refreshError="1">
        <row r="5">
          <cell r="D5" t="str">
            <v>불도저(무한궤도)19Ton</v>
          </cell>
          <cell r="E5">
            <v>56299</v>
          </cell>
          <cell r="F5">
            <v>15657</v>
          </cell>
          <cell r="G5">
            <v>17353</v>
          </cell>
          <cell r="H5">
            <v>23289</v>
          </cell>
        </row>
        <row r="8">
          <cell r="D8" t="str">
            <v>유압식리퍼19Ton</v>
          </cell>
          <cell r="E8">
            <v>1027</v>
          </cell>
          <cell r="F8">
            <v>0</v>
          </cell>
          <cell r="G8">
            <v>0</v>
          </cell>
          <cell r="H8">
            <v>1027</v>
          </cell>
        </row>
        <row r="11">
          <cell r="D11" t="str">
            <v>굴삭기(유압식백호)0.2m3</v>
          </cell>
          <cell r="E11">
            <v>27163</v>
          </cell>
          <cell r="F11">
            <v>2460</v>
          </cell>
          <cell r="G11">
            <v>17353</v>
          </cell>
          <cell r="H11">
            <v>7350</v>
          </cell>
        </row>
        <row r="14">
          <cell r="D14" t="str">
            <v>굴삭기(유압식백호)0.4m3</v>
          </cell>
          <cell r="E14">
            <v>34118</v>
          </cell>
          <cell r="F14">
            <v>5827</v>
          </cell>
          <cell r="G14">
            <v>17353</v>
          </cell>
          <cell r="H14">
            <v>10938</v>
          </cell>
        </row>
        <row r="17">
          <cell r="D17" t="str">
            <v>굴삭기(유압식백호)0.7m3</v>
          </cell>
          <cell r="E17">
            <v>40805</v>
          </cell>
          <cell r="F17">
            <v>6798</v>
          </cell>
          <cell r="G17">
            <v>17353</v>
          </cell>
          <cell r="H17">
            <v>16654</v>
          </cell>
        </row>
        <row r="20">
          <cell r="D20" t="str">
            <v>굴삭기(유압식백호)1.0m3</v>
          </cell>
          <cell r="E20">
            <v>49219</v>
          </cell>
          <cell r="F20">
            <v>11460</v>
          </cell>
          <cell r="G20">
            <v>17353</v>
          </cell>
          <cell r="H20">
            <v>20406</v>
          </cell>
        </row>
        <row r="23">
          <cell r="D23" t="str">
            <v>대형브레이커0.7m3</v>
          </cell>
          <cell r="E23">
            <v>9141</v>
          </cell>
          <cell r="F23">
            <v>0</v>
          </cell>
          <cell r="G23">
            <v>0</v>
          </cell>
          <cell r="H23">
            <v>9141</v>
          </cell>
        </row>
        <row r="26">
          <cell r="D26" t="str">
            <v>대형브레이커치즐0.7m3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9">
          <cell r="D29" t="str">
            <v>로더(무한궤도)1.72m3</v>
          </cell>
          <cell r="E29">
            <v>50024</v>
          </cell>
          <cell r="F29">
            <v>12587</v>
          </cell>
          <cell r="G29">
            <v>17353</v>
          </cell>
          <cell r="H29">
            <v>20084</v>
          </cell>
        </row>
        <row r="32">
          <cell r="D32" t="str">
            <v>로더(타이어)1.72m3</v>
          </cell>
          <cell r="E32">
            <v>43581</v>
          </cell>
          <cell r="F32">
            <v>10843</v>
          </cell>
          <cell r="G32">
            <v>17353</v>
          </cell>
          <cell r="H32">
            <v>15385</v>
          </cell>
        </row>
        <row r="35">
          <cell r="D35" t="str">
            <v>모터그레이더3.6m</v>
          </cell>
          <cell r="E35">
            <v>49971</v>
          </cell>
          <cell r="F35">
            <v>13242</v>
          </cell>
          <cell r="G35">
            <v>17353</v>
          </cell>
          <cell r="H35">
            <v>19376</v>
          </cell>
        </row>
        <row r="38">
          <cell r="D38" t="str">
            <v>덤프트럭15.0Ton</v>
          </cell>
          <cell r="E38">
            <v>40312</v>
          </cell>
          <cell r="F38">
            <v>15738</v>
          </cell>
          <cell r="G38">
            <v>10833</v>
          </cell>
          <cell r="H38">
            <v>13741</v>
          </cell>
        </row>
        <row r="41">
          <cell r="D41" t="str">
            <v>매캐덤롤라(자주식)8-10Ton</v>
          </cell>
          <cell r="E41">
            <v>25989</v>
          </cell>
          <cell r="F41">
            <v>5221</v>
          </cell>
          <cell r="G41">
            <v>13291</v>
          </cell>
          <cell r="H41">
            <v>7477</v>
          </cell>
        </row>
        <row r="44">
          <cell r="D44" t="str">
            <v>텐덤롤라(자주식)5-8Ton</v>
          </cell>
          <cell r="E44">
            <v>23058</v>
          </cell>
          <cell r="F44">
            <v>3418</v>
          </cell>
          <cell r="G44">
            <v>13291</v>
          </cell>
          <cell r="H44">
            <v>6349</v>
          </cell>
        </row>
        <row r="47">
          <cell r="D47" t="str">
            <v>텐덤롤라(자주식)8-10Ton</v>
          </cell>
          <cell r="E47">
            <v>25613</v>
          </cell>
          <cell r="F47">
            <v>4662</v>
          </cell>
          <cell r="G47">
            <v>13291</v>
          </cell>
          <cell r="H47">
            <v>7660</v>
          </cell>
        </row>
        <row r="50">
          <cell r="D50" t="str">
            <v>텐덤롤라(자주식)10-14Ton</v>
          </cell>
          <cell r="E50">
            <v>27843</v>
          </cell>
          <cell r="F50">
            <v>5718</v>
          </cell>
          <cell r="G50">
            <v>13291</v>
          </cell>
          <cell r="H50">
            <v>8834</v>
          </cell>
        </row>
        <row r="53">
          <cell r="D53" t="str">
            <v>진동롤라(자주식)4.4Ton</v>
          </cell>
          <cell r="E53">
            <v>17696</v>
          </cell>
          <cell r="F53">
            <v>1616</v>
          </cell>
          <cell r="G53">
            <v>10833</v>
          </cell>
          <cell r="H53">
            <v>5247</v>
          </cell>
        </row>
        <row r="56">
          <cell r="D56" t="str">
            <v>진동롤라(자주식)10.0Ton</v>
          </cell>
          <cell r="E56">
            <v>44752</v>
          </cell>
          <cell r="F56">
            <v>8787</v>
          </cell>
          <cell r="G56">
            <v>13291</v>
          </cell>
          <cell r="H56">
            <v>22674</v>
          </cell>
        </row>
        <row r="59">
          <cell r="D59" t="str">
            <v>타이어롤러(자주식)5-8Ton</v>
          </cell>
          <cell r="E59">
            <v>25402</v>
          </cell>
          <cell r="F59">
            <v>4475</v>
          </cell>
          <cell r="G59">
            <v>13291</v>
          </cell>
          <cell r="H59">
            <v>7636</v>
          </cell>
        </row>
        <row r="62">
          <cell r="D62" t="str">
            <v>타이어롤러(자주식)8-15Ton</v>
          </cell>
          <cell r="E62">
            <v>32511</v>
          </cell>
          <cell r="F62">
            <v>7272</v>
          </cell>
          <cell r="G62">
            <v>13291</v>
          </cell>
          <cell r="H62">
            <v>11948</v>
          </cell>
        </row>
        <row r="65">
          <cell r="D65" t="str">
            <v>램머80kg</v>
          </cell>
          <cell r="E65">
            <v>10439</v>
          </cell>
          <cell r="F65">
            <v>887</v>
          </cell>
          <cell r="G65">
            <v>9166</v>
          </cell>
          <cell r="H65">
            <v>386</v>
          </cell>
        </row>
        <row r="68">
          <cell r="D68" t="str">
            <v>플레이트콤펙터1.5Ton</v>
          </cell>
          <cell r="E68">
            <v>11058</v>
          </cell>
          <cell r="F68">
            <v>1383</v>
          </cell>
          <cell r="G68">
            <v>9166</v>
          </cell>
          <cell r="H68">
            <v>509</v>
          </cell>
        </row>
        <row r="71">
          <cell r="D71" t="str">
            <v>크레인(무한궤도)30Ton</v>
          </cell>
          <cell r="E71">
            <v>62613</v>
          </cell>
          <cell r="F71">
            <v>8080</v>
          </cell>
          <cell r="G71">
            <v>21416</v>
          </cell>
          <cell r="H71">
            <v>33117</v>
          </cell>
        </row>
        <row r="74">
          <cell r="D74" t="str">
            <v>크레인(트럭)10Ton</v>
          </cell>
          <cell r="E74">
            <v>46057</v>
          </cell>
          <cell r="F74">
            <v>3431</v>
          </cell>
          <cell r="G74">
            <v>21416</v>
          </cell>
          <cell r="H74">
            <v>21210</v>
          </cell>
        </row>
        <row r="77">
          <cell r="D77" t="str">
            <v>크레인(트럭)15Ton</v>
          </cell>
          <cell r="E77">
            <v>56943</v>
          </cell>
          <cell r="F77">
            <v>4217</v>
          </cell>
          <cell r="G77">
            <v>21416</v>
          </cell>
          <cell r="H77">
            <v>31310</v>
          </cell>
        </row>
        <row r="80">
          <cell r="D80" t="str">
            <v>크레인(트럭)20Ton</v>
          </cell>
          <cell r="E80">
            <v>66423</v>
          </cell>
          <cell r="F80">
            <v>4860</v>
          </cell>
          <cell r="G80">
            <v>21416</v>
          </cell>
          <cell r="H80">
            <v>40147</v>
          </cell>
        </row>
        <row r="83">
          <cell r="D83" t="str">
            <v>크레인(트럭)30Ton</v>
          </cell>
          <cell r="E83">
            <v>69489</v>
          </cell>
          <cell r="F83">
            <v>6933</v>
          </cell>
          <cell r="G83">
            <v>21416</v>
          </cell>
          <cell r="H83">
            <v>41140</v>
          </cell>
        </row>
        <row r="86">
          <cell r="D86" t="str">
            <v>리프트트럭5.0Ton</v>
          </cell>
          <cell r="E86">
            <v>20730</v>
          </cell>
          <cell r="F86">
            <v>5034</v>
          </cell>
          <cell r="G86">
            <v>10833</v>
          </cell>
          <cell r="H86">
            <v>4863</v>
          </cell>
        </row>
        <row r="89">
          <cell r="D89" t="str">
            <v>트럭트랙터및트레일러20Ton</v>
          </cell>
          <cell r="E89">
            <v>40158</v>
          </cell>
          <cell r="F89">
            <v>14868</v>
          </cell>
          <cell r="G89">
            <v>10833</v>
          </cell>
          <cell r="H89">
            <v>14457</v>
          </cell>
        </row>
        <row r="92">
          <cell r="D92" t="str">
            <v>트럭트랙터및트레일러30Ton</v>
          </cell>
          <cell r="E92">
            <v>45826</v>
          </cell>
          <cell r="F92">
            <v>15512</v>
          </cell>
          <cell r="G92">
            <v>10833</v>
          </cell>
          <cell r="H92">
            <v>19481</v>
          </cell>
        </row>
        <row r="95">
          <cell r="D95" t="str">
            <v>아스팔트페이버3m</v>
          </cell>
          <cell r="E95">
            <v>44846</v>
          </cell>
          <cell r="F95">
            <v>4972</v>
          </cell>
          <cell r="G95">
            <v>17353</v>
          </cell>
          <cell r="H95">
            <v>22521</v>
          </cell>
        </row>
        <row r="98">
          <cell r="D98" t="str">
            <v>아스팔트디스트리뷰터3800ℓ</v>
          </cell>
          <cell r="E98">
            <v>28206</v>
          </cell>
          <cell r="F98">
            <v>7956</v>
          </cell>
          <cell r="G98">
            <v>10833</v>
          </cell>
          <cell r="H98">
            <v>9417</v>
          </cell>
        </row>
        <row r="101">
          <cell r="D101" t="str">
            <v>아스팔트스프레이어300ℓ</v>
          </cell>
          <cell r="E101">
            <v>12332</v>
          </cell>
          <cell r="F101">
            <v>977</v>
          </cell>
          <cell r="G101">
            <v>10833</v>
          </cell>
          <cell r="H101">
            <v>522</v>
          </cell>
        </row>
        <row r="104">
          <cell r="D104" t="str">
            <v>콘크리트캇터320-400mm</v>
          </cell>
          <cell r="E104">
            <v>18142</v>
          </cell>
          <cell r="F104">
            <v>7748</v>
          </cell>
          <cell r="G104">
            <v>9166</v>
          </cell>
          <cell r="H104">
            <v>1228</v>
          </cell>
        </row>
        <row r="107">
          <cell r="D107" t="str">
            <v>콘크리트펌프차80m3/hr</v>
          </cell>
          <cell r="E107">
            <v>120639</v>
          </cell>
          <cell r="F107">
            <v>12960</v>
          </cell>
          <cell r="G107">
            <v>10833</v>
          </cell>
          <cell r="H107">
            <v>96846</v>
          </cell>
        </row>
        <row r="110">
          <cell r="D110" t="str">
            <v>콘크리트진동기(엔진식)3.5HP</v>
          </cell>
          <cell r="E110">
            <v>1400</v>
          </cell>
          <cell r="F110">
            <v>1268</v>
          </cell>
          <cell r="G110">
            <v>0</v>
          </cell>
          <cell r="H110">
            <v>132</v>
          </cell>
        </row>
        <row r="113">
          <cell r="D113" t="str">
            <v>공기압축기(이동식)3.5m3/min</v>
          </cell>
          <cell r="E113">
            <v>16752</v>
          </cell>
          <cell r="F113">
            <v>3791</v>
          </cell>
          <cell r="G113">
            <v>10833</v>
          </cell>
          <cell r="H113">
            <v>2128</v>
          </cell>
        </row>
        <row r="116">
          <cell r="D116" t="str">
            <v>착암기2.7m3/min</v>
          </cell>
          <cell r="E116">
            <v>607</v>
          </cell>
          <cell r="F116">
            <v>0</v>
          </cell>
          <cell r="G116">
            <v>0</v>
          </cell>
          <cell r="H116">
            <v>607</v>
          </cell>
        </row>
        <row r="119">
          <cell r="D119" t="str">
            <v>진동파일해머30Kw</v>
          </cell>
          <cell r="E119">
            <v>16418</v>
          </cell>
          <cell r="F119">
            <v>0</v>
          </cell>
          <cell r="G119">
            <v>0</v>
          </cell>
          <cell r="H119">
            <v>16418</v>
          </cell>
        </row>
        <row r="122">
          <cell r="D122" t="str">
            <v>물탱크5,500ℓ</v>
          </cell>
          <cell r="E122">
            <v>20998</v>
          </cell>
          <cell r="F122">
            <v>7027</v>
          </cell>
          <cell r="G122">
            <v>10208</v>
          </cell>
          <cell r="H122">
            <v>3763</v>
          </cell>
        </row>
        <row r="125">
          <cell r="D125" t="str">
            <v>라인마커10km/hr</v>
          </cell>
          <cell r="E125">
            <v>26225</v>
          </cell>
          <cell r="F125">
            <v>12400</v>
          </cell>
          <cell r="G125">
            <v>9166</v>
          </cell>
          <cell r="H125">
            <v>4659</v>
          </cell>
        </row>
        <row r="128">
          <cell r="D128" t="str">
            <v>발전기50kw</v>
          </cell>
          <cell r="E128">
            <v>22049</v>
          </cell>
          <cell r="F128">
            <v>8205</v>
          </cell>
          <cell r="G128">
            <v>9166</v>
          </cell>
          <cell r="H128">
            <v>4678</v>
          </cell>
        </row>
        <row r="131">
          <cell r="D131" t="str">
            <v>발전기100kw</v>
          </cell>
          <cell r="E131">
            <v>31228</v>
          </cell>
          <cell r="F131">
            <v>16410</v>
          </cell>
          <cell r="G131">
            <v>9166</v>
          </cell>
          <cell r="H131">
            <v>5652</v>
          </cell>
        </row>
        <row r="134">
          <cell r="D134" t="str">
            <v>발전기125kw</v>
          </cell>
          <cell r="E134">
            <v>34538</v>
          </cell>
          <cell r="F134">
            <v>18337</v>
          </cell>
          <cell r="G134">
            <v>9166</v>
          </cell>
          <cell r="H134">
            <v>7035</v>
          </cell>
        </row>
        <row r="137">
          <cell r="D137" t="str">
            <v>발전기150kw</v>
          </cell>
          <cell r="E137">
            <v>38080</v>
          </cell>
          <cell r="F137">
            <v>21693</v>
          </cell>
          <cell r="G137">
            <v>9166</v>
          </cell>
          <cell r="H137">
            <v>7221</v>
          </cell>
        </row>
        <row r="140">
          <cell r="D140" t="str">
            <v>발전기200kw</v>
          </cell>
          <cell r="E140">
            <v>47541</v>
          </cell>
          <cell r="F140">
            <v>28904</v>
          </cell>
          <cell r="G140">
            <v>9166</v>
          </cell>
          <cell r="H140">
            <v>9471</v>
          </cell>
        </row>
        <row r="143">
          <cell r="D143" t="str">
            <v>용접기(교류)200Amp</v>
          </cell>
          <cell r="E143">
            <v>71</v>
          </cell>
          <cell r="F143">
            <v>0</v>
          </cell>
          <cell r="G143">
            <v>0</v>
          </cell>
          <cell r="H143">
            <v>71</v>
          </cell>
        </row>
        <row r="146">
          <cell r="D146" t="str">
            <v>용접기(교류)300Amp</v>
          </cell>
          <cell r="E146">
            <v>93</v>
          </cell>
          <cell r="F146">
            <v>0</v>
          </cell>
          <cell r="G146">
            <v>0</v>
          </cell>
          <cell r="H146">
            <v>93</v>
          </cell>
        </row>
        <row r="149">
          <cell r="D149" t="str">
            <v>주철관절단기2-6</v>
          </cell>
          <cell r="E149">
            <v>225</v>
          </cell>
          <cell r="F149">
            <v>0</v>
          </cell>
          <cell r="G149">
            <v>0</v>
          </cell>
          <cell r="H149">
            <v>225</v>
          </cell>
        </row>
        <row r="152">
          <cell r="D152" t="str">
            <v>건설용펌프50mm</v>
          </cell>
          <cell r="E152">
            <v>54</v>
          </cell>
          <cell r="F152">
            <v>0</v>
          </cell>
          <cell r="G152">
            <v>0</v>
          </cell>
          <cell r="H152">
            <v>54</v>
          </cell>
        </row>
        <row r="155">
          <cell r="D155" t="str">
            <v>에어호스25mm</v>
          </cell>
          <cell r="E155">
            <v>38</v>
          </cell>
          <cell r="F155">
            <v>0</v>
          </cell>
          <cell r="G155">
            <v>0</v>
          </cell>
          <cell r="H155">
            <v>38</v>
          </cell>
        </row>
        <row r="158">
          <cell r="D158" t="str">
            <v>바이브레이터봉상</v>
          </cell>
          <cell r="E158">
            <v>35</v>
          </cell>
          <cell r="F158">
            <v>0</v>
          </cell>
          <cell r="G158">
            <v>0</v>
          </cell>
          <cell r="H158">
            <v>35</v>
          </cell>
        </row>
        <row r="161">
          <cell r="D161" t="str">
            <v>CCTV카메라</v>
          </cell>
          <cell r="E161">
            <v>28069</v>
          </cell>
          <cell r="F161">
            <v>0</v>
          </cell>
          <cell r="G161">
            <v>0</v>
          </cell>
          <cell r="H161">
            <v>28069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설계서"/>
      <sheetName val="내역"/>
      <sheetName val="수표"/>
      <sheetName val="철집"/>
      <sheetName val="철거표"/>
      <sheetName val="철거"/>
      <sheetName val="철근량"/>
      <sheetName val="중기"/>
      <sheetName val="오동"/>
      <sheetName val="대조"/>
      <sheetName val="나한"/>
      <sheetName val="지급자재"/>
      <sheetName val="용산구폐기물내역-수정"/>
      <sheetName val="내역서적용수량"/>
      <sheetName val="재료"/>
      <sheetName val="중기조종사 단위단가"/>
      <sheetName val="내역서"/>
      <sheetName val="내역서(토목)"/>
      <sheetName val="조명일위"/>
      <sheetName val="바닥판"/>
      <sheetName val="입력DATA"/>
      <sheetName val="신규일위대가"/>
      <sheetName val="데리네이타현황"/>
      <sheetName val="기초일위"/>
      <sheetName val="시설일위"/>
      <sheetName val="소일위대가코드표"/>
      <sheetName val="터파기및재료"/>
      <sheetName val="조명율표"/>
      <sheetName val="#REF"/>
      <sheetName val="일위대가목록"/>
      <sheetName val="수량산출서(신규)"/>
      <sheetName val="폐기목 중량"/>
      <sheetName val="선급금신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수시트"/>
      <sheetName val="산출내역서"/>
      <sheetName val="원가"/>
      <sheetName val="중기"/>
      <sheetName val="철근량"/>
      <sheetName val="상시"/>
      <sheetName val="주beam"/>
      <sheetName val="터파기및재료"/>
      <sheetName val="지급자재"/>
      <sheetName val="내역서"/>
      <sheetName val="조명율표"/>
      <sheetName val="오동"/>
      <sheetName val="대조"/>
      <sheetName val="나한"/>
      <sheetName val="일위대가목록"/>
      <sheetName val="내역"/>
      <sheetName val="#REF"/>
      <sheetName val="세부내역"/>
    </sheetNames>
    <sheetDataSet>
      <sheetData sheetId="0"/>
      <sheetData sheetId="1"/>
      <sheetData sheetId="2" refreshError="1">
        <row r="3">
          <cell r="H3">
            <v>463842064.03999996</v>
          </cell>
          <cell r="J3">
            <v>925731989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위대가표"/>
      <sheetName val="일위대가표 (2)"/>
      <sheetName val="총괄내역"/>
      <sheetName val="내역서"/>
      <sheetName val="공종별 집계표"/>
      <sheetName val="사급,관급자재대"/>
      <sheetName val="원가계산서"/>
      <sheetName val="도급내역서 표지"/>
      <sheetName val="공사구성비"/>
      <sheetName val="목차"/>
      <sheetName val="간지"/>
      <sheetName val="일위대가"/>
      <sheetName val="#REF"/>
      <sheetName val="조명율표"/>
      <sheetName val="Customer Databas"/>
      <sheetName val="보증수수료산출"/>
      <sheetName val="공사비총괄표"/>
      <sheetName val="101동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품셈TABLE"/>
      <sheetName val="원가"/>
      <sheetName val="단가비교"/>
      <sheetName val="오동"/>
      <sheetName val="대조"/>
      <sheetName val="나한"/>
      <sheetName val="철근량"/>
      <sheetName val="2000년1차"/>
      <sheetName val="2000전체분"/>
      <sheetName val="조건표 (2)"/>
      <sheetName val="재료"/>
      <sheetName val="터파기및재료"/>
      <sheetName val="내역(~2"/>
      <sheetName val="내역"/>
      <sheetName val="공사착공계"/>
      <sheetName val="중기"/>
      <sheetName val="바닥판"/>
      <sheetName val="지급자재"/>
      <sheetName val="입력DATA"/>
      <sheetName val="단가비교표_공통1"/>
      <sheetName val="총괄표"/>
      <sheetName val="노무비단가"/>
      <sheetName val="건축"/>
      <sheetName val="내역_ver1.0"/>
      <sheetName val="노임단가"/>
      <sheetName val="99년하반기"/>
      <sheetName val="입찰안"/>
      <sheetName val="중기조종사 단위단가"/>
      <sheetName val="조명일위"/>
      <sheetName val="#3_일위대가목록"/>
      <sheetName val="6호기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교각1"/>
      <sheetName val="앉음벽 (2)"/>
      <sheetName val="산근"/>
      <sheetName val="직노"/>
      <sheetName val="토목주소"/>
      <sheetName val="주beam"/>
      <sheetName val="단가표"/>
      <sheetName val="정산내역서"/>
      <sheetName val="Sheet3"/>
      <sheetName val="200"/>
      <sheetName val="지질조사"/>
      <sheetName val="견적서"/>
      <sheetName val="유림콘도"/>
      <sheetName val="일위대가표_(2)"/>
      <sheetName val="공종별_집계표"/>
      <sheetName val="도급내역서_표지"/>
      <sheetName val="Customer_Databas"/>
      <sheetName val="조건표_(2)"/>
      <sheetName val="공기압축기실"/>
      <sheetName val="품셈"/>
      <sheetName val="지하"/>
      <sheetName val="금융비용"/>
      <sheetName val="산출내역서"/>
      <sheetName val="기흥하도용"/>
      <sheetName val="조명시설"/>
      <sheetName val="목록"/>
      <sheetName val="자료"/>
      <sheetName val="세부내역"/>
      <sheetName val="각종단가"/>
      <sheetName val="손익분석"/>
      <sheetName val="우수내용"/>
      <sheetName val="인수공규격"/>
      <sheetName val="단가산출"/>
      <sheetName val="업무보고"/>
      <sheetName val="실행(1)"/>
      <sheetName val="98지급계획"/>
      <sheetName val="집수정단면도 (2)"/>
      <sheetName val="ES조서출력하기"/>
      <sheetName val="DATE"/>
      <sheetName val="계수시트"/>
      <sheetName val="단가"/>
      <sheetName val="데리네이타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수량집계"/>
      <sheetName val="레미콘수량집계표"/>
      <sheetName val="토공총괄"/>
      <sheetName val="라멘수량집계"/>
      <sheetName val="본체"/>
      <sheetName val="날개벽"/>
      <sheetName val="접속 슬래브"/>
      <sheetName val="토공집계"/>
      <sheetName val="토공"/>
      <sheetName val="돌망태집계 "/>
      <sheetName val="돌망태현황"/>
      <sheetName val="석축총집계 "/>
      <sheetName val="석축수량"/>
      <sheetName val="석축현황"/>
      <sheetName val="석축단위"/>
      <sheetName val="농로수량집계"/>
      <sheetName val="현황"/>
      <sheetName val="농로포장단위"/>
      <sheetName val="콘크리트포장단위"/>
      <sheetName val="원가"/>
      <sheetName val="일위대가표"/>
      <sheetName val="접속_슬래브"/>
      <sheetName val="돌망태집계_"/>
      <sheetName val="석축총집계_"/>
      <sheetName val="중기"/>
      <sheetName val="수목표준대가"/>
      <sheetName val="96노임기준"/>
      <sheetName val="입상내역"/>
      <sheetName val="오동"/>
      <sheetName val="대조"/>
      <sheetName val="나한"/>
      <sheetName val="단가비교표_공통1"/>
      <sheetName val="총괄표"/>
      <sheetName val="데리네이타현황"/>
      <sheetName val="기안문"/>
      <sheetName val="약품공급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가격대비"/>
      <sheetName val="배관산출"/>
      <sheetName val="laroux"/>
      <sheetName val="본체"/>
      <sheetName val="건축내역"/>
      <sheetName val="일위대가표"/>
      <sheetName val="일위대가"/>
      <sheetName val="원가"/>
      <sheetName val="표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갑지"/>
      <sheetName val="내역"/>
      <sheetName val="표지"/>
      <sheetName val="특기"/>
      <sheetName val="원가"/>
      <sheetName val="내역 (2)"/>
      <sheetName val="내역서"/>
      <sheetName val="본체"/>
      <sheetName val="골재산출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일위대가"/>
      <sheetName val="조명시설"/>
      <sheetName val="산출근거"/>
      <sheetName val="데리네이타현황"/>
      <sheetName val="골재산출"/>
      <sheetName val="내역"/>
      <sheetName val="집계표"/>
      <sheetName val="철근량"/>
      <sheetName val="DATA"/>
      <sheetName val="흥양2교토공집계표"/>
      <sheetName val="토목"/>
      <sheetName val="설명서 "/>
      <sheetName val="지장물C"/>
      <sheetName val="6PILE  (돌출)"/>
      <sheetName val="상시"/>
      <sheetName val="수량산출"/>
      <sheetName val="차수공개요"/>
      <sheetName val="부대내역"/>
      <sheetName val="guard(mac)"/>
      <sheetName val="공통가설공사"/>
      <sheetName val="날개벽수량표"/>
      <sheetName val="Sheet1"/>
      <sheetName val="재료"/>
      <sheetName val="9GNG운반"/>
      <sheetName val="입찰안"/>
      <sheetName val="바닥판"/>
      <sheetName val="입력DATA"/>
      <sheetName val="날개벽"/>
      <sheetName val="식생블럭단위수량"/>
      <sheetName val="말뚝지지력산정"/>
      <sheetName val="대로근거"/>
      <sheetName val="총괄표"/>
      <sheetName val="96정변2"/>
      <sheetName val="주beam"/>
      <sheetName val="당초"/>
      <sheetName val="각종양식"/>
      <sheetName val="암거단위"/>
      <sheetName val="오동"/>
      <sheetName val="대조"/>
      <sheetName val="나한"/>
      <sheetName val="#REF"/>
      <sheetName val="단가표"/>
      <sheetName val="추가예산"/>
      <sheetName val="우수받이"/>
      <sheetName val="교각1"/>
      <sheetName val="COPING"/>
      <sheetName val="BID"/>
      <sheetName val="공동구수량"/>
      <sheetName val="해평견적"/>
      <sheetName val="입력란"/>
      <sheetName val="97노임단가"/>
      <sheetName val="BOX수량"/>
      <sheetName val="총수량집계표"/>
      <sheetName val="RAMP 단면(R2)"/>
      <sheetName val="물량표"/>
      <sheetName val="PIPING"/>
      <sheetName val="#3_일위대가목록"/>
      <sheetName val="#2_일위대가목록"/>
      <sheetName val="중기"/>
      <sheetName val="표지"/>
      <sheetName val="지중자재단가"/>
      <sheetName val="조명율표"/>
      <sheetName val="분석"/>
      <sheetName val="뚝토공"/>
      <sheetName val="목차 "/>
      <sheetName val="차수"/>
      <sheetName val="일위대가표"/>
      <sheetName val="일위대가목차"/>
      <sheetName val="인명부"/>
      <sheetName val="신고조서"/>
      <sheetName val="내역서"/>
      <sheetName val="H-PILE수량집계"/>
      <sheetName val="도로경계단위"/>
      <sheetName val="실행"/>
      <sheetName val="공사비총괄표"/>
      <sheetName val="97년 추정"/>
      <sheetName val="일위대가1"/>
      <sheetName val="실행철강하도"/>
      <sheetName val="102역사"/>
      <sheetName val="원형1호맨홀토공수량"/>
      <sheetName val="토사(PE)"/>
      <sheetName val="증감내역서"/>
      <sheetName val="PSCbeam설계"/>
      <sheetName val="일위대가9803"/>
      <sheetName val="터파기및재료"/>
      <sheetName val="중로근거"/>
      <sheetName val="금액내역서"/>
      <sheetName val="99총공사내역서"/>
      <sheetName val="발주내역"/>
      <sheetName val="노임이"/>
      <sheetName val="찍기"/>
      <sheetName val="역T형교대(말뚝기초)"/>
      <sheetName val="예산M11A"/>
      <sheetName val="4. 주형설계"/>
      <sheetName val="단가 및 재료비"/>
      <sheetName val="중기사용료산출근거"/>
      <sheetName val="원가"/>
      <sheetName val="DATE"/>
      <sheetName val="우수내용"/>
      <sheetName val="세골재  T2 변경 현황"/>
      <sheetName val="0.단가"/>
      <sheetName val="월말"/>
      <sheetName val="노임단가"/>
      <sheetName val="직접공사비"/>
      <sheetName val="내역서1999.8최종"/>
      <sheetName val="INPUT"/>
      <sheetName val="수안보-MBR1"/>
      <sheetName val="4.2유효폭의 계산"/>
      <sheetName val="공정코드"/>
      <sheetName val="토공(우물통,기타) "/>
      <sheetName val="1,2공구원가계산서"/>
      <sheetName val="2공구산출내역"/>
      <sheetName val="1공구산출내역서"/>
      <sheetName val="기계경비(시간당)"/>
      <sheetName val="간지"/>
      <sheetName val="설직재-1"/>
      <sheetName val="재료집계표"/>
      <sheetName val="총괄내역서"/>
      <sheetName val="신천3호용수로"/>
      <sheetName val="3련 BOX"/>
      <sheetName val="CC16-내역서"/>
      <sheetName val="3BL공동구 수량"/>
      <sheetName val="이토변실"/>
      <sheetName val="단위단가"/>
      <sheetName val="교대(A1)"/>
      <sheetName val="단위수량"/>
      <sheetName val="건축공사실행"/>
      <sheetName val="연결관암거"/>
      <sheetName val="가시설수량"/>
      <sheetName val="식재가격"/>
      <sheetName val="식재총괄"/>
      <sheetName val="일위목록"/>
      <sheetName val="기초일위"/>
      <sheetName val="시설일위"/>
      <sheetName val="조명일위"/>
      <sheetName val="기본1"/>
      <sheetName val="수정일위대가"/>
      <sheetName val="수량집"/>
      <sheetName val="포장물량집계"/>
      <sheetName val="항목등록"/>
      <sheetName val="내역_ver1.0"/>
      <sheetName val="crude.SLAB RE-bar"/>
      <sheetName val="CRUDE RE-bar"/>
      <sheetName val="대림경상68억"/>
      <sheetName val="토목내역서 (도급단가)"/>
      <sheetName val="산출내역서"/>
      <sheetName val="간접1"/>
      <sheetName val="노임"/>
      <sheetName val="2000년1차"/>
      <sheetName val="2000전체분"/>
      <sheetName val="0506생활권구적"/>
      <sheetName val="총괄내역"/>
      <sheetName val="코드"/>
      <sheetName val="산근"/>
      <sheetName val="I一般比"/>
      <sheetName val="갑지"/>
      <sheetName val="일위대가목록"/>
      <sheetName val="자료입력"/>
      <sheetName val="적용토목"/>
      <sheetName val="지급자재"/>
      <sheetName val="품셈TABLE"/>
      <sheetName val="세부내역"/>
      <sheetName val="약품공급2"/>
      <sheetName val="CTEMCOST"/>
      <sheetName val="램머"/>
      <sheetName val="업무분장"/>
      <sheetName val="재료비"/>
      <sheetName val="내역서중"/>
      <sheetName val="인수공규격"/>
      <sheetName val="2.단면가정"/>
      <sheetName val="수우미양가(Vlookup)"/>
      <sheetName val="단면 (2)"/>
      <sheetName val="내역서 제출"/>
      <sheetName val="노무비 근거"/>
      <sheetName val="총괄"/>
      <sheetName val="준검 내역서"/>
      <sheetName val="초기화면"/>
      <sheetName val="골조"/>
      <sheetName val="역T형(H=6.0) (2)"/>
      <sheetName val="8.석축단위(H=1.5M)"/>
      <sheetName val="자재단가비교표"/>
      <sheetName val="교각계산"/>
      <sheetName val="대비"/>
      <sheetName val="계수시트"/>
      <sheetName val="입력변수"/>
      <sheetName val="집계표(OPTION)"/>
      <sheetName val="보차도경계석"/>
      <sheetName val="견적단가"/>
      <sheetName val="용수량(생활용수)"/>
      <sheetName val="교량"/>
      <sheetName val="표준차도부연장집계-ASP"/>
      <sheetName val="도수로수량산출"/>
      <sheetName val="200"/>
      <sheetName val="차액보증"/>
      <sheetName val="종배수관면벽구"/>
      <sheetName val="종배수관위치조서"/>
      <sheetName val="N賃率-職"/>
      <sheetName val="ABUT수량-A1"/>
      <sheetName val="INPUT(덕도방향-시점)"/>
      <sheetName val="1련박스"/>
      <sheetName val="장비집계"/>
      <sheetName val="C.배수관공"/>
      <sheetName val="제경비"/>
      <sheetName val="H-pile(298x299)"/>
      <sheetName val="H-pile(250x250)"/>
      <sheetName val="금융비용"/>
      <sheetName val="Macro1"/>
      <sheetName val="단위중량"/>
      <sheetName val="바닥판의 설계"/>
      <sheetName val="접지수량"/>
      <sheetName val="공사착공계"/>
      <sheetName val="NYS"/>
      <sheetName val="전체제잡비"/>
      <sheetName val="미드수량"/>
      <sheetName val="단가"/>
      <sheetName val="건축내역"/>
      <sheetName val="공사비산출내역"/>
      <sheetName val="기성내역"/>
      <sheetName val="MAIN"/>
      <sheetName val="유림골조"/>
      <sheetName val="참조"/>
      <sheetName val="직노"/>
      <sheetName val="집기손료"/>
      <sheetName val="배수내역"/>
      <sheetName val="ATM기초철가"/>
      <sheetName val="대창(함평)"/>
      <sheetName val="대창(장성)"/>
      <sheetName val="대창(함평)-창열"/>
      <sheetName val="암거 제원표"/>
      <sheetName val="WING3"/>
      <sheetName val="3.하중산정4.지지력"/>
      <sheetName val="세부내역서(전기)"/>
      <sheetName val="맨홀수량"/>
      <sheetName val="MAIN_TABLE"/>
      <sheetName val="견적990322"/>
      <sheetName val="Customer Databas"/>
      <sheetName val="실행대비"/>
      <sheetName val="참고사항"/>
      <sheetName val="1호맨홀토공"/>
      <sheetName val="지장물_data"/>
      <sheetName val="원형맨홀수량"/>
      <sheetName val="물가자료"/>
      <sheetName val="Sheet2"/>
      <sheetName val="코드표"/>
      <sheetName val="CIVIL4"/>
      <sheetName val="Y-WORK"/>
      <sheetName val=" 총괄표"/>
      <sheetName val="단가산출"/>
      <sheetName val="표  지"/>
      <sheetName val="내역서적용수량"/>
      <sheetName val="실행내역"/>
      <sheetName val="단가비교표_공통1"/>
      <sheetName val="토공 total"/>
      <sheetName val="개인"/>
      <sheetName val="단면가정"/>
      <sheetName val="조경일람"/>
      <sheetName val="WORK"/>
      <sheetName val="일위(수원)"/>
      <sheetName val="연결관수량 (2)"/>
      <sheetName val="사다리"/>
      <sheetName val="철집"/>
      <sheetName val="대부예산서"/>
      <sheetName val="CODE"/>
      <sheetName val="기초공"/>
      <sheetName val="MOTOR"/>
      <sheetName val="기둥(원형)"/>
      <sheetName val="기흥하도용"/>
      <sheetName val="실행간접비용"/>
      <sheetName val="제잡비"/>
      <sheetName val="당진1,2호기전선관설치및접지4차공사내역서-을지"/>
      <sheetName val="가격조사서"/>
      <sheetName val="배수공"/>
      <sheetName val="암거"/>
      <sheetName val="포장공"/>
      <sheetName val="소도3교"/>
      <sheetName val="2000용수잠관-수량집계"/>
      <sheetName val="단가일람"/>
      <sheetName val="지질조사"/>
      <sheetName val="노무비"/>
      <sheetName val="제직재"/>
      <sheetName val="Sheet5"/>
      <sheetName val="을지"/>
      <sheetName val="배수장토목공사비"/>
      <sheetName val="암거 제원표-1단계"/>
      <sheetName val="시행후면적"/>
      <sheetName val="설계조건"/>
      <sheetName val="101동"/>
      <sheetName val="양식3"/>
      <sheetName val="상-교대(A1-A2)"/>
      <sheetName val="마산월령동골조물량변경"/>
      <sheetName val="총괄-1"/>
      <sheetName val="분뇨"/>
      <sheetName val="자료"/>
      <sheetName val="Macro(전선)"/>
      <sheetName val="spiral"/>
      <sheetName val="토적표"/>
      <sheetName val="천방교접속"/>
      <sheetName val="대포2교접속"/>
      <sheetName val="원가계산서구조조정"/>
      <sheetName val="봉방동근생"/>
      <sheetName val="원가서"/>
      <sheetName val="위치조서"/>
      <sheetName val="여과지동"/>
      <sheetName val="기초자료"/>
      <sheetName val="DB"/>
      <sheetName val="CAT_5"/>
      <sheetName val="VE절감"/>
      <sheetName val="자재단가"/>
      <sheetName val="건축공사"/>
      <sheetName val="JUCKEYK"/>
      <sheetName val="구조물터파기수량집계"/>
      <sheetName val="덕전리"/>
      <sheetName val="전체"/>
      <sheetName val="원가계산서"/>
      <sheetName val="전기"/>
      <sheetName val="경산"/>
      <sheetName val="공구"/>
      <sheetName val="보도단위"/>
      <sheetName val="단양 00 아파트-세부내역"/>
      <sheetName val="건축-물가변동"/>
      <sheetName val="단가조사서"/>
      <sheetName val="요율"/>
      <sheetName val="율촌법률사무소2내역"/>
      <sheetName val="지점별강우량"/>
      <sheetName val="토공(1)"/>
      <sheetName val="절대지우지말것"/>
      <sheetName val="소보"/>
      <sheetName val="포장면적집계"/>
      <sheetName val="출력X"/>
      <sheetName val="우각부보강"/>
      <sheetName val="재료할증"/>
      <sheetName val="TYPE-A"/>
      <sheetName val="수량3"/>
      <sheetName val="시중노임단가"/>
      <sheetName val="수량산출서"/>
      <sheetName val="빗물받이(910-510-410)"/>
      <sheetName val="우수공"/>
      <sheetName val="연돌일위집계"/>
      <sheetName val="소요자재명세서"/>
      <sheetName val="노무비명세서"/>
      <sheetName val="일위-1"/>
      <sheetName val="문학간접"/>
      <sheetName val="간접"/>
      <sheetName val="보증수수료산출"/>
      <sheetName val="중기근거"/>
      <sheetName val="본체"/>
      <sheetName val="안정계산"/>
      <sheetName val="단면검토"/>
      <sheetName val="교수설계"/>
      <sheetName val="특별땅고르기"/>
      <sheetName val="슬래브수량"/>
      <sheetName val="날개벽(시점좌측)"/>
      <sheetName val="단가조사"/>
      <sheetName val="노임,기계경비"/>
      <sheetName val="신우"/>
      <sheetName val="AIR SHOWER(3인용)"/>
      <sheetName val="인부신상자료"/>
      <sheetName val="기타 정보통신공사"/>
      <sheetName val="수습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진주방향"/>
      <sheetName val="woo(mac)"/>
      <sheetName val="설치조서"/>
      <sheetName val="Sheet3"/>
      <sheetName val="배수공집계표"/>
      <sheetName val="예정공정표"/>
      <sheetName val="CON'C"/>
      <sheetName val="암거날개벽"/>
      <sheetName val="1호토공"/>
      <sheetName val="수량집계"/>
      <sheetName val="예정(3)"/>
      <sheetName val="터널조도"/>
      <sheetName val="수요개발과판매량"/>
      <sheetName val="설계명세"/>
      <sheetName val="2.건축"/>
      <sheetName val="갑지(추정)"/>
      <sheetName val="갑지1"/>
      <sheetName val="건축기계설비표선정수장"/>
      <sheetName val="Sheet1 (2)"/>
      <sheetName val="상수도토공집계표"/>
      <sheetName val="견적서"/>
      <sheetName val="FAB별"/>
      <sheetName val="을"/>
      <sheetName val="소비자가"/>
      <sheetName val="내역서(전기)"/>
      <sheetName val="라멘수량"/>
      <sheetName val="최적단면"/>
      <sheetName val="CALCULATION"/>
      <sheetName val="차압계산"/>
      <sheetName val="콘크리트포장"/>
      <sheetName val="진입도로포장산출"/>
      <sheetName val="진입부포장면적위치조서"/>
      <sheetName val="진입부수량집계표"/>
      <sheetName val="콘크리트포장집계표"/>
      <sheetName val="포장공집계"/>
      <sheetName val="토공집계표"/>
      <sheetName val="토공분석표"/>
      <sheetName val="자재대"/>
      <sheetName val="내역서 "/>
      <sheetName val="1.설계조건"/>
      <sheetName val="내역표지"/>
      <sheetName val="구조물철거타공정이월"/>
      <sheetName val="danga"/>
      <sheetName val="ilch"/>
      <sheetName val="철근단면적"/>
      <sheetName val="하도금액분계"/>
      <sheetName val="8.PILE  (돌출)"/>
      <sheetName val="데이타"/>
      <sheetName val="Front"/>
      <sheetName val="wall"/>
      <sheetName val="앵커(3안)"/>
      <sheetName val="신표지1"/>
      <sheetName val="평가데이터"/>
      <sheetName val="자재집계표"/>
      <sheetName val="가중치"/>
      <sheetName val="제-노임"/>
      <sheetName val="청천내"/>
      <sheetName val="산출금액내역"/>
      <sheetName val="주차구획선수량"/>
      <sheetName val="조경내역서"/>
      <sheetName val="구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관급자재"/>
      <sheetName val="설비"/>
      <sheetName val="예총"/>
      <sheetName val="배관배선 단가조사"/>
      <sheetName val="일위대가집계"/>
      <sheetName val="일위"/>
      <sheetName val="기계경비"/>
      <sheetName val="현장예산"/>
      <sheetName val="명세서"/>
      <sheetName val="2공구하도급내역서"/>
      <sheetName val="설계예산서"/>
      <sheetName val="3.공통공사대비"/>
      <sheetName val="목차"/>
      <sheetName val="설계내역서"/>
      <sheetName val="동원인원"/>
      <sheetName val="TOTAL_BOQ"/>
      <sheetName val="Total"/>
      <sheetName val="총투입계"/>
      <sheetName val="SANBAISU"/>
      <sheetName val="단가조사-2"/>
      <sheetName val="현장경상비"/>
      <sheetName val="연습"/>
      <sheetName val="실행내역서"/>
      <sheetName val="공제수량총집계표"/>
      <sheetName val="임금단가"/>
      <sheetName val="한강운반비"/>
      <sheetName val="원본(갑지)"/>
      <sheetName val="단열-자재"/>
      <sheetName val="공사개요"/>
      <sheetName val="현장경비"/>
      <sheetName val="방배동내역(리라)"/>
      <sheetName val="건축공사집계표"/>
      <sheetName val="방배동내역 (총괄)"/>
      <sheetName val="부대공사총괄"/>
      <sheetName val="설계예산"/>
      <sheetName val="12호기내역서(건축분)"/>
      <sheetName val="빙장비사양"/>
      <sheetName val="환경기계공정표 (3)"/>
      <sheetName val="대치판정"/>
      <sheetName val="옹벽일반수량"/>
      <sheetName val="설계서을"/>
      <sheetName val="견적"/>
      <sheetName val="품셈집계표"/>
      <sheetName val="자재조사표"/>
      <sheetName val="9.정착구 보강"/>
      <sheetName val="본선차로수량집계표"/>
      <sheetName val="범례표"/>
      <sheetName val="우수맨홀공제단위수량"/>
      <sheetName val="총집계표"/>
      <sheetName val="가압장(토목)"/>
      <sheetName val="내역서단가산출용"/>
      <sheetName val="심사공종"/>
      <sheetName val="3BL공동구_수량"/>
      <sheetName val="안정검토"/>
      <sheetName val="단면설계"/>
      <sheetName val="공사기본내용입력"/>
      <sheetName val="일반수량"/>
      <sheetName val="돌담교 상부수량"/>
      <sheetName val="수량-가로등"/>
      <sheetName val="SLAB&quot;1&quot;"/>
      <sheetName val="기초단가"/>
      <sheetName val="중기손료"/>
      <sheetName val="건축"/>
      <sheetName val="제원및배치"/>
      <sheetName val="입력자료"/>
      <sheetName val="원가계산"/>
      <sheetName val="토목주소"/>
      <sheetName val="기안"/>
      <sheetName val="1단계"/>
      <sheetName val="테이블"/>
      <sheetName val="재료단가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수정내역"/>
      <sheetName val="일위대가표"/>
      <sheetName val="일위대가"/>
      <sheetName val="실행내역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XXXXXX"/>
      <sheetName val="VXXX"/>
      <sheetName val="진짜내역"/>
      <sheetName val="전시원"/>
      <sheetName val="전시내"/>
      <sheetName val="Sheet1"/>
      <sheetName val="Sheet2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내역서"/>
      <sheetName val="단가산출서"/>
      <sheetName val="중기사용료"/>
      <sheetName val="재료단가"/>
      <sheetName val="노임단가"/>
      <sheetName val="내역"/>
      <sheetName val="#REF"/>
      <sheetName val="3BL공동구 수량"/>
      <sheetName val="기본일위"/>
      <sheetName val="J直材4"/>
      <sheetName val="I一般比"/>
      <sheetName val="골재산출"/>
      <sheetName val="조명율표"/>
      <sheetName val="재료"/>
      <sheetName val="현장"/>
      <sheetName val="MAIN_TABLE"/>
      <sheetName val="CTEMCOST"/>
      <sheetName val="예산M11A"/>
      <sheetName val="기초자료"/>
      <sheetName val="공사비총괄표"/>
      <sheetName val="백암비스타내역"/>
      <sheetName val="5공철탑검토표"/>
      <sheetName val="4공철탑검토"/>
      <sheetName val="교통대책내역"/>
      <sheetName val="출자한도"/>
      <sheetName val="건축내역"/>
      <sheetName val="101동"/>
      <sheetName val="2000년1차"/>
      <sheetName val="2000전체분"/>
      <sheetName val="일대-1"/>
      <sheetName val="KKK"/>
      <sheetName val="공사개요(서광주)"/>
      <sheetName val="식재인부"/>
      <sheetName val="단가조사"/>
      <sheetName val="설직재-1"/>
      <sheetName val="기본단가표"/>
      <sheetName val="영창26"/>
      <sheetName val="일위대가목차"/>
      <sheetName val="N賃率-職"/>
      <sheetName val="요율"/>
      <sheetName val="본공사"/>
      <sheetName val="적용토목"/>
      <sheetName val="갑지"/>
      <sheetName val="본체"/>
      <sheetName val="자료"/>
      <sheetName val="총괄표"/>
      <sheetName val="대공종"/>
      <sheetName val="단중표"/>
      <sheetName val="설계서"/>
      <sheetName val="AIR SHOWER(3인용)"/>
      <sheetName val="수량산출"/>
      <sheetName val="산출내역서"/>
      <sheetName val="산근"/>
      <sheetName val="산출근거"/>
      <sheetName val="철탑공사"/>
      <sheetName val="차수공개요"/>
      <sheetName val="경산"/>
      <sheetName val="Customer Databas"/>
      <sheetName val="금액내역서"/>
      <sheetName val="노임"/>
      <sheetName val="교각별철근수량집계표"/>
      <sheetName val="당초"/>
      <sheetName val="실행"/>
      <sheetName val="스포회원매출"/>
      <sheetName val="위생설비"/>
      <sheetName val="토공(우물통,기타) "/>
      <sheetName val="원가계산서"/>
      <sheetName val="노무비"/>
      <sheetName val="식생블럭단위수량"/>
      <sheetName val="노임,재료비"/>
      <sheetName val="LF자재단가"/>
      <sheetName val="기초내역서"/>
      <sheetName val="대가목록표"/>
      <sheetName val="단가산출"/>
      <sheetName val="갑지(추정)"/>
      <sheetName val="예산"/>
      <sheetName val="지질조사"/>
      <sheetName val="코드표"/>
      <sheetName val="재료비노무비"/>
      <sheetName val="물가자료"/>
      <sheetName val="6PILE  (돌출)"/>
      <sheetName val="asd"/>
      <sheetName val="지하"/>
      <sheetName val="수주추정"/>
      <sheetName val="토공 total"/>
      <sheetName val="기술부대조건"/>
      <sheetName val="NYS"/>
      <sheetName val="교수설계"/>
      <sheetName val="자재단가"/>
      <sheetName val="데이타"/>
      <sheetName val="DATA"/>
      <sheetName val="공사직종별노임"/>
      <sheetName val="RE9604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특외대"/>
      <sheetName val="중기"/>
      <sheetName val="Sheet5"/>
      <sheetName val="조명시설"/>
      <sheetName val="노무,재료"/>
      <sheetName val="견적"/>
      <sheetName val="원가 (2)"/>
      <sheetName val=" HIT-&gt;HMC 견적(3900)"/>
      <sheetName val="LEGEND"/>
      <sheetName val="Sheet6"/>
      <sheetName val="도급기성"/>
      <sheetName val="설비단가표"/>
      <sheetName val="연부97-1"/>
      <sheetName val="조건표"/>
      <sheetName val="자갈,시멘트,모래산출"/>
      <sheetName val="오수공수량집계표"/>
      <sheetName val="율촌법률사무소2내역"/>
      <sheetName val="사다리"/>
      <sheetName val="CIVIL4"/>
      <sheetName val="표지"/>
      <sheetName val="노 무 비"/>
      <sheetName val="견적서"/>
      <sheetName val="공통가설공사"/>
      <sheetName val="카메라"/>
      <sheetName val="목록"/>
      <sheetName val="데리네이타현황"/>
      <sheetName val="102역사"/>
      <sheetName val="상가분양"/>
      <sheetName val="내역서2안"/>
      <sheetName val="철거산출근거"/>
      <sheetName val="설_(3)"/>
      <sheetName val="설_(2)"/>
      <sheetName val="3BL공동구_수량"/>
      <sheetName val="내역(원안-대안)"/>
      <sheetName val="배수내역"/>
      <sheetName val="기흥하도용"/>
      <sheetName val="guard(mac)"/>
      <sheetName val="입찰안"/>
      <sheetName val="기계경비(시간당)"/>
      <sheetName val="반포2차"/>
      <sheetName val="Baby일위대가"/>
      <sheetName val="을지"/>
      <sheetName val="단"/>
      <sheetName val="96정변2"/>
      <sheetName val="대치판정"/>
      <sheetName val="원가서"/>
      <sheetName val="공사개요"/>
      <sheetName val="조경일람"/>
      <sheetName val="일위대가1"/>
      <sheetName val="본체철근표"/>
      <sheetName val="아파트건축"/>
      <sheetName val="6호기"/>
      <sheetName val="부대공Ⅱ"/>
      <sheetName val="전기일위목록"/>
      <sheetName val="도급견적가"/>
      <sheetName val="당진1,2호기전선관설치및접지4차공사내역서-을지"/>
      <sheetName val="유림콘도"/>
      <sheetName val="200"/>
      <sheetName val="3본사"/>
      <sheetName val="간접1"/>
      <sheetName val="장비가동"/>
      <sheetName val="48전력선로일위"/>
      <sheetName val="단가표"/>
      <sheetName val="산출-설비"/>
      <sheetName val="봉방동근생"/>
      <sheetName val="주beam"/>
      <sheetName val="기계공사비집계(원안)"/>
      <sheetName val="sub"/>
      <sheetName val="기타 정보통신공사"/>
      <sheetName val="첨부1"/>
      <sheetName val="약품공급2"/>
      <sheetName val="1.설계조건"/>
      <sheetName val="내역서(중수)"/>
      <sheetName val="CAT_5"/>
      <sheetName val="단가비교표_공통1"/>
      <sheetName val="물량입력"/>
      <sheetName val="DATE"/>
      <sheetName val="시설물기초"/>
      <sheetName val=" 냉각수펌프"/>
      <sheetName val="AHU집계"/>
      <sheetName val="토공"/>
      <sheetName val="청주(철골발주의뢰서)"/>
      <sheetName val="제작비추산총괄표"/>
      <sheetName val="갑"/>
      <sheetName val="하도급원가계산총괄표(식재)"/>
      <sheetName val="공사착공계"/>
      <sheetName val="물량표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부하자료"/>
      <sheetName val="찍기"/>
      <sheetName val="특별땅고르기"/>
      <sheetName val="계약서"/>
      <sheetName val="일위(철거)"/>
      <sheetName val="민감도"/>
      <sheetName val="금액집계"/>
      <sheetName val="공통가설"/>
      <sheetName val="ELEC"/>
      <sheetName val="9GNG운반"/>
      <sheetName val="001"/>
      <sheetName val="단위내역서"/>
      <sheetName val="저"/>
      <sheetName val="설계조건"/>
      <sheetName val="토공집계표"/>
      <sheetName val="국내"/>
      <sheetName val="내역서 제출"/>
      <sheetName val="2000년 공정표"/>
      <sheetName val="터파기및재료"/>
      <sheetName val="노무비 근거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E총15"/>
      <sheetName val="단위단가"/>
      <sheetName val="내역(설계)"/>
      <sheetName val="INPUT"/>
      <sheetName val="세부내역서(전기)"/>
      <sheetName val="내역서 "/>
      <sheetName val="공조기휀"/>
      <sheetName val="통합집계표"/>
      <sheetName val="단가일람"/>
      <sheetName val="부대내역"/>
      <sheetName val="세골재  T2 변경 현황"/>
      <sheetName val="시멘트"/>
      <sheetName val="내역표지"/>
      <sheetName val="유기공정"/>
      <sheetName val="갑지.을지"/>
      <sheetName val="실행철강하도"/>
      <sheetName val="BID"/>
      <sheetName val="일위대가(1)"/>
      <sheetName val="Sheet7(ㅅ)"/>
      <sheetName val="총수량집계표"/>
      <sheetName val="직접공사비"/>
      <sheetName val="JUCKEYK"/>
      <sheetName val="별표"/>
      <sheetName val="일위"/>
      <sheetName val="손익분석"/>
      <sheetName val="자재표"/>
      <sheetName val="역공종"/>
      <sheetName val="N賃率_職"/>
      <sheetName val="제-노임"/>
      <sheetName val="제직재"/>
      <sheetName val="갑지1"/>
      <sheetName val="전선 및 전선관"/>
      <sheetName val="현장관리비참조"/>
      <sheetName val="부대"/>
      <sheetName val="일위CODE"/>
      <sheetName val="gyun"/>
      <sheetName val="암거단위"/>
      <sheetName val="별표 "/>
      <sheetName val="PIPING"/>
      <sheetName val="내역서(기성청구)"/>
      <sheetName val="수량총괄"/>
      <sheetName val="노무비단가"/>
      <sheetName val="내역관리1"/>
      <sheetName val="내역서1"/>
      <sheetName val="적용단위길이"/>
      <sheetName val="피벗테이블데이터분석"/>
      <sheetName val="연습"/>
      <sheetName val="산출0"/>
      <sheetName val="내역전기"/>
      <sheetName val="일위목록"/>
      <sheetName val="3.2제조설비"/>
      <sheetName val="적용건축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단재적표"/>
      <sheetName val="견적(100%)"/>
      <sheetName val="설계"/>
      <sheetName val="입상내역"/>
      <sheetName val="기초자료입력"/>
      <sheetName val="Inst."/>
      <sheetName val="교각1"/>
      <sheetName val="전기"/>
      <sheetName val="인적사항"/>
      <sheetName val="투찰가"/>
      <sheetName val="1공구산출내역서"/>
      <sheetName val="작성"/>
      <sheetName val="출력은 금물"/>
      <sheetName val="일위대가(건축)"/>
      <sheetName val="간접비"/>
      <sheetName val="품셈"/>
      <sheetName val="2000.05"/>
      <sheetName val="98지급계획"/>
      <sheetName val="예가표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철근중량"/>
      <sheetName val="하이테콤직원"/>
      <sheetName val="전기내역"/>
      <sheetName val="총괄내역"/>
      <sheetName val="#3_일위대가목록"/>
      <sheetName val="정거장 설계조건"/>
      <sheetName val="구성1"/>
      <sheetName val="구성2"/>
      <sheetName val="구성3"/>
      <sheetName val="구성4"/>
      <sheetName val="그림2"/>
      <sheetName val="구의33고"/>
      <sheetName val="ITEM"/>
      <sheetName val="자료입력"/>
      <sheetName val="터널조도"/>
      <sheetName val="실행(1)"/>
      <sheetName val="원본"/>
      <sheetName val="백룡교차로"/>
      <sheetName val="산정교차로"/>
      <sheetName val="신영교차로"/>
      <sheetName val="현장관리비"/>
      <sheetName val="날개벽수량표"/>
      <sheetName val="COST"/>
      <sheetName val="01상노임"/>
      <sheetName val="직재"/>
      <sheetName val="개요"/>
      <sheetName val="노임단가(08.01)"/>
      <sheetName val="가락화장을지"/>
      <sheetName val="수량산출(생반)"/>
      <sheetName val="을"/>
      <sheetName val="접지수량"/>
      <sheetName val="제경비율"/>
      <sheetName val="기본가정"/>
      <sheetName val="건축원가"/>
      <sheetName val="일반전기C"/>
      <sheetName val="지점장"/>
      <sheetName val="그림"/>
      <sheetName val="구리토평1전기"/>
      <sheetName val="C.전기공사"/>
      <sheetName val="신우"/>
      <sheetName val="청도공장"/>
      <sheetName val="입력변수"/>
      <sheetName val="단가대비표 (3)"/>
      <sheetName val="청곡지선입력"/>
      <sheetName val="2공구산출내역"/>
      <sheetName val="20관리비율"/>
      <sheetName val="기초일위"/>
      <sheetName val="원가총괄"/>
      <sheetName val="재집"/>
      <sheetName val="Sheet1 (2)"/>
      <sheetName val="조명율"/>
      <sheetName val="Macro1"/>
      <sheetName val="내역서적용수량"/>
      <sheetName val="가도공"/>
      <sheetName val="변경내역(전체)"/>
      <sheetName val="공사입찰정보입력"/>
      <sheetName val="기초입력"/>
      <sheetName val="빌딩 안내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입력"/>
      <sheetName val="&lt;--"/>
      <sheetName val="16-1"/>
      <sheetName val="ABUT수량-A1"/>
      <sheetName val="단가비교"/>
      <sheetName val="J-EQ"/>
      <sheetName val="(1)본선수량집계"/>
      <sheetName val="1000 DB구축 부표"/>
      <sheetName val="CT "/>
      <sheetName val="발신정보"/>
      <sheetName val="기초대가"/>
      <sheetName val="조도계산서 (도서)"/>
      <sheetName val="명세서"/>
      <sheetName val="맨홀수량산출"/>
      <sheetName val="유림골조"/>
      <sheetName val="수목표준대가"/>
      <sheetName val="Total"/>
      <sheetName val="예산총괄"/>
      <sheetName val="옥외계측"/>
      <sheetName val="CODE"/>
      <sheetName val="전체"/>
      <sheetName val="인공"/>
      <sheetName val="도급자재"/>
      <sheetName val="참조자료"/>
      <sheetName val="내역서중"/>
      <sheetName val="교각계산"/>
      <sheetName val="직접노무"/>
      <sheetName val="직접재료"/>
      <sheetName val="계측기"/>
      <sheetName val="패널"/>
      <sheetName val="전기2005"/>
      <sheetName val="통신2005"/>
      <sheetName val="총괄집계표"/>
      <sheetName val="철콘"/>
      <sheetName val="표  지"/>
      <sheetName val="간접비계산"/>
      <sheetName val="분전반"/>
      <sheetName val="유림총괄"/>
      <sheetName val="간접(90)"/>
      <sheetName val="품셈총괄"/>
      <sheetName val="표층포설및다짐"/>
      <sheetName val="공문"/>
      <sheetName val="중기일위대가"/>
      <sheetName val="0Title"/>
      <sheetName val="추가예산"/>
      <sheetName val="오동"/>
      <sheetName val="대조"/>
      <sheetName val="나한"/>
      <sheetName val="물가시세"/>
      <sheetName val="부하"/>
      <sheetName val="단가 "/>
      <sheetName val="COVER"/>
      <sheetName val="ESCO개보수공사"/>
      <sheetName val="화재 탐지 설비"/>
      <sheetName val="DATA테이블1 (2)"/>
      <sheetName val="건축기계설비표선정수장"/>
      <sheetName val="DB"/>
      <sheetName val="공연,전시"/>
      <sheetName val="A 견적"/>
      <sheetName val="s.v"/>
      <sheetName val="국내조달(통합-1)"/>
      <sheetName val="보증수수료산출"/>
      <sheetName val="도담구내 개소별 명세"/>
      <sheetName val="지급자재"/>
      <sheetName val="工관리비율"/>
      <sheetName val="工완성공사율"/>
      <sheetName val="금융비용"/>
      <sheetName val="콘크리트"/>
      <sheetName val="노무단가산정"/>
      <sheetName val="인공산출"/>
      <sheetName val="주요기준"/>
      <sheetName val="자재단가비교표"/>
      <sheetName val="단가대비표"/>
      <sheetName val="b_balju"/>
      <sheetName val="건설기계사용료목록"/>
      <sheetName val="단가조사서"/>
      <sheetName val="집"/>
      <sheetName val="간선계산"/>
      <sheetName val="계화배수"/>
      <sheetName val="99년하반기"/>
      <sheetName val="말뚝지지력산정"/>
      <sheetName val="철근집계"/>
      <sheetName val="COPING"/>
      <sheetName val="1차 내역서"/>
      <sheetName val="현장경비"/>
      <sheetName val="포승중환경개선공사(변경)"/>
      <sheetName val="예비용"/>
      <sheetName val="기초목록"/>
      <sheetName val="단가(자재)"/>
      <sheetName val="공사추진현황"/>
      <sheetName val="단가 및 재료비"/>
      <sheetName val="도급내역서(재노경)"/>
      <sheetName val="와동수량"/>
      <sheetName val="직원현황"/>
      <sheetName val="ELECTRIC"/>
      <sheetName val="품셈TABLE"/>
      <sheetName val="공정코드"/>
      <sheetName val="상행-교대(A1-A2)"/>
      <sheetName val="전기설계변경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 refreshError="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비교-형석"/>
      <sheetName val="을지"/>
      <sheetName val="손익분석"/>
      <sheetName val="직노"/>
      <sheetName val="내역"/>
      <sheetName val="동력부하"/>
      <sheetName val="L-기술계산(1Φ220-110V)"/>
      <sheetName val="전등부하"/>
      <sheetName val="0.6-1KV FCV"/>
      <sheetName val="전동기규격"/>
      <sheetName val="표지"/>
      <sheetName val="수변전용량검토"/>
      <sheetName val="단락전류계산서"/>
      <sheetName val="(UT동)SUB"/>
      <sheetName val="(본관동)SUB"/>
      <sheetName val="(2공장동)SUB"/>
      <sheetName val="(사출동)SUB"/>
      <sheetName val="(UT동)UTIL"/>
      <sheetName val="(본관동)AHU"/>
      <sheetName val="(2공장동)AHU"/>
      <sheetName val="(사출동)AHU"/>
      <sheetName val="(사출동)장치"/>
      <sheetName val="통합배선인건"/>
      <sheetName val="견적갑지"/>
      <sheetName val="물량산출"/>
      <sheetName val="비교자료"/>
      <sheetName val="조명율표"/>
      <sheetName val="내역서1"/>
      <sheetName val="실행"/>
      <sheetName val="건축내역"/>
      <sheetName val="200"/>
      <sheetName val="N賃率-職"/>
      <sheetName val="48전력선로일위"/>
      <sheetName val="빌딩 안내"/>
      <sheetName val="내역서"/>
      <sheetName val="A 견적"/>
      <sheetName val="실행내역"/>
      <sheetName val="요율"/>
      <sheetName val="자재단가"/>
      <sheetName val="총괄표"/>
      <sheetName val="CTEMCOST"/>
      <sheetName val="갑지"/>
      <sheetName val="집계표"/>
      <sheetName val="기본일위"/>
      <sheetName val="고등학교"/>
      <sheetName val="총(신설)"/>
      <sheetName val="표지 (2)"/>
      <sheetName val="대공종"/>
      <sheetName val="#REF"/>
      <sheetName val="설계서"/>
      <sheetName val=" 소방공사 산출근거"/>
      <sheetName val="영창26"/>
      <sheetName val="전기일위목록"/>
      <sheetName val="N賃率_職"/>
      <sheetName val="교통대책내역"/>
      <sheetName val="J-EQ"/>
      <sheetName val="노무비 근거"/>
      <sheetName val="한일양산"/>
      <sheetName val="수량산출서"/>
      <sheetName val="원가"/>
      <sheetName val="당초"/>
      <sheetName val="DATA"/>
      <sheetName val="3BL공동구 수량"/>
      <sheetName val="I一般比"/>
      <sheetName val="BasePriceList"/>
      <sheetName val="노임단가표"/>
      <sheetName val="CAT_5"/>
      <sheetName val="봉방동근생"/>
      <sheetName val="제잡비"/>
      <sheetName val="설계금내역서"/>
      <sheetName val="공사비총괄표"/>
      <sheetName val="신우"/>
      <sheetName val="예산M11A"/>
      <sheetName val="MAIN_TABLE"/>
      <sheetName val="98지급계획"/>
      <sheetName val="기계경비(시간당)"/>
      <sheetName val="Sheet1"/>
      <sheetName val="102역사"/>
      <sheetName val="SG"/>
      <sheetName val="견적서"/>
      <sheetName val="97년 추정"/>
      <sheetName val="가설공사"/>
      <sheetName val="기계경비"/>
      <sheetName val="AIR SHOWER(3인용)"/>
      <sheetName val="바닥판"/>
      <sheetName val="입력DATA"/>
      <sheetName val="단가표"/>
      <sheetName val="본부소개"/>
      <sheetName val="노무단가산정"/>
      <sheetName val="내역서 "/>
      <sheetName val="일위대가표"/>
      <sheetName val="일위"/>
      <sheetName val="철거산출근거"/>
      <sheetName val="데이타"/>
      <sheetName val="지입자재집계표"/>
      <sheetName val="산출금액내역"/>
      <sheetName val="원가계산서 "/>
      <sheetName val="내역표지"/>
      <sheetName val="물가조사"/>
      <sheetName val="Sheet2"/>
      <sheetName val="Sheet3"/>
      <sheetName val="골재산출"/>
      <sheetName val="공내역"/>
      <sheetName val="교각별철근수량집계표"/>
      <sheetName val="DB"/>
      <sheetName val="날개벽수량표"/>
      <sheetName val="220 (2)"/>
      <sheetName val="담장산출"/>
      <sheetName val="소일위대가코드표"/>
      <sheetName val="운반공사"/>
      <sheetName val="수량산출"/>
      <sheetName val="차수공개요"/>
      <sheetName val="95년12월말"/>
      <sheetName val="연습"/>
      <sheetName val="상가TV배선"/>
      <sheetName val="1유리"/>
      <sheetName val="총괄"/>
      <sheetName val="추가예산"/>
      <sheetName val="재료"/>
      <sheetName val="토공사"/>
      <sheetName val="101동"/>
      <sheetName val="일위대가"/>
      <sheetName val="일위대가집계표"/>
      <sheetName val="제출내역"/>
      <sheetName val="을"/>
      <sheetName val="b_balju_cho"/>
      <sheetName val="asd"/>
      <sheetName val="Customer Databas"/>
      <sheetName val="견적"/>
      <sheetName val="기초자료"/>
      <sheetName val="조명시설"/>
      <sheetName val="적용토목"/>
      <sheetName val="건축공사"/>
      <sheetName val="일위총괄"/>
      <sheetName val="NYS"/>
      <sheetName val="공사착공계"/>
      <sheetName val="5공철탑검토표"/>
      <sheetName val="4공철탑검토"/>
      <sheetName val="대창(장성)"/>
      <sheetName val="지하"/>
      <sheetName val="J直材4"/>
      <sheetName val="수량분배표"/>
      <sheetName val="설비2차"/>
      <sheetName val="6호기"/>
      <sheetName val="BID"/>
      <sheetName val="단가산출"/>
      <sheetName val="갑지1"/>
      <sheetName val="기존단가 (2)"/>
      <sheetName val="노임단가"/>
      <sheetName val="중기사용료산출근거"/>
      <sheetName val="단위량"/>
      <sheetName val="재료집계표2"/>
      <sheetName val="토적집계표"/>
      <sheetName val="코드표"/>
      <sheetName val="단중표"/>
      <sheetName val="약품공급2"/>
      <sheetName val="0_6-1KV_FCV"/>
      <sheetName val="A_견적"/>
      <sheetName val="빌딩_안내"/>
      <sheetName val="_소방공사_산출근거"/>
      <sheetName val="노무비_근거"/>
      <sheetName val="표지_(2)"/>
      <sheetName val="AIR_SHOWER(3인용)"/>
      <sheetName val="3BL공동구_수량"/>
      <sheetName val="Customer_Databas"/>
      <sheetName val="97년_추정"/>
      <sheetName val="원가계산서_"/>
      <sheetName val="단가"/>
      <sheetName val="교각1"/>
      <sheetName val="일위대가-내역 "/>
      <sheetName val="내역(가지)"/>
      <sheetName val="주beam"/>
      <sheetName val="입찰안"/>
      <sheetName val="교수설계"/>
      <sheetName val="원본"/>
      <sheetName val="자단"/>
      <sheetName val="당진1,2호기전선관설치및접지4차공사내역서-을지"/>
      <sheetName val="식생블럭단위수량"/>
      <sheetName val="예산대비"/>
      <sheetName val="프로젝트"/>
      <sheetName val="차액보증"/>
      <sheetName val="일위대가(가설)"/>
      <sheetName val="설직재-1"/>
      <sheetName val="개소별수량산출"/>
      <sheetName val="본체"/>
      <sheetName val="재개발"/>
      <sheetName val="분전반"/>
      <sheetName val="입상내역"/>
      <sheetName val="대치판정"/>
      <sheetName val="개요"/>
      <sheetName val="기성내역"/>
      <sheetName val="조도계산서 (도서)"/>
      <sheetName val="물량입력"/>
      <sheetName val="1.취수장"/>
      <sheetName val="노임"/>
      <sheetName val="직원자료입력"/>
      <sheetName val="설계명세"/>
      <sheetName val="실행(1)"/>
      <sheetName val="계약용량(서포)"/>
      <sheetName val="도담구내 개소별 명세"/>
      <sheetName val="PIPING"/>
      <sheetName val="inputdata"/>
      <sheetName val="제직재"/>
      <sheetName val="토공 total"/>
      <sheetName val="공기압축기실"/>
      <sheetName val="990430_당초"/>
      <sheetName val="철근량"/>
      <sheetName val="명세서"/>
      <sheetName val="일위_파일"/>
      <sheetName val="L1"/>
      <sheetName val="측량노임.재료.기재"/>
      <sheetName val="재료값"/>
      <sheetName val="오수공수량집계표"/>
      <sheetName val="카메라"/>
      <sheetName val="B"/>
      <sheetName val="#3_일위대가목록"/>
      <sheetName val="2000년1차"/>
      <sheetName val="2000전체분"/>
      <sheetName val="산출근거"/>
      <sheetName val="단가비교표_공통1"/>
      <sheetName val="인수공규격"/>
      <sheetName val="부하자료"/>
      <sheetName val="급,배기팬"/>
      <sheetName val="일위대가목차"/>
      <sheetName val="원가총괄"/>
      <sheetName val="적현로"/>
      <sheetName val="PIPE"/>
      <sheetName val="준검 내역서"/>
      <sheetName val="Macro(MCC)"/>
      <sheetName val="자금운용계획표"/>
      <sheetName val="대차"/>
      <sheetName val="원본(갑지)"/>
      <sheetName val="중기"/>
      <sheetName val="기별(종합)"/>
      <sheetName val="전동기"/>
      <sheetName val="내역서(중수)"/>
      <sheetName val="세부내역"/>
      <sheetName val="96정변2"/>
      <sheetName val="공정집계"/>
      <sheetName val="자재테이블"/>
      <sheetName val="갑  지"/>
      <sheetName val="국내조달(통합-1)"/>
      <sheetName val="강북라우터"/>
      <sheetName val="중기일위대가"/>
      <sheetName val="기초일위"/>
      <sheetName val="시설일위"/>
      <sheetName val="조명일위"/>
      <sheetName val="공량산출서"/>
      <sheetName val="위치조서"/>
      <sheetName val="인건비"/>
      <sheetName val="19990101-엑셀1"/>
      <sheetName val="일위1"/>
      <sheetName val="노임변동률"/>
      <sheetName val="국도접속 차도부수량"/>
      <sheetName val="내역전기"/>
      <sheetName val="중강당 내역"/>
      <sheetName val="guard(mac)"/>
      <sheetName val="9GNG운반"/>
      <sheetName val="1,2공구원가계산서"/>
      <sheetName val="2공구산출내역"/>
      <sheetName val="1공구산출내역서"/>
      <sheetName val="설비견적"/>
      <sheetName val="전기공사"/>
      <sheetName val="POL6차-PIPING"/>
      <sheetName val="Sheet5"/>
      <sheetName val=" HIT-&gt;HMC 견적(3900)"/>
      <sheetName val="내역서(기성청구)"/>
      <sheetName val="전체제잡비"/>
      <sheetName val="연부97-1"/>
      <sheetName val="Baby일위대가"/>
      <sheetName val="ES조서출력하기"/>
      <sheetName val="잡철물"/>
      <sheetName val="과세내역(세부)"/>
      <sheetName val="실행간접비용"/>
      <sheetName val="lee"/>
      <sheetName val="집계표소트"/>
      <sheetName val="봉양~조차장간고하개명(신설)"/>
      <sheetName val="접지수량"/>
      <sheetName val="직재"/>
      <sheetName val="경산"/>
      <sheetName val="중기사용료"/>
      <sheetName val="물가자료"/>
      <sheetName val="콘크리트"/>
      <sheetName val="계산표지"/>
      <sheetName val="간접비계산"/>
      <sheetName val="조건표"/>
      <sheetName val="장비분류"/>
      <sheetName val="fursys"/>
      <sheetName val="터파기및재료"/>
      <sheetName val="원가계산서"/>
      <sheetName val="특별땅고르기"/>
      <sheetName val="기본1"/>
      <sheetName val="수정일위대가"/>
      <sheetName val="관급_File"/>
      <sheetName val="입력변수"/>
      <sheetName val="단가목록"/>
      <sheetName val="본사인상전"/>
      <sheetName val="일위산출"/>
      <sheetName val="수주추정"/>
      <sheetName val="입력"/>
      <sheetName val="ㄱ"/>
      <sheetName val="1안"/>
      <sheetName val="물가시세"/>
      <sheetName val="자료"/>
      <sheetName val="현장"/>
      <sheetName val="일 위 대 가 표"/>
      <sheetName val="전화공사 공량 및 집계표"/>
      <sheetName val="위생설비"/>
      <sheetName val="내역(설계)"/>
      <sheetName val="LD"/>
      <sheetName val="전기산출기초"/>
      <sheetName val="설계명세서"/>
      <sheetName val="표지1"/>
      <sheetName val="연결임시"/>
      <sheetName val="가시설수량"/>
      <sheetName val="케이블"/>
      <sheetName val="통신대가"/>
      <sheetName val="암거단위"/>
      <sheetName val="품셈"/>
      <sheetName val="골조"/>
      <sheetName val="Macro(전기)"/>
      <sheetName val="노무비"/>
      <sheetName val="SIL98"/>
      <sheetName val="퍼스트"/>
      <sheetName val="LOPCALC"/>
      <sheetName val="하조서"/>
      <sheetName val="설계"/>
      <sheetName val="지급자재"/>
      <sheetName val="을 1"/>
      <sheetName val="을 2"/>
      <sheetName val="제품정보"/>
      <sheetName val="내역서(2)"/>
      <sheetName val="전기내역서(총계)"/>
      <sheetName val="일위목록"/>
      <sheetName val="데리네이타현황"/>
      <sheetName val="인건-측정"/>
      <sheetName val="PassPort-60%"/>
      <sheetName val="cable산출"/>
      <sheetName val="음성(cable)"/>
      <sheetName val="경율산정.XLS"/>
      <sheetName val="부하계산서"/>
      <sheetName val="철탑공사"/>
      <sheetName val="공사직종별노임"/>
      <sheetName val="자재일람"/>
      <sheetName val="창호"/>
      <sheetName val="청주(철골발주의뢰서)"/>
      <sheetName val="환율"/>
      <sheetName val="FAX"/>
      <sheetName val="실행철강하도"/>
      <sheetName val="내역서(전기)"/>
      <sheetName val="관리비비계상"/>
      <sheetName val="FAB4생산"/>
      <sheetName val="단가표 (2)"/>
      <sheetName val="참조 (2)"/>
      <sheetName val="구성1"/>
      <sheetName val="구성2"/>
      <sheetName val="구성3"/>
      <sheetName val="구성4"/>
      <sheetName val="그림2"/>
      <sheetName val="RE9604"/>
      <sheetName val="물집"/>
      <sheetName val="IMPEADENCE MAP 취수장"/>
      <sheetName val="MECH"/>
      <sheetName val="교각토공"/>
      <sheetName val="기본단가표"/>
      <sheetName val="수량산출서 (2)"/>
      <sheetName val="공사설계서"/>
      <sheetName val="율촌법률사무소2내역"/>
      <sheetName val="설치내역"/>
      <sheetName val="자동제어"/>
      <sheetName val="학생내역"/>
      <sheetName val="미익SUB"/>
      <sheetName val="일위단가"/>
      <sheetName val="항측노임단가"/>
      <sheetName val="차압계산"/>
      <sheetName val="일위(시설)"/>
      <sheetName val="설계변경"/>
      <sheetName val="인부신상자료"/>
      <sheetName val="대로근거"/>
      <sheetName val="견적대비 견적서"/>
      <sheetName val="말뚝지지력산정"/>
      <sheetName val="단가일람"/>
      <sheetName val="조경일람"/>
      <sheetName val="2"/>
      <sheetName val="감액총괄표"/>
      <sheetName val="세부내역서"/>
      <sheetName val="도급b_balju"/>
      <sheetName val="집계표(공종별)"/>
      <sheetName val="산출근거 (2)"/>
      <sheetName val="집계표 (2)"/>
      <sheetName val="을부담운반비"/>
      <sheetName val="신대방33(적용)"/>
      <sheetName val="토목주소"/>
      <sheetName val="위스키3"/>
      <sheetName val="주류전체2"/>
      <sheetName val="Total"/>
      <sheetName val="스포회원매출"/>
      <sheetName val="20-25"/>
      <sheetName val="일위대가목록"/>
      <sheetName val="6. 안전관리비"/>
      <sheetName val="Sheet13"/>
      <sheetName val="13LPMCC"/>
      <sheetName val="Y-WORK"/>
      <sheetName val="부대내역"/>
      <sheetName val="BTS Rack실장도(실외형)"/>
      <sheetName val="단가비교"/>
      <sheetName val="포승중환경개선공사(변경)"/>
      <sheetName val="48일위"/>
      <sheetName val="48수량"/>
      <sheetName val="22수량"/>
      <sheetName val="49일위"/>
      <sheetName val="22일위"/>
      <sheetName val="49수량"/>
      <sheetName val="건축원가계산서"/>
      <sheetName val="계약서"/>
      <sheetName val="자재표"/>
      <sheetName val="정렬"/>
      <sheetName val="ATM기초철가"/>
      <sheetName val="공사원가계산서"/>
      <sheetName val="전기공사일위대가"/>
      <sheetName val="20관리비율"/>
      <sheetName val="1.설계조건"/>
      <sheetName val="관급자재"/>
      <sheetName val="총수량집계표"/>
      <sheetName val="입찰보고"/>
      <sheetName val="PLB"/>
      <sheetName val="상수도토공집계표"/>
      <sheetName val="중간"/>
      <sheetName val="LOAD-46"/>
      <sheetName val="시운전연료"/>
      <sheetName val="일위집계(기존)"/>
      <sheetName val="전체"/>
      <sheetName val="개인별조서"/>
      <sheetName val="모관부설및연결"/>
      <sheetName val="청천내"/>
      <sheetName val="노임이"/>
      <sheetName val="여과지동"/>
      <sheetName val="토사(PE)"/>
      <sheetName val="토공(우물통,기타) "/>
      <sheetName val="load(지하층)"/>
      <sheetName val="테이블"/>
      <sheetName val="집수정(600-700)"/>
      <sheetName val="문학간접"/>
      <sheetName val="재료집계표"/>
      <sheetName val="신천3호용수로"/>
      <sheetName val="인사자료총집계"/>
      <sheetName val="기본사항"/>
      <sheetName val="견적조건"/>
      <sheetName val="순공사비"/>
      <sheetName val="dtxl"/>
      <sheetName val="접속 SLAB,BRACKET 설계"/>
      <sheetName val="교량data"/>
      <sheetName val="참조"/>
      <sheetName val="별표 "/>
      <sheetName val="공정집계_국별"/>
      <sheetName val="NEYOK"/>
      <sheetName val="역공종"/>
      <sheetName val="품셈표"/>
      <sheetName val="품셈1-17"/>
      <sheetName val="교각계산"/>
      <sheetName val="사용자일위"/>
      <sheetName val="품목"/>
      <sheetName val="지하시설물작성"/>
      <sheetName val="기본자료"/>
      <sheetName val="본부장"/>
      <sheetName val="예산서"/>
      <sheetName val="철근집계"/>
      <sheetName val="사다리"/>
      <sheetName val="철근중량"/>
      <sheetName val="갈현동"/>
      <sheetName val="식재인부"/>
      <sheetName val="일위대가표(DEEP)"/>
      <sheetName val="금융비용"/>
      <sheetName val="설계내역서"/>
      <sheetName val="재료집계표3"/>
      <sheetName val="9509"/>
      <sheetName val="지질조사"/>
      <sheetName val="집계"/>
      <sheetName val="할증 "/>
      <sheetName val="견적대비표"/>
      <sheetName val="voucher"/>
      <sheetName val="대장"/>
      <sheetName val="환율change"/>
      <sheetName val="FACTOR"/>
      <sheetName val="단위단가"/>
      <sheetName val="P1(좌,우)"/>
      <sheetName val="노무비단가"/>
      <sheetName val="총괄메뉴"/>
      <sheetName val="재료비"/>
      <sheetName val="콘센트신설"/>
      <sheetName val="직접경비호표"/>
      <sheetName val="기본DATA"/>
      <sheetName val="0_6-1KV_FCV1"/>
      <sheetName val="노무비_근거1"/>
      <sheetName val="빌딩_안내1"/>
      <sheetName val="A_견적1"/>
      <sheetName val="_소방공사_산출근거1"/>
      <sheetName val="원가계산서_1"/>
      <sheetName val="AIR_SHOWER(3인용)1"/>
      <sheetName val="표지_(2)1"/>
      <sheetName val="3BL공동구_수량1"/>
      <sheetName val="97년_추정1"/>
      <sheetName val="Customer_Databas1"/>
      <sheetName val="조도계산서_(도서)"/>
      <sheetName val="일위대가-내역_"/>
      <sheetName val="내역서_"/>
      <sheetName val="220_(2)"/>
      <sheetName val="갑__지"/>
      <sheetName val="1_취수장"/>
      <sheetName val="기존단가_(2)"/>
      <sheetName val="토공_total"/>
      <sheetName val="도담구내_개소별_명세"/>
      <sheetName val="측량노임_재료_기재"/>
      <sheetName val="국도접속_차도부수량"/>
      <sheetName val="_HIT-&gt;HMC_견적(3900)"/>
      <sheetName val="준검_내역서"/>
      <sheetName val="일_위_대_가_표"/>
      <sheetName val="경율산정_XLS"/>
      <sheetName val="월별수입"/>
      <sheetName val="오동"/>
      <sheetName val="대조"/>
      <sheetName val="나한"/>
      <sheetName val="휴가비,급량비"/>
      <sheetName val="2.대외공문"/>
      <sheetName val="직공비"/>
      <sheetName val="개요2"/>
      <sheetName val="암거날개벽재료집계"/>
      <sheetName val="시중노임단가"/>
      <sheetName val="수량총괄"/>
      <sheetName val="연장,면적"/>
      <sheetName val="자재"/>
      <sheetName val="조경"/>
      <sheetName val="제작비추산총괄표"/>
      <sheetName val="갑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직노"/>
      <sheetName val="200"/>
      <sheetName val="일위대가표"/>
      <sheetName val="손익분석"/>
      <sheetName val="실행내역"/>
      <sheetName val="정부노임단가"/>
      <sheetName val="주beam"/>
      <sheetName val="오동"/>
      <sheetName val="대조"/>
      <sheetName val="나한"/>
      <sheetName val="본체"/>
      <sheetName val="내역"/>
      <sheetName val="골재산출"/>
      <sheetName val="#REF"/>
      <sheetName val="원가"/>
      <sheetName val="데이타"/>
      <sheetName val="식재인부"/>
      <sheetName val="재료"/>
      <sheetName val="자재단가비교표"/>
      <sheetName val="표지"/>
      <sheetName val="원가계산서 "/>
      <sheetName val="내역서 "/>
      <sheetName val="마산방향"/>
      <sheetName val="발주내역"/>
      <sheetName val="공사비총괄표"/>
      <sheetName val="바닥판"/>
      <sheetName val="입력DATA"/>
      <sheetName val="정읍"/>
      <sheetName val="팔당"/>
      <sheetName val="포항"/>
      <sheetName val="내역서"/>
      <sheetName val="(A)내역서"/>
      <sheetName val="VXXXXX"/>
      <sheetName val="노동98년 (2)"/>
      <sheetName val="MOTOR"/>
      <sheetName val="토공(우물통,기타)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환율,매도"/>
      <sheetName val="기계경비"/>
      <sheetName val="노임단가"/>
      <sheetName val="자재단가"/>
      <sheetName val="단가산출(1)"/>
      <sheetName val="단가산출(2)"/>
      <sheetName val="단산집계"/>
      <sheetName val="단가"/>
      <sheetName val="200"/>
      <sheetName val="직노"/>
      <sheetName val="손익분석"/>
      <sheetName val="원가"/>
      <sheetName val="변경총괄지(1)"/>
      <sheetName val="총괄표"/>
      <sheetName val="#REF"/>
      <sheetName val="조명시설"/>
      <sheetName val="일위대가목록"/>
      <sheetName val="본체"/>
      <sheetName val="구조물공"/>
    </sheetNames>
    <sheetDataSet>
      <sheetData sheetId="0" refreshError="1"/>
      <sheetData sheetId="1" refreshError="1"/>
      <sheetData sheetId="2"/>
      <sheetData sheetId="3"/>
      <sheetData sheetId="4" refreshError="1">
        <row r="194">
          <cell r="E194">
            <v>200000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자재단가"/>
      <sheetName val="품셈TABLE"/>
      <sheetName val="직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C)원내역"/>
      <sheetName val="SLAB&quot;1&quot;"/>
      <sheetName val="자료입력"/>
      <sheetName val="토공사"/>
      <sheetName val="자재단가"/>
      <sheetName val="단가"/>
      <sheetName val="(A)내역서"/>
      <sheetName val="설계내역서"/>
      <sheetName val="본체"/>
      <sheetName val="부대공Ⅱ"/>
      <sheetName val="97rc"/>
      <sheetName val="낙찰표"/>
      <sheetName val="맨홀수량산출"/>
      <sheetName val="200"/>
      <sheetName val="직노"/>
      <sheetName val="COPING"/>
      <sheetName val="슬래브수량"/>
      <sheetName val="손익분석"/>
      <sheetName val="원가"/>
      <sheetName val="일위대가목록"/>
      <sheetName val="실행내역"/>
      <sheetName val="평균물량산출서"/>
      <sheetName val="8.석축단위(H=1.5M)"/>
      <sheetName val="대공종"/>
      <sheetName val="#REF"/>
      <sheetName val="입력자료(노무비)"/>
      <sheetName val="데리네이타현황"/>
      <sheetName val="내역서"/>
      <sheetName val="집계표"/>
      <sheetName val="실행철강하도"/>
      <sheetName val="suk(mac)"/>
    </sheetNames>
    <sheetDataSet>
      <sheetData sheetId="0" refreshError="1">
        <row r="4">
          <cell r="F4">
            <v>0</v>
          </cell>
          <cell r="H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H5">
            <v>0</v>
          </cell>
          <cell r="J5">
            <v>0</v>
          </cell>
          <cell r="K5">
            <v>0</v>
          </cell>
        </row>
        <row r="6">
          <cell r="F6">
            <v>12729990</v>
          </cell>
          <cell r="H6">
            <v>48240660</v>
          </cell>
          <cell r="J6">
            <v>17535910</v>
          </cell>
          <cell r="K6">
            <v>78506560</v>
          </cell>
        </row>
        <row r="7">
          <cell r="F7">
            <v>0</v>
          </cell>
          <cell r="H7">
            <v>0</v>
          </cell>
          <cell r="J7">
            <v>0</v>
          </cell>
          <cell r="K7">
            <v>0</v>
          </cell>
        </row>
        <row r="8">
          <cell r="F8">
            <v>7955352</v>
          </cell>
          <cell r="H8">
            <v>151477431</v>
          </cell>
          <cell r="J8">
            <v>41770979</v>
          </cell>
          <cell r="K8">
            <v>201203762</v>
          </cell>
        </row>
        <row r="9">
          <cell r="F9">
            <v>0</v>
          </cell>
          <cell r="H9">
            <v>0</v>
          </cell>
          <cell r="J9">
            <v>0</v>
          </cell>
          <cell r="K9">
            <v>0</v>
          </cell>
        </row>
        <row r="10">
          <cell r="F10">
            <v>352458</v>
          </cell>
          <cell r="H10">
            <v>2206880</v>
          </cell>
          <cell r="J10">
            <v>165062</v>
          </cell>
          <cell r="K10">
            <v>2724400</v>
          </cell>
        </row>
        <row r="11">
          <cell r="F11">
            <v>0</v>
          </cell>
          <cell r="H11">
            <v>0</v>
          </cell>
          <cell r="J11">
            <v>0</v>
          </cell>
          <cell r="K11">
            <v>0</v>
          </cell>
        </row>
        <row r="12">
          <cell r="F12">
            <v>0</v>
          </cell>
          <cell r="H12">
            <v>6170880</v>
          </cell>
          <cell r="J12">
            <v>10669110</v>
          </cell>
          <cell r="K12">
            <v>16839990</v>
          </cell>
        </row>
        <row r="13">
          <cell r="F13">
            <v>0</v>
          </cell>
          <cell r="H13">
            <v>0</v>
          </cell>
          <cell r="J13">
            <v>0</v>
          </cell>
          <cell r="K13">
            <v>0</v>
          </cell>
        </row>
        <row r="14">
          <cell r="F14">
            <v>21037800</v>
          </cell>
          <cell r="H14">
            <v>208095851</v>
          </cell>
          <cell r="J14">
            <v>70141061</v>
          </cell>
          <cell r="K14">
            <v>299274712</v>
          </cell>
        </row>
        <row r="15">
          <cell r="F15">
            <v>0</v>
          </cell>
          <cell r="H15">
            <v>0</v>
          </cell>
          <cell r="J15">
            <v>0</v>
          </cell>
          <cell r="K15">
            <v>0</v>
          </cell>
        </row>
        <row r="16">
          <cell r="F16">
            <v>0</v>
          </cell>
          <cell r="H16">
            <v>0</v>
          </cell>
          <cell r="J16">
            <v>0</v>
          </cell>
          <cell r="K16">
            <v>29133400</v>
          </cell>
        </row>
        <row r="17">
          <cell r="F17">
            <v>0</v>
          </cell>
          <cell r="H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H18">
            <v>0</v>
          </cell>
          <cell r="J18">
            <v>0</v>
          </cell>
          <cell r="K18">
            <v>12293500</v>
          </cell>
        </row>
        <row r="19">
          <cell r="F19">
            <v>0</v>
          </cell>
          <cell r="H19">
            <v>0</v>
          </cell>
          <cell r="J19">
            <v>0</v>
          </cell>
          <cell r="K19">
            <v>0</v>
          </cell>
        </row>
        <row r="20">
          <cell r="F20">
            <v>0</v>
          </cell>
          <cell r="H20">
            <v>0</v>
          </cell>
          <cell r="J20">
            <v>0</v>
          </cell>
          <cell r="K20">
            <v>340701612</v>
          </cell>
        </row>
        <row r="21">
          <cell r="F21">
            <v>0</v>
          </cell>
          <cell r="H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H22">
            <v>0</v>
          </cell>
          <cell r="J22">
            <v>0</v>
          </cell>
          <cell r="K22">
            <v>17035000</v>
          </cell>
        </row>
        <row r="23">
          <cell r="F23">
            <v>0</v>
          </cell>
          <cell r="H23">
            <v>0</v>
          </cell>
          <cell r="J23">
            <v>0</v>
          </cell>
          <cell r="K23">
            <v>0</v>
          </cell>
        </row>
        <row r="24">
          <cell r="F24">
            <v>0</v>
          </cell>
          <cell r="H24">
            <v>0</v>
          </cell>
          <cell r="J24">
            <v>0</v>
          </cell>
          <cell r="K24">
            <v>357736612</v>
          </cell>
        </row>
        <row r="25">
          <cell r="F25">
            <v>0</v>
          </cell>
          <cell r="H25">
            <v>0</v>
          </cell>
          <cell r="J25">
            <v>0</v>
          </cell>
          <cell r="K25">
            <v>0</v>
          </cell>
        </row>
        <row r="26">
          <cell r="F26">
            <v>0</v>
          </cell>
          <cell r="H26">
            <v>0</v>
          </cell>
          <cell r="J26">
            <v>0</v>
          </cell>
          <cell r="K26">
            <v>50442157</v>
          </cell>
        </row>
        <row r="27">
          <cell r="F27">
            <v>0</v>
          </cell>
          <cell r="H27">
            <v>0</v>
          </cell>
          <cell r="J27">
            <v>0</v>
          </cell>
          <cell r="K27">
            <v>0</v>
          </cell>
        </row>
        <row r="28">
          <cell r="F28">
            <v>0</v>
          </cell>
          <cell r="H28">
            <v>0</v>
          </cell>
          <cell r="J28">
            <v>0</v>
          </cell>
          <cell r="K28">
            <v>11987722</v>
          </cell>
        </row>
        <row r="29">
          <cell r="F29">
            <v>0</v>
          </cell>
          <cell r="H29">
            <v>0</v>
          </cell>
          <cell r="J29">
            <v>0</v>
          </cell>
          <cell r="K29">
            <v>0</v>
          </cell>
        </row>
        <row r="30">
          <cell r="F30">
            <v>0</v>
          </cell>
          <cell r="H30">
            <v>0</v>
          </cell>
          <cell r="J30">
            <v>0</v>
          </cell>
          <cell r="K30">
            <v>420166491</v>
          </cell>
        </row>
        <row r="31">
          <cell r="F31">
            <v>0</v>
          </cell>
          <cell r="H31">
            <v>0</v>
          </cell>
          <cell r="J31">
            <v>0</v>
          </cell>
          <cell r="K31">
            <v>0</v>
          </cell>
        </row>
        <row r="32">
          <cell r="F32">
            <v>0</v>
          </cell>
          <cell r="H32">
            <v>0</v>
          </cell>
          <cell r="J32">
            <v>0</v>
          </cell>
          <cell r="K32">
            <v>42016649</v>
          </cell>
        </row>
        <row r="33">
          <cell r="F33">
            <v>0</v>
          </cell>
          <cell r="H33">
            <v>0</v>
          </cell>
          <cell r="J33">
            <v>0</v>
          </cell>
          <cell r="K33">
            <v>0</v>
          </cell>
        </row>
        <row r="34">
          <cell r="F34">
            <v>0</v>
          </cell>
          <cell r="H34">
            <v>0</v>
          </cell>
          <cell r="J34">
            <v>0</v>
          </cell>
          <cell r="K34">
            <v>720000</v>
          </cell>
        </row>
        <row r="35">
          <cell r="F35">
            <v>0</v>
          </cell>
          <cell r="H35">
            <v>0</v>
          </cell>
          <cell r="J35">
            <v>0</v>
          </cell>
          <cell r="K35">
            <v>0</v>
          </cell>
        </row>
        <row r="36">
          <cell r="F36">
            <v>0</v>
          </cell>
          <cell r="H36">
            <v>0</v>
          </cell>
          <cell r="J36">
            <v>0</v>
          </cell>
          <cell r="K36">
            <v>1996860</v>
          </cell>
        </row>
        <row r="37">
          <cell r="F37">
            <v>0</v>
          </cell>
          <cell r="H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H38">
            <v>0</v>
          </cell>
          <cell r="J38">
            <v>0</v>
          </cell>
          <cell r="K38">
            <v>464900000</v>
          </cell>
        </row>
        <row r="39">
          <cell r="F39">
            <v>0</v>
          </cell>
          <cell r="H39">
            <v>0</v>
          </cell>
          <cell r="J39">
            <v>0</v>
          </cell>
          <cell r="K39">
            <v>0</v>
          </cell>
        </row>
        <row r="40">
          <cell r="F40">
            <v>0</v>
          </cell>
          <cell r="H40">
            <v>0</v>
          </cell>
          <cell r="J40">
            <v>0</v>
          </cell>
          <cell r="K40">
            <v>31741470</v>
          </cell>
        </row>
        <row r="41">
          <cell r="F41">
            <v>0</v>
          </cell>
          <cell r="H41">
            <v>0</v>
          </cell>
          <cell r="J41">
            <v>0</v>
          </cell>
          <cell r="K41">
            <v>0</v>
          </cell>
        </row>
        <row r="42">
          <cell r="F42">
            <v>0</v>
          </cell>
          <cell r="H42">
            <v>0</v>
          </cell>
          <cell r="J42">
            <v>0</v>
          </cell>
          <cell r="K42">
            <v>496641470</v>
          </cell>
        </row>
        <row r="43">
          <cell r="F43">
            <v>0</v>
          </cell>
          <cell r="H43">
            <v>0</v>
          </cell>
          <cell r="J43">
            <v>0</v>
          </cell>
          <cell r="K43">
            <v>0</v>
          </cell>
        </row>
        <row r="44">
          <cell r="F44">
            <v>0</v>
          </cell>
          <cell r="H44">
            <v>0</v>
          </cell>
          <cell r="J44">
            <v>0</v>
          </cell>
          <cell r="K44">
            <v>0</v>
          </cell>
        </row>
        <row r="45">
          <cell r="F45">
            <v>0</v>
          </cell>
          <cell r="H45">
            <v>0</v>
          </cell>
          <cell r="J45">
            <v>0</v>
          </cell>
          <cell r="K45">
            <v>0</v>
          </cell>
        </row>
        <row r="46">
          <cell r="F46">
            <v>0</v>
          </cell>
          <cell r="H46">
            <v>0</v>
          </cell>
          <cell r="J46">
            <v>0</v>
          </cell>
          <cell r="K46">
            <v>0</v>
          </cell>
        </row>
        <row r="47">
          <cell r="F47">
            <v>0</v>
          </cell>
          <cell r="H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H48">
            <v>0</v>
          </cell>
          <cell r="J48">
            <v>0</v>
          </cell>
          <cell r="K48">
            <v>0</v>
          </cell>
        </row>
        <row r="49">
          <cell r="F49">
            <v>0</v>
          </cell>
          <cell r="H49">
            <v>0</v>
          </cell>
          <cell r="J49">
            <v>0</v>
          </cell>
          <cell r="K49">
            <v>0</v>
          </cell>
        </row>
        <row r="50">
          <cell r="F50">
            <v>0</v>
          </cell>
          <cell r="H50">
            <v>0</v>
          </cell>
          <cell r="J50">
            <v>0</v>
          </cell>
          <cell r="K50">
            <v>0</v>
          </cell>
        </row>
        <row r="51">
          <cell r="F51">
            <v>0</v>
          </cell>
          <cell r="H51">
            <v>0</v>
          </cell>
          <cell r="J51">
            <v>0</v>
          </cell>
          <cell r="K51">
            <v>0</v>
          </cell>
        </row>
        <row r="52">
          <cell r="F52">
            <v>0</v>
          </cell>
          <cell r="H52">
            <v>0</v>
          </cell>
          <cell r="J52">
            <v>0</v>
          </cell>
          <cell r="K52">
            <v>0</v>
          </cell>
        </row>
        <row r="53">
          <cell r="F53">
            <v>0</v>
          </cell>
          <cell r="H53">
            <v>0</v>
          </cell>
          <cell r="J53">
            <v>0</v>
          </cell>
          <cell r="K53">
            <v>0</v>
          </cell>
        </row>
        <row r="54">
          <cell r="F54">
            <v>0</v>
          </cell>
          <cell r="H54">
            <v>0</v>
          </cell>
          <cell r="J54">
            <v>0</v>
          </cell>
          <cell r="K54">
            <v>0</v>
          </cell>
        </row>
        <row r="55">
          <cell r="F55">
            <v>0</v>
          </cell>
          <cell r="H55">
            <v>0</v>
          </cell>
          <cell r="J55">
            <v>0</v>
          </cell>
          <cell r="K55">
            <v>0</v>
          </cell>
        </row>
        <row r="56">
          <cell r="F56">
            <v>0</v>
          </cell>
          <cell r="H56">
            <v>0</v>
          </cell>
          <cell r="J56">
            <v>0</v>
          </cell>
          <cell r="K56">
            <v>0</v>
          </cell>
        </row>
        <row r="57">
          <cell r="F57">
            <v>0</v>
          </cell>
          <cell r="H57">
            <v>0</v>
          </cell>
          <cell r="J57">
            <v>0</v>
          </cell>
          <cell r="K57">
            <v>0</v>
          </cell>
        </row>
        <row r="58">
          <cell r="F58">
            <v>0</v>
          </cell>
          <cell r="H58">
            <v>0</v>
          </cell>
          <cell r="J58">
            <v>0</v>
          </cell>
          <cell r="K58">
            <v>0</v>
          </cell>
        </row>
        <row r="59">
          <cell r="F59">
            <v>0</v>
          </cell>
          <cell r="H59">
            <v>0</v>
          </cell>
          <cell r="J59">
            <v>0</v>
          </cell>
          <cell r="K59">
            <v>0</v>
          </cell>
        </row>
        <row r="60">
          <cell r="F60">
            <v>0</v>
          </cell>
          <cell r="H60">
            <v>0</v>
          </cell>
          <cell r="J60">
            <v>0</v>
          </cell>
          <cell r="K60">
            <v>0</v>
          </cell>
        </row>
        <row r="61">
          <cell r="F61">
            <v>0</v>
          </cell>
          <cell r="H61">
            <v>0</v>
          </cell>
          <cell r="J61">
            <v>0</v>
          </cell>
          <cell r="K61">
            <v>0</v>
          </cell>
        </row>
        <row r="62">
          <cell r="F62">
            <v>0</v>
          </cell>
          <cell r="H62">
            <v>0</v>
          </cell>
          <cell r="J62">
            <v>0</v>
          </cell>
          <cell r="K62">
            <v>0</v>
          </cell>
        </row>
        <row r="63">
          <cell r="F63">
            <v>0</v>
          </cell>
          <cell r="H63">
            <v>0</v>
          </cell>
          <cell r="J63">
            <v>0</v>
          </cell>
          <cell r="K63">
            <v>0</v>
          </cell>
        </row>
        <row r="64">
          <cell r="F64">
            <v>0</v>
          </cell>
          <cell r="H64">
            <v>0</v>
          </cell>
          <cell r="J64">
            <v>0</v>
          </cell>
          <cell r="K64">
            <v>0</v>
          </cell>
        </row>
        <row r="65">
          <cell r="F65">
            <v>0</v>
          </cell>
          <cell r="H65">
            <v>0</v>
          </cell>
          <cell r="J65">
            <v>0</v>
          </cell>
          <cell r="K65">
            <v>0</v>
          </cell>
        </row>
        <row r="66">
          <cell r="F66">
            <v>0</v>
          </cell>
          <cell r="H66">
            <v>0</v>
          </cell>
          <cell r="J66">
            <v>0</v>
          </cell>
          <cell r="K66">
            <v>0</v>
          </cell>
        </row>
        <row r="67">
          <cell r="F67">
            <v>0</v>
          </cell>
          <cell r="H67">
            <v>0</v>
          </cell>
          <cell r="J67">
            <v>0</v>
          </cell>
          <cell r="K67">
            <v>0</v>
          </cell>
        </row>
        <row r="68">
          <cell r="F68">
            <v>0</v>
          </cell>
          <cell r="H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H69">
            <v>0</v>
          </cell>
          <cell r="J69">
            <v>0</v>
          </cell>
          <cell r="K69">
            <v>0</v>
          </cell>
        </row>
        <row r="70">
          <cell r="F70">
            <v>0</v>
          </cell>
          <cell r="H70">
            <v>0</v>
          </cell>
          <cell r="J70">
            <v>0</v>
          </cell>
          <cell r="K70">
            <v>0</v>
          </cell>
        </row>
        <row r="71">
          <cell r="F71">
            <v>0</v>
          </cell>
          <cell r="H71">
            <v>0</v>
          </cell>
          <cell r="J71">
            <v>0</v>
          </cell>
          <cell r="K71">
            <v>0</v>
          </cell>
        </row>
        <row r="74">
          <cell r="E74">
            <v>721</v>
          </cell>
          <cell r="F74">
            <v>36050</v>
          </cell>
          <cell r="G74">
            <v>559</v>
          </cell>
          <cell r="H74">
            <v>27950</v>
          </cell>
          <cell r="I74">
            <v>67</v>
          </cell>
          <cell r="J74">
            <v>3350</v>
          </cell>
          <cell r="K74">
            <v>67350</v>
          </cell>
          <cell r="L74" t="str">
            <v>26호표</v>
          </cell>
        </row>
        <row r="75">
          <cell r="F75">
            <v>0</v>
          </cell>
          <cell r="H75">
            <v>0</v>
          </cell>
          <cell r="J75">
            <v>0</v>
          </cell>
          <cell r="K75">
            <v>0</v>
          </cell>
        </row>
        <row r="76">
          <cell r="E76">
            <v>6939</v>
          </cell>
          <cell r="F76">
            <v>138780</v>
          </cell>
          <cell r="G76">
            <v>138786</v>
          </cell>
          <cell r="H76">
            <v>2775720</v>
          </cell>
          <cell r="I76">
            <v>0</v>
          </cell>
          <cell r="J76">
            <v>0</v>
          </cell>
          <cell r="K76">
            <v>2914500</v>
          </cell>
          <cell r="L76" t="str">
            <v>13호표</v>
          </cell>
        </row>
        <row r="77">
          <cell r="F77">
            <v>0</v>
          </cell>
          <cell r="H77">
            <v>0</v>
          </cell>
          <cell r="J77">
            <v>0</v>
          </cell>
          <cell r="K77">
            <v>0</v>
          </cell>
        </row>
        <row r="78">
          <cell r="E78">
            <v>1072</v>
          </cell>
          <cell r="F78">
            <v>21440</v>
          </cell>
          <cell r="G78">
            <v>7917</v>
          </cell>
          <cell r="H78">
            <v>158340</v>
          </cell>
          <cell r="I78">
            <v>4152</v>
          </cell>
          <cell r="J78">
            <v>83040</v>
          </cell>
          <cell r="K78">
            <v>262820</v>
          </cell>
          <cell r="L78" t="str">
            <v>12호표</v>
          </cell>
        </row>
        <row r="79">
          <cell r="F79">
            <v>0</v>
          </cell>
          <cell r="H79">
            <v>0</v>
          </cell>
          <cell r="J79">
            <v>0</v>
          </cell>
          <cell r="K79">
            <v>0</v>
          </cell>
        </row>
        <row r="80">
          <cell r="E80">
            <v>1072</v>
          </cell>
          <cell r="F80">
            <v>21440</v>
          </cell>
          <cell r="G80">
            <v>5655</v>
          </cell>
          <cell r="H80">
            <v>113100</v>
          </cell>
          <cell r="I80">
            <v>4152</v>
          </cell>
          <cell r="J80">
            <v>83040</v>
          </cell>
          <cell r="K80">
            <v>217580</v>
          </cell>
          <cell r="L80" t="str">
            <v>12-1호표</v>
          </cell>
        </row>
        <row r="81">
          <cell r="F81">
            <v>0</v>
          </cell>
          <cell r="H81">
            <v>0</v>
          </cell>
          <cell r="J81">
            <v>0</v>
          </cell>
          <cell r="K81">
            <v>0</v>
          </cell>
        </row>
        <row r="82">
          <cell r="E82">
            <v>0</v>
          </cell>
          <cell r="F82">
            <v>0</v>
          </cell>
          <cell r="G82">
            <v>10763</v>
          </cell>
          <cell r="H82">
            <v>9256180</v>
          </cell>
          <cell r="I82">
            <v>0</v>
          </cell>
          <cell r="J82">
            <v>0</v>
          </cell>
          <cell r="K82">
            <v>9256180</v>
          </cell>
          <cell r="L82" t="str">
            <v>8호표</v>
          </cell>
        </row>
        <row r="83">
          <cell r="F83">
            <v>0</v>
          </cell>
          <cell r="H83">
            <v>0</v>
          </cell>
          <cell r="J83">
            <v>0</v>
          </cell>
          <cell r="K83">
            <v>0</v>
          </cell>
        </row>
        <row r="84">
          <cell r="E84">
            <v>0</v>
          </cell>
          <cell r="F84">
            <v>0</v>
          </cell>
          <cell r="G84">
            <v>12720</v>
          </cell>
          <cell r="H84">
            <v>6105600</v>
          </cell>
          <cell r="I84">
            <v>0</v>
          </cell>
          <cell r="J84">
            <v>0</v>
          </cell>
          <cell r="K84">
            <v>6105600</v>
          </cell>
          <cell r="L84" t="str">
            <v>9호표</v>
          </cell>
        </row>
        <row r="85">
          <cell r="F85">
            <v>0</v>
          </cell>
          <cell r="H85">
            <v>0</v>
          </cell>
          <cell r="J85">
            <v>0</v>
          </cell>
          <cell r="K85">
            <v>0</v>
          </cell>
        </row>
        <row r="86">
          <cell r="E86">
            <v>137</v>
          </cell>
          <cell r="F86">
            <v>24660</v>
          </cell>
          <cell r="G86">
            <v>1834</v>
          </cell>
          <cell r="H86">
            <v>330120</v>
          </cell>
          <cell r="I86">
            <v>354</v>
          </cell>
          <cell r="J86">
            <v>63720</v>
          </cell>
          <cell r="K86">
            <v>418500</v>
          </cell>
          <cell r="L86" t="str">
            <v>10호표</v>
          </cell>
        </row>
        <row r="87">
          <cell r="F87">
            <v>0</v>
          </cell>
          <cell r="H87">
            <v>0</v>
          </cell>
          <cell r="J87">
            <v>0</v>
          </cell>
          <cell r="K87">
            <v>0</v>
          </cell>
        </row>
        <row r="88">
          <cell r="E88">
            <v>137</v>
          </cell>
          <cell r="F88">
            <v>24660</v>
          </cell>
          <cell r="G88">
            <v>1310</v>
          </cell>
          <cell r="H88">
            <v>235800</v>
          </cell>
          <cell r="I88">
            <v>354</v>
          </cell>
          <cell r="J88">
            <v>63720</v>
          </cell>
          <cell r="K88">
            <v>324180</v>
          </cell>
          <cell r="L88" t="str">
            <v>10-1호표</v>
          </cell>
        </row>
        <row r="89">
          <cell r="F89">
            <v>0</v>
          </cell>
          <cell r="H89">
            <v>0</v>
          </cell>
          <cell r="J89">
            <v>0</v>
          </cell>
          <cell r="K89">
            <v>0</v>
          </cell>
        </row>
        <row r="90">
          <cell r="E90">
            <v>162</v>
          </cell>
          <cell r="F90">
            <v>19440</v>
          </cell>
          <cell r="G90">
            <v>917</v>
          </cell>
          <cell r="H90">
            <v>110040</v>
          </cell>
          <cell r="I90">
            <v>391</v>
          </cell>
          <cell r="J90">
            <v>46920</v>
          </cell>
          <cell r="K90">
            <v>176400</v>
          </cell>
          <cell r="L90" t="str">
            <v>11호표</v>
          </cell>
        </row>
        <row r="91">
          <cell r="F91">
            <v>0</v>
          </cell>
          <cell r="H91">
            <v>0</v>
          </cell>
          <cell r="J91">
            <v>0</v>
          </cell>
          <cell r="K91">
            <v>0</v>
          </cell>
        </row>
        <row r="92">
          <cell r="E92">
            <v>162</v>
          </cell>
          <cell r="F92">
            <v>19440</v>
          </cell>
          <cell r="G92">
            <v>655</v>
          </cell>
          <cell r="H92">
            <v>78600</v>
          </cell>
          <cell r="I92">
            <v>391</v>
          </cell>
          <cell r="J92">
            <v>46920</v>
          </cell>
          <cell r="K92">
            <v>144960</v>
          </cell>
          <cell r="L92" t="str">
            <v>11-1호표</v>
          </cell>
        </row>
        <row r="93">
          <cell r="F93">
            <v>0</v>
          </cell>
          <cell r="H93">
            <v>0</v>
          </cell>
          <cell r="J93">
            <v>0</v>
          </cell>
          <cell r="K93">
            <v>0</v>
          </cell>
        </row>
        <row r="94">
          <cell r="E94">
            <v>0</v>
          </cell>
          <cell r="F94">
            <v>0</v>
          </cell>
          <cell r="G94">
            <v>6959</v>
          </cell>
          <cell r="H94">
            <v>69590</v>
          </cell>
          <cell r="I94">
            <v>0</v>
          </cell>
          <cell r="J94">
            <v>0</v>
          </cell>
          <cell r="K94">
            <v>69590</v>
          </cell>
          <cell r="L94" t="str">
            <v>93호표</v>
          </cell>
        </row>
        <row r="95">
          <cell r="F95">
            <v>0</v>
          </cell>
          <cell r="H95">
            <v>0</v>
          </cell>
          <cell r="J95">
            <v>0</v>
          </cell>
          <cell r="K95">
            <v>0</v>
          </cell>
        </row>
        <row r="96">
          <cell r="E96">
            <v>0</v>
          </cell>
          <cell r="F96">
            <v>0</v>
          </cell>
          <cell r="G96">
            <v>7704</v>
          </cell>
          <cell r="H96">
            <v>77040</v>
          </cell>
          <cell r="I96">
            <v>0</v>
          </cell>
          <cell r="J96">
            <v>0</v>
          </cell>
          <cell r="K96">
            <v>77040</v>
          </cell>
          <cell r="L96" t="str">
            <v>94호표</v>
          </cell>
        </row>
        <row r="97">
          <cell r="F97">
            <v>0</v>
          </cell>
          <cell r="H97">
            <v>0</v>
          </cell>
          <cell r="J97">
            <v>0</v>
          </cell>
          <cell r="K97">
            <v>0</v>
          </cell>
        </row>
        <row r="98">
          <cell r="E98">
            <v>0</v>
          </cell>
          <cell r="F98">
            <v>0</v>
          </cell>
          <cell r="G98">
            <v>8449</v>
          </cell>
          <cell r="H98">
            <v>84490</v>
          </cell>
          <cell r="I98">
            <v>0</v>
          </cell>
          <cell r="J98">
            <v>0</v>
          </cell>
          <cell r="K98">
            <v>84490</v>
          </cell>
          <cell r="L98" t="str">
            <v>95호표</v>
          </cell>
        </row>
        <row r="99">
          <cell r="F99">
            <v>0</v>
          </cell>
          <cell r="H99">
            <v>0</v>
          </cell>
          <cell r="J99">
            <v>0</v>
          </cell>
          <cell r="K99">
            <v>0</v>
          </cell>
        </row>
        <row r="100">
          <cell r="E100">
            <v>0</v>
          </cell>
          <cell r="F100">
            <v>0</v>
          </cell>
          <cell r="G100">
            <v>11918</v>
          </cell>
          <cell r="H100">
            <v>119180</v>
          </cell>
          <cell r="I100">
            <v>0</v>
          </cell>
          <cell r="J100">
            <v>0</v>
          </cell>
          <cell r="K100">
            <v>119180</v>
          </cell>
          <cell r="L100" t="str">
            <v>96호표</v>
          </cell>
        </row>
        <row r="101">
          <cell r="F101">
            <v>0</v>
          </cell>
          <cell r="H101">
            <v>0</v>
          </cell>
          <cell r="J101">
            <v>0</v>
          </cell>
          <cell r="K101">
            <v>0</v>
          </cell>
        </row>
        <row r="102">
          <cell r="E102">
            <v>0</v>
          </cell>
          <cell r="F102">
            <v>0</v>
          </cell>
          <cell r="G102">
            <v>12959</v>
          </cell>
          <cell r="H102">
            <v>129590</v>
          </cell>
          <cell r="I102">
            <v>0</v>
          </cell>
          <cell r="J102">
            <v>0</v>
          </cell>
          <cell r="K102">
            <v>129590</v>
          </cell>
          <cell r="L102" t="str">
            <v>97호표</v>
          </cell>
        </row>
        <row r="103">
          <cell r="F103">
            <v>0</v>
          </cell>
          <cell r="H103">
            <v>0</v>
          </cell>
          <cell r="J103">
            <v>0</v>
          </cell>
          <cell r="K103">
            <v>0</v>
          </cell>
        </row>
        <row r="104">
          <cell r="E104">
            <v>0</v>
          </cell>
          <cell r="F104">
            <v>0</v>
          </cell>
          <cell r="G104">
            <v>14018</v>
          </cell>
          <cell r="H104">
            <v>140180</v>
          </cell>
          <cell r="I104">
            <v>0</v>
          </cell>
          <cell r="J104">
            <v>0</v>
          </cell>
          <cell r="K104">
            <v>140180</v>
          </cell>
          <cell r="L104" t="str">
            <v>98호표</v>
          </cell>
        </row>
        <row r="105">
          <cell r="F105">
            <v>0</v>
          </cell>
          <cell r="H105">
            <v>0</v>
          </cell>
          <cell r="J105">
            <v>0</v>
          </cell>
          <cell r="K105">
            <v>0</v>
          </cell>
        </row>
        <row r="106">
          <cell r="E106">
            <v>0</v>
          </cell>
          <cell r="F106">
            <v>0</v>
          </cell>
          <cell r="G106">
            <v>7947</v>
          </cell>
          <cell r="H106">
            <v>79470</v>
          </cell>
          <cell r="I106">
            <v>0</v>
          </cell>
          <cell r="J106">
            <v>0</v>
          </cell>
          <cell r="K106">
            <v>79470</v>
          </cell>
          <cell r="L106" t="str">
            <v>99호표</v>
          </cell>
        </row>
        <row r="107">
          <cell r="F107">
            <v>0</v>
          </cell>
          <cell r="H107">
            <v>0</v>
          </cell>
          <cell r="J107">
            <v>0</v>
          </cell>
          <cell r="K107">
            <v>0</v>
          </cell>
        </row>
        <row r="108">
          <cell r="E108">
            <v>0</v>
          </cell>
          <cell r="F108">
            <v>0</v>
          </cell>
          <cell r="G108">
            <v>8643</v>
          </cell>
          <cell r="H108">
            <v>86430</v>
          </cell>
          <cell r="I108">
            <v>0</v>
          </cell>
          <cell r="J108">
            <v>0</v>
          </cell>
          <cell r="K108">
            <v>86430</v>
          </cell>
          <cell r="L108" t="str">
            <v>100호표</v>
          </cell>
        </row>
        <row r="109">
          <cell r="F109">
            <v>0</v>
          </cell>
          <cell r="H109">
            <v>0</v>
          </cell>
          <cell r="J109">
            <v>0</v>
          </cell>
          <cell r="K109">
            <v>0</v>
          </cell>
        </row>
        <row r="110">
          <cell r="E110">
            <v>0</v>
          </cell>
          <cell r="F110">
            <v>0</v>
          </cell>
          <cell r="G110">
            <v>9336</v>
          </cell>
          <cell r="H110">
            <v>93360</v>
          </cell>
          <cell r="I110">
            <v>0</v>
          </cell>
          <cell r="J110">
            <v>0</v>
          </cell>
          <cell r="K110">
            <v>93360</v>
          </cell>
          <cell r="L110" t="str">
            <v>101호표</v>
          </cell>
        </row>
        <row r="111">
          <cell r="F111">
            <v>0</v>
          </cell>
          <cell r="H111">
            <v>0</v>
          </cell>
          <cell r="J111">
            <v>0</v>
          </cell>
          <cell r="K111">
            <v>0</v>
          </cell>
        </row>
        <row r="112">
          <cell r="E112">
            <v>624</v>
          </cell>
          <cell r="F112">
            <v>836160</v>
          </cell>
          <cell r="G112">
            <v>11691</v>
          </cell>
          <cell r="H112">
            <v>15665940</v>
          </cell>
          <cell r="I112">
            <v>2120</v>
          </cell>
          <cell r="J112">
            <v>2840800</v>
          </cell>
          <cell r="K112">
            <v>19342900</v>
          </cell>
          <cell r="L112" t="str">
            <v>16호표</v>
          </cell>
        </row>
        <row r="113">
          <cell r="F113">
            <v>0</v>
          </cell>
          <cell r="H113">
            <v>0</v>
          </cell>
          <cell r="J113">
            <v>0</v>
          </cell>
          <cell r="K113">
            <v>0</v>
          </cell>
        </row>
        <row r="114">
          <cell r="E114">
            <v>798</v>
          </cell>
          <cell r="F114">
            <v>143640</v>
          </cell>
          <cell r="G114">
            <v>4904</v>
          </cell>
          <cell r="H114">
            <v>882720</v>
          </cell>
          <cell r="I114">
            <v>1662</v>
          </cell>
          <cell r="J114">
            <v>299160</v>
          </cell>
          <cell r="K114">
            <v>1325520</v>
          </cell>
          <cell r="L114" t="str">
            <v>17호표</v>
          </cell>
        </row>
        <row r="115">
          <cell r="F115">
            <v>0</v>
          </cell>
          <cell r="H115">
            <v>0</v>
          </cell>
          <cell r="J115">
            <v>0</v>
          </cell>
          <cell r="K115">
            <v>0</v>
          </cell>
        </row>
        <row r="116">
          <cell r="E116">
            <v>798</v>
          </cell>
          <cell r="F116">
            <v>143640</v>
          </cell>
          <cell r="G116">
            <v>3503</v>
          </cell>
          <cell r="H116">
            <v>630540</v>
          </cell>
          <cell r="I116">
            <v>1662</v>
          </cell>
          <cell r="J116">
            <v>299160</v>
          </cell>
          <cell r="K116">
            <v>1073340</v>
          </cell>
          <cell r="L116" t="str">
            <v>17-1호표</v>
          </cell>
        </row>
        <row r="117">
          <cell r="F117">
            <v>0</v>
          </cell>
          <cell r="H117">
            <v>0</v>
          </cell>
          <cell r="J117">
            <v>0</v>
          </cell>
          <cell r="K117">
            <v>0</v>
          </cell>
        </row>
        <row r="118">
          <cell r="E118">
            <v>5691</v>
          </cell>
          <cell r="F118">
            <v>682920</v>
          </cell>
          <cell r="G118">
            <v>7959</v>
          </cell>
          <cell r="H118">
            <v>955080</v>
          </cell>
          <cell r="I118">
            <v>7327</v>
          </cell>
          <cell r="J118">
            <v>879240</v>
          </cell>
          <cell r="K118">
            <v>2517240</v>
          </cell>
          <cell r="L118" t="str">
            <v>18호표</v>
          </cell>
        </row>
        <row r="119">
          <cell r="F119">
            <v>0</v>
          </cell>
          <cell r="H119">
            <v>0</v>
          </cell>
          <cell r="J119">
            <v>0</v>
          </cell>
          <cell r="K119">
            <v>0</v>
          </cell>
        </row>
        <row r="120">
          <cell r="E120">
            <v>5691</v>
          </cell>
          <cell r="F120">
            <v>682920</v>
          </cell>
          <cell r="G120">
            <v>5685</v>
          </cell>
          <cell r="H120">
            <v>682200</v>
          </cell>
          <cell r="I120">
            <v>7327</v>
          </cell>
          <cell r="J120">
            <v>879240</v>
          </cell>
          <cell r="K120">
            <v>2244360</v>
          </cell>
          <cell r="L120" t="str">
            <v>18-1호표</v>
          </cell>
        </row>
        <row r="121">
          <cell r="F121">
            <v>0</v>
          </cell>
          <cell r="H121">
            <v>0</v>
          </cell>
          <cell r="J121">
            <v>0</v>
          </cell>
          <cell r="K121">
            <v>0</v>
          </cell>
        </row>
        <row r="122">
          <cell r="E122">
            <v>5844</v>
          </cell>
          <cell r="F122">
            <v>9934800</v>
          </cell>
          <cell r="G122">
            <v>5502</v>
          </cell>
          <cell r="H122">
            <v>9353400</v>
          </cell>
          <cell r="I122">
            <v>7028</v>
          </cell>
          <cell r="J122">
            <v>11947600</v>
          </cell>
          <cell r="K122">
            <v>31235800</v>
          </cell>
          <cell r="L122" t="str">
            <v>19호표</v>
          </cell>
        </row>
        <row r="123">
          <cell r="F123">
            <v>0</v>
          </cell>
          <cell r="H123">
            <v>0</v>
          </cell>
          <cell r="J123">
            <v>0</v>
          </cell>
          <cell r="K123">
            <v>0</v>
          </cell>
        </row>
        <row r="124">
          <cell r="F124">
            <v>12729990</v>
          </cell>
          <cell r="H124">
            <v>48240660</v>
          </cell>
          <cell r="J124">
            <v>17535910</v>
          </cell>
          <cell r="K124">
            <v>78506560</v>
          </cell>
        </row>
        <row r="125">
          <cell r="K125">
            <v>0</v>
          </cell>
        </row>
        <row r="128">
          <cell r="E128">
            <v>1405</v>
          </cell>
          <cell r="F128">
            <v>49175</v>
          </cell>
          <cell r="G128">
            <v>28016</v>
          </cell>
          <cell r="H128">
            <v>980560</v>
          </cell>
          <cell r="I128">
            <v>965</v>
          </cell>
          <cell r="J128">
            <v>33775</v>
          </cell>
          <cell r="K128">
            <v>1063510</v>
          </cell>
          <cell r="L128" t="str">
            <v>28호표</v>
          </cell>
        </row>
        <row r="129">
          <cell r="F129">
            <v>0</v>
          </cell>
          <cell r="H129">
            <v>0</v>
          </cell>
          <cell r="J129">
            <v>0</v>
          </cell>
          <cell r="K129">
            <v>0</v>
          </cell>
        </row>
        <row r="130">
          <cell r="E130">
            <v>1460</v>
          </cell>
          <cell r="F130">
            <v>23360</v>
          </cell>
          <cell r="G130">
            <v>18677</v>
          </cell>
          <cell r="H130">
            <v>298832</v>
          </cell>
          <cell r="I130">
            <v>635</v>
          </cell>
          <cell r="J130">
            <v>10160</v>
          </cell>
          <cell r="K130">
            <v>332352</v>
          </cell>
          <cell r="L130" t="str">
            <v>29호표</v>
          </cell>
        </row>
        <row r="131">
          <cell r="F131">
            <v>0</v>
          </cell>
          <cell r="H131">
            <v>0</v>
          </cell>
          <cell r="J131">
            <v>0</v>
          </cell>
          <cell r="K131">
            <v>0</v>
          </cell>
        </row>
        <row r="132">
          <cell r="E132">
            <v>1458</v>
          </cell>
          <cell r="F132">
            <v>17496</v>
          </cell>
          <cell r="G132">
            <v>24362</v>
          </cell>
          <cell r="H132">
            <v>292344</v>
          </cell>
          <cell r="I132">
            <v>3626</v>
          </cell>
          <cell r="J132">
            <v>43512</v>
          </cell>
          <cell r="K132">
            <v>353352</v>
          </cell>
          <cell r="L132" t="str">
            <v>30호표</v>
          </cell>
        </row>
        <row r="133">
          <cell r="F133">
            <v>0</v>
          </cell>
          <cell r="H133">
            <v>0</v>
          </cell>
          <cell r="J133">
            <v>0</v>
          </cell>
          <cell r="K133">
            <v>0</v>
          </cell>
        </row>
        <row r="134">
          <cell r="E134">
            <v>1458</v>
          </cell>
          <cell r="F134">
            <v>8748</v>
          </cell>
          <cell r="G134">
            <v>17402</v>
          </cell>
          <cell r="H134">
            <v>104412</v>
          </cell>
          <cell r="I134">
            <v>3626</v>
          </cell>
          <cell r="J134">
            <v>21756</v>
          </cell>
          <cell r="K134">
            <v>134916</v>
          </cell>
          <cell r="L134" t="str">
            <v>30-1호표</v>
          </cell>
        </row>
        <row r="135">
          <cell r="F135">
            <v>0</v>
          </cell>
          <cell r="H135">
            <v>0</v>
          </cell>
          <cell r="J135">
            <v>0</v>
          </cell>
          <cell r="K135">
            <v>0</v>
          </cell>
        </row>
        <row r="136">
          <cell r="E136">
            <v>3127</v>
          </cell>
          <cell r="F136">
            <v>12508</v>
          </cell>
          <cell r="G136">
            <v>176717</v>
          </cell>
          <cell r="H136">
            <v>706868</v>
          </cell>
          <cell r="I136">
            <v>294718</v>
          </cell>
          <cell r="J136">
            <v>1178872</v>
          </cell>
          <cell r="K136">
            <v>1898248</v>
          </cell>
          <cell r="L136" t="str">
            <v>32호표</v>
          </cell>
        </row>
        <row r="137">
          <cell r="F137">
            <v>0</v>
          </cell>
          <cell r="H137">
            <v>0</v>
          </cell>
          <cell r="J137">
            <v>0</v>
          </cell>
          <cell r="K137">
            <v>0</v>
          </cell>
        </row>
        <row r="138">
          <cell r="E138">
            <v>3179</v>
          </cell>
          <cell r="F138">
            <v>6358</v>
          </cell>
          <cell r="G138">
            <v>178749</v>
          </cell>
          <cell r="H138">
            <v>357498</v>
          </cell>
          <cell r="I138">
            <v>151963</v>
          </cell>
          <cell r="J138">
            <v>303926</v>
          </cell>
          <cell r="K138">
            <v>667782</v>
          </cell>
          <cell r="L138" t="str">
            <v>33호표</v>
          </cell>
        </row>
        <row r="139">
          <cell r="F139">
            <v>0</v>
          </cell>
          <cell r="H139">
            <v>0</v>
          </cell>
          <cell r="J139">
            <v>0</v>
          </cell>
          <cell r="K139">
            <v>0</v>
          </cell>
        </row>
        <row r="140">
          <cell r="E140">
            <v>3179</v>
          </cell>
          <cell r="F140">
            <v>3179</v>
          </cell>
          <cell r="G140">
            <v>127678</v>
          </cell>
          <cell r="H140">
            <v>127678</v>
          </cell>
          <cell r="I140">
            <v>151963</v>
          </cell>
          <cell r="J140">
            <v>151963</v>
          </cell>
          <cell r="K140">
            <v>282820</v>
          </cell>
          <cell r="L140" t="str">
            <v>33-1호표</v>
          </cell>
        </row>
        <row r="141">
          <cell r="F141">
            <v>0</v>
          </cell>
          <cell r="H141">
            <v>0</v>
          </cell>
          <cell r="J141">
            <v>0</v>
          </cell>
          <cell r="K141">
            <v>0</v>
          </cell>
        </row>
        <row r="142">
          <cell r="E142">
            <v>4431</v>
          </cell>
          <cell r="F142">
            <v>159516</v>
          </cell>
          <cell r="G142">
            <v>258186</v>
          </cell>
          <cell r="H142">
            <v>9294696</v>
          </cell>
          <cell r="I142">
            <v>441837</v>
          </cell>
          <cell r="J142">
            <v>15906132</v>
          </cell>
          <cell r="K142">
            <v>25360344</v>
          </cell>
          <cell r="L142" t="str">
            <v>34호표</v>
          </cell>
        </row>
        <row r="143">
          <cell r="F143">
            <v>0</v>
          </cell>
          <cell r="H143">
            <v>0</v>
          </cell>
          <cell r="J143">
            <v>0</v>
          </cell>
          <cell r="K143">
            <v>0</v>
          </cell>
        </row>
        <row r="144">
          <cell r="E144">
            <v>4340</v>
          </cell>
          <cell r="F144">
            <v>26040</v>
          </cell>
          <cell r="G144">
            <v>260960</v>
          </cell>
          <cell r="H144">
            <v>1565760</v>
          </cell>
          <cell r="I144">
            <v>226877</v>
          </cell>
          <cell r="J144">
            <v>1361262</v>
          </cell>
          <cell r="K144">
            <v>2953062</v>
          </cell>
          <cell r="L144" t="str">
            <v>35호표</v>
          </cell>
        </row>
        <row r="145">
          <cell r="F145">
            <v>0</v>
          </cell>
          <cell r="H145">
            <v>0</v>
          </cell>
          <cell r="J145">
            <v>0</v>
          </cell>
          <cell r="K145">
            <v>0</v>
          </cell>
        </row>
        <row r="146">
          <cell r="E146">
            <v>4340</v>
          </cell>
          <cell r="F146">
            <v>26040</v>
          </cell>
          <cell r="G146">
            <v>186400</v>
          </cell>
          <cell r="H146">
            <v>1118400</v>
          </cell>
          <cell r="I146">
            <v>226877</v>
          </cell>
          <cell r="J146">
            <v>1361262</v>
          </cell>
          <cell r="K146">
            <v>2505702</v>
          </cell>
          <cell r="L146" t="str">
            <v>35-1호표</v>
          </cell>
        </row>
        <row r="147">
          <cell r="F147">
            <v>0</v>
          </cell>
          <cell r="H147">
            <v>0</v>
          </cell>
          <cell r="J147">
            <v>0</v>
          </cell>
          <cell r="K147">
            <v>0</v>
          </cell>
        </row>
        <row r="148">
          <cell r="E148">
            <v>5381</v>
          </cell>
          <cell r="F148">
            <v>32286</v>
          </cell>
          <cell r="G148">
            <v>336047</v>
          </cell>
          <cell r="H148">
            <v>2016282</v>
          </cell>
          <cell r="I148">
            <v>588837</v>
          </cell>
          <cell r="J148">
            <v>3533022</v>
          </cell>
          <cell r="K148">
            <v>5581590</v>
          </cell>
          <cell r="L148" t="str">
            <v>36호표</v>
          </cell>
        </row>
        <row r="149">
          <cell r="F149">
            <v>0</v>
          </cell>
          <cell r="H149">
            <v>0</v>
          </cell>
          <cell r="J149">
            <v>0</v>
          </cell>
          <cell r="K149">
            <v>0</v>
          </cell>
        </row>
        <row r="150">
          <cell r="E150">
            <v>6624</v>
          </cell>
          <cell r="F150">
            <v>19872</v>
          </cell>
          <cell r="G150">
            <v>361929</v>
          </cell>
          <cell r="H150">
            <v>1085787</v>
          </cell>
          <cell r="I150">
            <v>304585</v>
          </cell>
          <cell r="J150">
            <v>913755</v>
          </cell>
          <cell r="K150">
            <v>2019414</v>
          </cell>
          <cell r="L150" t="str">
            <v>37호표</v>
          </cell>
        </row>
        <row r="151">
          <cell r="F151">
            <v>0</v>
          </cell>
          <cell r="H151">
            <v>0</v>
          </cell>
          <cell r="J151">
            <v>0</v>
          </cell>
          <cell r="K151">
            <v>0</v>
          </cell>
        </row>
        <row r="152">
          <cell r="E152">
            <v>6624</v>
          </cell>
          <cell r="F152">
            <v>19872</v>
          </cell>
          <cell r="G152">
            <v>258521</v>
          </cell>
          <cell r="H152">
            <v>775563</v>
          </cell>
          <cell r="I152">
            <v>304585</v>
          </cell>
          <cell r="J152">
            <v>913755</v>
          </cell>
          <cell r="K152">
            <v>1709190</v>
          </cell>
          <cell r="L152" t="str">
            <v>37-1호표</v>
          </cell>
        </row>
        <row r="153">
          <cell r="F153">
            <v>0</v>
          </cell>
          <cell r="H153">
            <v>0</v>
          </cell>
          <cell r="J153">
            <v>0</v>
          </cell>
          <cell r="K153">
            <v>0</v>
          </cell>
        </row>
        <row r="154">
          <cell r="E154">
            <v>204800</v>
          </cell>
          <cell r="F154">
            <v>204800</v>
          </cell>
          <cell r="G154">
            <v>4294788</v>
          </cell>
          <cell r="H154">
            <v>4294788</v>
          </cell>
          <cell r="I154">
            <v>459680</v>
          </cell>
          <cell r="J154">
            <v>459680</v>
          </cell>
          <cell r="K154">
            <v>4959268</v>
          </cell>
          <cell r="L154" t="str">
            <v>56호표</v>
          </cell>
        </row>
        <row r="155">
          <cell r="F155">
            <v>0</v>
          </cell>
          <cell r="H155">
            <v>0</v>
          </cell>
          <cell r="J155">
            <v>0</v>
          </cell>
          <cell r="K155">
            <v>0</v>
          </cell>
        </row>
        <row r="156">
          <cell r="E156">
            <v>204800</v>
          </cell>
          <cell r="F156">
            <v>1024000</v>
          </cell>
          <cell r="G156">
            <v>2970640</v>
          </cell>
          <cell r="H156">
            <v>14853200</v>
          </cell>
          <cell r="I156">
            <v>459680</v>
          </cell>
          <cell r="J156">
            <v>2298400</v>
          </cell>
          <cell r="K156">
            <v>18175600</v>
          </cell>
          <cell r="L156" t="str">
            <v>57호표</v>
          </cell>
        </row>
        <row r="157">
          <cell r="F157">
            <v>0</v>
          </cell>
          <cell r="H157">
            <v>0</v>
          </cell>
          <cell r="J157">
            <v>0</v>
          </cell>
          <cell r="K157">
            <v>0</v>
          </cell>
        </row>
        <row r="158">
          <cell r="E158">
            <v>0</v>
          </cell>
          <cell r="F158">
            <v>0</v>
          </cell>
          <cell r="G158">
            <v>631016</v>
          </cell>
          <cell r="H158">
            <v>1893048</v>
          </cell>
          <cell r="I158">
            <v>0</v>
          </cell>
          <cell r="J158">
            <v>0</v>
          </cell>
          <cell r="K158">
            <v>1893048</v>
          </cell>
          <cell r="L158" t="str">
            <v>58호표</v>
          </cell>
        </row>
        <row r="159">
          <cell r="F159">
            <v>0</v>
          </cell>
          <cell r="H159">
            <v>0</v>
          </cell>
          <cell r="J159">
            <v>0</v>
          </cell>
          <cell r="K159">
            <v>0</v>
          </cell>
        </row>
        <row r="160">
          <cell r="E160">
            <v>0</v>
          </cell>
          <cell r="F160">
            <v>0</v>
          </cell>
          <cell r="G160">
            <v>450726</v>
          </cell>
          <cell r="H160">
            <v>1352178</v>
          </cell>
          <cell r="I160">
            <v>0</v>
          </cell>
          <cell r="J160">
            <v>0</v>
          </cell>
          <cell r="K160">
            <v>1352178</v>
          </cell>
          <cell r="L160" t="str">
            <v>58-1호표</v>
          </cell>
        </row>
        <row r="161">
          <cell r="F161">
            <v>0</v>
          </cell>
          <cell r="H161">
            <v>0</v>
          </cell>
          <cell r="J161">
            <v>0</v>
          </cell>
          <cell r="K161">
            <v>0</v>
          </cell>
        </row>
        <row r="162">
          <cell r="E162">
            <v>153600</v>
          </cell>
          <cell r="F162">
            <v>2304000</v>
          </cell>
          <cell r="G162">
            <v>3221090</v>
          </cell>
          <cell r="H162">
            <v>48316350</v>
          </cell>
          <cell r="I162">
            <v>344760</v>
          </cell>
          <cell r="J162">
            <v>5171400</v>
          </cell>
          <cell r="K162">
            <v>55791750</v>
          </cell>
          <cell r="L162" t="str">
            <v>53호표</v>
          </cell>
        </row>
        <row r="163">
          <cell r="F163">
            <v>0</v>
          </cell>
          <cell r="H163">
            <v>0</v>
          </cell>
          <cell r="J163">
            <v>0</v>
          </cell>
          <cell r="K163">
            <v>0</v>
          </cell>
        </row>
        <row r="164">
          <cell r="E164">
            <v>153600</v>
          </cell>
          <cell r="F164">
            <v>3225600</v>
          </cell>
          <cell r="G164">
            <v>2227979</v>
          </cell>
          <cell r="H164">
            <v>46787559</v>
          </cell>
          <cell r="I164">
            <v>344760</v>
          </cell>
          <cell r="J164">
            <v>7239960</v>
          </cell>
          <cell r="K164">
            <v>57253119</v>
          </cell>
          <cell r="L164" t="str">
            <v>54호표</v>
          </cell>
        </row>
        <row r="165">
          <cell r="F165">
            <v>0</v>
          </cell>
          <cell r="H165">
            <v>0</v>
          </cell>
          <cell r="J165">
            <v>0</v>
          </cell>
          <cell r="K165">
            <v>0</v>
          </cell>
        </row>
        <row r="166">
          <cell r="E166">
            <v>0</v>
          </cell>
          <cell r="F166">
            <v>0</v>
          </cell>
          <cell r="G166">
            <v>473261</v>
          </cell>
          <cell r="H166">
            <v>2839566</v>
          </cell>
          <cell r="I166">
            <v>0</v>
          </cell>
          <cell r="J166">
            <v>0</v>
          </cell>
          <cell r="K166">
            <v>2839566</v>
          </cell>
          <cell r="L166" t="str">
            <v>55호표</v>
          </cell>
        </row>
        <row r="167">
          <cell r="F167">
            <v>0</v>
          </cell>
          <cell r="H167">
            <v>0</v>
          </cell>
          <cell r="J167">
            <v>0</v>
          </cell>
          <cell r="K167">
            <v>0</v>
          </cell>
        </row>
        <row r="168">
          <cell r="E168">
            <v>0</v>
          </cell>
          <cell r="F168">
            <v>0</v>
          </cell>
          <cell r="G168">
            <v>338044</v>
          </cell>
          <cell r="H168">
            <v>2028264</v>
          </cell>
          <cell r="I168">
            <v>0</v>
          </cell>
          <cell r="J168">
            <v>0</v>
          </cell>
          <cell r="K168">
            <v>2028264</v>
          </cell>
          <cell r="L168" t="str">
            <v>55-1호표</v>
          </cell>
        </row>
        <row r="169">
          <cell r="F169">
            <v>0</v>
          </cell>
          <cell r="H169">
            <v>0</v>
          </cell>
          <cell r="J169">
            <v>0</v>
          </cell>
          <cell r="K169">
            <v>0</v>
          </cell>
        </row>
        <row r="170">
          <cell r="E170">
            <v>102400</v>
          </cell>
          <cell r="F170">
            <v>102400</v>
          </cell>
          <cell r="G170">
            <v>2147392</v>
          </cell>
          <cell r="H170">
            <v>2147392</v>
          </cell>
          <cell r="I170">
            <v>229840</v>
          </cell>
          <cell r="J170">
            <v>229840</v>
          </cell>
          <cell r="K170">
            <v>2479632</v>
          </cell>
          <cell r="L170" t="str">
            <v>52호표</v>
          </cell>
        </row>
        <row r="171">
          <cell r="F171">
            <v>0</v>
          </cell>
          <cell r="H171">
            <v>0</v>
          </cell>
          <cell r="J171">
            <v>0</v>
          </cell>
          <cell r="K171">
            <v>0</v>
          </cell>
        </row>
        <row r="172">
          <cell r="E172">
            <v>54176</v>
          </cell>
          <cell r="F172">
            <v>54176</v>
          </cell>
          <cell r="G172">
            <v>507522</v>
          </cell>
          <cell r="H172">
            <v>507522</v>
          </cell>
          <cell r="I172">
            <v>44448</v>
          </cell>
          <cell r="J172">
            <v>44448</v>
          </cell>
          <cell r="K172">
            <v>606146</v>
          </cell>
          <cell r="L172" t="str">
            <v>59호표</v>
          </cell>
        </row>
        <row r="173">
          <cell r="F173">
            <v>0</v>
          </cell>
          <cell r="H173">
            <v>0</v>
          </cell>
          <cell r="J173">
            <v>0</v>
          </cell>
          <cell r="K173">
            <v>0</v>
          </cell>
        </row>
        <row r="174">
          <cell r="E174">
            <v>0</v>
          </cell>
          <cell r="F174">
            <v>0</v>
          </cell>
          <cell r="G174">
            <v>114975</v>
          </cell>
          <cell r="H174">
            <v>114975</v>
          </cell>
          <cell r="I174">
            <v>0</v>
          </cell>
          <cell r="J174">
            <v>0</v>
          </cell>
          <cell r="K174">
            <v>114975</v>
          </cell>
          <cell r="L174" t="str">
            <v>60호표</v>
          </cell>
        </row>
        <row r="175">
          <cell r="F175">
            <v>0</v>
          </cell>
          <cell r="H175">
            <v>0</v>
          </cell>
          <cell r="J175">
            <v>0</v>
          </cell>
          <cell r="K175">
            <v>0</v>
          </cell>
        </row>
        <row r="176">
          <cell r="E176">
            <v>64156</v>
          </cell>
          <cell r="F176">
            <v>320780</v>
          </cell>
          <cell r="G176">
            <v>689137</v>
          </cell>
          <cell r="H176">
            <v>3445685</v>
          </cell>
          <cell r="I176">
            <v>45837</v>
          </cell>
          <cell r="J176">
            <v>229185</v>
          </cell>
          <cell r="K176">
            <v>3995650</v>
          </cell>
          <cell r="L176" t="str">
            <v>61호표</v>
          </cell>
        </row>
        <row r="177">
          <cell r="F177">
            <v>0</v>
          </cell>
          <cell r="H177">
            <v>0</v>
          </cell>
          <cell r="J177">
            <v>0</v>
          </cell>
          <cell r="K177">
            <v>0</v>
          </cell>
        </row>
        <row r="178">
          <cell r="E178">
            <v>0</v>
          </cell>
          <cell r="F178">
            <v>0</v>
          </cell>
          <cell r="G178">
            <v>225058</v>
          </cell>
          <cell r="H178">
            <v>1125290</v>
          </cell>
          <cell r="I178">
            <v>0</v>
          </cell>
          <cell r="J178">
            <v>0</v>
          </cell>
          <cell r="K178">
            <v>1125290</v>
          </cell>
          <cell r="L178" t="str">
            <v>62호표</v>
          </cell>
        </row>
        <row r="179">
          <cell r="F179">
            <v>0</v>
          </cell>
          <cell r="H179">
            <v>0</v>
          </cell>
          <cell r="J179">
            <v>0</v>
          </cell>
          <cell r="K179">
            <v>0</v>
          </cell>
        </row>
        <row r="180">
          <cell r="E180">
            <v>157573</v>
          </cell>
          <cell r="F180">
            <v>157573</v>
          </cell>
          <cell r="G180">
            <v>1523467</v>
          </cell>
          <cell r="H180">
            <v>1523467</v>
          </cell>
          <cell r="I180">
            <v>182457</v>
          </cell>
          <cell r="J180">
            <v>182457</v>
          </cell>
          <cell r="K180">
            <v>1863497</v>
          </cell>
          <cell r="L180" t="str">
            <v>63호표</v>
          </cell>
        </row>
        <row r="181">
          <cell r="F181">
            <v>0</v>
          </cell>
          <cell r="H181">
            <v>0</v>
          </cell>
          <cell r="J181">
            <v>0</v>
          </cell>
          <cell r="K181">
            <v>0</v>
          </cell>
        </row>
        <row r="182">
          <cell r="E182">
            <v>157573</v>
          </cell>
          <cell r="F182">
            <v>157573</v>
          </cell>
          <cell r="G182">
            <v>1523467</v>
          </cell>
          <cell r="H182">
            <v>1523467</v>
          </cell>
          <cell r="I182">
            <v>182457</v>
          </cell>
          <cell r="J182">
            <v>182457</v>
          </cell>
          <cell r="K182">
            <v>1863497</v>
          </cell>
          <cell r="L182" t="str">
            <v>64호표</v>
          </cell>
        </row>
        <row r="183">
          <cell r="F183">
            <v>0</v>
          </cell>
          <cell r="H183">
            <v>0</v>
          </cell>
          <cell r="J183">
            <v>0</v>
          </cell>
          <cell r="K183">
            <v>0</v>
          </cell>
        </row>
        <row r="184">
          <cell r="F184">
            <v>7955352</v>
          </cell>
          <cell r="H184">
            <v>151477431</v>
          </cell>
          <cell r="J184">
            <v>41770979</v>
          </cell>
          <cell r="K184">
            <v>201203762</v>
          </cell>
        </row>
        <row r="185">
          <cell r="K185">
            <v>0</v>
          </cell>
        </row>
        <row r="188">
          <cell r="E188">
            <v>1913</v>
          </cell>
          <cell r="F188">
            <v>19130</v>
          </cell>
          <cell r="G188">
            <v>11928</v>
          </cell>
          <cell r="H188">
            <v>119280</v>
          </cell>
          <cell r="I188">
            <v>536</v>
          </cell>
          <cell r="J188">
            <v>5360</v>
          </cell>
          <cell r="K188">
            <v>143770</v>
          </cell>
          <cell r="L188" t="str">
            <v>86호표</v>
          </cell>
        </row>
        <row r="189">
          <cell r="F189">
            <v>0</v>
          </cell>
          <cell r="H189">
            <v>0</v>
          </cell>
          <cell r="J189">
            <v>0</v>
          </cell>
          <cell r="K189">
            <v>0</v>
          </cell>
        </row>
        <row r="190">
          <cell r="E190">
            <v>2209</v>
          </cell>
          <cell r="F190">
            <v>22090</v>
          </cell>
          <cell r="G190">
            <v>13437</v>
          </cell>
          <cell r="H190">
            <v>134370</v>
          </cell>
          <cell r="I190">
            <v>714</v>
          </cell>
          <cell r="J190">
            <v>7140</v>
          </cell>
          <cell r="K190">
            <v>163600</v>
          </cell>
          <cell r="L190" t="str">
            <v>85호표</v>
          </cell>
        </row>
        <row r="191">
          <cell r="F191">
            <v>0</v>
          </cell>
          <cell r="H191">
            <v>0</v>
          </cell>
          <cell r="J191">
            <v>0</v>
          </cell>
          <cell r="K191">
            <v>0</v>
          </cell>
        </row>
        <row r="192">
          <cell r="E192">
            <v>2209</v>
          </cell>
          <cell r="F192">
            <v>22090</v>
          </cell>
          <cell r="G192">
            <v>13437</v>
          </cell>
          <cell r="H192">
            <v>134370</v>
          </cell>
          <cell r="I192">
            <v>714</v>
          </cell>
          <cell r="J192">
            <v>7140</v>
          </cell>
          <cell r="K192">
            <v>163600</v>
          </cell>
          <cell r="L192" t="str">
            <v>84호표</v>
          </cell>
        </row>
        <row r="193">
          <cell r="F193">
            <v>0</v>
          </cell>
          <cell r="H193">
            <v>0</v>
          </cell>
          <cell r="J193">
            <v>0</v>
          </cell>
          <cell r="K193">
            <v>0</v>
          </cell>
        </row>
        <row r="194">
          <cell r="E194">
            <v>2302</v>
          </cell>
          <cell r="F194">
            <v>23020</v>
          </cell>
          <cell r="G194">
            <v>16213</v>
          </cell>
          <cell r="H194">
            <v>162130</v>
          </cell>
          <cell r="I194">
            <v>915</v>
          </cell>
          <cell r="J194">
            <v>9150</v>
          </cell>
          <cell r="K194">
            <v>194300</v>
          </cell>
          <cell r="L194" t="str">
            <v>81호표</v>
          </cell>
        </row>
        <row r="195">
          <cell r="F195">
            <v>0</v>
          </cell>
          <cell r="H195">
            <v>0</v>
          </cell>
          <cell r="J195">
            <v>0</v>
          </cell>
          <cell r="K195">
            <v>0</v>
          </cell>
        </row>
        <row r="196">
          <cell r="E196">
            <v>2302</v>
          </cell>
          <cell r="F196">
            <v>23020</v>
          </cell>
          <cell r="G196">
            <v>16213</v>
          </cell>
          <cell r="H196">
            <v>162130</v>
          </cell>
          <cell r="I196">
            <v>915</v>
          </cell>
          <cell r="J196">
            <v>9150</v>
          </cell>
          <cell r="K196">
            <v>194300</v>
          </cell>
          <cell r="L196" t="str">
            <v>80호표</v>
          </cell>
        </row>
        <row r="197">
          <cell r="F197">
            <v>0</v>
          </cell>
          <cell r="H197">
            <v>0</v>
          </cell>
          <cell r="J197">
            <v>0</v>
          </cell>
          <cell r="K197">
            <v>0</v>
          </cell>
        </row>
        <row r="198">
          <cell r="E198">
            <v>2364</v>
          </cell>
          <cell r="F198">
            <v>23640</v>
          </cell>
          <cell r="G198">
            <v>25450</v>
          </cell>
          <cell r="H198">
            <v>254500</v>
          </cell>
          <cell r="I198">
            <v>1048</v>
          </cell>
          <cell r="J198">
            <v>10480</v>
          </cell>
          <cell r="K198">
            <v>288620</v>
          </cell>
          <cell r="L198" t="str">
            <v>83호표</v>
          </cell>
        </row>
        <row r="199">
          <cell r="F199">
            <v>0</v>
          </cell>
          <cell r="H199">
            <v>0</v>
          </cell>
          <cell r="J199">
            <v>0</v>
          </cell>
          <cell r="K199">
            <v>0</v>
          </cell>
        </row>
        <row r="200">
          <cell r="E200">
            <v>2364</v>
          </cell>
          <cell r="F200">
            <v>23640</v>
          </cell>
          <cell r="G200">
            <v>25450</v>
          </cell>
          <cell r="H200">
            <v>254500</v>
          </cell>
          <cell r="I200">
            <v>1048</v>
          </cell>
          <cell r="J200">
            <v>10480</v>
          </cell>
          <cell r="K200">
            <v>288620</v>
          </cell>
          <cell r="L200" t="str">
            <v>82호표</v>
          </cell>
        </row>
        <row r="201">
          <cell r="F201">
            <v>0</v>
          </cell>
          <cell r="H201">
            <v>0</v>
          </cell>
          <cell r="J201">
            <v>0</v>
          </cell>
          <cell r="K201">
            <v>0</v>
          </cell>
        </row>
        <row r="202">
          <cell r="E202">
            <v>2440</v>
          </cell>
          <cell r="F202">
            <v>24400</v>
          </cell>
          <cell r="G202">
            <v>18021</v>
          </cell>
          <cell r="H202">
            <v>180210</v>
          </cell>
          <cell r="I202">
            <v>2413</v>
          </cell>
          <cell r="J202">
            <v>24130</v>
          </cell>
          <cell r="K202">
            <v>228740</v>
          </cell>
          <cell r="L202" t="str">
            <v>87호표</v>
          </cell>
        </row>
        <row r="203">
          <cell r="F203">
            <v>0</v>
          </cell>
          <cell r="H203">
            <v>0</v>
          </cell>
          <cell r="J203">
            <v>0</v>
          </cell>
          <cell r="K203">
            <v>0</v>
          </cell>
        </row>
        <row r="204">
          <cell r="E204">
            <v>2327</v>
          </cell>
          <cell r="F204">
            <v>23270</v>
          </cell>
          <cell r="G204">
            <v>16581</v>
          </cell>
          <cell r="H204">
            <v>165810</v>
          </cell>
          <cell r="I204">
            <v>2160</v>
          </cell>
          <cell r="J204">
            <v>21600</v>
          </cell>
          <cell r="K204">
            <v>210680</v>
          </cell>
          <cell r="L204" t="str">
            <v>88호표</v>
          </cell>
        </row>
        <row r="205">
          <cell r="F205">
            <v>0</v>
          </cell>
          <cell r="H205">
            <v>0</v>
          </cell>
          <cell r="J205">
            <v>0</v>
          </cell>
          <cell r="K205">
            <v>0</v>
          </cell>
        </row>
        <row r="206">
          <cell r="E206">
            <v>5302</v>
          </cell>
          <cell r="F206">
            <v>53020</v>
          </cell>
          <cell r="G206">
            <v>28646</v>
          </cell>
          <cell r="H206">
            <v>286460</v>
          </cell>
          <cell r="I206">
            <v>3263</v>
          </cell>
          <cell r="J206">
            <v>32630</v>
          </cell>
          <cell r="K206">
            <v>372110</v>
          </cell>
          <cell r="L206" t="str">
            <v>89호표</v>
          </cell>
        </row>
        <row r="207">
          <cell r="F207">
            <v>0</v>
          </cell>
          <cell r="H207">
            <v>0</v>
          </cell>
          <cell r="J207">
            <v>0</v>
          </cell>
          <cell r="K207">
            <v>0</v>
          </cell>
        </row>
        <row r="208">
          <cell r="E208">
            <v>47569</v>
          </cell>
          <cell r="F208">
            <v>95138</v>
          </cell>
          <cell r="G208">
            <v>176560</v>
          </cell>
          <cell r="H208">
            <v>353120</v>
          </cell>
          <cell r="I208">
            <v>13901</v>
          </cell>
          <cell r="J208">
            <v>27802</v>
          </cell>
          <cell r="K208">
            <v>476060</v>
          </cell>
          <cell r="L208" t="str">
            <v>90호표</v>
          </cell>
        </row>
        <row r="209">
          <cell r="F209">
            <v>0</v>
          </cell>
          <cell r="H209">
            <v>0</v>
          </cell>
          <cell r="J209">
            <v>0</v>
          </cell>
          <cell r="K209">
            <v>0</v>
          </cell>
        </row>
        <row r="210">
          <cell r="F210">
            <v>352458</v>
          </cell>
          <cell r="H210">
            <v>2206880</v>
          </cell>
          <cell r="J210">
            <v>165062</v>
          </cell>
          <cell r="K210">
            <v>2724400</v>
          </cell>
        </row>
        <row r="211">
          <cell r="K211">
            <v>0</v>
          </cell>
        </row>
        <row r="214">
          <cell r="F214">
            <v>0</v>
          </cell>
          <cell r="H214">
            <v>0</v>
          </cell>
          <cell r="I214">
            <v>65550</v>
          </cell>
          <cell r="J214">
            <v>1966500</v>
          </cell>
          <cell r="K214">
            <v>1966500</v>
          </cell>
          <cell r="L214" t="str">
            <v>120호표</v>
          </cell>
        </row>
        <row r="215">
          <cell r="F215">
            <v>0</v>
          </cell>
          <cell r="H215">
            <v>0</v>
          </cell>
          <cell r="J215">
            <v>0</v>
          </cell>
          <cell r="K215">
            <v>0</v>
          </cell>
        </row>
        <row r="216">
          <cell r="F216">
            <v>0</v>
          </cell>
          <cell r="H216">
            <v>0</v>
          </cell>
          <cell r="I216">
            <v>39372</v>
          </cell>
          <cell r="J216">
            <v>1574880</v>
          </cell>
          <cell r="K216">
            <v>1574880</v>
          </cell>
          <cell r="L216" t="str">
            <v>121호표</v>
          </cell>
        </row>
        <row r="217">
          <cell r="F217">
            <v>0</v>
          </cell>
          <cell r="H217">
            <v>0</v>
          </cell>
          <cell r="J217">
            <v>0</v>
          </cell>
          <cell r="K217">
            <v>0</v>
          </cell>
        </row>
        <row r="218">
          <cell r="F218">
            <v>0</v>
          </cell>
          <cell r="H218">
            <v>0</v>
          </cell>
          <cell r="I218">
            <v>5500</v>
          </cell>
          <cell r="J218">
            <v>1650000</v>
          </cell>
          <cell r="K218">
            <v>1650000</v>
          </cell>
          <cell r="L218" t="str">
            <v>118호표</v>
          </cell>
        </row>
        <row r="219">
          <cell r="F219">
            <v>0</v>
          </cell>
          <cell r="H219">
            <v>0</v>
          </cell>
          <cell r="J219">
            <v>0</v>
          </cell>
          <cell r="K219">
            <v>0</v>
          </cell>
        </row>
        <row r="220">
          <cell r="E220">
            <v>0</v>
          </cell>
          <cell r="F220">
            <v>0</v>
          </cell>
          <cell r="H220">
            <v>0</v>
          </cell>
          <cell r="I220">
            <v>1397</v>
          </cell>
          <cell r="J220">
            <v>977900</v>
          </cell>
          <cell r="K220">
            <v>977900</v>
          </cell>
          <cell r="L220" t="str">
            <v>119호표</v>
          </cell>
        </row>
        <row r="221">
          <cell r="F221">
            <v>0</v>
          </cell>
          <cell r="H221">
            <v>0</v>
          </cell>
          <cell r="J221">
            <v>0</v>
          </cell>
          <cell r="K221">
            <v>0</v>
          </cell>
        </row>
        <row r="222">
          <cell r="F222">
            <v>0</v>
          </cell>
          <cell r="H222">
            <v>0</v>
          </cell>
          <cell r="I222">
            <v>130581</v>
          </cell>
          <cell r="J222">
            <v>3917430</v>
          </cell>
          <cell r="K222">
            <v>3917430</v>
          </cell>
          <cell r="L222" t="str">
            <v>114호표</v>
          </cell>
        </row>
        <row r="223">
          <cell r="F223">
            <v>0</v>
          </cell>
          <cell r="H223">
            <v>0</v>
          </cell>
          <cell r="J223">
            <v>0</v>
          </cell>
          <cell r="K223">
            <v>0</v>
          </cell>
        </row>
        <row r="224"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5791</v>
          </cell>
          <cell r="J224">
            <v>579100</v>
          </cell>
          <cell r="K224">
            <v>579100</v>
          </cell>
          <cell r="L224" t="str">
            <v>112호표</v>
          </cell>
        </row>
        <row r="225">
          <cell r="F225">
            <v>0</v>
          </cell>
          <cell r="H225">
            <v>0</v>
          </cell>
          <cell r="J225">
            <v>0</v>
          </cell>
          <cell r="K225">
            <v>0</v>
          </cell>
        </row>
        <row r="226">
          <cell r="E226">
            <v>0</v>
          </cell>
          <cell r="F226">
            <v>0</v>
          </cell>
          <cell r="G226">
            <v>59231</v>
          </cell>
          <cell r="H226">
            <v>5923100</v>
          </cell>
          <cell r="I226">
            <v>0</v>
          </cell>
          <cell r="J226">
            <v>0</v>
          </cell>
          <cell r="K226">
            <v>5923100</v>
          </cell>
          <cell r="L226" t="str">
            <v>113호표</v>
          </cell>
        </row>
        <row r="227">
          <cell r="F227">
            <v>0</v>
          </cell>
          <cell r="H227">
            <v>0</v>
          </cell>
          <cell r="J227">
            <v>0</v>
          </cell>
          <cell r="K227">
            <v>0</v>
          </cell>
        </row>
        <row r="228">
          <cell r="E228">
            <v>0</v>
          </cell>
          <cell r="F228">
            <v>0</v>
          </cell>
          <cell r="G228">
            <v>12389</v>
          </cell>
          <cell r="H228">
            <v>247780</v>
          </cell>
          <cell r="I228">
            <v>165</v>
          </cell>
          <cell r="J228">
            <v>3300</v>
          </cell>
          <cell r="K228">
            <v>251080</v>
          </cell>
          <cell r="L228" t="str">
            <v>123호표</v>
          </cell>
        </row>
        <row r="229">
          <cell r="F229">
            <v>0</v>
          </cell>
          <cell r="H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H230">
            <v>6170880</v>
          </cell>
          <cell r="J230">
            <v>10669110</v>
          </cell>
          <cell r="K230">
            <v>16839990</v>
          </cell>
        </row>
        <row r="231">
          <cell r="K231">
            <v>0</v>
          </cell>
        </row>
        <row r="232">
          <cell r="F232">
            <v>21037800</v>
          </cell>
          <cell r="H232">
            <v>208095851</v>
          </cell>
          <cell r="J232">
            <v>70141061</v>
          </cell>
          <cell r="K232">
            <v>299274712</v>
          </cell>
        </row>
        <row r="233">
          <cell r="F233">
            <v>0</v>
          </cell>
          <cell r="H233">
            <v>0</v>
          </cell>
          <cell r="J233">
            <v>0</v>
          </cell>
          <cell r="K233">
            <v>0</v>
          </cell>
        </row>
        <row r="234">
          <cell r="K234">
            <v>29133400</v>
          </cell>
        </row>
        <row r="235">
          <cell r="K235">
            <v>0</v>
          </cell>
        </row>
        <row r="236">
          <cell r="K236">
            <v>12293500</v>
          </cell>
        </row>
        <row r="237">
          <cell r="K237">
            <v>0</v>
          </cell>
        </row>
        <row r="238">
          <cell r="K238">
            <v>340701612</v>
          </cell>
        </row>
        <row r="239">
          <cell r="K239">
            <v>0</v>
          </cell>
        </row>
        <row r="240">
          <cell r="K240">
            <v>17035000</v>
          </cell>
        </row>
        <row r="241">
          <cell r="K241">
            <v>0</v>
          </cell>
        </row>
        <row r="242">
          <cell r="K242">
            <v>357736612</v>
          </cell>
        </row>
        <row r="243">
          <cell r="K243">
            <v>0</v>
          </cell>
        </row>
        <row r="244">
          <cell r="K244">
            <v>50442157</v>
          </cell>
        </row>
        <row r="245">
          <cell r="K245">
            <v>0</v>
          </cell>
        </row>
        <row r="246">
          <cell r="K246">
            <v>11987722</v>
          </cell>
        </row>
        <row r="247">
          <cell r="K247">
            <v>0</v>
          </cell>
        </row>
        <row r="248">
          <cell r="K248">
            <v>420166491</v>
          </cell>
        </row>
        <row r="249">
          <cell r="K249">
            <v>0</v>
          </cell>
        </row>
        <row r="250">
          <cell r="K250">
            <v>42016649</v>
          </cell>
        </row>
        <row r="251">
          <cell r="K251">
            <v>0</v>
          </cell>
        </row>
        <row r="252">
          <cell r="I252">
            <v>12000</v>
          </cell>
          <cell r="J252">
            <v>720000</v>
          </cell>
          <cell r="K252">
            <v>720000</v>
          </cell>
        </row>
        <row r="253">
          <cell r="J253">
            <v>0</v>
          </cell>
          <cell r="K253">
            <v>0</v>
          </cell>
        </row>
        <row r="254">
          <cell r="I254">
            <v>14470</v>
          </cell>
          <cell r="J254">
            <v>1996860</v>
          </cell>
          <cell r="K254">
            <v>1996860</v>
          </cell>
        </row>
        <row r="255">
          <cell r="J255">
            <v>0</v>
          </cell>
          <cell r="K255">
            <v>0</v>
          </cell>
        </row>
        <row r="256">
          <cell r="K256">
            <v>464900000</v>
          </cell>
        </row>
        <row r="257">
          <cell r="K257">
            <v>0</v>
          </cell>
        </row>
        <row r="258">
          <cell r="K258">
            <v>31741470</v>
          </cell>
        </row>
        <row r="259">
          <cell r="K259">
            <v>0</v>
          </cell>
        </row>
        <row r="260">
          <cell r="K260">
            <v>496641470</v>
          </cell>
        </row>
        <row r="276">
          <cell r="E276">
            <v>2035</v>
          </cell>
          <cell r="F276">
            <v>12122495</v>
          </cell>
          <cell r="K276">
            <v>12122495</v>
          </cell>
        </row>
        <row r="277">
          <cell r="F277">
            <v>0</v>
          </cell>
          <cell r="K277">
            <v>0</v>
          </cell>
        </row>
        <row r="278">
          <cell r="E278">
            <v>38240</v>
          </cell>
          <cell r="F278">
            <v>16634400</v>
          </cell>
          <cell r="K278">
            <v>16634400</v>
          </cell>
        </row>
        <row r="279">
          <cell r="F279">
            <v>0</v>
          </cell>
          <cell r="K279">
            <v>0</v>
          </cell>
        </row>
        <row r="280">
          <cell r="E280">
            <v>4950</v>
          </cell>
          <cell r="F280">
            <v>99000</v>
          </cell>
          <cell r="K280">
            <v>99000</v>
          </cell>
        </row>
        <row r="281">
          <cell r="F281">
            <v>0</v>
          </cell>
          <cell r="K281">
            <v>0</v>
          </cell>
        </row>
        <row r="282">
          <cell r="F282">
            <v>28855890</v>
          </cell>
          <cell r="K282">
            <v>28855890</v>
          </cell>
        </row>
        <row r="283">
          <cell r="F283">
            <v>0</v>
          </cell>
          <cell r="K283">
            <v>0</v>
          </cell>
        </row>
        <row r="284">
          <cell r="F284">
            <v>2885580</v>
          </cell>
          <cell r="K284">
            <v>2885580</v>
          </cell>
        </row>
        <row r="285">
          <cell r="F285">
            <v>0</v>
          </cell>
          <cell r="K285">
            <v>0</v>
          </cell>
        </row>
        <row r="286">
          <cell r="F286">
            <v>31741470</v>
          </cell>
          <cell r="K286">
            <v>31741470</v>
          </cell>
        </row>
        <row r="287">
          <cell r="F287">
            <v>0</v>
          </cell>
          <cell r="K287">
            <v>0</v>
          </cell>
        </row>
        <row r="288">
          <cell r="F288">
            <v>0</v>
          </cell>
          <cell r="H288">
            <v>0</v>
          </cell>
          <cell r="J288">
            <v>0</v>
          </cell>
          <cell r="K288">
            <v>0</v>
          </cell>
        </row>
        <row r="289">
          <cell r="F289">
            <v>0</v>
          </cell>
          <cell r="H289">
            <v>0</v>
          </cell>
          <cell r="J289">
            <v>0</v>
          </cell>
          <cell r="K289">
            <v>0</v>
          </cell>
        </row>
        <row r="290">
          <cell r="F290">
            <v>0</v>
          </cell>
          <cell r="H290">
            <v>0</v>
          </cell>
          <cell r="J290">
            <v>0</v>
          </cell>
          <cell r="K290">
            <v>0</v>
          </cell>
        </row>
        <row r="291">
          <cell r="F291">
            <v>0</v>
          </cell>
          <cell r="H291">
            <v>0</v>
          </cell>
          <cell r="J291">
            <v>0</v>
          </cell>
          <cell r="K291">
            <v>0</v>
          </cell>
        </row>
        <row r="292">
          <cell r="F292">
            <v>0</v>
          </cell>
          <cell r="H292">
            <v>0</v>
          </cell>
          <cell r="J292">
            <v>0</v>
          </cell>
          <cell r="K292">
            <v>0</v>
          </cell>
        </row>
        <row r="293">
          <cell r="F293">
            <v>0</v>
          </cell>
          <cell r="H293">
            <v>0</v>
          </cell>
          <cell r="J293">
            <v>0</v>
          </cell>
          <cell r="K293">
            <v>0</v>
          </cell>
        </row>
        <row r="294">
          <cell r="F294">
            <v>0</v>
          </cell>
          <cell r="H294">
            <v>0</v>
          </cell>
          <cell r="J294">
            <v>0</v>
          </cell>
          <cell r="K294">
            <v>0</v>
          </cell>
        </row>
        <row r="295">
          <cell r="F295">
            <v>0</v>
          </cell>
          <cell r="H295">
            <v>0</v>
          </cell>
          <cell r="J295">
            <v>0</v>
          </cell>
          <cell r="K295">
            <v>0</v>
          </cell>
        </row>
        <row r="296">
          <cell r="F296">
            <v>0</v>
          </cell>
          <cell r="H296">
            <v>0</v>
          </cell>
          <cell r="J296">
            <v>0</v>
          </cell>
          <cell r="K296">
            <v>0</v>
          </cell>
        </row>
        <row r="297">
          <cell r="F297">
            <v>0</v>
          </cell>
          <cell r="H297">
            <v>0</v>
          </cell>
          <cell r="J297">
            <v>0</v>
          </cell>
          <cell r="K297">
            <v>0</v>
          </cell>
        </row>
        <row r="298">
          <cell r="F298">
            <v>0</v>
          </cell>
          <cell r="H298">
            <v>0</v>
          </cell>
          <cell r="J298">
            <v>0</v>
          </cell>
          <cell r="K298">
            <v>0</v>
          </cell>
        </row>
        <row r="299">
          <cell r="F299">
            <v>0</v>
          </cell>
          <cell r="H299">
            <v>0</v>
          </cell>
          <cell r="J299">
            <v>0</v>
          </cell>
          <cell r="K299">
            <v>0</v>
          </cell>
        </row>
        <row r="300">
          <cell r="F300">
            <v>0</v>
          </cell>
          <cell r="H300">
            <v>0</v>
          </cell>
          <cell r="J300">
            <v>0</v>
          </cell>
          <cell r="K300">
            <v>0</v>
          </cell>
        </row>
        <row r="301">
          <cell r="F301">
            <v>0</v>
          </cell>
          <cell r="H301">
            <v>0</v>
          </cell>
          <cell r="J301">
            <v>0</v>
          </cell>
          <cell r="K301">
            <v>0</v>
          </cell>
        </row>
        <row r="302">
          <cell r="F302">
            <v>0</v>
          </cell>
          <cell r="H302">
            <v>0</v>
          </cell>
          <cell r="J302">
            <v>0</v>
          </cell>
          <cell r="K302">
            <v>0</v>
          </cell>
        </row>
        <row r="303">
          <cell r="F303">
            <v>0</v>
          </cell>
          <cell r="H303">
            <v>0</v>
          </cell>
          <cell r="J303">
            <v>0</v>
          </cell>
          <cell r="K303">
            <v>0</v>
          </cell>
        </row>
        <row r="304">
          <cell r="F304">
            <v>0</v>
          </cell>
          <cell r="H304">
            <v>0</v>
          </cell>
          <cell r="J304">
            <v>0</v>
          </cell>
          <cell r="K304">
            <v>0</v>
          </cell>
        </row>
        <row r="305">
          <cell r="F305">
            <v>0</v>
          </cell>
          <cell r="H305">
            <v>0</v>
          </cell>
          <cell r="J305">
            <v>0</v>
          </cell>
          <cell r="K305">
            <v>0</v>
          </cell>
        </row>
        <row r="306">
          <cell r="F306">
            <v>0</v>
          </cell>
          <cell r="H306">
            <v>0</v>
          </cell>
          <cell r="J306">
            <v>0</v>
          </cell>
          <cell r="K306">
            <v>0</v>
          </cell>
        </row>
        <row r="307">
          <cell r="F307">
            <v>0</v>
          </cell>
          <cell r="H307">
            <v>0</v>
          </cell>
          <cell r="J307">
            <v>0</v>
          </cell>
          <cell r="K307">
            <v>0</v>
          </cell>
        </row>
        <row r="310">
          <cell r="E310">
            <v>404</v>
          </cell>
          <cell r="F310">
            <v>106656</v>
          </cell>
          <cell r="K310">
            <v>106656</v>
          </cell>
        </row>
        <row r="311">
          <cell r="F311">
            <v>0</v>
          </cell>
          <cell r="K311">
            <v>0</v>
          </cell>
        </row>
        <row r="312">
          <cell r="E312">
            <v>463</v>
          </cell>
          <cell r="F312">
            <v>30558</v>
          </cell>
          <cell r="K312">
            <v>30558</v>
          </cell>
        </row>
        <row r="313">
          <cell r="F313">
            <v>0</v>
          </cell>
          <cell r="K313">
            <v>0</v>
          </cell>
        </row>
        <row r="314">
          <cell r="E314">
            <v>7500</v>
          </cell>
          <cell r="F314">
            <v>1237500</v>
          </cell>
          <cell r="K314">
            <v>1237500</v>
          </cell>
        </row>
        <row r="315">
          <cell r="F315">
            <v>0</v>
          </cell>
          <cell r="K315">
            <v>0</v>
          </cell>
        </row>
        <row r="316">
          <cell r="E316">
            <v>2700</v>
          </cell>
          <cell r="F316">
            <v>756000</v>
          </cell>
          <cell r="K316">
            <v>756000</v>
          </cell>
        </row>
        <row r="317">
          <cell r="F317">
            <v>0</v>
          </cell>
          <cell r="K317">
            <v>0</v>
          </cell>
        </row>
        <row r="318">
          <cell r="E318">
            <v>1518</v>
          </cell>
          <cell r="F318">
            <v>1138500</v>
          </cell>
          <cell r="K318">
            <v>1138500</v>
          </cell>
        </row>
        <row r="319">
          <cell r="F319">
            <v>0</v>
          </cell>
          <cell r="K319">
            <v>0</v>
          </cell>
        </row>
        <row r="320">
          <cell r="E320">
            <v>1381</v>
          </cell>
          <cell r="F320">
            <v>13810</v>
          </cell>
          <cell r="K320">
            <v>13810</v>
          </cell>
        </row>
        <row r="321">
          <cell r="F321">
            <v>0</v>
          </cell>
          <cell r="K321">
            <v>0</v>
          </cell>
        </row>
        <row r="322">
          <cell r="E322">
            <v>1845</v>
          </cell>
          <cell r="F322">
            <v>18450</v>
          </cell>
          <cell r="K322">
            <v>18450</v>
          </cell>
        </row>
        <row r="323">
          <cell r="F323">
            <v>0</v>
          </cell>
          <cell r="K323">
            <v>0</v>
          </cell>
        </row>
        <row r="324">
          <cell r="E324">
            <v>11500</v>
          </cell>
          <cell r="F324">
            <v>115000</v>
          </cell>
          <cell r="K324">
            <v>115000</v>
          </cell>
        </row>
        <row r="325">
          <cell r="F325">
            <v>0</v>
          </cell>
          <cell r="K325">
            <v>0</v>
          </cell>
        </row>
        <row r="326">
          <cell r="E326">
            <v>4181</v>
          </cell>
          <cell r="F326">
            <v>41810</v>
          </cell>
          <cell r="K326">
            <v>41810</v>
          </cell>
        </row>
        <row r="327">
          <cell r="F327">
            <v>0</v>
          </cell>
          <cell r="K327">
            <v>0</v>
          </cell>
        </row>
        <row r="328">
          <cell r="E328">
            <v>3277</v>
          </cell>
          <cell r="F328">
            <v>32770</v>
          </cell>
          <cell r="K328">
            <v>32770</v>
          </cell>
        </row>
        <row r="329">
          <cell r="F329">
            <v>0</v>
          </cell>
          <cell r="K329">
            <v>0</v>
          </cell>
        </row>
        <row r="330">
          <cell r="E330">
            <v>30000</v>
          </cell>
          <cell r="F330">
            <v>300000</v>
          </cell>
          <cell r="K330">
            <v>300000</v>
          </cell>
        </row>
        <row r="331">
          <cell r="F331">
            <v>0</v>
          </cell>
          <cell r="K331">
            <v>0</v>
          </cell>
        </row>
        <row r="332">
          <cell r="E332">
            <v>27000</v>
          </cell>
          <cell r="F332">
            <v>270000</v>
          </cell>
          <cell r="K332">
            <v>270000</v>
          </cell>
        </row>
        <row r="333">
          <cell r="F333">
            <v>0</v>
          </cell>
          <cell r="K333">
            <v>0</v>
          </cell>
        </row>
        <row r="334">
          <cell r="E334">
            <v>3636</v>
          </cell>
          <cell r="F334">
            <v>7864668</v>
          </cell>
          <cell r="K334">
            <v>7864668</v>
          </cell>
        </row>
        <row r="335">
          <cell r="F335">
            <v>0</v>
          </cell>
          <cell r="K335">
            <v>0</v>
          </cell>
        </row>
        <row r="336">
          <cell r="E336">
            <v>31000</v>
          </cell>
          <cell r="F336">
            <v>62000</v>
          </cell>
          <cell r="K336">
            <v>62000</v>
          </cell>
        </row>
        <row r="337">
          <cell r="F337">
            <v>0</v>
          </cell>
          <cell r="K337">
            <v>0</v>
          </cell>
        </row>
        <row r="338">
          <cell r="F338">
            <v>11987722</v>
          </cell>
          <cell r="K338">
            <v>11987722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"/>
      <sheetName val="자재 (2)"/>
      <sheetName val="(C)원내역"/>
      <sheetName val="손익분석"/>
      <sheetName val="토공사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(C)원내역"/>
      <sheetName val="토공사"/>
      <sheetName val="ACUN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A7">
            <v>59757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종단계산"/>
      <sheetName val="기둥(표지)"/>
      <sheetName val="설계기준"/>
      <sheetName val="하중계산"/>
      <sheetName val="상부빔검토(DEEP)"/>
      <sheetName val="SHOE"/>
      <sheetName val="기둥설계"/>
      <sheetName val="장단주(교축직각)"/>
      <sheetName val="장단주(교축)"/>
      <sheetName val="띠철근"/>
      <sheetName val="기초(표지)"/>
      <sheetName val="설계기준 (2)"/>
      <sheetName val="우물통슬래브"/>
      <sheetName val="우물통 OUT"/>
      <sheetName val="상부빔검토(DEEP) (2)"/>
      <sheetName val="저판설계"/>
      <sheetName val="저판하중"/>
      <sheetName val="RCUSD-BEAM 1단 "/>
      <sheetName val="지지력계수"/>
      <sheetName val="안정성검토"/>
      <sheetName val="상부빔검토"/>
      <sheetName val="COBEL"/>
      <sheetName val="접속슬래브"/>
      <sheetName val="접속슬래브(2)"/>
      <sheetName val="단가"/>
      <sheetName val="맨홀수량산출"/>
      <sheetName val="(C)원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">
    <sheetNames>
      <sheetName val="ESC증감"/>
      <sheetName val="집계표"/>
      <sheetName val="내역서"/>
      <sheetName val="단가조정"/>
      <sheetName val="97단가"/>
      <sheetName val="97대가"/>
      <sheetName val="97산출"/>
      <sheetName val="양재내역"/>
      <sheetName val="양재대가"/>
      <sheetName val="양재중기"/>
      <sheetName val="터널목록"/>
      <sheetName val="일반목록"/>
      <sheetName val="단가목록"/>
      <sheetName val="95,96목록"/>
      <sheetName val="터널대가"/>
      <sheetName val="일반대가"/>
      <sheetName val="단가산출"/>
      <sheetName val="중기목록"/>
      <sheetName val="중기산출"/>
      <sheetName val="95산출"/>
      <sheetName val="95일위"/>
      <sheetName val="96일위"/>
      <sheetName val="신규단가"/>
      <sheetName val="신규대가"/>
      <sheetName val="신규산출"/>
      <sheetName val="단가"/>
      <sheetName val="종단계산"/>
      <sheetName val="설계내역서"/>
      <sheetName val="입력시트"/>
      <sheetName val="Sheet1"/>
      <sheetName val="입력"/>
      <sheetName val="공정코드"/>
      <sheetName val="(C)원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종단계산"/>
      <sheetName val="실정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사"/>
      <sheetName val="건물부수시설공사"/>
      <sheetName val="급수시설공사"/>
      <sheetName val="구조물공사 "/>
      <sheetName val="울타리공사"/>
      <sheetName val="포장공사"/>
      <sheetName val="기타공사"/>
      <sheetName val="(C)원내역"/>
      <sheetName val="자료입력"/>
      <sheetName val="자재단가"/>
      <sheetName val="단가"/>
      <sheetName val="정렬"/>
      <sheetName val="종단계산"/>
      <sheetName val="조명율표"/>
      <sheetName val="EJ"/>
      <sheetName val="1"/>
      <sheetName val="2"/>
      <sheetName val="3"/>
      <sheetName val="4"/>
      <sheetName val="5"/>
      <sheetName val="6"/>
      <sheetName val="7"/>
      <sheetName val="8"/>
      <sheetName val="갑지"/>
      <sheetName val="토공집계표"/>
      <sheetName val="견적서"/>
      <sheetName val="노임단가"/>
      <sheetName val="구조물공사_"/>
      <sheetName val="미장"/>
      <sheetName val="2000년 공정표"/>
      <sheetName val="교각별철근수량집계표"/>
      <sheetName val="총괄-1"/>
      <sheetName val="인건비"/>
      <sheetName val="현장관리비"/>
      <sheetName val="오억미만"/>
      <sheetName val="설계명세서(선로)"/>
      <sheetName val="식생블럭단위수량"/>
      <sheetName val="내역"/>
      <sheetName val="맨홀수량산출"/>
      <sheetName val="제목"/>
      <sheetName val="노임"/>
      <sheetName val="가정급수관"/>
      <sheetName val="일위대가"/>
      <sheetName val="실행내역"/>
      <sheetName val="장비가동"/>
      <sheetName val="일위대가표"/>
      <sheetName val="포장수량집계"/>
      <sheetName val="토목(1079)"/>
      <sheetName val="2.펌프장(사급자재)"/>
      <sheetName val="교통표지판수량집계표"/>
      <sheetName val="원본"/>
      <sheetName val="내역표지"/>
      <sheetName val="설계내역서"/>
      <sheetName val="NN"/>
      <sheetName val="내역서 제출"/>
      <sheetName val="공정코드"/>
      <sheetName val="전선 및 전선관"/>
      <sheetName val="하조서"/>
      <sheetName val="Sheet1"/>
      <sheetName val="경비공통"/>
      <sheetName val="총괄내역서"/>
      <sheetName val="200"/>
      <sheetName val="부대공Ⅱ"/>
      <sheetName val="ACUNIT"/>
      <sheetName val="#REF"/>
      <sheetName val="직노"/>
      <sheetName val="터파기및재료"/>
      <sheetName val="inputdata"/>
      <sheetName val="건축"/>
      <sheetName val="단가 및 재료비"/>
      <sheetName val="설계명세서"/>
      <sheetName val="기계경비"/>
      <sheetName val="플랜트 설치"/>
      <sheetName val="SLAB&quot;1&quot;"/>
      <sheetName val="중기사용료"/>
      <sheetName val="조명시설"/>
      <sheetName val="중기"/>
      <sheetName val="일위대가목록"/>
      <sheetName val="ABUT수량-A1"/>
      <sheetName val="시설물기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공종명</v>
          </cell>
          <cell r="B1" t="str">
            <v>규격</v>
          </cell>
          <cell r="C1" t="str">
            <v>단위</v>
          </cell>
          <cell r="D1" t="str">
            <v>수량</v>
          </cell>
          <cell r="E1" t="str">
            <v>재료비</v>
          </cell>
          <cell r="G1" t="str">
            <v xml:space="preserve">  노무비</v>
          </cell>
          <cell r="I1" t="str">
            <v>합계</v>
          </cell>
          <cell r="K1" t="str">
            <v>비고</v>
          </cell>
        </row>
        <row r="2">
          <cell r="E2" t="str">
            <v>단가</v>
          </cell>
          <cell r="F2" t="str">
            <v>금액</v>
          </cell>
          <cell r="G2" t="str">
            <v>단가</v>
          </cell>
          <cell r="H2" t="str">
            <v>금액</v>
          </cell>
          <cell r="I2" t="str">
            <v>단가</v>
          </cell>
          <cell r="J2" t="str">
            <v>금액</v>
          </cell>
        </row>
        <row r="3">
          <cell r="A3" t="str">
            <v>6. 포장공사</v>
          </cell>
        </row>
        <row r="4">
          <cell r="A4" t="str">
            <v>1]아스콘포장</v>
          </cell>
        </row>
        <row r="5">
          <cell r="A5" t="str">
            <v>1)아스콘 표층포설및다짐(#78)</v>
          </cell>
          <cell r="B5" t="str">
            <v>T= 5 CM</v>
          </cell>
          <cell r="C5" t="str">
            <v>a</v>
          </cell>
          <cell r="D5">
            <v>77.760000000000005</v>
          </cell>
        </row>
        <row r="6">
          <cell r="A6" t="str">
            <v>2)아스콘 기층포설및다짐(#467)</v>
          </cell>
          <cell r="B6" t="str">
            <v>T=10 CM</v>
          </cell>
          <cell r="C6" t="str">
            <v>a</v>
          </cell>
          <cell r="D6">
            <v>76.22</v>
          </cell>
        </row>
        <row r="7">
          <cell r="A7" t="str">
            <v>3)보조기층부설및다짐</v>
          </cell>
          <cell r="B7" t="str">
            <v>T = 30 CM</v>
          </cell>
          <cell r="C7" t="str">
            <v>㎥</v>
          </cell>
          <cell r="D7">
            <v>2593.14</v>
          </cell>
        </row>
        <row r="8">
          <cell r="A8" t="str">
            <v>4)택 코 팅(RSC-4)</v>
          </cell>
          <cell r="B8" t="str">
            <v>40 L/a</v>
          </cell>
          <cell r="C8" t="str">
            <v>a</v>
          </cell>
          <cell r="D8">
            <v>77.760000000000005</v>
          </cell>
        </row>
        <row r="9">
          <cell r="A9" t="str">
            <v>5)프라임코팅(RSC-3)</v>
          </cell>
          <cell r="B9" t="str">
            <v>100 L/a</v>
          </cell>
          <cell r="C9" t="str">
            <v>a</v>
          </cell>
          <cell r="D9">
            <v>76.22</v>
          </cell>
        </row>
        <row r="10">
          <cell r="A10" t="str">
            <v>6)아 스 콘</v>
          </cell>
          <cell r="B10" t="str">
            <v>#78</v>
          </cell>
          <cell r="C10" t="str">
            <v>TON</v>
          </cell>
          <cell r="D10">
            <v>912.12</v>
          </cell>
        </row>
        <row r="11">
          <cell r="A11" t="str">
            <v>7)아 스 콘</v>
          </cell>
          <cell r="B11" t="str">
            <v>#467</v>
          </cell>
          <cell r="C11" t="str">
            <v>TON</v>
          </cell>
          <cell r="D11">
            <v>1788.14</v>
          </cell>
        </row>
        <row r="12">
          <cell r="A12" t="str">
            <v>8)아 스 팔 트</v>
          </cell>
          <cell r="B12" t="str">
            <v>유제</v>
          </cell>
          <cell r="C12" t="str">
            <v>D/L</v>
          </cell>
          <cell r="D12">
            <v>57</v>
          </cell>
        </row>
        <row r="13">
          <cell r="A13" t="str">
            <v>9)혼합골재</v>
          </cell>
          <cell r="C13" t="str">
            <v>M3</v>
          </cell>
          <cell r="D13">
            <v>2996.51</v>
          </cell>
        </row>
        <row r="14">
          <cell r="A14" t="str">
            <v>2]L형측구설치</v>
          </cell>
        </row>
        <row r="15">
          <cell r="A15" t="str">
            <v>1)L형측구(TYPE-A)</v>
          </cell>
          <cell r="B15" t="str">
            <v>200x250x1000㎜</v>
          </cell>
          <cell r="C15" t="str">
            <v>M</v>
          </cell>
          <cell r="D15">
            <v>991</v>
          </cell>
        </row>
        <row r="16">
          <cell r="A16" t="str">
            <v>2)L형측구(TYPE-B)</v>
          </cell>
          <cell r="B16" t="str">
            <v>180x200x1000㎜</v>
          </cell>
          <cell r="C16" t="str">
            <v>M</v>
          </cell>
          <cell r="D16">
            <v>1973</v>
          </cell>
        </row>
        <row r="17">
          <cell r="A17" t="str">
            <v>3)보차도경계석(화강석)</v>
          </cell>
          <cell r="B17" t="str">
            <v>200x250x1000㎜(직선)</v>
          </cell>
          <cell r="C17" t="str">
            <v>EA</v>
          </cell>
          <cell r="D17">
            <v>775</v>
          </cell>
        </row>
        <row r="18">
          <cell r="A18" t="str">
            <v>4)보차도경계석(화강석)</v>
          </cell>
          <cell r="B18" t="str">
            <v>200x250x1000㎜(곡선)</v>
          </cell>
          <cell r="C18" t="str">
            <v>EA</v>
          </cell>
          <cell r="D18">
            <v>137</v>
          </cell>
        </row>
        <row r="19">
          <cell r="A19" t="str">
            <v>5)보차도경계석(화강석)</v>
          </cell>
          <cell r="B19" t="str">
            <v>180x200x1000㎜(직선)</v>
          </cell>
          <cell r="C19" t="str">
            <v>EA</v>
          </cell>
          <cell r="D19">
            <v>1706</v>
          </cell>
        </row>
        <row r="20">
          <cell r="A20" t="str">
            <v>6)보차도경계석(화강석)</v>
          </cell>
          <cell r="B20" t="str">
            <v>180x200x1000㎜(곡선)</v>
          </cell>
          <cell r="C20" t="str">
            <v>EA</v>
          </cell>
          <cell r="D20">
            <v>176</v>
          </cell>
        </row>
        <row r="21">
          <cell r="A21" t="str">
            <v>7)경사경계석(화강석)</v>
          </cell>
          <cell r="B21" t="str">
            <v>200x250x80x1000㎜(직선)</v>
          </cell>
          <cell r="C21" t="str">
            <v>EA</v>
          </cell>
          <cell r="D21">
            <v>22</v>
          </cell>
        </row>
        <row r="22">
          <cell r="A22" t="str">
            <v>8)경사경계석(화강석)</v>
          </cell>
          <cell r="B22" t="str">
            <v>200x250x80x1000㎜(곡선)</v>
          </cell>
          <cell r="C22" t="str">
            <v>EA</v>
          </cell>
          <cell r="D22">
            <v>7</v>
          </cell>
        </row>
        <row r="23">
          <cell r="A23" t="str">
            <v>9)경사경계석(화강석)</v>
          </cell>
          <cell r="B23" t="str">
            <v>180x200x80x1000㎜(직선)</v>
          </cell>
          <cell r="C23" t="str">
            <v>EA</v>
          </cell>
          <cell r="D23">
            <v>48</v>
          </cell>
        </row>
        <row r="24">
          <cell r="A24" t="str">
            <v>10)경사경계석(화강석)</v>
          </cell>
          <cell r="B24" t="str">
            <v>180x200x80x1000㎜(곡선)</v>
          </cell>
          <cell r="C24" t="str">
            <v>EA</v>
          </cell>
          <cell r="D24">
            <v>11</v>
          </cell>
        </row>
        <row r="25">
          <cell r="A25" t="str">
            <v>11)단차경계석(화강석)</v>
          </cell>
          <cell r="B25" t="str">
            <v>200x80x1000㎜(직선)</v>
          </cell>
          <cell r="C25" t="str">
            <v>EA</v>
          </cell>
          <cell r="D25">
            <v>10</v>
          </cell>
        </row>
        <row r="26">
          <cell r="A26" t="str">
            <v>12)단차경계석(화강석)</v>
          </cell>
          <cell r="B26" t="str">
            <v>200x80x1000㎜(곡선)</v>
          </cell>
          <cell r="C26" t="str">
            <v>EA</v>
          </cell>
          <cell r="D26">
            <v>74</v>
          </cell>
        </row>
        <row r="27">
          <cell r="A27" t="str">
            <v>13)단차경계석(화강석)</v>
          </cell>
          <cell r="B27" t="str">
            <v>180x80x1000㎜(직선)</v>
          </cell>
          <cell r="C27" t="str">
            <v>EA</v>
          </cell>
          <cell r="D27">
            <v>55</v>
          </cell>
        </row>
        <row r="28">
          <cell r="A28" t="str">
            <v>14)단차경계석(화강석)</v>
          </cell>
          <cell r="B28" t="str">
            <v>180x80x1000㎜(곡선)</v>
          </cell>
          <cell r="C28" t="str">
            <v>EA</v>
          </cell>
          <cell r="D28">
            <v>41</v>
          </cell>
        </row>
        <row r="29">
          <cell r="A29" t="str">
            <v>3]칼라투수탄성콘포장</v>
          </cell>
        </row>
        <row r="30">
          <cell r="A30" t="str">
            <v>1)칼라투수탄성콘포장</v>
          </cell>
          <cell r="B30" t="str">
            <v>표층15CM</v>
          </cell>
          <cell r="C30" t="str">
            <v>㎥</v>
          </cell>
          <cell r="D30">
            <v>861.74</v>
          </cell>
        </row>
        <row r="31">
          <cell r="A31" t="str">
            <v>2)칼라투수탄성콘포장</v>
          </cell>
          <cell r="B31" t="str">
            <v>쇄석기층20CM</v>
          </cell>
          <cell r="C31" t="str">
            <v>㎥</v>
          </cell>
          <cell r="D31">
            <v>1267.97</v>
          </cell>
        </row>
        <row r="32">
          <cell r="A32" t="str">
            <v>4)칼라투수탄성콘포장</v>
          </cell>
          <cell r="B32" t="str">
            <v>필터층5CM</v>
          </cell>
          <cell r="C32" t="str">
            <v>㎥</v>
          </cell>
          <cell r="D32">
            <v>327</v>
          </cell>
        </row>
        <row r="33">
          <cell r="A33" t="str">
            <v>5)폴리머살포</v>
          </cell>
          <cell r="C33" t="str">
            <v>a</v>
          </cell>
          <cell r="D33">
            <v>57.45</v>
          </cell>
        </row>
        <row r="34">
          <cell r="A34" t="str">
            <v>6)줄눈설치</v>
          </cell>
          <cell r="C34" t="str">
            <v>a</v>
          </cell>
          <cell r="D34">
            <v>57.45</v>
          </cell>
        </row>
        <row r="35">
          <cell r="A35" t="str">
            <v>4]도로경계석설치</v>
          </cell>
        </row>
        <row r="36">
          <cell r="A36" t="str">
            <v>1)도로경계석(화강석)설치</v>
          </cell>
          <cell r="B36" t="str">
            <v>150x120x1000</v>
          </cell>
          <cell r="C36" t="str">
            <v>M</v>
          </cell>
          <cell r="D36">
            <v>1836</v>
          </cell>
        </row>
        <row r="37">
          <cell r="A37" t="str">
            <v>2)도로경계석(화강석)</v>
          </cell>
          <cell r="B37" t="str">
            <v>150x120x1000㎜(직선)</v>
          </cell>
          <cell r="C37" t="str">
            <v>EA</v>
          </cell>
          <cell r="D37">
            <v>1703</v>
          </cell>
        </row>
        <row r="38">
          <cell r="A38" t="str">
            <v>3)도로경계석(화강석)</v>
          </cell>
          <cell r="B38" t="str">
            <v>150x120x1000㎜(곡선)</v>
          </cell>
          <cell r="C38" t="str">
            <v>EA</v>
          </cell>
          <cell r="D38">
            <v>190</v>
          </cell>
        </row>
        <row r="39">
          <cell r="A39" t="str">
            <v>5]차선도색</v>
          </cell>
        </row>
        <row r="40">
          <cell r="A40" t="str">
            <v>1)차선도색(황색)</v>
          </cell>
          <cell r="B40" t="str">
            <v>상온기계식</v>
          </cell>
          <cell r="C40" t="str">
            <v>㎡</v>
          </cell>
          <cell r="D40">
            <v>204.64</v>
          </cell>
        </row>
        <row r="41">
          <cell r="A41" t="str">
            <v>2)차선도색(백색)</v>
          </cell>
          <cell r="B41" t="str">
            <v>상온기계식</v>
          </cell>
          <cell r="C41" t="str">
            <v>㎡</v>
          </cell>
          <cell r="D41">
            <v>683.25</v>
          </cell>
        </row>
        <row r="42">
          <cell r="A42" t="str">
            <v>6]보도포장(소형고압블럭)</v>
          </cell>
          <cell r="B42" t="str">
            <v>T=200</v>
          </cell>
          <cell r="C42" t="str">
            <v>㎡</v>
          </cell>
          <cell r="D42">
            <v>3253.73</v>
          </cell>
        </row>
        <row r="43">
          <cell r="A43" t="str">
            <v>7]도로표지판설치</v>
          </cell>
        </row>
        <row r="44">
          <cell r="A44" t="str">
            <v>1)도로표지판설치</v>
          </cell>
          <cell r="B44" t="str">
            <v>규제표지</v>
          </cell>
          <cell r="C44" t="str">
            <v>개소</v>
          </cell>
          <cell r="D44">
            <v>8</v>
          </cell>
        </row>
        <row r="45">
          <cell r="A45" t="str">
            <v>2)도로표지판설치</v>
          </cell>
          <cell r="B45" t="str">
            <v>주의표지</v>
          </cell>
          <cell r="C45" t="str">
            <v>개소</v>
          </cell>
          <cell r="D45">
            <v>1</v>
          </cell>
        </row>
        <row r="46">
          <cell r="A46" t="str">
            <v>3)도로표지판설치</v>
          </cell>
          <cell r="B46" t="str">
            <v>지시표지</v>
          </cell>
          <cell r="C46" t="str">
            <v>개소</v>
          </cell>
          <cell r="D46">
            <v>10</v>
          </cell>
        </row>
        <row r="47">
          <cell r="A47" t="str">
            <v>■완제품</v>
          </cell>
        </row>
        <row r="48">
          <cell r="A48" t="str">
            <v>칼라투수탄성콘</v>
          </cell>
          <cell r="B48" t="str">
            <v>10-210(녹색)</v>
          </cell>
          <cell r="C48" t="str">
            <v>M3</v>
          </cell>
          <cell r="D48">
            <v>896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포장공사"/>
      <sheetName val="자재단가"/>
      <sheetName val="(C)원내역"/>
      <sheetName val="TR-R22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1"/>
      <sheetName val="표지2"/>
      <sheetName val="산출내역서"/>
      <sheetName val="원가계산서"/>
      <sheetName val="일위대가바로가기"/>
      <sheetName val="일위대가표"/>
      <sheetName val="수량계산서 "/>
      <sheetName val="물가대비표"/>
      <sheetName val="시중노임단가"/>
      <sheetName val="도면   "/>
      <sheetName val="점검사항"/>
      <sheetName val="배움터"/>
      <sheetName val="가정급수관"/>
      <sheetName val="합천내역"/>
      <sheetName val="손익분석"/>
      <sheetName val="단가"/>
      <sheetName val="일위대가"/>
      <sheetName val="포장공사"/>
      <sheetName val="토공총괄표"/>
      <sheetName val="대조표(0108)"/>
      <sheetName val="램머"/>
      <sheetName val="품산출서"/>
      <sheetName val="인건비 "/>
      <sheetName val="전기단가조사서"/>
      <sheetName val="정렬"/>
      <sheetName val="오억미만"/>
      <sheetName val="개요"/>
      <sheetName val="인건-측정"/>
      <sheetName val="5(철거수량)"/>
      <sheetName val="CCTV"/>
      <sheetName val="하조서"/>
      <sheetName val="단가산출"/>
      <sheetName val="설계예산서"/>
      <sheetName val="공사비"/>
      <sheetName val="수벽설치(효자)"/>
      <sheetName val="경비공통"/>
      <sheetName val="3BL공동구 수량"/>
      <sheetName val="자재집계표"/>
      <sheetName val="노무비 "/>
      <sheetName val="200"/>
      <sheetName val="토목단가"/>
      <sheetName val="입찰안"/>
      <sheetName val="집계표"/>
      <sheetName val="본사업"/>
      <sheetName val="배수통관(좌)"/>
      <sheetName val="총괄"/>
      <sheetName val="설계명세서"/>
      <sheetName val="제품목록"/>
      <sheetName val="자재단가"/>
      <sheetName val="노임단가"/>
      <sheetName val="sw1"/>
      <sheetName val="내역서"/>
      <sheetName val="실행내역 (2)"/>
      <sheetName val="단가비교표_공통1"/>
      <sheetName val="통신0009"/>
      <sheetName val="기본일위"/>
      <sheetName val="준검 내역서"/>
      <sheetName val="DANGA"/>
      <sheetName val="내역표지"/>
      <sheetName val="최종견"/>
      <sheetName val="대구칠곡5전기"/>
      <sheetName val="배관배선 단가조사"/>
      <sheetName val="일위대가집계"/>
      <sheetName val="참조 (2)"/>
      <sheetName val="설계내역서"/>
      <sheetName val="갑지"/>
      <sheetName val="토공집계표"/>
      <sheetName val="총괄-1"/>
      <sheetName val="일위대가목차"/>
      <sheetName val="남양내역"/>
      <sheetName val="내역"/>
      <sheetName val="guard(mac)"/>
      <sheetName val="토목내역서 (도급단가) (2)"/>
      <sheetName val="단위일위"/>
      <sheetName val="토공사"/>
      <sheetName val="건축내역"/>
      <sheetName val="우배수"/>
      <sheetName val="전기"/>
      <sheetName val="자료입력"/>
      <sheetName val="집수정(600-700)"/>
      <sheetName val="내역서1"/>
      <sheetName val="종단계산"/>
      <sheetName val="원가서"/>
      <sheetName val="직영2"/>
      <sheetName val="NOMUBI"/>
      <sheetName val="노임"/>
      <sheetName val="공사설계서"/>
      <sheetName val="공정코드"/>
      <sheetName val="#REF"/>
      <sheetName val="9GNG운반"/>
      <sheetName val="1.취수장"/>
      <sheetName val="노무비"/>
      <sheetName val="미장"/>
      <sheetName val="조명율표"/>
      <sheetName val="I一般比"/>
      <sheetName val="내역서(중수)"/>
      <sheetName val="가시설(TYPE-A)"/>
      <sheetName val="1-1평균터파기고(1)"/>
      <sheetName val="입상내역"/>
      <sheetName val="옥외전력간선설비공사"/>
      <sheetName val="을02"/>
      <sheetName val="인원계획"/>
      <sheetName val="견적대비"/>
      <sheetName val="대림경상68억"/>
      <sheetName val="사본 - b_balju"/>
      <sheetName val="제경비"/>
      <sheetName val="콘센트신설"/>
      <sheetName val="조경일람"/>
      <sheetName val="관급"/>
      <sheetName val="약품공급2"/>
      <sheetName val="사급자재"/>
      <sheetName val="인건비"/>
      <sheetName val="설계서을"/>
      <sheetName val="기기리스트"/>
      <sheetName val="코드2"/>
      <sheetName val="수량산출서"/>
      <sheetName val="통신2005"/>
      <sheetName val="직노"/>
      <sheetName val="실행내역"/>
      <sheetName val="토적표"/>
      <sheetName val="피벗테이블데이터분석"/>
      <sheetName val="미드수량"/>
      <sheetName val="(C)원내역"/>
      <sheetName val="복갑"/>
      <sheetName val="총괄표"/>
      <sheetName val="적용토목"/>
      <sheetName val="대가목록"/>
      <sheetName val="일위대가(1)"/>
      <sheetName val="관급자재일위대가집계표"/>
      <sheetName val="지하1층"/>
      <sheetName val="N賃率-職"/>
      <sheetName val="1"/>
      <sheetName val="폐목얽기(5열)"/>
      <sheetName val="CTEMCOST"/>
      <sheetName val="부대공Ⅱ"/>
      <sheetName val="부대단위수량"/>
      <sheetName val="노임단가표"/>
      <sheetName val="단가비교"/>
      <sheetName val="990430_당초"/>
      <sheetName val="VXXXXX"/>
      <sheetName val="공사비총괄표"/>
      <sheetName val="수주추정"/>
      <sheetName val="건축"/>
      <sheetName val="견적"/>
      <sheetName val="대치판정"/>
      <sheetName val="일위집계"/>
      <sheetName val="EQUIP-H"/>
      <sheetName val="DATA"/>
      <sheetName val="데이타"/>
      <sheetName val="반응조"/>
      <sheetName val="기계경비(시간당)"/>
      <sheetName val="깨기"/>
      <sheetName val="설계명세서(선로)"/>
      <sheetName val="수량산출서 (2)"/>
      <sheetName val="설계산출표지"/>
      <sheetName val="J直材4"/>
      <sheetName val="총공사내역서"/>
      <sheetName val="__MAIN"/>
      <sheetName val="맨홀수량산출"/>
      <sheetName val="쇠(1)"/>
      <sheetName val="가격(3)"/>
      <sheetName val="산출기초"/>
      <sheetName val="케이블"/>
      <sheetName val="Sheet6"/>
      <sheetName val="집계"/>
      <sheetName val="IMPEADENCE MAP 취수장"/>
      <sheetName val="공사원가계산서 "/>
      <sheetName val="앨범표지"/>
      <sheetName val="4.1DNR기계(공법)"/>
      <sheetName val="신천3호용수로"/>
      <sheetName val="기별명세"/>
      <sheetName val="부대내역"/>
      <sheetName val="SIL98"/>
      <sheetName val="수량산출"/>
      <sheetName val="조내역"/>
      <sheetName val="사다리"/>
      <sheetName val="일위대가(가설)"/>
      <sheetName val="Sheet1 (2)"/>
      <sheetName val="예산명세서"/>
      <sheetName val="한일양산"/>
      <sheetName val="평3"/>
      <sheetName val="공사개요"/>
      <sheetName val="ABUT수량-A1"/>
      <sheetName val="세골재  T2 변경 현황"/>
      <sheetName val="산출0"/>
      <sheetName val="상세내역서"/>
      <sheetName val="#2-3 일위대가"/>
      <sheetName val="#2-4 단가대비표"/>
      <sheetName val="총(철거)"/>
      <sheetName val="총물량표"/>
      <sheetName val="계약서"/>
      <sheetName val="#3_일위대가목록"/>
      <sheetName val="#2_일위대가목록"/>
      <sheetName val="Sheet1"/>
      <sheetName val="산출내역서(전체)"/>
      <sheetName val="일위산출근거"/>
      <sheetName val="수량집계(일반통신)"/>
      <sheetName val="(암정)관급"/>
      <sheetName val="단가조사"/>
      <sheetName val="전선 및 전선관"/>
      <sheetName val="실행철강하도"/>
      <sheetName val="프랜트면허"/>
      <sheetName val="토목주소"/>
      <sheetName val="설계서"/>
      <sheetName val="15설계GIS"/>
      <sheetName val="신호등일위대가"/>
      <sheetName val="토공1차"/>
      <sheetName val="자재테이블"/>
      <sheetName val="코드일람표2001년10월"/>
      <sheetName val="부안일위"/>
      <sheetName val="AIR SHOWER_3인용_"/>
      <sheetName val="통계연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2">
          <cell r="B12">
            <v>86019</v>
          </cell>
        </row>
        <row r="14">
          <cell r="B14">
            <v>73094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표지"/>
      <sheetName val="배수공수량집계"/>
      <sheetName val="수량집계(빗물받이)"/>
      <sheetName val="빗물받이조서"/>
      <sheetName val="빗물받이"/>
      <sheetName val="빗물받이(토공)"/>
      <sheetName val="수량집계(보차도경계석)"/>
      <sheetName val="보차도경계석"/>
      <sheetName val="종단계산"/>
      <sheetName val="단가"/>
      <sheetName val="시중노임단가"/>
      <sheetName val="DATE"/>
      <sheetName val="맨홀수량산출"/>
      <sheetName val="포장공사"/>
      <sheetName val="토공총괄표"/>
      <sheetName val="우배수"/>
      <sheetName val="여주,이천(명세)"/>
      <sheetName val="수식변수"/>
      <sheetName val="2차보상토지"/>
      <sheetName val="배수공-미탄면"/>
      <sheetName val="1월"/>
      <sheetName val="안산기계장치"/>
      <sheetName val="편입용지조서"/>
      <sheetName val="Id"/>
      <sheetName val="Intro2"/>
      <sheetName val="부대내역"/>
      <sheetName val="조직표"/>
      <sheetName val="토지평가조서"/>
      <sheetName val="U형수로수량TYPE1"/>
      <sheetName val="가시설(TYPE-A)"/>
      <sheetName val="1-1평균터파기고(1)"/>
      <sheetName val="이름표"/>
      <sheetName val="Sheet17"/>
      <sheetName val="Sheet1"/>
      <sheetName val="내역서"/>
      <sheetName val="배부표"/>
      <sheetName val="교통표지판수량집계표"/>
      <sheetName val="일위대가"/>
      <sheetName val="인건비"/>
      <sheetName val="장비집계"/>
      <sheetName val="가시설수량"/>
      <sheetName val="포장재료산출"/>
      <sheetName val="광,대로단차경계석연장조서"/>
      <sheetName val="오동"/>
      <sheetName val="대조"/>
      <sheetName val="나한"/>
      <sheetName val="부하계산서"/>
      <sheetName val="DANGA"/>
      <sheetName val="판정1교토공"/>
      <sheetName val="기초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내역서"/>
      <sheetName val="물가대비"/>
      <sheetName val="총괄-표지"/>
      <sheetName val="인건-측정"/>
      <sheetName val="보차도경계석"/>
      <sheetName val="시중노임단가"/>
      <sheetName val="손익분석"/>
      <sheetName val="포장공사"/>
      <sheetName val="일위대가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여주대교-종점"/>
      <sheetName val="1.설계조건 "/>
      <sheetName val="설계기준설명 "/>
      <sheetName val="2.단면가정 (BASE)"/>
      <sheetName val="3.하중및토압(탄성,가동)"/>
      <sheetName val="3.하중및토압 (고정)"/>
      <sheetName val="4.작용하중(가동)(탄성)"/>
      <sheetName val="4.작용하중(고정)"/>
      <sheetName val="5.안정검토(가동)(탄성)(풍화암)"/>
      <sheetName val="5.안정검토(가동)(탄성)(연암)"/>
      <sheetName val="5.안정검토(고정)(풍화암)"/>
      <sheetName val="5.안정검토(고정)(연암) "/>
      <sheetName val="6.벽체계산"/>
      <sheetName val="7.흉벽(구식)"/>
      <sheetName val="7.흉벽계산(ASCON)"/>
      <sheetName val="7.흉벽계산 (CON'C)"/>
      <sheetName val="8.FOOTING"/>
      <sheetName val="9.날개벽A"/>
      <sheetName val="9.날개벽A (3)"/>
      <sheetName val="9.날개벽B"/>
      <sheetName val="9.날개벽C"/>
      <sheetName val="10.고정슈교좌면검토"/>
      <sheetName val="10.가동슈교좌면검토 "/>
      <sheetName val="10.탄성슈교좌면검토"/>
      <sheetName val="11.접속슬라브(ASCON)"/>
      <sheetName val="11.접속슬라브CON) "/>
      <sheetName val="주철근조립도"/>
      <sheetName val="Sheet1"/>
      <sheetName val="96보완계획7.12"/>
      <sheetName val="대치판정"/>
      <sheetName val="주차구획선수량"/>
      <sheetName val="SYJ-E"/>
      <sheetName val="집계표"/>
      <sheetName val="COPING"/>
      <sheetName val="sw1"/>
      <sheetName val="NOMUBI"/>
      <sheetName val="설비"/>
      <sheetName val="금호"/>
      <sheetName val="내역"/>
      <sheetName val="입찰"/>
      <sheetName val="현경"/>
      <sheetName val="인건-측정"/>
      <sheetName val="신우"/>
      <sheetName val="수량산출"/>
      <sheetName val="일위목록"/>
      <sheetName val="토공(우물통,기타) "/>
      <sheetName val="노임단가"/>
      <sheetName val="1_설계조건_"/>
      <sheetName val="설계기준설명_"/>
      <sheetName val="2_단면가정_(BASE)"/>
      <sheetName val="3_하중및토압(탄성,가동)"/>
      <sheetName val="3_하중및토압_(고정)"/>
      <sheetName val="4_작용하중(가동)(탄성)"/>
      <sheetName val="4_작용하중(고정)"/>
      <sheetName val="5_안정검토(가동)(탄성)(풍화암)"/>
      <sheetName val="5_안정검토(가동)(탄성)(연암)"/>
      <sheetName val="5_안정검토(고정)(풍화암)"/>
      <sheetName val="5_안정검토(고정)(연암)_"/>
      <sheetName val="6_벽체계산"/>
      <sheetName val="7_흉벽(구식)"/>
      <sheetName val="7_흉벽계산(ASCON)"/>
      <sheetName val="7_흉벽계산_(CON'C)"/>
      <sheetName val="8_FOOTING"/>
      <sheetName val="9_날개벽A"/>
      <sheetName val="9_날개벽A_(3)"/>
      <sheetName val="9_날개벽B"/>
      <sheetName val="9_날개벽C"/>
      <sheetName val="10_고정슈교좌면검토"/>
      <sheetName val="10_가동슈교좌면검토_"/>
      <sheetName val="10_탄성슈교좌면검토"/>
      <sheetName val="11_접속슬라브(ASCON)"/>
      <sheetName val="11_접속슬라브CON)_"/>
      <sheetName val="별표 (1)"/>
      <sheetName val="한강운반비"/>
      <sheetName val="ABUT수량-A1"/>
      <sheetName val="합천내역"/>
      <sheetName val="내역서"/>
      <sheetName val="실행철강하도"/>
      <sheetName val="코드표"/>
      <sheetName val="터파기및재료"/>
      <sheetName val="연습"/>
      <sheetName val="#REF"/>
      <sheetName val="노임"/>
      <sheetName val="영동(D)"/>
      <sheetName val="조명시설"/>
      <sheetName val="N賃率-職"/>
      <sheetName val="EJ"/>
      <sheetName val="단가목록"/>
      <sheetName val="포장공사"/>
      <sheetName val="일위"/>
      <sheetName val="보차도경계석"/>
      <sheetName val="단위수량산출"/>
      <sheetName val="일위대가목록"/>
      <sheetName val="직노"/>
      <sheetName val="시중노임단가"/>
      <sheetName val="여과지동"/>
      <sheetName val="기초자료"/>
      <sheetName val="연결임시"/>
      <sheetName val="사통"/>
      <sheetName val="2F 회의실견적(5_14 일대)"/>
      <sheetName val="시설물기초"/>
      <sheetName val="공내역"/>
      <sheetName val="총괄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인건-측정"/>
      <sheetName val="단가대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산출내역"/>
      <sheetName val="산출내역 (2)"/>
      <sheetName val="내역서 (2)"/>
      <sheetName val="공문 (2)"/>
      <sheetName val="분수관"/>
      <sheetName val="개거"/>
      <sheetName val="분"/>
      <sheetName val="분 (2)"/>
      <sheetName val="U측"/>
      <sheetName val="118"/>
      <sheetName val="구조물토공 (2)"/>
      <sheetName val="관급레미콘 (개거0)"/>
      <sheetName val="변경사유서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포장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갑지"/>
      <sheetName val="내역"/>
      <sheetName val="표지"/>
      <sheetName val="특기"/>
      <sheetName val="원가"/>
      <sheetName val="갑지 (2)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설명"/>
      <sheetName val="2공구"/>
      <sheetName val="견적서1"/>
    </sheetNames>
    <sheetDataSet>
      <sheetData sheetId="0"/>
      <sheetData sheetId="1"/>
      <sheetData sheetId="2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예산서 (2)"/>
      <sheetName val="설계 내역서 (2)"/>
      <sheetName val="공사비예산서"/>
      <sheetName val="설계 내역서"/>
      <sheetName val="품셈총괄표"/>
      <sheetName val=" 품셈"/>
      <sheetName val="장비부표총괄표"/>
      <sheetName val="부표총괄표"/>
      <sheetName val="일반부표"/>
      <sheetName val="별표총괄표"/>
      <sheetName val="별표 (2)"/>
      <sheetName val="사급자재"/>
      <sheetName val="지입자재"/>
      <sheetName val="자재수량"/>
      <sheetName val="토량총괄"/>
      <sheetName val="토적계산"/>
      <sheetName val="구조물토량"/>
      <sheetName val="우수평균깊이"/>
      <sheetName val="구조물수량산출"/>
      <sheetName val="자료"/>
      <sheetName val="단가"/>
      <sheetName val="Sheet11"/>
      <sheetName val="Sheet12"/>
      <sheetName val="Sheet13"/>
      <sheetName val="Sheet14"/>
      <sheetName val="Sheet15"/>
      <sheetName val="Sheet16"/>
      <sheetName val="일반부표총괄"/>
      <sheetName val="별 표"/>
      <sheetName val="별표총괄"/>
      <sheetName val="품셈TABLE"/>
      <sheetName val="견적 조건 변경사항"/>
      <sheetName val="단지내-공내역"/>
      <sheetName val="Sheet2"/>
      <sheetName val="Sheet3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자재단가조사표-수목"/>
      <sheetName val="NYS"/>
      <sheetName val="별표내역"/>
      <sheetName val="노임단가"/>
      <sheetName val="별표 "/>
      <sheetName val="품셈표"/>
      <sheetName val="품 셈"/>
      <sheetName val="부표"/>
      <sheetName val="부표 TABLE"/>
      <sheetName val="Sheet4"/>
      <sheetName val="Sheet5"/>
      <sheetName val="Sheet6"/>
      <sheetName val="종단계산"/>
      <sheetName val="공통가설(현장검토안)"/>
      <sheetName val="3BL공동구 수량"/>
      <sheetName val="자재집계표"/>
      <sheetName val="자료입력"/>
      <sheetName val="견적서"/>
      <sheetName val="도급"/>
      <sheetName val="총괄-1"/>
      <sheetName val="실행내역"/>
      <sheetName val="일위대가표"/>
      <sheetName val="금액내역서"/>
      <sheetName val="원가계산서(남측)"/>
      <sheetName val="토목"/>
      <sheetName val="TB-내역서"/>
      <sheetName val="PIPE(UG)내역"/>
      <sheetName val="원가계산"/>
      <sheetName val="시설물기초"/>
      <sheetName val="단가표"/>
      <sheetName val="EJ"/>
      <sheetName val="우,오수"/>
      <sheetName val="접속도로"/>
      <sheetName val="내역서"/>
      <sheetName val="일위대가"/>
      <sheetName val="간접경상비"/>
      <sheetName val="JOIN(2span)"/>
      <sheetName val="품셈"/>
      <sheetName val="값"/>
      <sheetName val="일위"/>
      <sheetName val="정부노임"/>
      <sheetName val="포장(수량)-관로부"/>
      <sheetName val="별총"/>
      <sheetName val="참조-(1)"/>
      <sheetName val="오억미만"/>
      <sheetName val="보차도경계석"/>
      <sheetName val="6-1. 관개량조서"/>
      <sheetName val="총물량"/>
      <sheetName val="부대내역"/>
      <sheetName val="부표총괄"/>
      <sheetName val="품셈1-"/>
      <sheetName val="표준단면수량(출력안함)"/>
      <sheetName val="실행"/>
      <sheetName val="중기"/>
      <sheetName val="을지"/>
      <sheetName val="플랜트 설치"/>
      <sheetName val="2000년1차"/>
      <sheetName val="AABS내역"/>
      <sheetName val="시멘트"/>
      <sheetName val="정렬"/>
      <sheetName val="접속도로1"/>
      <sheetName val="Ⅴ-2.공종별내역"/>
      <sheetName val="단중"/>
      <sheetName val="토목내역서"/>
      <sheetName val="외주비"/>
      <sheetName val="견적의뢰"/>
      <sheetName val="2.품제O호표"/>
      <sheetName val="갑지"/>
      <sheetName val="일위대가목록"/>
      <sheetName val="노임"/>
      <sheetName val="sw1"/>
      <sheetName val="NOMUBI"/>
      <sheetName val="내역"/>
      <sheetName val="소방"/>
      <sheetName val="투찰(하수)"/>
      <sheetName val="건축"/>
      <sheetName val="인건비"/>
      <sheetName val="경비_원본"/>
      <sheetName val="공사개요"/>
      <sheetName val="LIST"/>
      <sheetName val="에너지요금"/>
      <sheetName val="별표집계"/>
      <sheetName val="PUMP"/>
      <sheetName val="VENDOR LIST"/>
      <sheetName val="공통비"/>
      <sheetName val="6동"/>
      <sheetName val="프랜트면허"/>
      <sheetName val="예산M2"/>
      <sheetName val="설계예시"/>
      <sheetName val="단중표"/>
      <sheetName val="기성내역서표지"/>
      <sheetName val="00상노임"/>
      <sheetName val="우수맨홀공제단위수량"/>
      <sheetName val="토공사"/>
      <sheetName val="guard(mac)"/>
      <sheetName val="교통대책내역"/>
      <sheetName val="원가계산서"/>
      <sheetName val="일위대가표집계표"/>
      <sheetName val="#REF"/>
      <sheetName val="물량표"/>
      <sheetName val="기초일위"/>
      <sheetName val="제품별절단길이-0628"/>
      <sheetName val="절단길이-CODE4"/>
      <sheetName val="색상코드-CODE5,6,7,8"/>
      <sheetName val="일위대가목차"/>
      <sheetName val="집계"/>
      <sheetName val="Macro1"/>
      <sheetName val="정부노임단가"/>
      <sheetName val="잡설비내역"/>
      <sheetName val="DATE"/>
      <sheetName val="가시설(TYPE-A)"/>
      <sheetName val="1-1평균터파기고(1)"/>
      <sheetName val="조명시설"/>
      <sheetName val="전기"/>
      <sheetName val="기초자료입력"/>
      <sheetName val="구조물"/>
      <sheetName val="P.M 별"/>
      <sheetName val="예정공정-전체"/>
      <sheetName val="중기사용료"/>
      <sheetName val="BID"/>
      <sheetName val="대구칠곡5전기"/>
      <sheetName val="갑지(요약)"/>
      <sheetName val="목차"/>
      <sheetName val="Sheet1"/>
      <sheetName val="부대공(집계)"/>
      <sheetName val="식재일위"/>
      <sheetName val="사다리"/>
      <sheetName val="포장공사"/>
      <sheetName val="1월"/>
      <sheetName val="지질조사"/>
      <sheetName val="하수급견적대비"/>
      <sheetName val="관계주식"/>
      <sheetName val="평균터파기고(1-2,ASP)"/>
      <sheetName val="국내"/>
      <sheetName val="중소기업"/>
      <sheetName val="수량산출서"/>
      <sheetName val="원본"/>
      <sheetName val="부대공Ⅱ"/>
      <sheetName val="마감"/>
      <sheetName val="장비별표(오거보링)(Ø400)(12M)"/>
      <sheetName val="명단"/>
      <sheetName val="접속도로집계"/>
      <sheetName val="품목"/>
      <sheetName val="연습"/>
      <sheetName val="노무비"/>
      <sheetName val="분수장비시설수량"/>
      <sheetName val="산출내역서"/>
      <sheetName val="부분별수량산출(조합기초)"/>
      <sheetName val="단가 및 재료비"/>
      <sheetName val="공사내역"/>
      <sheetName val="식재수량표"/>
      <sheetName val="집계표"/>
      <sheetName val="200"/>
      <sheetName val="입고장부 (4)"/>
      <sheetName val="노임대가"/>
      <sheetName val="청주(철골발주의뢰서)"/>
      <sheetName val="정공공사"/>
      <sheetName val="자재단가"/>
      <sheetName val="평자재단가"/>
      <sheetName val="I一般比"/>
      <sheetName val="직재"/>
      <sheetName val="Customer Databas"/>
      <sheetName val="총괄표"/>
      <sheetName val="공통가설"/>
      <sheetName val="대가표(품셈)"/>
      <sheetName val="laroux"/>
      <sheetName val="전기관급내역서"/>
      <sheetName val="전기관급내역총계"/>
      <sheetName val="전기토목총괄"/>
      <sheetName val="토목내역총계"/>
      <sheetName val="전기내역총계"/>
      <sheetName val="전기내역서"/>
      <sheetName val="일위대가표-1"/>
      <sheetName val="일위대가표-2"/>
      <sheetName val="일위대가표-3"/>
      <sheetName val="일위대가표-4"/>
      <sheetName val="일위대가표-5"/>
      <sheetName val="일위대가표-4 (2)"/>
      <sheetName val="단가산출서"/>
      <sheetName val="재료비 "/>
      <sheetName val="중기총괄"/>
      <sheetName val="중기손료"/>
      <sheetName val="중기단가"/>
      <sheetName val="계수"/>
      <sheetName val="환율"/>
      <sheetName val="유류대"/>
      <sheetName val="중시노임"/>
      <sheetName val="관급내역서"/>
      <sheetName val="관급내역총계"/>
      <sheetName val="직노"/>
      <sheetName val="터파기및재료"/>
      <sheetName val="인건-측정"/>
      <sheetName val="Y-WORK"/>
      <sheetName val="내역_ver1.0"/>
      <sheetName val="골조시행"/>
      <sheetName val="설 계"/>
      <sheetName val="토공집계표"/>
      <sheetName val="지급자재"/>
      <sheetName val="기계경비(시간당)"/>
      <sheetName val="A3.공사비 검토"/>
      <sheetName val="밸브설치"/>
      <sheetName val="이자율"/>
      <sheetName val="이익영"/>
      <sheetName val="변경총괄표"/>
      <sheetName val="재공품"/>
      <sheetName val="입력자료(노무비)"/>
      <sheetName val="inputdata"/>
      <sheetName val="남양내역"/>
      <sheetName val="설계예산서"/>
      <sheetName val="품셈목록"/>
      <sheetName val="제잡비(주공종)"/>
      <sheetName val="별표 (1)"/>
      <sheetName val="잡비"/>
      <sheetName val="6호기"/>
      <sheetName val="유림골조"/>
      <sheetName val="건축공사"/>
      <sheetName val="건축직"/>
      <sheetName val="갑지(추정)"/>
      <sheetName val="원가"/>
      <sheetName val="9-1차이내역"/>
      <sheetName val="SIL98"/>
      <sheetName val="1062-X방향 "/>
      <sheetName val="세부내역"/>
      <sheetName val="전기일위대가"/>
      <sheetName val="2002상반기노임기준"/>
      <sheetName val="비탈면보호공수량산출"/>
      <sheetName val="내역조적"/>
      <sheetName val="가시설흙막이"/>
      <sheetName val="(C)원내역"/>
      <sheetName val="견적대비"/>
      <sheetName val="총괄원가계산서"/>
      <sheetName val="SLAB&quot;1&quot;"/>
      <sheetName val="SG"/>
      <sheetName val="견"/>
      <sheetName val="공사비산출내역"/>
      <sheetName val="선수금"/>
      <sheetName val="출자한도"/>
      <sheetName val="MIJIBI"/>
      <sheetName val="MOTOR"/>
      <sheetName val="조명율표"/>
      <sheetName val="AP1"/>
      <sheetName val="DATA"/>
      <sheetName val="몰탈재료산출"/>
      <sheetName val="Macro(전선)"/>
      <sheetName val="2002공임"/>
      <sheetName val="2002자재가격"/>
      <sheetName val="BOX전기내역"/>
      <sheetName val="인건비 "/>
      <sheetName val="#3_일위대가목록"/>
      <sheetName val="수량산출서 갑지"/>
      <sheetName val="101동"/>
      <sheetName val="산출(열차무선)"/>
      <sheetName val="산출(역무통신)"/>
      <sheetName val="C3.토목_옹벽"/>
      <sheetName val="A6.샤시등"/>
      <sheetName val="기본일위"/>
      <sheetName val="주차구획선수량"/>
      <sheetName val="공주방향"/>
      <sheetName val="최종견"/>
      <sheetName val="제잡비"/>
      <sheetName val="06-BATCH "/>
      <sheetName val="단위단가"/>
      <sheetName val="대로근거"/>
      <sheetName val="우배수"/>
      <sheetName val="#3E1_GCR"/>
      <sheetName val="재료"/>
      <sheetName val="자재단가비교표"/>
      <sheetName val="포장복구집계"/>
      <sheetName val="입찰"/>
      <sheetName val="현경"/>
      <sheetName val="관리,공감"/>
      <sheetName val="공정코드"/>
      <sheetName val="3.3수량집계"/>
      <sheetName val="Total"/>
      <sheetName val="1.취수장"/>
      <sheetName val="MAIN_TABLE"/>
      <sheetName val="퇴직금(울산천상)"/>
      <sheetName val="2호맨홀공제수량"/>
      <sheetName val="98지급계획"/>
      <sheetName val="철집"/>
      <sheetName val="노임단가명세표"/>
      <sheetName val="우수받이"/>
      <sheetName val="합계금액"/>
      <sheetName val="표지"/>
      <sheetName val="배수공 시멘트 및 골재량 산출"/>
      <sheetName val="견적대비표"/>
      <sheetName val="방수"/>
      <sheetName val="공사비예산서_(2)"/>
      <sheetName val="설계_내역서_(2)"/>
      <sheetName val="설계_내역서"/>
      <sheetName val="_품셈"/>
      <sheetName val="별표_(2)"/>
      <sheetName val="별_표"/>
      <sheetName val="견적_조건_변경사항"/>
      <sheetName val="3BL공동구_수량"/>
      <sheetName val="별표_"/>
      <sheetName val="품_셈"/>
      <sheetName val="부표_TABLE"/>
      <sheetName val="6-1__관개량조서"/>
      <sheetName val="플랜트_설치"/>
      <sheetName val="Ⅴ-2_공종별내역"/>
      <sheetName val="VENDOR_LIST"/>
      <sheetName val="2_품제O호표"/>
      <sheetName val="P_M_별"/>
      <sheetName val="A3_공사비_검토"/>
      <sheetName val="내역_ver1_0"/>
      <sheetName val="산출근거"/>
      <sheetName val="1F"/>
      <sheetName val="손익분석"/>
      <sheetName val="하조서"/>
      <sheetName val="빙장비사양"/>
      <sheetName val="장비사양"/>
      <sheetName val="95년12월말"/>
      <sheetName val="수량-77m)"/>
      <sheetName val="시중노임단가"/>
      <sheetName val="품셈총괄"/>
      <sheetName val="BEND LOSS"/>
      <sheetName val="감가상각"/>
      <sheetName val="품목테이블"/>
      <sheetName val="각종양식"/>
      <sheetName val="개산공사비"/>
      <sheetName val="단양 00 아파트-세부내역"/>
      <sheetName val="내역서(기성청구)"/>
      <sheetName val="4.2.1 마루높이 검토"/>
      <sheetName val="주관사업"/>
      <sheetName val="SCH"/>
      <sheetName val="-배수구조총재료"/>
      <sheetName val="전체내역"/>
      <sheetName val="관리비"/>
      <sheetName val="INPUT"/>
      <sheetName val="BD운반거리"/>
      <sheetName val="공사설명서"/>
      <sheetName val="포장단면별단위수량"/>
      <sheetName val="총공사내역서"/>
      <sheetName val="현장"/>
      <sheetName val="개요"/>
      <sheetName val="DB"/>
      <sheetName val="출력X"/>
      <sheetName val="99노임기준"/>
      <sheetName val="용소리교"/>
      <sheetName val="금융비용"/>
      <sheetName val="여과지동"/>
      <sheetName val="범용개발순소요비용"/>
      <sheetName val="품목현황"/>
      <sheetName val="경비일반이윤변경"/>
      <sheetName val="재료변경"/>
      <sheetName val="교대(A1)"/>
      <sheetName val="22인공"/>
      <sheetName val="배수통관(좌)"/>
      <sheetName val="rate"/>
      <sheetName val="설계명세서"/>
      <sheetName val="6.이토처리시간"/>
      <sheetName val="별표(1)"/>
      <sheetName val="설계명세"/>
      <sheetName val="공예을"/>
      <sheetName val="설계기준"/>
      <sheetName val="토공총괄표"/>
      <sheetName val="식생블럭단위수량"/>
      <sheetName val="기본단가표"/>
      <sheetName val="수량산출"/>
      <sheetName val="일위목차"/>
      <sheetName val="차수공개요"/>
      <sheetName val="바닥판"/>
      <sheetName val="입력DATA"/>
      <sheetName val="중로근거"/>
      <sheetName val="총괄내역서"/>
      <sheetName val="품셈(기초)"/>
      <sheetName val="부총"/>
      <sheetName val="공종별적용단가"/>
      <sheetName val="동원인원"/>
      <sheetName val="변화치수"/>
      <sheetName val="지수링 단위수량"/>
      <sheetName val="맨홀천공및반구연결거푸집집계"/>
      <sheetName val="오수맨홀평균높이"/>
      <sheetName val="포장공수량집계표"/>
      <sheetName val="제출내역 (2)"/>
      <sheetName val="9GNG운반"/>
      <sheetName val="내역기준"/>
      <sheetName val="설계내역서"/>
      <sheetName val="T13(P68~72,78)"/>
      <sheetName val="각종단가"/>
      <sheetName val="토사(PE)"/>
      <sheetName val="단가_및_재료비"/>
      <sheetName val="공사비예산서_(2)1"/>
      <sheetName val="설계_내역서_(2)1"/>
      <sheetName val="설계_내역서1"/>
      <sheetName val="_품셈1"/>
      <sheetName val="별표_(2)1"/>
      <sheetName val="별_표1"/>
      <sheetName val="견적_조건_변경사항1"/>
      <sheetName val="별표_1"/>
      <sheetName val="품_셈1"/>
      <sheetName val="부표_TABLE1"/>
      <sheetName val="3BL공동구_수량1"/>
      <sheetName val="단가_및_재료비1"/>
      <sheetName val="6-1__관개량조서1"/>
      <sheetName val="플랜트_설치1"/>
      <sheetName val="Ⅴ-2_공종별내역1"/>
      <sheetName val="VENDOR_LIST1"/>
      <sheetName val="단위중량"/>
      <sheetName val="전기단가조사서"/>
      <sheetName val="일위목록"/>
      <sheetName val="대가호표"/>
      <sheetName val="견적을지"/>
      <sheetName val="당초"/>
      <sheetName val="토목노임단가"/>
      <sheetName val="준검 내역서"/>
      <sheetName val="골조공사"/>
      <sheetName val="사본 - b_balju"/>
      <sheetName val="98수문일위"/>
      <sheetName val="설계조건"/>
      <sheetName val="말뚝설계"/>
      <sheetName val="말뚝지지력산정"/>
      <sheetName val="DANGA"/>
      <sheetName val="Dae_Jiju"/>
      <sheetName val="XL4Poppy"/>
      <sheetName val="성서방향-교대(A2)"/>
      <sheetName val="주요수량증감"/>
      <sheetName val="토량산출서"/>
      <sheetName val="자재대"/>
      <sheetName val="총괄"/>
      <sheetName val="단가대비표"/>
      <sheetName val="1"/>
      <sheetName val="실행예산"/>
      <sheetName val="실행철강하도"/>
      <sheetName val="인부노임"/>
      <sheetName val="샌딩 에폭시 도장"/>
      <sheetName val="스텐문틀설치"/>
      <sheetName val="일반문틀 설치"/>
      <sheetName val="배수장토목공사비"/>
      <sheetName val="별표"/>
      <sheetName val="평3"/>
      <sheetName val="토공(우물통,기타) "/>
      <sheetName val="TABLE"/>
      <sheetName val="장비임대료"/>
      <sheetName val="Baby일위대가"/>
      <sheetName val="교각별철근수량집계표"/>
      <sheetName val="데이타"/>
      <sheetName val="1.수인터널"/>
      <sheetName val="산출내역서집계표"/>
      <sheetName val="1차증가원가계산"/>
      <sheetName val="SCHEDULE"/>
      <sheetName val="ELECTRIC"/>
      <sheetName val="DATA 입력란"/>
      <sheetName val="969910( R)"/>
      <sheetName val="경비공통"/>
      <sheetName val="설비"/>
      <sheetName val="특수조명기구 단가조사서"/>
      <sheetName val="산출표"/>
      <sheetName val="대치판정"/>
      <sheetName val="관급"/>
      <sheetName val="WEIGHT"/>
      <sheetName val="근로자자료입력"/>
      <sheetName val="참고자료"/>
      <sheetName val="노무비집계"/>
      <sheetName val="명세서"/>
      <sheetName val="REINF."/>
      <sheetName val="LOADS"/>
      <sheetName val="제잡비계산"/>
      <sheetName val="3.하중산정4.지지력"/>
      <sheetName val="2.단면가정3.모델링4.하중"/>
      <sheetName val="단면"/>
      <sheetName val="총집계"/>
      <sheetName val="집계표 (2)"/>
      <sheetName val="VXXXXXXX"/>
      <sheetName val="교각1"/>
      <sheetName val="기계경비목록"/>
      <sheetName val="품목단가"/>
      <sheetName val="삼보지질"/>
      <sheetName val="공통부대비"/>
      <sheetName val="기계설비"/>
      <sheetName val="견적"/>
      <sheetName val="지구단위계획"/>
      <sheetName val="내역(가지)"/>
      <sheetName val="TB_내역서"/>
      <sheetName val="우주화성공장"/>
      <sheetName val="퇴직공제부금산출근거"/>
      <sheetName val="토적계산서"/>
      <sheetName val="입찰안"/>
      <sheetName val="2축기둥해석"/>
      <sheetName val="건축비목군분류"/>
      <sheetName val="cable산출"/>
      <sheetName val="입찰보고"/>
      <sheetName val="철골"/>
      <sheetName val="입상내역"/>
      <sheetName val="세골재  T2 변경 현황"/>
      <sheetName val="천안IP공장자100노100물량110할증"/>
      <sheetName val="입력자료"/>
      <sheetName val="년도별시공"/>
      <sheetName val="예산명세서"/>
      <sheetName val="0217상가미분양자산"/>
      <sheetName val="fursys"/>
      <sheetName val="토목공사"/>
      <sheetName val="저"/>
      <sheetName val="수량명세서"/>
      <sheetName val="장비가동"/>
      <sheetName val="설계내역"/>
      <sheetName val="일위대가1"/>
      <sheetName val="3본사"/>
      <sheetName val="코드표"/>
      <sheetName val="구조물총"/>
      <sheetName val="내용"/>
      <sheetName val="YC구입"/>
      <sheetName val="영창26"/>
      <sheetName val="현장관리비데이타"/>
      <sheetName val="7. 현장관리비 "/>
      <sheetName val="6. 안전관리비"/>
      <sheetName val="기본가정"/>
      <sheetName val="단면 (2)"/>
      <sheetName val="VXXXXX"/>
      <sheetName val="부대단위수량"/>
      <sheetName val="6PILE  (돌출)"/>
      <sheetName val="지수"/>
      <sheetName val="(A)내역서"/>
      <sheetName val="장비집계"/>
      <sheetName val="중기목록"/>
      <sheetName val="Sheet1 (2)"/>
      <sheetName val="하수처리장"/>
      <sheetName val="2000전체분"/>
      <sheetName val="단가및재료비"/>
      <sheetName val="관개"/>
      <sheetName val="실행단가"/>
      <sheetName val="장외반출및폐기물 "/>
      <sheetName val="삭제금지단가"/>
      <sheetName val="포장재료(1)"/>
      <sheetName val="교통표지판기초자료"/>
      <sheetName val="맨홀수량산출"/>
      <sheetName val="성과심사(총괄)"/>
      <sheetName val="BOM"/>
      <sheetName val="전체"/>
      <sheetName val="심사"/>
      <sheetName val="찍기"/>
      <sheetName val="건재양식"/>
      <sheetName val="기계경비일람"/>
      <sheetName val="별첨1"/>
      <sheetName val="산출기초"/>
      <sheetName val="기성2"/>
      <sheetName val="총수량집계표"/>
      <sheetName val="직영2"/>
      <sheetName val="SRC-B3U2"/>
      <sheetName val="차액보증"/>
      <sheetName val="토공"/>
      <sheetName val="동측급수"/>
      <sheetName val="새공통"/>
      <sheetName val="연습장소"/>
      <sheetName val="자단"/>
      <sheetName val="품셈표-환경공사"/>
      <sheetName val="코드"/>
      <sheetName val="-기성청구내역서.xlsx"/>
      <sheetName val="전신환매도율"/>
      <sheetName val="공통가설공사"/>
      <sheetName val="잡철물"/>
      <sheetName val="적용토목"/>
      <sheetName val="건축내역서"/>
      <sheetName val="퇴비산출근거"/>
      <sheetName val="상하차비용"/>
      <sheetName val="대비"/>
      <sheetName val="신규일위대가"/>
      <sheetName val="기계시공"/>
      <sheetName val="주beam"/>
      <sheetName val="000000"/>
      <sheetName val="결재갑지"/>
      <sheetName val="내역서1"/>
      <sheetName val="단가비교표"/>
      <sheetName val="입력"/>
      <sheetName val="변경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>
        <row r="2">
          <cell r="C2" t="str">
            <v>철골공</v>
          </cell>
          <cell r="D2">
            <v>58845</v>
          </cell>
        </row>
        <row r="3">
          <cell r="C3" t="str">
            <v>콘크리트공</v>
          </cell>
          <cell r="D3">
            <v>57135</v>
          </cell>
        </row>
        <row r="4">
          <cell r="C4" t="str">
            <v>용 접 공</v>
          </cell>
          <cell r="D4">
            <v>52064</v>
          </cell>
        </row>
        <row r="5">
          <cell r="C5" t="str">
            <v>보통인부</v>
          </cell>
          <cell r="D5">
            <v>29933</v>
          </cell>
        </row>
        <row r="6">
          <cell r="C6" t="str">
            <v>특별인부</v>
          </cell>
          <cell r="D6">
            <v>43490</v>
          </cell>
        </row>
        <row r="7">
          <cell r="C7" t="str">
            <v>형틀목공</v>
          </cell>
          <cell r="D7">
            <v>61835</v>
          </cell>
        </row>
        <row r="8">
          <cell r="C8" t="str">
            <v>철근공</v>
          </cell>
          <cell r="D8">
            <v>61510</v>
          </cell>
        </row>
        <row r="9">
          <cell r="C9" t="str">
            <v>철    공</v>
          </cell>
          <cell r="D9">
            <v>58947</v>
          </cell>
        </row>
        <row r="10">
          <cell r="C10" t="str">
            <v>강판구멍뚫기</v>
          </cell>
          <cell r="D10">
            <v>85339.7</v>
          </cell>
        </row>
        <row r="11">
          <cell r="C11" t="str">
            <v>조   수</v>
          </cell>
          <cell r="D11">
            <v>29933</v>
          </cell>
        </row>
        <row r="12">
          <cell r="C12" t="str">
            <v>풀기</v>
          </cell>
          <cell r="D12">
            <v>609</v>
          </cell>
        </row>
        <row r="13">
          <cell r="C13" t="str">
            <v>보 링 공</v>
          </cell>
          <cell r="D13">
            <v>44584</v>
          </cell>
        </row>
        <row r="14">
          <cell r="C14" t="str">
            <v>비  트</v>
          </cell>
          <cell r="D14">
            <v>627000</v>
          </cell>
        </row>
        <row r="15">
          <cell r="C15" t="str">
            <v>TRACK CRANE</v>
          </cell>
          <cell r="D15">
            <v>2817</v>
          </cell>
        </row>
        <row r="16">
          <cell r="C16" t="str">
            <v>TRACK CRANE(인)</v>
          </cell>
          <cell r="D16">
            <v>15742</v>
          </cell>
        </row>
        <row r="17">
          <cell r="C17" t="str">
            <v>TRACK CRANE(경비)</v>
          </cell>
          <cell r="D17">
            <v>17824</v>
          </cell>
        </row>
        <row r="18">
          <cell r="C18" t="str">
            <v>VIBRO HAMMER</v>
          </cell>
          <cell r="D18">
            <v>11458</v>
          </cell>
        </row>
        <row r="19">
          <cell r="C19" t="str">
            <v>TRUCK CRANE</v>
          </cell>
          <cell r="D19">
            <v>2114</v>
          </cell>
        </row>
        <row r="20">
          <cell r="C20" t="str">
            <v>TRUCK CRANE(인)</v>
          </cell>
          <cell r="D20">
            <v>15742</v>
          </cell>
        </row>
        <row r="21">
          <cell r="C21" t="str">
            <v>TRUCK CRANE(경)</v>
          </cell>
          <cell r="D21">
            <v>22450</v>
          </cell>
        </row>
        <row r="22">
          <cell r="C22" t="str">
            <v>수작업반장</v>
          </cell>
          <cell r="D22">
            <v>57103</v>
          </cell>
        </row>
        <row r="23">
          <cell r="C23" t="str">
            <v>비 계 공</v>
          </cell>
          <cell r="D23">
            <v>65265</v>
          </cell>
        </row>
        <row r="24">
          <cell r="C24" t="str">
            <v>대 장 공</v>
          </cell>
          <cell r="D24">
            <v>47273</v>
          </cell>
        </row>
        <row r="25">
          <cell r="C25" t="str">
            <v>판 재(100×150×1,700m/m)</v>
          </cell>
          <cell r="D25">
            <v>152694</v>
          </cell>
        </row>
        <row r="26">
          <cell r="C26" t="str">
            <v>철    판</v>
          </cell>
        </row>
        <row r="27">
          <cell r="C27" t="str">
            <v>강판절단(수동)</v>
          </cell>
        </row>
        <row r="28">
          <cell r="C28" t="str">
            <v>용접(FILLET)</v>
          </cell>
        </row>
        <row r="29">
          <cell r="C29" t="str">
            <v>더블롯드</v>
          </cell>
        </row>
        <row r="30">
          <cell r="C30" t="str">
            <v>특수첨단장치</v>
          </cell>
        </row>
        <row r="31">
          <cell r="C31" t="str">
            <v>크라운비트</v>
          </cell>
        </row>
        <row r="32">
          <cell r="C32" t="str">
            <v>중급기술자</v>
          </cell>
        </row>
        <row r="33">
          <cell r="C33" t="str">
            <v>기 계 공</v>
          </cell>
          <cell r="D33">
            <v>51132</v>
          </cell>
        </row>
        <row r="34">
          <cell r="C34" t="str">
            <v>전    공</v>
          </cell>
          <cell r="D34">
            <v>54702</v>
          </cell>
        </row>
        <row r="35">
          <cell r="C35" t="str">
            <v>배 관 공</v>
          </cell>
        </row>
        <row r="36">
          <cell r="C36" t="str">
            <v>중급기능사</v>
          </cell>
        </row>
        <row r="37">
          <cell r="C37" t="str">
            <v>중기운전사</v>
          </cell>
          <cell r="D37">
            <v>41444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#REF"/>
      <sheetName val="품셈TABLE"/>
      <sheetName val="단가대비표"/>
      <sheetName val="터파기및재료"/>
      <sheetName val="직노"/>
      <sheetName val="갑지"/>
      <sheetName val="(C)원내역"/>
      <sheetName val="전기"/>
      <sheetName val="평자재단가"/>
      <sheetName val="9GNG운반"/>
      <sheetName val="별표 "/>
      <sheetName val="남양내역"/>
      <sheetName val="교통대책내역"/>
      <sheetName val="sw1"/>
      <sheetName val="NOMUBI"/>
      <sheetName val="시설물기초"/>
      <sheetName val="관급"/>
      <sheetName val="품셈"/>
      <sheetName val="공사개요"/>
      <sheetName val="Baby일위대가"/>
      <sheetName val="목차"/>
      <sheetName val="투찰(하수)"/>
      <sheetName val="SUB일위대가"/>
      <sheetName val="노무비집계"/>
      <sheetName val="간접경상비"/>
      <sheetName val="정렬"/>
      <sheetName val="견적서"/>
      <sheetName val="b_balju"/>
      <sheetName val="5.소모재료비"/>
      <sheetName val="노임단가"/>
      <sheetName val="건축"/>
      <sheetName val="일위(거제)_"/>
      <sheetName val="내역(청마)_(2)"/>
      <sheetName val="공사_Scope_표지"/>
      <sheetName val="공사_Scope"/>
      <sheetName val="적용토목"/>
      <sheetName val="복갑"/>
      <sheetName val="접속도로"/>
      <sheetName val="조명시설"/>
      <sheetName val="토공사"/>
      <sheetName val="일위"/>
      <sheetName val="내역서"/>
      <sheetName val="조경일람"/>
      <sheetName val="1"/>
      <sheetName val="단위수량"/>
      <sheetName val="접속도로1"/>
      <sheetName val="전기공사 산출"/>
      <sheetName val="전기공사 산출집계"/>
      <sheetName val="공사현황"/>
      <sheetName val="일위목록"/>
      <sheetName val="총괄-1"/>
      <sheetName val="고분전시관"/>
      <sheetName val="터널조도"/>
      <sheetName val="착공내역서"/>
      <sheetName val="총괄내역서"/>
      <sheetName val="수량총괄"/>
      <sheetName val="일위대가목록"/>
      <sheetName val="대가호표"/>
      <sheetName val="철거산출근거"/>
      <sheetName val="코드표"/>
      <sheetName val="포장공사"/>
      <sheetName val="우수맨홀공제단위수량"/>
      <sheetName val="공사원가계산서"/>
      <sheetName val="단가표"/>
      <sheetName val="내역서(삼호)"/>
      <sheetName val="값"/>
      <sheetName val="하도급원가계산총괄표(식재)"/>
      <sheetName val="suk(mac)"/>
      <sheetName val="노무비단가"/>
      <sheetName val="프랜트면허"/>
      <sheetName val="토목주소"/>
      <sheetName val="EJ"/>
      <sheetName val="도급"/>
      <sheetName val="총괄표"/>
      <sheetName val="측량요율"/>
      <sheetName val="포장공수량집계표"/>
      <sheetName val="노임"/>
      <sheetName val="직접인건비"/>
      <sheetName val="경비_원본"/>
      <sheetName val="제출문"/>
      <sheetName val="1-1평균터파기고(1)"/>
      <sheetName val="일위대가표"/>
      <sheetName val="Sheet1"/>
      <sheetName val="세부내역"/>
      <sheetName val="설계조건"/>
      <sheetName val="말뚝설계"/>
      <sheetName val="단가"/>
      <sheetName val="현장관리비 산출내역"/>
      <sheetName val="제경비"/>
      <sheetName val="인건-측정"/>
      <sheetName val="수량산출"/>
      <sheetName val="DATE"/>
      <sheetName val="가시설(TYPE-A)"/>
      <sheetName val="품목"/>
      <sheetName val="설계내역서"/>
      <sheetName val="A 견적"/>
      <sheetName val="을지"/>
      <sheetName val="산출내역서집계표"/>
      <sheetName val="토공총괄표"/>
      <sheetName val="배수통관(좌)"/>
      <sheetName val="장비별표(오거보링)(Ø400)(12M)"/>
      <sheetName val="깨기"/>
      <sheetName val="L1"/>
      <sheetName val="품셈표"/>
      <sheetName val="현장경비"/>
      <sheetName val="2공구산출내역"/>
      <sheetName val="참조-(1)"/>
      <sheetName val="Sheet1 (2)"/>
      <sheetName val="N賃率-職"/>
      <sheetName val="토적표"/>
      <sheetName val="04 원가"/>
      <sheetName val="보차도경계석"/>
      <sheetName val="경산"/>
      <sheetName val="I一般比"/>
      <sheetName val="용소리교"/>
      <sheetName val="별표_"/>
      <sheetName val="자료입력"/>
      <sheetName val="Total"/>
      <sheetName val="부대공Ⅱ"/>
      <sheetName val="실행철강하도"/>
      <sheetName val="b_balju_cho"/>
      <sheetName val="별표집계"/>
      <sheetName val="C-노임단가"/>
      <sheetName val="경율산정"/>
      <sheetName val="공사비"/>
      <sheetName val="데이타"/>
      <sheetName val="계산서(곡선부)"/>
      <sheetName val="포장재료집계표"/>
      <sheetName val="심사물량"/>
      <sheetName val="아파트건축"/>
      <sheetName val="8. 안정검토"/>
      <sheetName val="SLAB&quot;1&quot;"/>
      <sheetName val="단가 및 재료비"/>
      <sheetName val="시중노임단가"/>
      <sheetName val="물가대비표"/>
      <sheetName val="중기사용료"/>
      <sheetName val="수량산출서"/>
      <sheetName val="자재단가"/>
      <sheetName val="unit 4"/>
      <sheetName val="토목내역서"/>
      <sheetName val="재"/>
      <sheetName val="수목표준대가"/>
      <sheetName val="요율"/>
      <sheetName val="VXXXXX"/>
      <sheetName val="증감내역서"/>
      <sheetName val="직접경비"/>
      <sheetName val="평가데이터"/>
      <sheetName val="동원인원"/>
      <sheetName val="1산출"/>
      <sheetName val="개요"/>
      <sheetName val="200"/>
      <sheetName val="guard(mac)"/>
      <sheetName val="일위대가목차"/>
      <sheetName val="우배수"/>
      <sheetName val="건축공사실행"/>
      <sheetName val="포장(수량)-관로부"/>
      <sheetName val="직재"/>
      <sheetName val="하조서"/>
      <sheetName val="Pier 3"/>
      <sheetName val="원가계산서 "/>
      <sheetName val="정부노임"/>
      <sheetName val="토적계산"/>
      <sheetName val="DB"/>
      <sheetName val="전기단가조사서"/>
      <sheetName val="2F 회의실견적(5_14 일대)"/>
      <sheetName val="ilch"/>
      <sheetName val="전신환매도율"/>
      <sheetName val="데리네이타현황"/>
      <sheetName val="평균터파기고(1-2,ASP)"/>
      <sheetName val="본체"/>
      <sheetName val="실행대비"/>
      <sheetName val="청구서"/>
      <sheetName val="일위대가(계측기설치)"/>
      <sheetName val="단가조사"/>
      <sheetName val="원가(토목-단기)"/>
      <sheetName val="Sheet9"/>
      <sheetName val="내역서총괄표"/>
      <sheetName val="일위대가총괄표"/>
      <sheetName val="일위대가산근2"/>
      <sheetName val="일위대가 (신규)"/>
      <sheetName val="견적단가 (3)"/>
      <sheetName val="단가산출 (2)"/>
      <sheetName val="견적단가"/>
      <sheetName val="단가산출총괄표"/>
      <sheetName val="횡배수관"/>
      <sheetName val="경비공통"/>
      <sheetName val="준공검사"/>
      <sheetName val="본사업"/>
      <sheetName val="견적서1"/>
      <sheetName val="샌딩 에폭시 도장"/>
      <sheetName val="스텐문틀설치"/>
      <sheetName val="일반문틀 설치"/>
      <sheetName val="품셈총괄표"/>
      <sheetName val="설계예시"/>
      <sheetName val="일위대가표집계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품셈TABLE"/>
      <sheetName val="1"/>
      <sheetName val="(C)원내역"/>
      <sheetName val="터파기및재료"/>
      <sheetName val="별표집계"/>
      <sheetName val="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동학"/>
      <sheetName val="동학1"/>
      <sheetName val="경북안동"/>
      <sheetName val="진해"/>
      <sheetName val="당항포"/>
      <sheetName val="일위(거제) "/>
      <sheetName val="농업기반"/>
      <sheetName val="일위(달서)"/>
      <sheetName val="일위(숭실)"/>
      <sheetName val="숭실1"/>
      <sheetName val="일위(완도)"/>
      <sheetName val="완도1"/>
      <sheetName val="일위대가"/>
      <sheetName val="내역"/>
      <sheetName val="내역(청마)"/>
      <sheetName val="내역(청마) (2)"/>
      <sheetName val="공사 Scope 표지"/>
      <sheetName val="공사 Scope"/>
      <sheetName val="표지"/>
      <sheetName val="원가표"/>
      <sheetName val="집계표"/>
      <sheetName val="내역-1"/>
      <sheetName val="내역-2"/>
      <sheetName val="일위2"/>
      <sheetName val="일위3"/>
      <sheetName val="품셈TABLE"/>
      <sheetName val="#REF"/>
      <sheetName val="일위"/>
      <sheetName val="guard(mac)"/>
      <sheetName val="3련 BOX"/>
      <sheetName val="TYPE-1"/>
      <sheetName val="tggwan(mac)"/>
      <sheetName val="woo(mac)"/>
      <sheetName val="노임단가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제조원가계산서"/>
      <sheetName val="재료비산출표"/>
      <sheetName val="노무비산출표"/>
      <sheetName val="공수산출표"/>
      <sheetName val="임율 (2)"/>
      <sheetName val="경비산출표"/>
      <sheetName val="제조원가분석표"/>
      <sheetName val="일반관리비비율산출표"/>
      <sheetName val="Sheet1"/>
      <sheetName val="Sheet2"/>
      <sheetName val="Sheet3"/>
      <sheetName val="직노"/>
      <sheetName val="내역"/>
      <sheetName val="일위대가"/>
      <sheetName val="Baby일위대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laroux"/>
      <sheetName val="내역서"/>
      <sheetName val="물가대비표"/>
      <sheetName val="견적대비표"/>
      <sheetName val="표지"/>
      <sheetName val="인건비"/>
      <sheetName val="갑지들"/>
      <sheetName val="총괄표"/>
      <sheetName val="원가계산서"/>
      <sheetName val="연장및면적(좌측)"/>
      <sheetName val="단가목록"/>
      <sheetName val="45,46"/>
      <sheetName val="인건-측정"/>
      <sheetName val="낙찰표"/>
      <sheetName val="품셈TABLE"/>
      <sheetName val="COPING"/>
      <sheetName val="실행철강하도"/>
      <sheetName val="시중노임단가"/>
      <sheetName val="IMPEADENCE MAP 취수장"/>
      <sheetName val="터파기및재료"/>
      <sheetName val="일위대가표"/>
      <sheetName val="건축원가"/>
      <sheetName val="장성내역"/>
      <sheetName val="일위대가"/>
      <sheetName val="중기사용료산출근거"/>
      <sheetName val="단가대비표"/>
      <sheetName val="ABUT수량-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송배관"/>
      <sheetName val="인건비"/>
      <sheetName val="내역서"/>
      <sheetName val="부하(성남)"/>
      <sheetName val="소야공정계획표"/>
      <sheetName val="ABUT수량-A1"/>
      <sheetName val="1.수인터널"/>
      <sheetName val="시중노임단가"/>
      <sheetName val="인건-측정"/>
      <sheetName val="COPING"/>
      <sheetName val="45,46"/>
      <sheetName val="원가계산서"/>
      <sheetName val="일위대가(가설)"/>
      <sheetName val="일위대가"/>
      <sheetName val="낙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내역서"/>
      <sheetName val="집계표"/>
      <sheetName val="인건비"/>
      <sheetName val="인건-측정"/>
      <sheetName val="부하(성남)"/>
      <sheetName val="1월"/>
      <sheetName val="낙찰표"/>
      <sheetName val="내역"/>
      <sheetName val="주차구획선수량"/>
      <sheetName val="보차도경계석"/>
      <sheetName val="대치판정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품셈"/>
      <sheetName val="표지"/>
      <sheetName val="품셈표"/>
      <sheetName val="일위대가"/>
      <sheetName val="내역서"/>
      <sheetName val="Sheet2"/>
      <sheetName val="Sheet3"/>
      <sheetName val="신우"/>
      <sheetName val="대치판정"/>
      <sheetName val="내역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설비"/>
      <sheetName val="BATT"/>
      <sheetName val="96보완계획7.12"/>
      <sheetName val="건축공사"/>
      <sheetName val="부하(성남)"/>
      <sheetName val="집계표"/>
      <sheetName val="신우"/>
      <sheetName val="내역서(전기)"/>
      <sheetName val="차압계산"/>
      <sheetName val="내역서(토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예정공정표 (2)"/>
      <sheetName val="원가계산서"/>
    </sheetNames>
    <sheetDataSet>
      <sheetData sheetId="0"/>
      <sheetData sheetId="1"/>
      <sheetData sheetId="2">
        <row r="1">
          <cell r="M1">
            <v>0.85935600000000001</v>
          </cell>
        </row>
      </sheetData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내역서"/>
      <sheetName val="관급자재변경"/>
      <sheetName val="총괄(조경,토목,건축)"/>
    </sheetNames>
    <definedNames>
      <definedName name="bae" refersTo="#REF!"/>
      <definedName name="BlankMacro1"/>
      <definedName name="Macro2" refersTo="#REF!"/>
      <definedName name="Macro4" refersTo="#REF!"/>
      <definedName name="Macro5" refersTo="#REF!"/>
      <definedName name="굴취품셈기준" refersTo="#REF!"/>
      <definedName name="능형망철거" refersTo="#REF!"/>
      <definedName name="배수깨기" refersTo="#REF!"/>
      <definedName name="배수깨기.." refersTo="#REF!"/>
      <definedName name="보성토공" refersTo="#REF!"/>
      <definedName name="비상부하계산" refersTo="#REF!"/>
      <definedName name="산출1" refersTo="#REF!"/>
      <definedName name="산출3" refersTo="#REF!"/>
      <definedName name="인쇄양식" refersTo="#REF!"/>
      <definedName name="토공추가" refersTo="#REF!"/>
      <definedName name="해창철콘" refersTo="#REF!"/>
      <definedName name="행창토건" refersTo="#REF!"/>
      <definedName name="ㅗㄹㅇ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일위대가목록"/>
      <sheetName val="일위대가_호표"/>
      <sheetName val="일위대가_산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일위대가목록"/>
      <sheetName val="일위대가_호표"/>
      <sheetName val="일위대가_산근"/>
      <sheetName val="중기사용료목록"/>
      <sheetName val="중기사용료"/>
      <sheetName val="중기기초자료"/>
      <sheetName val="자재"/>
      <sheetName val="노임"/>
      <sheetName val="경비"/>
      <sheetName val="자재조서"/>
      <sheetName val="전역변수"/>
      <sheetName val="중기전역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관급자재총괄집계표"/>
      <sheetName val="하차총괄집계표"/>
      <sheetName val="자재운반총괄집계표"/>
      <sheetName val="토공 총괄집계표"/>
      <sheetName val="토공"/>
      <sheetName val="토적표"/>
      <sheetName val="철거공"/>
      <sheetName val="수목철거공(수량집계표)"/>
      <sheetName val="철거공폐기물집계표"/>
      <sheetName val="철거공수량산출서"/>
      <sheetName val="철거공임목폐기물집계표"/>
      <sheetName val="폐기목중량"/>
      <sheetName val="폐기목 중량환산표1"/>
      <sheetName val="폐기목 중량환산표2"/>
      <sheetName val="수목제원표1"/>
      <sheetName val="수목제원표2"/>
      <sheetName val="식재공"/>
      <sheetName val="이식공수량집계"/>
      <sheetName val="수목중량"/>
      <sheetName val="존치수목집계(전정)"/>
      <sheetName val="식재공수량집계 "/>
      <sheetName val="식재공관급자재집계표"/>
      <sheetName val="식재공운반집계표"/>
      <sheetName val="시설공"/>
      <sheetName val="시설공수량집계"/>
      <sheetName val="시설공관급자재집계표1"/>
      <sheetName val="시설공관급자재집계표2"/>
      <sheetName val="시설공관급자재집계표3"/>
      <sheetName val="시설공운반집계표"/>
      <sheetName val="시설공하차집계표"/>
      <sheetName val="시설공관급자재집계표4"/>
      <sheetName val="시설공관급자재집계표5"/>
      <sheetName val="시설공수량산출서 변경"/>
      <sheetName val="시설공수량산출서"/>
      <sheetName val="시설공토공집계표"/>
      <sheetName val="포장공"/>
      <sheetName val="포장공관급자재집계표"/>
      <sheetName val="포장공운반집계표"/>
      <sheetName val="포장공토공집계표"/>
      <sheetName val="포장공수량집계"/>
      <sheetName val="포장공하차집계표"/>
      <sheetName val="포장공수량산출서"/>
      <sheetName val="설비공"/>
      <sheetName val="설비공수량집계"/>
      <sheetName val="설비공토공집계표"/>
      <sheetName val="설비공수량산출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9">
          <cell r="B79" t="str">
            <v>H14.0xR69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39799">
          <cell r="E39799" t="str">
            <v xml:space="preserve">B11(R13)미만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9B49-ECF1-458B-848D-CA63EBF7233B}">
  <dimension ref="A1:K22"/>
  <sheetViews>
    <sheetView view="pageBreakPreview" zoomScale="85" zoomScaleNormal="85" zoomScaleSheetLayoutView="85" workbookViewId="0">
      <selection activeCell="E24" sqref="E24"/>
    </sheetView>
  </sheetViews>
  <sheetFormatPr defaultColWidth="18.6640625" defaultRowHeight="12.75" customHeight="1" x14ac:dyDescent="0.15"/>
  <cols>
    <col min="1" max="1" width="16.83203125" style="337" customWidth="1"/>
    <col min="2" max="2" width="27.33203125" style="337" customWidth="1"/>
    <col min="3" max="3" width="8.1640625" style="337" customWidth="1"/>
    <col min="4" max="5" width="27.5" style="337" customWidth="1"/>
    <col min="6" max="6" width="15" style="337" customWidth="1"/>
    <col min="7" max="7" width="3.5" style="337" customWidth="1"/>
    <col min="8" max="8" width="29.1640625" style="337" customWidth="1"/>
    <col min="9" max="9" width="1.83203125" style="337" customWidth="1"/>
    <col min="10" max="10" width="16.83203125" style="337" customWidth="1"/>
    <col min="11" max="11" width="19.6640625" style="337" customWidth="1"/>
    <col min="12" max="16384" width="18.6640625" style="337"/>
  </cols>
  <sheetData>
    <row r="1" spans="1:11" ht="41.25" customHeight="1" x14ac:dyDescent="0.15">
      <c r="A1" s="334"/>
      <c r="B1" s="335"/>
      <c r="C1" s="335"/>
      <c r="D1" s="335"/>
      <c r="E1" s="335"/>
      <c r="F1" s="335"/>
      <c r="G1" s="335"/>
      <c r="H1" s="335"/>
      <c r="I1" s="335"/>
      <c r="J1" s="336"/>
    </row>
    <row r="2" spans="1:11" ht="15" customHeight="1" x14ac:dyDescent="0.15">
      <c r="A2" s="338"/>
      <c r="J2" s="339"/>
    </row>
    <row r="3" spans="1:11" ht="30" customHeight="1" x14ac:dyDescent="0.15">
      <c r="A3" s="338"/>
      <c r="J3" s="339"/>
    </row>
    <row r="4" spans="1:11" ht="32.1" customHeight="1" x14ac:dyDescent="0.15">
      <c r="A4" s="338"/>
      <c r="J4" s="339"/>
    </row>
    <row r="5" spans="1:11" ht="32.1" customHeight="1" x14ac:dyDescent="0.15">
      <c r="A5" s="338"/>
      <c r="J5" s="339"/>
    </row>
    <row r="6" spans="1:11" ht="32.1" customHeight="1" x14ac:dyDescent="0.15">
      <c r="A6" s="338"/>
      <c r="J6" s="339"/>
    </row>
    <row r="7" spans="1:11" ht="32.1" customHeight="1" x14ac:dyDescent="0.15">
      <c r="A7" s="338"/>
      <c r="J7" s="339"/>
    </row>
    <row r="8" spans="1:11" ht="20.25" customHeight="1" x14ac:dyDescent="0.15">
      <c r="A8" s="395" t="s">
        <v>3303</v>
      </c>
      <c r="B8" s="396"/>
      <c r="C8" s="396"/>
      <c r="D8" s="396"/>
      <c r="E8" s="396"/>
      <c r="F8" s="396"/>
      <c r="G8" s="396"/>
      <c r="H8" s="396"/>
      <c r="I8" s="396"/>
      <c r="J8" s="397"/>
    </row>
    <row r="9" spans="1:11" ht="32.1" customHeight="1" x14ac:dyDescent="0.15">
      <c r="A9" s="340"/>
      <c r="B9" s="341"/>
      <c r="C9" s="341"/>
      <c r="D9" s="341"/>
      <c r="E9" s="341"/>
      <c r="F9" s="341"/>
      <c r="G9" s="341"/>
      <c r="H9" s="341"/>
      <c r="I9" s="341"/>
      <c r="J9" s="342"/>
    </row>
    <row r="10" spans="1:11" ht="15.75" customHeight="1" x14ac:dyDescent="0.15">
      <c r="A10" s="338"/>
      <c r="J10" s="339"/>
    </row>
    <row r="11" spans="1:11" s="351" customFormat="1" ht="32.1" customHeight="1" x14ac:dyDescent="0.15">
      <c r="A11" s="343"/>
      <c r="B11" s="344" t="s">
        <v>3304</v>
      </c>
      <c r="C11" s="345" t="s">
        <v>3305</v>
      </c>
      <c r="D11" s="398" t="str">
        <f>NUMBERSTRING(H11,1)</f>
        <v>일십사억팔천사백칠십사만삼천육백구십구</v>
      </c>
      <c r="E11" s="398"/>
      <c r="F11" s="345" t="s">
        <v>3306</v>
      </c>
      <c r="G11" s="346" t="s">
        <v>3307</v>
      </c>
      <c r="H11" s="347">
        <f>조경원가계산서!D32</f>
        <v>1484743699.2727273</v>
      </c>
      <c r="I11" s="348" t="s">
        <v>3308</v>
      </c>
      <c r="J11" s="349"/>
      <c r="K11" s="350"/>
    </row>
    <row r="12" spans="1:11" s="351" customFormat="1" ht="32.1" customHeight="1" x14ac:dyDescent="0.15">
      <c r="A12" s="343"/>
      <c r="B12" s="352" t="s">
        <v>3309</v>
      </c>
      <c r="C12" s="353" t="s">
        <v>3305</v>
      </c>
      <c r="D12" s="399" t="str">
        <f>NUMBERSTRING(H12,1)</f>
        <v>영</v>
      </c>
      <c r="E12" s="399"/>
      <c r="F12" s="353" t="s">
        <v>3306</v>
      </c>
      <c r="G12" s="354" t="s">
        <v>3307</v>
      </c>
      <c r="H12" s="355">
        <f>조경원가계산서!E32</f>
        <v>0</v>
      </c>
      <c r="I12" s="356" t="s">
        <v>3308</v>
      </c>
      <c r="J12" s="357"/>
      <c r="K12" s="350"/>
    </row>
    <row r="13" spans="1:11" s="364" customFormat="1" ht="32.1" customHeight="1" x14ac:dyDescent="0.15">
      <c r="A13" s="358"/>
      <c r="B13" s="359" t="s">
        <v>3310</v>
      </c>
      <c r="C13" s="350" t="s">
        <v>3305</v>
      </c>
      <c r="D13" s="400" t="str">
        <f>NUMBERSTRING(H13,1)</f>
        <v>이억삼천육백오십만</v>
      </c>
      <c r="E13" s="400"/>
      <c r="F13" s="350" t="s">
        <v>3306</v>
      </c>
      <c r="G13" s="360" t="s">
        <v>3307</v>
      </c>
      <c r="H13" s="361">
        <f>조경원가계산서!G32</f>
        <v>236500000</v>
      </c>
      <c r="I13" s="362" t="s">
        <v>3308</v>
      </c>
      <c r="J13" s="363"/>
      <c r="K13" s="353"/>
    </row>
    <row r="14" spans="1:11" s="351" customFormat="1" ht="32.1" customHeight="1" x14ac:dyDescent="0.15">
      <c r="A14" s="343"/>
      <c r="B14" s="344" t="s">
        <v>3311</v>
      </c>
      <c r="C14" s="345" t="s">
        <v>3305</v>
      </c>
      <c r="D14" s="398" t="str">
        <f>NUMBERSTRING(H14,1)</f>
        <v>이억삼천육백오십만</v>
      </c>
      <c r="E14" s="398"/>
      <c r="F14" s="345" t="s">
        <v>3306</v>
      </c>
      <c r="G14" s="346" t="s">
        <v>3307</v>
      </c>
      <c r="H14" s="347">
        <f>H12+H13</f>
        <v>236500000</v>
      </c>
      <c r="I14" s="348" t="s">
        <v>3308</v>
      </c>
      <c r="J14" s="349"/>
      <c r="K14" s="350"/>
    </row>
    <row r="15" spans="1:11" ht="32.1" customHeight="1" x14ac:dyDescent="0.15">
      <c r="A15" s="338"/>
      <c r="B15" s="344" t="s">
        <v>3312</v>
      </c>
      <c r="C15" s="345" t="s">
        <v>3305</v>
      </c>
      <c r="D15" s="398" t="str">
        <f>NUMBERSTRING(H15,1)</f>
        <v>일십이억사천팔백이십사만삼천육백구십구</v>
      </c>
      <c r="E15" s="398"/>
      <c r="F15" s="345" t="s">
        <v>3306</v>
      </c>
      <c r="G15" s="346" t="s">
        <v>3307</v>
      </c>
      <c r="H15" s="347">
        <f>H11-H14</f>
        <v>1248243699.2727273</v>
      </c>
      <c r="I15" s="348" t="s">
        <v>3308</v>
      </c>
      <c r="J15" s="349"/>
    </row>
    <row r="16" spans="1:11" ht="18" customHeight="1" x14ac:dyDescent="0.15">
      <c r="A16" s="338"/>
      <c r="F16" s="365"/>
      <c r="G16" s="365"/>
      <c r="H16" s="365"/>
      <c r="I16" s="365"/>
      <c r="J16" s="366"/>
    </row>
    <row r="17" spans="1:10" ht="12" customHeight="1" x14ac:dyDescent="0.15">
      <c r="A17" s="338"/>
      <c r="F17" s="365"/>
      <c r="G17" s="365"/>
      <c r="H17" s="365"/>
      <c r="I17" s="365"/>
      <c r="J17" s="366"/>
    </row>
    <row r="18" spans="1:10" ht="12.75" customHeight="1" x14ac:dyDescent="0.15">
      <c r="A18" s="338"/>
      <c r="J18" s="339"/>
    </row>
    <row r="19" spans="1:10" ht="32.1" customHeight="1" thickBot="1" x14ac:dyDescent="0.2">
      <c r="A19" s="367"/>
      <c r="B19" s="368"/>
      <c r="C19" s="368"/>
      <c r="D19" s="368"/>
      <c r="E19" s="393"/>
      <c r="F19" s="393"/>
      <c r="G19" s="393"/>
      <c r="H19" s="393"/>
      <c r="I19" s="393"/>
      <c r="J19" s="394"/>
    </row>
    <row r="21" spans="1:10" ht="26.25" customHeight="1" x14ac:dyDescent="0.15"/>
    <row r="22" spans="1:10" ht="12.75" customHeight="1" x14ac:dyDescent="0.15">
      <c r="H22" s="369"/>
    </row>
  </sheetData>
  <mergeCells count="7">
    <mergeCell ref="E19:J19"/>
    <mergeCell ref="A8:J8"/>
    <mergeCell ref="D11:E11"/>
    <mergeCell ref="D12:E12"/>
    <mergeCell ref="D13:E13"/>
    <mergeCell ref="D14:E14"/>
    <mergeCell ref="D15:E15"/>
  </mergeCells>
  <phoneticPr fontId="6" type="noConversion"/>
  <printOptions horizontalCentered="1"/>
  <pageMargins left="0.35433070866141736" right="0.35433070866141736" top="0.98425196850393704" bottom="0.59055118110236227" header="0.51181102362204722" footer="0.51181102362204722"/>
  <pageSetup paperSize="9" scale="9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AC1D-D8B0-4922-AA48-2E7B37A6665E}">
  <sheetPr>
    <tabColor rgb="FFFF0000"/>
  </sheetPr>
  <dimension ref="A1:P36"/>
  <sheetViews>
    <sheetView showZeros="0" tabSelected="1" view="pageBreakPreview" zoomScaleNormal="100" zoomScaleSheetLayoutView="100" workbookViewId="0">
      <pane xSplit="2" ySplit="4" topLeftCell="C14" activePane="bottomRight" state="frozen"/>
      <selection activeCell="E24" sqref="E24"/>
      <selection pane="topRight" activeCell="E24" sqref="E24"/>
      <selection pane="bottomLeft" activeCell="E24" sqref="E24"/>
      <selection pane="bottomRight" activeCell="E22" sqref="E22"/>
    </sheetView>
  </sheetViews>
  <sheetFormatPr defaultRowHeight="13.5" x14ac:dyDescent="0.15"/>
  <cols>
    <col min="1" max="1" width="9.6640625" style="105" customWidth="1"/>
    <col min="2" max="2" width="7.33203125" style="105" customWidth="1"/>
    <col min="3" max="3" width="36.5" style="105" customWidth="1"/>
    <col min="4" max="4" width="27.5" style="105" customWidth="1"/>
    <col min="5" max="5" width="22.6640625" style="105" customWidth="1"/>
    <col min="6" max="6" width="10.83203125" style="105" customWidth="1"/>
    <col min="7" max="7" width="26.6640625" style="105" customWidth="1"/>
    <col min="8" max="8" width="10.83203125" style="105" customWidth="1"/>
    <col min="9" max="9" width="26" style="105" customWidth="1"/>
    <col min="10" max="10" width="10.83203125" style="105" customWidth="1"/>
    <col min="11" max="11" width="42" style="105" customWidth="1"/>
    <col min="12" max="12" width="19.33203125" style="105" customWidth="1"/>
    <col min="13" max="13" width="30.83203125" style="105" customWidth="1"/>
    <col min="14" max="14" width="22.6640625" style="105" customWidth="1"/>
    <col min="15" max="15" width="22.83203125" style="105" customWidth="1"/>
    <col min="16" max="16" width="36.33203125" style="105" customWidth="1"/>
    <col min="17" max="22" width="9.33203125" style="105" customWidth="1"/>
    <col min="23" max="16384" width="9.33203125" style="105"/>
  </cols>
  <sheetData>
    <row r="1" spans="1:15" ht="30.75" customHeight="1" x14ac:dyDescent="0.15">
      <c r="A1" s="403" t="s">
        <v>3238</v>
      </c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103"/>
      <c r="N1" s="104"/>
    </row>
    <row r="2" spans="1:15" ht="21.75" customHeight="1" thickBot="1" x14ac:dyDescent="0.2">
      <c r="A2" s="126" t="s">
        <v>3236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7"/>
      <c r="M2" s="107"/>
      <c r="N2" s="108"/>
    </row>
    <row r="3" spans="1:15" ht="21" customHeight="1" thickBot="1" x14ac:dyDescent="0.2">
      <c r="A3" s="412" t="s">
        <v>2857</v>
      </c>
      <c r="B3" s="413"/>
      <c r="C3" s="414"/>
      <c r="D3" s="404" t="s">
        <v>3289</v>
      </c>
      <c r="E3" s="404" t="s">
        <v>3299</v>
      </c>
      <c r="F3" s="422" t="s">
        <v>3298</v>
      </c>
      <c r="G3" s="406" t="s">
        <v>3300</v>
      </c>
      <c r="H3" s="420" t="s">
        <v>3298</v>
      </c>
      <c r="I3" s="414" t="s">
        <v>3301</v>
      </c>
      <c r="J3" s="401" t="s">
        <v>3298</v>
      </c>
      <c r="K3" s="404" t="s">
        <v>2858</v>
      </c>
      <c r="L3" s="418" t="s">
        <v>2859</v>
      </c>
      <c r="M3" s="408" t="s">
        <v>3235</v>
      </c>
      <c r="N3" s="286">
        <f>D4+D8+D12</f>
        <v>532681710</v>
      </c>
    </row>
    <row r="4" spans="1:15" ht="21" customHeight="1" x14ac:dyDescent="0.15">
      <c r="A4" s="415"/>
      <c r="B4" s="416"/>
      <c r="C4" s="417"/>
      <c r="D4" s="405"/>
      <c r="E4" s="405"/>
      <c r="F4" s="423"/>
      <c r="G4" s="407"/>
      <c r="H4" s="421"/>
      <c r="I4" s="417"/>
      <c r="J4" s="402"/>
      <c r="K4" s="405"/>
      <c r="L4" s="419"/>
      <c r="M4" s="409"/>
      <c r="N4" s="286">
        <f>D5+D9+D13</f>
        <v>969794840</v>
      </c>
    </row>
    <row r="5" spans="1:15" ht="21" customHeight="1" x14ac:dyDescent="0.15">
      <c r="A5" s="128"/>
      <c r="B5" s="129" t="s">
        <v>2860</v>
      </c>
      <c r="C5" s="130" t="s">
        <v>2861</v>
      </c>
      <c r="D5" s="131">
        <v>532681710</v>
      </c>
      <c r="E5" s="131"/>
      <c r="F5" s="295">
        <f>IFERROR(E5/D5,0)</f>
        <v>0</v>
      </c>
      <c r="G5" s="306">
        <f>내역서!S9</f>
        <v>14830383</v>
      </c>
      <c r="H5" s="307">
        <f>IFERROR(G5/D5,0)</f>
        <v>2.7840984065324863E-2</v>
      </c>
      <c r="I5" s="131">
        <f>E5+G5</f>
        <v>14830383</v>
      </c>
      <c r="J5" s="287">
        <f>IFERROR(I5/D5,0)</f>
        <v>2.7840984065324863E-2</v>
      </c>
      <c r="K5" s="132"/>
      <c r="L5" s="133"/>
      <c r="M5" s="109"/>
      <c r="N5" s="110"/>
    </row>
    <row r="6" spans="1:15" ht="21" customHeight="1" x14ac:dyDescent="0.15">
      <c r="A6" s="134" t="s">
        <v>2862</v>
      </c>
      <c r="B6" s="135" t="s">
        <v>2863</v>
      </c>
      <c r="C6" s="136" t="s">
        <v>2864</v>
      </c>
      <c r="D6" s="137"/>
      <c r="E6" s="137"/>
      <c r="F6" s="296">
        <f t="shared" ref="F6:F36" si="0">IFERROR(E6/D6,0)</f>
        <v>0</v>
      </c>
      <c r="G6" s="308"/>
      <c r="H6" s="309">
        <f t="shared" ref="H6:H36" si="1">IFERROR(G6/D6,0)</f>
        <v>0</v>
      </c>
      <c r="I6" s="137">
        <f t="shared" ref="I6:I36" si="2">E6+G6</f>
        <v>0</v>
      </c>
      <c r="J6" s="288">
        <f t="shared" ref="J6:J36" si="3">IFERROR(I6/D6,0)</f>
        <v>0</v>
      </c>
      <c r="K6" s="138"/>
      <c r="L6" s="139"/>
      <c r="M6" s="109"/>
      <c r="N6" s="110"/>
    </row>
    <row r="7" spans="1:15" ht="21" customHeight="1" x14ac:dyDescent="0.15">
      <c r="A7" s="134"/>
      <c r="B7" s="135" t="s">
        <v>2865</v>
      </c>
      <c r="C7" s="140" t="s">
        <v>2866</v>
      </c>
      <c r="D7" s="141"/>
      <c r="E7" s="141"/>
      <c r="F7" s="297">
        <f t="shared" si="0"/>
        <v>0</v>
      </c>
      <c r="G7" s="310"/>
      <c r="H7" s="311">
        <f t="shared" si="1"/>
        <v>0</v>
      </c>
      <c r="I7" s="141">
        <f t="shared" si="2"/>
        <v>0</v>
      </c>
      <c r="J7" s="289">
        <f t="shared" si="3"/>
        <v>0</v>
      </c>
      <c r="K7" s="142"/>
      <c r="L7" s="143"/>
      <c r="M7" s="109"/>
      <c r="N7" s="110"/>
    </row>
    <row r="8" spans="1:15" ht="21" customHeight="1" x14ac:dyDescent="0.15">
      <c r="A8" s="134"/>
      <c r="B8" s="135"/>
      <c r="C8" s="144" t="s">
        <v>2867</v>
      </c>
      <c r="D8" s="379">
        <f>SUM(D5:D7)</f>
        <v>532681710</v>
      </c>
      <c r="E8" s="145"/>
      <c r="F8" s="298">
        <f t="shared" si="0"/>
        <v>0</v>
      </c>
      <c r="G8" s="312">
        <f>G5+G6+G7</f>
        <v>14830383</v>
      </c>
      <c r="H8" s="313">
        <f t="shared" si="1"/>
        <v>2.7840984065324863E-2</v>
      </c>
      <c r="I8" s="145">
        <f t="shared" si="2"/>
        <v>14830383</v>
      </c>
      <c r="J8" s="290">
        <f t="shared" si="3"/>
        <v>2.7840984065324863E-2</v>
      </c>
      <c r="K8" s="146"/>
      <c r="L8" s="147"/>
      <c r="M8" s="109"/>
      <c r="N8" s="111"/>
    </row>
    <row r="9" spans="1:15" ht="21" customHeight="1" x14ac:dyDescent="0.15">
      <c r="A9" s="134" t="s">
        <v>2868</v>
      </c>
      <c r="B9" s="130" t="s">
        <v>2869</v>
      </c>
      <c r="C9" s="148" t="s">
        <v>2870</v>
      </c>
      <c r="D9" s="149">
        <v>392029555</v>
      </c>
      <c r="E9" s="149"/>
      <c r="F9" s="299">
        <f t="shared" si="0"/>
        <v>0</v>
      </c>
      <c r="G9" s="314">
        <f>내역서!T9</f>
        <v>110073033</v>
      </c>
      <c r="H9" s="315">
        <f t="shared" si="1"/>
        <v>0.28077738424594034</v>
      </c>
      <c r="I9" s="149">
        <f t="shared" si="2"/>
        <v>110073033</v>
      </c>
      <c r="J9" s="291">
        <f t="shared" si="3"/>
        <v>0.28077738424594034</v>
      </c>
      <c r="K9" s="150"/>
      <c r="L9" s="151"/>
      <c r="M9" s="112"/>
      <c r="N9" s="113" t="s">
        <v>2871</v>
      </c>
    </row>
    <row r="10" spans="1:15" ht="21" customHeight="1" x14ac:dyDescent="0.15">
      <c r="A10" s="134"/>
      <c r="B10" s="144" t="s">
        <v>2872</v>
      </c>
      <c r="C10" s="140" t="s">
        <v>2873</v>
      </c>
      <c r="D10" s="141">
        <v>56060226</v>
      </c>
      <c r="E10" s="141"/>
      <c r="F10" s="297">
        <f t="shared" si="0"/>
        <v>0</v>
      </c>
      <c r="G10" s="310">
        <f>INT(G9*N10)</f>
        <v>15740443</v>
      </c>
      <c r="H10" s="311">
        <f t="shared" si="1"/>
        <v>0.28077737324854879</v>
      </c>
      <c r="I10" s="141">
        <f t="shared" si="2"/>
        <v>15740443</v>
      </c>
      <c r="J10" s="289">
        <f t="shared" si="3"/>
        <v>0.28077737324854879</v>
      </c>
      <c r="K10" s="142" t="s">
        <v>2874</v>
      </c>
      <c r="L10" s="143"/>
      <c r="M10" s="109"/>
      <c r="N10" s="114">
        <v>0.14299999999999999</v>
      </c>
      <c r="O10" s="115"/>
    </row>
    <row r="11" spans="1:15" ht="21" customHeight="1" x14ac:dyDescent="0.15">
      <c r="A11" s="134"/>
      <c r="B11" s="144" t="s">
        <v>2865</v>
      </c>
      <c r="C11" s="152" t="s">
        <v>2867</v>
      </c>
      <c r="D11" s="380">
        <f>SUM(D9:D10)</f>
        <v>448089781</v>
      </c>
      <c r="E11" s="153"/>
      <c r="F11" s="300">
        <f t="shared" si="0"/>
        <v>0</v>
      </c>
      <c r="G11" s="316">
        <f>G9+G10</f>
        <v>125813476</v>
      </c>
      <c r="H11" s="317">
        <f t="shared" si="1"/>
        <v>0.28077738287006371</v>
      </c>
      <c r="I11" s="153">
        <f t="shared" si="2"/>
        <v>125813476</v>
      </c>
      <c r="J11" s="292">
        <f t="shared" si="3"/>
        <v>0.28077738287006371</v>
      </c>
      <c r="K11" s="146"/>
      <c r="L11" s="154"/>
      <c r="M11" s="116"/>
      <c r="N11" s="111"/>
    </row>
    <row r="12" spans="1:15" ht="21" customHeight="1" x14ac:dyDescent="0.15">
      <c r="A12" s="155"/>
      <c r="B12" s="130"/>
      <c r="C12" s="148" t="s">
        <v>2875</v>
      </c>
      <c r="D12" s="149"/>
      <c r="E12" s="149"/>
      <c r="F12" s="299">
        <f t="shared" si="0"/>
        <v>0</v>
      </c>
      <c r="G12" s="314"/>
      <c r="H12" s="315">
        <f t="shared" si="1"/>
        <v>0</v>
      </c>
      <c r="I12" s="149">
        <f t="shared" si="2"/>
        <v>0</v>
      </c>
      <c r="J12" s="291">
        <f t="shared" si="3"/>
        <v>0</v>
      </c>
      <c r="K12" s="156"/>
      <c r="L12" s="151"/>
      <c r="M12" s="109"/>
      <c r="N12" s="110"/>
    </row>
    <row r="13" spans="1:15" ht="21" customHeight="1" x14ac:dyDescent="0.15">
      <c r="A13" s="155" t="s">
        <v>2876</v>
      </c>
      <c r="B13" s="144"/>
      <c r="C13" s="136" t="s">
        <v>2877</v>
      </c>
      <c r="D13" s="137">
        <v>45083575</v>
      </c>
      <c r="E13" s="137"/>
      <c r="F13" s="296">
        <f t="shared" si="0"/>
        <v>0</v>
      </c>
      <c r="G13" s="308">
        <f>내역서!U9</f>
        <v>15225924</v>
      </c>
      <c r="H13" s="309">
        <f t="shared" si="1"/>
        <v>0.33772663325834296</v>
      </c>
      <c r="I13" s="137">
        <f t="shared" si="2"/>
        <v>15225924</v>
      </c>
      <c r="J13" s="288">
        <f t="shared" si="3"/>
        <v>0.33772663325834296</v>
      </c>
      <c r="K13" s="157"/>
      <c r="L13" s="139"/>
      <c r="M13" s="109"/>
      <c r="N13" s="110"/>
    </row>
    <row r="14" spans="1:15" ht="21" customHeight="1" x14ac:dyDescent="0.15">
      <c r="A14" s="155"/>
      <c r="B14" s="144"/>
      <c r="C14" s="136" t="s">
        <v>2878</v>
      </c>
      <c r="D14" s="137">
        <v>15951996</v>
      </c>
      <c r="E14" s="137"/>
      <c r="F14" s="296">
        <f t="shared" si="0"/>
        <v>0</v>
      </c>
      <c r="G14" s="308">
        <f>INT(G11*N14)</f>
        <v>4478959</v>
      </c>
      <c r="H14" s="309">
        <f t="shared" si="1"/>
        <v>0.28077733971347535</v>
      </c>
      <c r="I14" s="137">
        <f t="shared" si="2"/>
        <v>4478959</v>
      </c>
      <c r="J14" s="288">
        <f t="shared" si="3"/>
        <v>0.28077733971347535</v>
      </c>
      <c r="K14" s="157" t="s">
        <v>2879</v>
      </c>
      <c r="L14" s="139"/>
      <c r="M14" s="109"/>
      <c r="N14" s="114">
        <v>3.56E-2</v>
      </c>
    </row>
    <row r="15" spans="1:15" ht="21" customHeight="1" x14ac:dyDescent="0.15">
      <c r="A15" s="155"/>
      <c r="B15" s="144" t="s">
        <v>2880</v>
      </c>
      <c r="C15" s="136" t="s">
        <v>2881</v>
      </c>
      <c r="D15" s="137">
        <v>4525706</v>
      </c>
      <c r="E15" s="137"/>
      <c r="F15" s="296">
        <f t="shared" si="0"/>
        <v>0</v>
      </c>
      <c r="G15" s="308">
        <f>INT(G11*N15)</f>
        <v>1270716</v>
      </c>
      <c r="H15" s="309">
        <f t="shared" si="1"/>
        <v>0.28077740798894141</v>
      </c>
      <c r="I15" s="137">
        <f t="shared" si="2"/>
        <v>1270716</v>
      </c>
      <c r="J15" s="288">
        <f t="shared" si="3"/>
        <v>0.28077740798894141</v>
      </c>
      <c r="K15" s="157" t="s">
        <v>2882</v>
      </c>
      <c r="L15" s="139"/>
      <c r="M15" s="109"/>
      <c r="N15" s="114">
        <v>1.01E-2</v>
      </c>
    </row>
    <row r="16" spans="1:15" ht="21" customHeight="1" x14ac:dyDescent="0.15">
      <c r="A16" s="155"/>
      <c r="B16" s="144"/>
      <c r="C16" s="136" t="s">
        <v>2883</v>
      </c>
      <c r="D16" s="137">
        <v>16066073</v>
      </c>
      <c r="E16" s="137"/>
      <c r="F16" s="296">
        <f t="shared" si="0"/>
        <v>0</v>
      </c>
      <c r="G16" s="308">
        <v>340320</v>
      </c>
      <c r="H16" s="309">
        <f t="shared" si="1"/>
        <v>2.1182525437298833E-2</v>
      </c>
      <c r="I16" s="137">
        <f t="shared" si="2"/>
        <v>340320</v>
      </c>
      <c r="J16" s="288">
        <f t="shared" si="3"/>
        <v>2.1182525437298833E-2</v>
      </c>
      <c r="K16" s="157" t="s">
        <v>2884</v>
      </c>
      <c r="L16" s="139"/>
      <c r="M16" s="109" t="e">
        <f>ROUND(#REF!*0.03545,0)</f>
        <v>#REF!</v>
      </c>
      <c r="N16" s="114">
        <v>3.5450000000000002E-2</v>
      </c>
    </row>
    <row r="17" spans="1:16" ht="21" customHeight="1" x14ac:dyDescent="0.15">
      <c r="A17" s="155" t="s">
        <v>2885</v>
      </c>
      <c r="B17" s="144"/>
      <c r="C17" s="136" t="s">
        <v>2886</v>
      </c>
      <c r="D17" s="137">
        <v>20394168</v>
      </c>
      <c r="E17" s="137"/>
      <c r="F17" s="296">
        <f t="shared" si="0"/>
        <v>0</v>
      </c>
      <c r="G17" s="308"/>
      <c r="H17" s="309">
        <f t="shared" si="1"/>
        <v>0</v>
      </c>
      <c r="I17" s="137">
        <f t="shared" si="2"/>
        <v>0</v>
      </c>
      <c r="J17" s="288">
        <f t="shared" si="3"/>
        <v>0</v>
      </c>
      <c r="K17" s="157" t="s">
        <v>2887</v>
      </c>
      <c r="L17" s="139"/>
      <c r="M17" s="109" t="e">
        <f>ROUND(#REF!*0.045,0)</f>
        <v>#REF!</v>
      </c>
      <c r="N17" s="114">
        <v>4.4999999999999998E-2</v>
      </c>
    </row>
    <row r="18" spans="1:16" ht="21" customHeight="1" x14ac:dyDescent="0.15">
      <c r="A18" s="155"/>
      <c r="B18" s="144"/>
      <c r="C18" s="136" t="s">
        <v>2888</v>
      </c>
      <c r="D18" s="137">
        <v>2080556</v>
      </c>
      <c r="E18" s="137"/>
      <c r="F18" s="296">
        <f t="shared" si="0"/>
        <v>0</v>
      </c>
      <c r="G18" s="308">
        <v>44070</v>
      </c>
      <c r="H18" s="309">
        <f t="shared" si="1"/>
        <v>2.1181837931783621E-2</v>
      </c>
      <c r="I18" s="137">
        <f t="shared" si="2"/>
        <v>44070</v>
      </c>
      <c r="J18" s="288">
        <f t="shared" si="3"/>
        <v>2.1181837931783621E-2</v>
      </c>
      <c r="K18" s="157" t="s">
        <v>2889</v>
      </c>
      <c r="L18" s="139" t="s">
        <v>2890</v>
      </c>
      <c r="M18" s="109" t="e">
        <f>ROUND(#REF!*0.1295,0)</f>
        <v>#REF!</v>
      </c>
      <c r="N18" s="114">
        <v>0.1295</v>
      </c>
    </row>
    <row r="19" spans="1:16" ht="21" customHeight="1" x14ac:dyDescent="0.15">
      <c r="A19" s="155"/>
      <c r="B19" s="144"/>
      <c r="C19" s="136" t="s">
        <v>2891</v>
      </c>
      <c r="D19" s="137">
        <v>10423685</v>
      </c>
      <c r="E19" s="137"/>
      <c r="F19" s="296">
        <f t="shared" si="0"/>
        <v>0</v>
      </c>
      <c r="G19" s="308">
        <v>1077200</v>
      </c>
      <c r="H19" s="309">
        <f t="shared" si="1"/>
        <v>0.10334157258205712</v>
      </c>
      <c r="I19" s="137">
        <f t="shared" si="2"/>
        <v>1077200</v>
      </c>
      <c r="J19" s="288">
        <f t="shared" si="3"/>
        <v>0.10334157258205712</v>
      </c>
      <c r="K19" s="157" t="s">
        <v>2892</v>
      </c>
      <c r="L19" s="139"/>
      <c r="M19" s="109" t="e">
        <f>ROUND(#REF!*0.023,0)</f>
        <v>#REF!</v>
      </c>
      <c r="N19" s="114">
        <v>2.3E-2</v>
      </c>
      <c r="O19" s="105" t="s">
        <v>2893</v>
      </c>
      <c r="P19" s="117">
        <f>내역서!H11</f>
        <v>184377307</v>
      </c>
    </row>
    <row r="20" spans="1:16" ht="21" customHeight="1" x14ac:dyDescent="0.15">
      <c r="A20" s="155" t="s">
        <v>2890</v>
      </c>
      <c r="B20" s="144"/>
      <c r="C20" s="136" t="s">
        <v>2894</v>
      </c>
      <c r="D20" s="137">
        <v>1745630</v>
      </c>
      <c r="E20" s="137"/>
      <c r="F20" s="296">
        <f t="shared" si="0"/>
        <v>0</v>
      </c>
      <c r="G20" s="308"/>
      <c r="H20" s="309">
        <f t="shared" si="1"/>
        <v>0</v>
      </c>
      <c r="I20" s="137">
        <f t="shared" si="2"/>
        <v>0</v>
      </c>
      <c r="J20" s="288">
        <f t="shared" si="3"/>
        <v>0</v>
      </c>
      <c r="K20" s="157" t="s">
        <v>2895</v>
      </c>
      <c r="L20" s="139"/>
      <c r="M20" s="109"/>
      <c r="N20" s="114">
        <v>1.8E-3</v>
      </c>
      <c r="O20" s="105" t="s">
        <v>2896</v>
      </c>
      <c r="P20" s="118">
        <f>INT((D8+D9+P19/1.1)*N21+3250000)</f>
        <v>16357923</v>
      </c>
    </row>
    <row r="21" spans="1:16" ht="21" customHeight="1" x14ac:dyDescent="0.15">
      <c r="A21" s="155" t="s">
        <v>2897</v>
      </c>
      <c r="B21" s="144" t="s">
        <v>2898</v>
      </c>
      <c r="C21" s="136" t="s">
        <v>3028</v>
      </c>
      <c r="D21" s="137">
        <v>18149619</v>
      </c>
      <c r="E21" s="137"/>
      <c r="F21" s="296">
        <f t="shared" si="0"/>
        <v>0</v>
      </c>
      <c r="G21" s="308">
        <f>9462500-3000000</f>
        <v>6462500</v>
      </c>
      <c r="H21" s="309">
        <f t="shared" si="1"/>
        <v>0.35606808054758615</v>
      </c>
      <c r="I21" s="137">
        <f t="shared" si="2"/>
        <v>6462500</v>
      </c>
      <c r="J21" s="288">
        <f t="shared" si="3"/>
        <v>0.35606808054758615</v>
      </c>
      <c r="K21" s="157" t="s">
        <v>2899</v>
      </c>
      <c r="L21" s="139"/>
      <c r="M21" s="109" t="e">
        <f>ROUND((#REF!+#REF!+#REF!)*0.012,0)</f>
        <v>#REF!</v>
      </c>
      <c r="N21" s="114">
        <v>1.2E-2</v>
      </c>
      <c r="O21" s="105" t="s">
        <v>2900</v>
      </c>
      <c r="P21" s="118">
        <f>INT((((D8+D9)*N21+3250000)*1.2))</f>
        <v>17215842</v>
      </c>
    </row>
    <row r="22" spans="1:16" ht="21" customHeight="1" x14ac:dyDescent="0.15">
      <c r="A22" s="155"/>
      <c r="B22" s="144"/>
      <c r="C22" s="136" t="s">
        <v>2901</v>
      </c>
      <c r="D22" s="137">
        <v>2909384</v>
      </c>
      <c r="E22" s="137"/>
      <c r="F22" s="296">
        <f t="shared" si="0"/>
        <v>0</v>
      </c>
      <c r="G22" s="308">
        <v>1000000</v>
      </c>
      <c r="H22" s="309">
        <f t="shared" si="1"/>
        <v>0.34371537067640434</v>
      </c>
      <c r="I22" s="137">
        <f t="shared" si="2"/>
        <v>1000000</v>
      </c>
      <c r="J22" s="288">
        <f t="shared" si="3"/>
        <v>0.34371537067640434</v>
      </c>
      <c r="K22" s="157" t="s">
        <v>2902</v>
      </c>
      <c r="L22" s="139"/>
      <c r="M22" s="109"/>
      <c r="N22" s="114">
        <v>3.0000000000000001E-3</v>
      </c>
    </row>
    <row r="23" spans="1:16" ht="21" customHeight="1" x14ac:dyDescent="0.15">
      <c r="A23" s="155"/>
      <c r="B23" s="144"/>
      <c r="C23" s="136" t="s">
        <v>2903</v>
      </c>
      <c r="D23" s="137">
        <v>53942432</v>
      </c>
      <c r="E23" s="137"/>
      <c r="F23" s="296">
        <f t="shared" si="0"/>
        <v>0</v>
      </c>
      <c r="G23" s="308">
        <f>INT((G8+G11)*N23)</f>
        <v>7735412</v>
      </c>
      <c r="H23" s="309">
        <f t="shared" si="1"/>
        <v>0.14340124672169027</v>
      </c>
      <c r="I23" s="137">
        <f t="shared" si="2"/>
        <v>7735412</v>
      </c>
      <c r="J23" s="288">
        <f t="shared" si="3"/>
        <v>0.14340124672169027</v>
      </c>
      <c r="K23" s="157" t="s">
        <v>2904</v>
      </c>
      <c r="L23" s="139"/>
      <c r="M23" s="109">
        <f>G16*12.95%</f>
        <v>44071.44</v>
      </c>
      <c r="N23" s="114">
        <v>5.5E-2</v>
      </c>
    </row>
    <row r="24" spans="1:16" ht="21" customHeight="1" x14ac:dyDescent="0.15">
      <c r="A24" s="155"/>
      <c r="B24" s="144"/>
      <c r="C24" s="140" t="s">
        <v>2905</v>
      </c>
      <c r="D24" s="141">
        <v>785533</v>
      </c>
      <c r="E24" s="141"/>
      <c r="F24" s="297">
        <f t="shared" si="0"/>
        <v>0</v>
      </c>
      <c r="G24" s="310"/>
      <c r="H24" s="311">
        <f t="shared" si="1"/>
        <v>0</v>
      </c>
      <c r="I24" s="141">
        <f t="shared" si="2"/>
        <v>0</v>
      </c>
      <c r="J24" s="289">
        <f t="shared" si="3"/>
        <v>0</v>
      </c>
      <c r="K24" s="158" t="s">
        <v>2906</v>
      </c>
      <c r="L24" s="143"/>
      <c r="M24" s="109"/>
      <c r="N24" s="114">
        <v>8.0999999999999996E-4</v>
      </c>
    </row>
    <row r="25" spans="1:16" ht="21" customHeight="1" x14ac:dyDescent="0.15">
      <c r="A25" s="159"/>
      <c r="B25" s="152"/>
      <c r="C25" s="152" t="s">
        <v>2867</v>
      </c>
      <c r="D25" s="380">
        <f>SUM(D12:D24)</f>
        <v>192058357</v>
      </c>
      <c r="E25" s="153"/>
      <c r="F25" s="300">
        <f t="shared" si="0"/>
        <v>0</v>
      </c>
      <c r="G25" s="316">
        <f>SUM(G12:G24)</f>
        <v>37635101</v>
      </c>
      <c r="H25" s="317">
        <f t="shared" si="1"/>
        <v>0.19595659146454117</v>
      </c>
      <c r="I25" s="153">
        <f t="shared" si="2"/>
        <v>37635101</v>
      </c>
      <c r="J25" s="292">
        <f t="shared" si="3"/>
        <v>0.19595659146454117</v>
      </c>
      <c r="K25" s="160"/>
      <c r="L25" s="154"/>
      <c r="M25" s="116"/>
      <c r="N25" s="111"/>
    </row>
    <row r="26" spans="1:16" ht="21" customHeight="1" x14ac:dyDescent="0.15">
      <c r="A26" s="161" t="s">
        <v>2907</v>
      </c>
      <c r="B26" s="162"/>
      <c r="C26" s="162"/>
      <c r="D26" s="166">
        <f>D8+D11+D25</f>
        <v>1172829848</v>
      </c>
      <c r="E26" s="163"/>
      <c r="F26" s="301">
        <f t="shared" si="0"/>
        <v>0</v>
      </c>
      <c r="G26" s="318">
        <f>INT(G8+G11+G25)</f>
        <v>178278960</v>
      </c>
      <c r="H26" s="319">
        <f t="shared" si="1"/>
        <v>0.15200752291904496</v>
      </c>
      <c r="I26" s="303">
        <f t="shared" si="2"/>
        <v>178278960</v>
      </c>
      <c r="J26" s="293">
        <f t="shared" si="3"/>
        <v>0.15200752291904496</v>
      </c>
      <c r="K26" s="164"/>
      <c r="L26" s="165"/>
      <c r="M26" s="109"/>
      <c r="N26" s="119"/>
    </row>
    <row r="27" spans="1:16" ht="21" customHeight="1" x14ac:dyDescent="0.15">
      <c r="A27" s="161" t="s">
        <v>2908</v>
      </c>
      <c r="B27" s="162"/>
      <c r="C27" s="162"/>
      <c r="D27" s="166">
        <v>70369790</v>
      </c>
      <c r="E27" s="166"/>
      <c r="F27" s="302">
        <f t="shared" si="0"/>
        <v>0</v>
      </c>
      <c r="G27" s="320">
        <f>INT(G26*N27)</f>
        <v>10696737</v>
      </c>
      <c r="H27" s="321">
        <f t="shared" si="1"/>
        <v>0.1520075162935686</v>
      </c>
      <c r="I27" s="304">
        <f t="shared" si="2"/>
        <v>10696737</v>
      </c>
      <c r="J27" s="294">
        <f t="shared" si="3"/>
        <v>0.1520075162935686</v>
      </c>
      <c r="K27" s="164" t="s">
        <v>2909</v>
      </c>
      <c r="L27" s="165"/>
      <c r="M27" s="109"/>
      <c r="N27" s="119">
        <v>0.06</v>
      </c>
    </row>
    <row r="28" spans="1:16" ht="21" customHeight="1" x14ac:dyDescent="0.15">
      <c r="A28" s="161" t="s">
        <v>2910</v>
      </c>
      <c r="B28" s="162"/>
      <c r="C28" s="162"/>
      <c r="D28" s="166">
        <f>D26+D27</f>
        <v>1243199638</v>
      </c>
      <c r="E28" s="163"/>
      <c r="F28" s="301">
        <f t="shared" si="0"/>
        <v>0</v>
      </c>
      <c r="G28" s="318">
        <f>INT(G26+G27)</f>
        <v>188975697</v>
      </c>
      <c r="H28" s="319">
        <f t="shared" si="1"/>
        <v>0.15200752254401798</v>
      </c>
      <c r="I28" s="303">
        <f t="shared" si="2"/>
        <v>188975697</v>
      </c>
      <c r="J28" s="293">
        <f t="shared" si="3"/>
        <v>0.15200752254401798</v>
      </c>
      <c r="K28" s="164"/>
      <c r="L28" s="165"/>
      <c r="M28" s="109"/>
      <c r="N28" s="119"/>
    </row>
    <row r="29" spans="1:16" ht="21" customHeight="1" x14ac:dyDescent="0.15">
      <c r="A29" s="161" t="s">
        <v>2911</v>
      </c>
      <c r="B29" s="162"/>
      <c r="C29" s="162"/>
      <c r="D29" s="167">
        <v>106567361.27272727</v>
      </c>
      <c r="E29" s="167"/>
      <c r="F29" s="302">
        <f t="shared" si="0"/>
        <v>0</v>
      </c>
      <c r="G29" s="322">
        <f>INT(((G11+G25+G27)*N29))-97494</f>
        <v>26024303</v>
      </c>
      <c r="H29" s="321">
        <f t="shared" si="1"/>
        <v>0.24420519274563424</v>
      </c>
      <c r="I29" s="305">
        <f t="shared" si="2"/>
        <v>26024303</v>
      </c>
      <c r="J29" s="294">
        <f t="shared" si="3"/>
        <v>0.24420519274563424</v>
      </c>
      <c r="K29" s="164" t="s">
        <v>2912</v>
      </c>
      <c r="L29" s="165" t="s">
        <v>2871</v>
      </c>
      <c r="M29" s="109"/>
      <c r="N29" s="120">
        <v>0.15</v>
      </c>
    </row>
    <row r="30" spans="1:16" ht="21" customHeight="1" x14ac:dyDescent="0.15">
      <c r="A30" s="161" t="s">
        <v>2913</v>
      </c>
      <c r="B30" s="162"/>
      <c r="C30" s="162"/>
      <c r="D30" s="166">
        <f>D28+D29</f>
        <v>1349766999.2727273</v>
      </c>
      <c r="E30" s="163"/>
      <c r="F30" s="301">
        <f t="shared" si="0"/>
        <v>0</v>
      </c>
      <c r="G30" s="318">
        <f>SUM(G28:G29)</f>
        <v>215000000</v>
      </c>
      <c r="H30" s="319">
        <f t="shared" si="1"/>
        <v>0.15928675105840112</v>
      </c>
      <c r="I30" s="303">
        <f t="shared" si="2"/>
        <v>215000000</v>
      </c>
      <c r="J30" s="293">
        <f t="shared" si="3"/>
        <v>0.15928675105840112</v>
      </c>
      <c r="K30" s="164"/>
      <c r="L30" s="165"/>
      <c r="M30" s="109"/>
      <c r="N30" s="121" t="s">
        <v>2890</v>
      </c>
    </row>
    <row r="31" spans="1:16" ht="21" customHeight="1" x14ac:dyDescent="0.15">
      <c r="A31" s="161" t="s">
        <v>2914</v>
      </c>
      <c r="B31" s="162"/>
      <c r="C31" s="162"/>
      <c r="D31" s="166">
        <v>134976700</v>
      </c>
      <c r="E31" s="166"/>
      <c r="F31" s="302">
        <f t="shared" si="0"/>
        <v>0</v>
      </c>
      <c r="G31" s="320">
        <f>INT(G30*N31)</f>
        <v>21500000</v>
      </c>
      <c r="H31" s="321">
        <f t="shared" si="1"/>
        <v>0.15928675097257528</v>
      </c>
      <c r="I31" s="304">
        <f t="shared" si="2"/>
        <v>21500000</v>
      </c>
      <c r="J31" s="294">
        <f t="shared" si="3"/>
        <v>0.15928675097257528</v>
      </c>
      <c r="K31" s="164" t="s">
        <v>2915</v>
      </c>
      <c r="L31" s="165"/>
      <c r="M31" s="109"/>
      <c r="N31" s="120">
        <v>0.1</v>
      </c>
    </row>
    <row r="32" spans="1:16" s="378" customFormat="1" ht="21" customHeight="1" thickBot="1" x14ac:dyDescent="0.2">
      <c r="A32" s="332" t="s">
        <v>2916</v>
      </c>
      <c r="B32" s="333"/>
      <c r="C32" s="333"/>
      <c r="D32" s="371">
        <f>D30+D31</f>
        <v>1484743699.2727273</v>
      </c>
      <c r="E32" s="371"/>
      <c r="F32" s="372">
        <f t="shared" si="0"/>
        <v>0</v>
      </c>
      <c r="G32" s="323">
        <f>SUM(G30:G31)</f>
        <v>236500000</v>
      </c>
      <c r="H32" s="324">
        <f t="shared" si="1"/>
        <v>0.15928675105059878</v>
      </c>
      <c r="I32" s="373">
        <f t="shared" si="2"/>
        <v>236500000</v>
      </c>
      <c r="J32" s="374">
        <f t="shared" si="3"/>
        <v>0.15928675105059878</v>
      </c>
      <c r="K32" s="375"/>
      <c r="L32" s="376"/>
      <c r="M32" s="122"/>
      <c r="N32" s="377"/>
    </row>
    <row r="33" spans="1:14" ht="21" customHeight="1" x14ac:dyDescent="0.15">
      <c r="A33" s="325" t="s">
        <v>2917</v>
      </c>
      <c r="B33" s="326"/>
      <c r="C33" s="326"/>
      <c r="D33" s="327">
        <v>283710000</v>
      </c>
      <c r="E33" s="327"/>
      <c r="F33" s="328">
        <f t="shared" si="0"/>
        <v>0</v>
      </c>
      <c r="G33" s="316">
        <f>G34+G35</f>
        <v>0</v>
      </c>
      <c r="H33" s="329">
        <f t="shared" si="1"/>
        <v>0</v>
      </c>
      <c r="I33" s="153">
        <f t="shared" si="2"/>
        <v>0</v>
      </c>
      <c r="J33" s="330">
        <f t="shared" si="3"/>
        <v>0</v>
      </c>
      <c r="K33" s="331"/>
      <c r="L33" s="154"/>
      <c r="M33" s="109"/>
      <c r="N33" s="123"/>
    </row>
    <row r="34" spans="1:14" ht="21" customHeight="1" x14ac:dyDescent="0.15">
      <c r="A34" s="410" t="s">
        <v>2918</v>
      </c>
      <c r="B34" s="411"/>
      <c r="C34" s="411"/>
      <c r="D34" s="166">
        <v>185372000</v>
      </c>
      <c r="E34" s="166"/>
      <c r="F34" s="302">
        <f t="shared" si="0"/>
        <v>0</v>
      </c>
      <c r="G34" s="320"/>
      <c r="H34" s="321">
        <f t="shared" si="1"/>
        <v>0</v>
      </c>
      <c r="I34" s="304">
        <f t="shared" si="2"/>
        <v>0</v>
      </c>
      <c r="J34" s="294">
        <f t="shared" si="3"/>
        <v>0</v>
      </c>
      <c r="K34" s="164"/>
      <c r="L34" s="165"/>
      <c r="M34" s="109"/>
      <c r="N34" s="123"/>
    </row>
    <row r="35" spans="1:14" ht="21" customHeight="1" x14ac:dyDescent="0.15">
      <c r="A35" s="410" t="s">
        <v>2919</v>
      </c>
      <c r="B35" s="411"/>
      <c r="C35" s="411"/>
      <c r="D35" s="166">
        <v>98338000</v>
      </c>
      <c r="E35" s="166"/>
      <c r="F35" s="302">
        <f t="shared" si="0"/>
        <v>0</v>
      </c>
      <c r="G35" s="320"/>
      <c r="H35" s="321">
        <f t="shared" si="1"/>
        <v>0</v>
      </c>
      <c r="I35" s="304">
        <f t="shared" si="2"/>
        <v>0</v>
      </c>
      <c r="J35" s="294">
        <f t="shared" si="3"/>
        <v>0</v>
      </c>
      <c r="K35" s="164"/>
      <c r="L35" s="165"/>
      <c r="M35" s="109"/>
      <c r="N35" s="123"/>
    </row>
    <row r="36" spans="1:14" ht="21" customHeight="1" thickBot="1" x14ac:dyDescent="0.2">
      <c r="A36" s="168" t="s">
        <v>2920</v>
      </c>
      <c r="B36" s="169"/>
      <c r="C36" s="169"/>
      <c r="D36" s="163">
        <v>1768453699.2727273</v>
      </c>
      <c r="E36" s="163"/>
      <c r="F36" s="301">
        <f t="shared" si="0"/>
        <v>0</v>
      </c>
      <c r="G36" s="323">
        <f>SUM(G32:G33)</f>
        <v>236500000</v>
      </c>
      <c r="H36" s="324">
        <f t="shared" si="1"/>
        <v>0.13373265022276812</v>
      </c>
      <c r="I36" s="303">
        <f t="shared" si="2"/>
        <v>236500000</v>
      </c>
      <c r="J36" s="293">
        <f t="shared" si="3"/>
        <v>0.13373265022276812</v>
      </c>
      <c r="K36" s="170"/>
      <c r="L36" s="171"/>
      <c r="M36" s="124"/>
      <c r="N36" s="125"/>
    </row>
  </sheetData>
  <mergeCells count="14">
    <mergeCell ref="A35:C35"/>
    <mergeCell ref="A3:C4"/>
    <mergeCell ref="K3:K4"/>
    <mergeCell ref="L3:L4"/>
    <mergeCell ref="H3:H4"/>
    <mergeCell ref="I3:I4"/>
    <mergeCell ref="E3:E4"/>
    <mergeCell ref="F3:F4"/>
    <mergeCell ref="J3:J4"/>
    <mergeCell ref="A1:L1"/>
    <mergeCell ref="D3:D4"/>
    <mergeCell ref="G3:G4"/>
    <mergeCell ref="M3:M4"/>
    <mergeCell ref="A34:C34"/>
  </mergeCells>
  <phoneticPr fontId="6" type="noConversion"/>
  <printOptions horizontalCentered="1"/>
  <pageMargins left="0.19685039370078741" right="0.11811023622047245" top="0.78740157480314965" bottom="0.39370078740157483" header="0.39370078740157483" footer="0.39370078740157483"/>
  <pageSetup paperSize="9" scale="7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3B18E-6A7E-4B9E-B446-E1C99815C960}">
  <dimension ref="A1:CJ354"/>
  <sheetViews>
    <sheetView showZeros="0" view="pageBreakPreview" zoomScaleNormal="100" zoomScaleSheetLayoutView="100" workbookViewId="0">
      <pane ySplit="3" topLeftCell="A94" activePane="bottomLeft" state="frozen"/>
      <selection activeCell="E24" sqref="E24"/>
      <selection pane="bottomLeft" activeCell="E24" sqref="E24"/>
    </sheetView>
  </sheetViews>
  <sheetFormatPr defaultRowHeight="14.1" customHeight="1" outlineLevelCol="1" x14ac:dyDescent="0.15"/>
  <cols>
    <col min="1" max="1" width="24" style="85" customWidth="1"/>
    <col min="2" max="2" width="25.1640625" style="85" customWidth="1"/>
    <col min="3" max="3" width="6" style="84" customWidth="1"/>
    <col min="4" max="4" width="10.1640625" style="61" customWidth="1"/>
    <col min="5" max="5" width="16.83203125" style="85" customWidth="1"/>
    <col min="6" max="6" width="18.83203125" customWidth="1"/>
    <col min="7" max="7" width="16.83203125" style="85" hidden="1" customWidth="1" outlineLevel="1"/>
    <col min="8" max="8" width="18.83203125" hidden="1" customWidth="1" outlineLevel="1"/>
    <col min="9" max="9" width="16.83203125" style="85" hidden="1" customWidth="1" outlineLevel="1"/>
    <col min="10" max="10" width="18.83203125" hidden="1" customWidth="1" outlineLevel="1"/>
    <col min="11" max="11" width="16.83203125" style="85" hidden="1" customWidth="1" outlineLevel="1"/>
    <col min="12" max="12" width="18.83203125" hidden="1" customWidth="1" outlineLevel="1"/>
    <col min="13" max="13" width="14.6640625" customWidth="1" collapsed="1"/>
    <col min="14" max="14" width="18.83203125" customWidth="1"/>
    <col min="15" max="15" width="12.1640625" customWidth="1"/>
    <col min="16" max="16" width="14.6640625" customWidth="1"/>
    <col min="17" max="17" width="18.83203125" customWidth="1"/>
    <col min="18" max="18" width="12.1640625" customWidth="1"/>
    <col min="19" max="21" width="18.83203125" hidden="1" customWidth="1" outlineLevel="1"/>
    <col min="22" max="22" width="14.6640625" customWidth="1" collapsed="1"/>
    <col min="23" max="23" width="18.83203125" customWidth="1"/>
    <col min="24" max="24" width="12.1640625" customWidth="1"/>
    <col min="25" max="27" width="13.83203125" customWidth="1"/>
    <col min="28" max="72" width="9.33203125" customWidth="1"/>
    <col min="73" max="73" width="12.1640625" bestFit="1" customWidth="1"/>
    <col min="74" max="74" width="15.83203125" bestFit="1" customWidth="1"/>
    <col min="80" max="80" width="15" bestFit="1" customWidth="1"/>
    <col min="81" max="81" width="16.5" bestFit="1" customWidth="1"/>
    <col min="82" max="85" width="15" bestFit="1" customWidth="1"/>
    <col min="86" max="87" width="13.5" bestFit="1" customWidth="1"/>
    <col min="88" max="88" width="6" bestFit="1" customWidth="1"/>
  </cols>
  <sheetData>
    <row r="1" spans="1:88" ht="51.75" customHeight="1" x14ac:dyDescent="0.15">
      <c r="A1" s="424" t="s">
        <v>3287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386"/>
      <c r="AA1" s="386"/>
      <c r="BU1" s="59" t="s">
        <v>3027</v>
      </c>
      <c r="BV1" s="60">
        <f>+[318]원가계산서!$M$1</f>
        <v>0.85935600000000001</v>
      </c>
    </row>
    <row r="2" spans="1:88" s="263" customFormat="1" ht="18" customHeight="1" x14ac:dyDescent="0.15">
      <c r="A2" s="447" t="s">
        <v>452</v>
      </c>
      <c r="B2" s="447" t="s">
        <v>1273</v>
      </c>
      <c r="C2" s="447" t="s">
        <v>3237</v>
      </c>
      <c r="D2" s="449" t="s">
        <v>1657</v>
      </c>
      <c r="E2" s="446" t="s">
        <v>3289</v>
      </c>
      <c r="F2" s="446" t="s">
        <v>2856</v>
      </c>
      <c r="G2" s="425" t="s">
        <v>3291</v>
      </c>
      <c r="H2" s="426"/>
      <c r="I2" s="426"/>
      <c r="J2" s="426"/>
      <c r="K2" s="426"/>
      <c r="L2" s="427"/>
      <c r="M2" s="428" t="s">
        <v>3299</v>
      </c>
      <c r="N2" s="429"/>
      <c r="O2" s="430"/>
      <c r="P2" s="431" t="s">
        <v>3300</v>
      </c>
      <c r="Q2" s="432"/>
      <c r="R2" s="433"/>
      <c r="S2" s="434" t="s">
        <v>3029</v>
      </c>
      <c r="T2" s="435"/>
      <c r="U2" s="436"/>
      <c r="V2" s="437" t="s">
        <v>3301</v>
      </c>
      <c r="W2" s="438"/>
      <c r="X2" s="439"/>
      <c r="Y2" s="440" t="s">
        <v>3288</v>
      </c>
      <c r="Z2" s="381"/>
      <c r="CB2" s="263" t="s">
        <v>2761</v>
      </c>
      <c r="CC2" s="263" t="s">
        <v>2856</v>
      </c>
      <c r="CD2" s="263" t="s">
        <v>1952</v>
      </c>
      <c r="CE2" s="263" t="s">
        <v>2856</v>
      </c>
      <c r="CF2" s="263" t="s">
        <v>1158</v>
      </c>
      <c r="CG2" s="263" t="s">
        <v>2856</v>
      </c>
      <c r="CH2" s="263" t="s">
        <v>186</v>
      </c>
      <c r="CI2" s="263" t="s">
        <v>2856</v>
      </c>
      <c r="CJ2" s="263" t="s">
        <v>726</v>
      </c>
    </row>
    <row r="3" spans="1:88" s="263" customFormat="1" ht="18" customHeight="1" x14ac:dyDescent="0.15">
      <c r="A3" s="448"/>
      <c r="B3" s="448"/>
      <c r="C3" s="448"/>
      <c r="D3" s="449" t="s">
        <v>2856</v>
      </c>
      <c r="E3" s="265" t="s">
        <v>636</v>
      </c>
      <c r="F3" s="266" t="s">
        <v>360</v>
      </c>
      <c r="G3" s="267" t="s">
        <v>3290</v>
      </c>
      <c r="H3" s="268" t="s">
        <v>3292</v>
      </c>
      <c r="I3" s="267" t="s">
        <v>3293</v>
      </c>
      <c r="J3" s="268" t="s">
        <v>3294</v>
      </c>
      <c r="K3" s="267" t="s">
        <v>3295</v>
      </c>
      <c r="L3" s="268" t="s">
        <v>3296</v>
      </c>
      <c r="M3" s="266" t="s">
        <v>3297</v>
      </c>
      <c r="N3" s="266" t="s">
        <v>3029</v>
      </c>
      <c r="O3" s="266" t="s">
        <v>3298</v>
      </c>
      <c r="P3" s="273" t="s">
        <v>3297</v>
      </c>
      <c r="Q3" s="273" t="s">
        <v>3029</v>
      </c>
      <c r="R3" s="273" t="s">
        <v>3298</v>
      </c>
      <c r="S3" s="274" t="s">
        <v>3290</v>
      </c>
      <c r="T3" s="274" t="s">
        <v>3293</v>
      </c>
      <c r="U3" s="274" t="s">
        <v>3295</v>
      </c>
      <c r="V3" s="275" t="s">
        <v>3297</v>
      </c>
      <c r="W3" s="275" t="s">
        <v>3029</v>
      </c>
      <c r="X3" s="275" t="s">
        <v>3298</v>
      </c>
      <c r="Y3" s="440"/>
      <c r="Z3" s="381"/>
      <c r="AF3" s="264" t="s">
        <v>922</v>
      </c>
      <c r="AG3" s="264" t="s">
        <v>2110</v>
      </c>
      <c r="AH3" s="264" t="s">
        <v>985</v>
      </c>
      <c r="AI3" s="264" t="s">
        <v>368</v>
      </c>
      <c r="AJ3" s="264" t="s">
        <v>169</v>
      </c>
      <c r="AK3" s="264" t="s">
        <v>871</v>
      </c>
      <c r="AL3" s="264" t="s">
        <v>1944</v>
      </c>
      <c r="CB3" s="263" t="s">
        <v>636</v>
      </c>
      <c r="CC3" s="263" t="s">
        <v>360</v>
      </c>
      <c r="CD3" s="263" t="s">
        <v>636</v>
      </c>
      <c r="CE3" s="263" t="s">
        <v>360</v>
      </c>
      <c r="CF3" s="263" t="s">
        <v>636</v>
      </c>
      <c r="CG3" s="263" t="s">
        <v>360</v>
      </c>
      <c r="CH3" s="263" t="s">
        <v>636</v>
      </c>
      <c r="CI3" s="263" t="s">
        <v>360</v>
      </c>
      <c r="CJ3" s="263" t="s">
        <v>2856</v>
      </c>
    </row>
    <row r="4" spans="1:88" s="228" customFormat="1" ht="20.100000000000001" customHeight="1" x14ac:dyDescent="0.15">
      <c r="A4" s="445" t="s">
        <v>3026</v>
      </c>
      <c r="B4" s="445"/>
      <c r="C4" s="223" t="s">
        <v>2303</v>
      </c>
      <c r="D4" s="226">
        <v>1</v>
      </c>
      <c r="E4" s="224"/>
      <c r="F4" s="225">
        <f t="shared" ref="F4:F105" si="0">H4+J4+L4</f>
        <v>969794840</v>
      </c>
      <c r="G4" s="224"/>
      <c r="H4" s="225">
        <f>TRUNC(H9,0)</f>
        <v>532681710</v>
      </c>
      <c r="I4" s="224"/>
      <c r="J4" s="225">
        <f>TRUNC(J9,0)</f>
        <v>392029555</v>
      </c>
      <c r="K4" s="224"/>
      <c r="L4" s="225">
        <f>TRUNC(L9,0)</f>
        <v>45083575</v>
      </c>
      <c r="M4" s="225"/>
      <c r="N4" s="225"/>
      <c r="O4" s="269">
        <f>IFERROR(N4/$F4,0)</f>
        <v>0</v>
      </c>
      <c r="P4" s="225"/>
      <c r="Q4" s="225">
        <f>SUM(S4:U4)</f>
        <v>140129340</v>
      </c>
      <c r="R4" s="269">
        <f>IFERROR(Q4/$F4,0)</f>
        <v>0.14449379829655518</v>
      </c>
      <c r="S4" s="225">
        <f>TRUNC(S9,0)</f>
        <v>14830383</v>
      </c>
      <c r="T4" s="225">
        <f>TRUNC(T9,0)</f>
        <v>110073033</v>
      </c>
      <c r="U4" s="225">
        <f>TRUNC(U9,0)</f>
        <v>15225924</v>
      </c>
      <c r="V4" s="225">
        <f>M4+P4</f>
        <v>0</v>
      </c>
      <c r="W4" s="225">
        <f>N4+Q4</f>
        <v>140129340</v>
      </c>
      <c r="X4" s="269">
        <f>IFERROR(W4/$F4,0)</f>
        <v>0.14449379829655518</v>
      </c>
      <c r="Y4" s="227"/>
      <c r="Z4" s="382"/>
      <c r="AA4" s="228" t="s">
        <v>2856</v>
      </c>
      <c r="AB4" s="228" t="s">
        <v>768</v>
      </c>
      <c r="CC4" s="228">
        <v>1143751560</v>
      </c>
      <c r="CE4" s="228">
        <v>659615040</v>
      </c>
      <c r="CG4" s="228">
        <v>434748520</v>
      </c>
      <c r="CI4" s="228">
        <v>49388000</v>
      </c>
      <c r="CJ4" s="228" t="s">
        <v>2856</v>
      </c>
    </row>
    <row r="5" spans="1:88" s="235" customFormat="1" ht="20.100000000000001" customHeight="1" x14ac:dyDescent="0.15">
      <c r="A5" s="229" t="s">
        <v>1258</v>
      </c>
      <c r="B5" s="229" t="s">
        <v>2856</v>
      </c>
      <c r="C5" s="230" t="s">
        <v>2303</v>
      </c>
      <c r="D5" s="233">
        <v>1</v>
      </c>
      <c r="E5" s="231">
        <f t="shared" ref="E5:E13" si="1">G5+I5+K5</f>
        <v>477770857</v>
      </c>
      <c r="F5" s="232">
        <f t="shared" si="0"/>
        <v>477770857</v>
      </c>
      <c r="G5" s="231">
        <f>H14</f>
        <v>226137202</v>
      </c>
      <c r="H5" s="232">
        <f>TRUNC(G5*D5,0)</f>
        <v>226137202</v>
      </c>
      <c r="I5" s="231">
        <f>J14</f>
        <v>221230528</v>
      </c>
      <c r="J5" s="232">
        <f>TRUNC(I5*D5,0)</f>
        <v>221230528</v>
      </c>
      <c r="K5" s="231">
        <f>L14</f>
        <v>30403127</v>
      </c>
      <c r="L5" s="232">
        <f>TRUNC(K5*D5,0)</f>
        <v>30403127</v>
      </c>
      <c r="M5" s="232"/>
      <c r="N5" s="232"/>
      <c r="O5" s="270">
        <f t="shared" ref="O5:O68" si="2">IFERROR(N5/$F5,0)</f>
        <v>0</v>
      </c>
      <c r="P5" s="232"/>
      <c r="Q5" s="232">
        <f t="shared" ref="Q5:Q68" si="3">SUM(S5:U5)</f>
        <v>95721258</v>
      </c>
      <c r="R5" s="270">
        <f t="shared" ref="R5:R68" si="4">IFERROR(Q5/$F5,0)</f>
        <v>0.20034972120536854</v>
      </c>
      <c r="S5" s="233">
        <f>S14</f>
        <v>9136631</v>
      </c>
      <c r="T5" s="233">
        <f>T14</f>
        <v>75690614</v>
      </c>
      <c r="U5" s="233">
        <f>U14</f>
        <v>10894013</v>
      </c>
      <c r="V5" s="232">
        <f t="shared" ref="V5:V68" si="5">M5+P5</f>
        <v>0</v>
      </c>
      <c r="W5" s="232">
        <f t="shared" ref="W5:W68" si="6">N5+Q5</f>
        <v>95721258</v>
      </c>
      <c r="X5" s="270">
        <f t="shared" ref="X5:X68" si="7">IFERROR(W5/$F5,0)</f>
        <v>0.20034972120536854</v>
      </c>
      <c r="Y5" s="234"/>
      <c r="Z5" s="383"/>
      <c r="AA5" s="235" t="s">
        <v>2856</v>
      </c>
      <c r="AC5" s="235" t="s">
        <v>334</v>
      </c>
      <c r="AD5" s="235" t="s">
        <v>1839</v>
      </c>
      <c r="AE5" s="235" t="s">
        <v>2362</v>
      </c>
      <c r="BV5" s="236" t="str">
        <f>HYPERLINK("#내역서!A14","A01 →")</f>
        <v>A01 →</v>
      </c>
      <c r="CB5" s="235">
        <v>543080398</v>
      </c>
      <c r="CC5" s="235">
        <v>543080398</v>
      </c>
      <c r="CD5" s="235">
        <v>266195980</v>
      </c>
      <c r="CE5" s="235">
        <v>266195980</v>
      </c>
      <c r="CF5" s="235">
        <v>243076433</v>
      </c>
      <c r="CG5" s="235">
        <v>243076433</v>
      </c>
      <c r="CH5" s="235">
        <v>33807985</v>
      </c>
      <c r="CI5" s="235">
        <v>33807985</v>
      </c>
      <c r="CJ5" s="235" t="s">
        <v>2856</v>
      </c>
    </row>
    <row r="6" spans="1:88" s="235" customFormat="1" ht="20.100000000000001" customHeight="1" x14ac:dyDescent="0.15">
      <c r="A6" s="229" t="s">
        <v>1274</v>
      </c>
      <c r="B6" s="229" t="s">
        <v>2856</v>
      </c>
      <c r="C6" s="230" t="s">
        <v>2303</v>
      </c>
      <c r="D6" s="233">
        <v>1</v>
      </c>
      <c r="E6" s="231">
        <f t="shared" si="1"/>
        <v>260326801</v>
      </c>
      <c r="F6" s="232">
        <f t="shared" si="0"/>
        <v>260326801</v>
      </c>
      <c r="G6" s="231">
        <f>H256</f>
        <v>143156701</v>
      </c>
      <c r="H6" s="232">
        <f>TRUNC(G6*D6,0)</f>
        <v>143156701</v>
      </c>
      <c r="I6" s="231">
        <f>J256</f>
        <v>109419239</v>
      </c>
      <c r="J6" s="232">
        <f>TRUNC(I6*D6,0)</f>
        <v>109419239</v>
      </c>
      <c r="K6" s="231">
        <f>L256</f>
        <v>7750861</v>
      </c>
      <c r="L6" s="232">
        <f>TRUNC(K6*D6,0)</f>
        <v>7750861</v>
      </c>
      <c r="M6" s="232"/>
      <c r="N6" s="232"/>
      <c r="O6" s="270">
        <f t="shared" si="2"/>
        <v>0</v>
      </c>
      <c r="P6" s="232"/>
      <c r="Q6" s="232">
        <f t="shared" si="3"/>
        <v>44408082</v>
      </c>
      <c r="R6" s="270">
        <f t="shared" si="4"/>
        <v>0.17058590137248297</v>
      </c>
      <c r="S6" s="233">
        <f>S256</f>
        <v>5693752</v>
      </c>
      <c r="T6" s="233">
        <f>T256</f>
        <v>34382419</v>
      </c>
      <c r="U6" s="233">
        <f>U256</f>
        <v>4331911</v>
      </c>
      <c r="V6" s="232">
        <f t="shared" si="5"/>
        <v>0</v>
      </c>
      <c r="W6" s="232">
        <f t="shared" si="6"/>
        <v>44408082</v>
      </c>
      <c r="X6" s="270">
        <f t="shared" si="7"/>
        <v>0.17058590137248297</v>
      </c>
      <c r="Y6" s="234"/>
      <c r="Z6" s="383"/>
      <c r="AA6" s="235" t="s">
        <v>2856</v>
      </c>
      <c r="AC6" s="235" t="s">
        <v>2471</v>
      </c>
      <c r="AD6" s="235" t="s">
        <v>1839</v>
      </c>
      <c r="AE6" s="235" t="s">
        <v>1190</v>
      </c>
      <c r="BV6" s="236" t="str">
        <f>HYPERLINK("#내역서!A184","A02 →")</f>
        <v>A02 →</v>
      </c>
      <c r="CB6" s="235">
        <v>267265681</v>
      </c>
      <c r="CC6" s="235">
        <v>267265681</v>
      </c>
      <c r="CD6" s="235">
        <v>167713666</v>
      </c>
      <c r="CE6" s="235">
        <v>167713666</v>
      </c>
      <c r="CF6" s="235">
        <v>94165207</v>
      </c>
      <c r="CG6" s="235">
        <v>94165207</v>
      </c>
      <c r="CH6" s="235">
        <v>5386808</v>
      </c>
      <c r="CI6" s="235">
        <v>5386808</v>
      </c>
      <c r="CJ6" s="235" t="s">
        <v>2856</v>
      </c>
    </row>
    <row r="7" spans="1:88" s="235" customFormat="1" ht="20.100000000000001" customHeight="1" x14ac:dyDescent="0.15">
      <c r="A7" s="229" t="s">
        <v>1090</v>
      </c>
      <c r="B7" s="229" t="s">
        <v>2856</v>
      </c>
      <c r="C7" s="230" t="s">
        <v>2303</v>
      </c>
      <c r="D7" s="233">
        <v>1</v>
      </c>
      <c r="E7" s="231">
        <f t="shared" si="1"/>
        <v>230056323</v>
      </c>
      <c r="F7" s="232">
        <f t="shared" si="0"/>
        <v>230056323</v>
      </c>
      <c r="G7" s="231">
        <f>H297</f>
        <v>163387807</v>
      </c>
      <c r="H7" s="232">
        <f>TRUNC(G7*D7,0)</f>
        <v>163387807</v>
      </c>
      <c r="I7" s="231">
        <f>J297</f>
        <v>61379788</v>
      </c>
      <c r="J7" s="232">
        <f>TRUNC(I7*D7,0)</f>
        <v>61379788</v>
      </c>
      <c r="K7" s="231">
        <f>L297</f>
        <v>5288728</v>
      </c>
      <c r="L7" s="232">
        <f>TRUNC(K7*D7,0)</f>
        <v>5288728</v>
      </c>
      <c r="M7" s="232"/>
      <c r="N7" s="232"/>
      <c r="O7" s="270">
        <f t="shared" si="2"/>
        <v>0</v>
      </c>
      <c r="P7" s="232"/>
      <c r="Q7" s="232">
        <f t="shared" si="3"/>
        <v>0</v>
      </c>
      <c r="R7" s="270">
        <f t="shared" si="4"/>
        <v>0</v>
      </c>
      <c r="S7" s="233">
        <f>S297</f>
        <v>0</v>
      </c>
      <c r="T7" s="233">
        <f>T297</f>
        <v>0</v>
      </c>
      <c r="U7" s="233">
        <f>U297</f>
        <v>0</v>
      </c>
      <c r="V7" s="232">
        <f t="shared" si="5"/>
        <v>0</v>
      </c>
      <c r="W7" s="232">
        <f t="shared" si="6"/>
        <v>0</v>
      </c>
      <c r="X7" s="270">
        <f t="shared" si="7"/>
        <v>0</v>
      </c>
      <c r="Y7" s="234"/>
      <c r="Z7" s="383"/>
      <c r="AA7" s="235" t="s">
        <v>2856</v>
      </c>
      <c r="AC7" s="235" t="s">
        <v>2428</v>
      </c>
      <c r="AD7" s="235" t="s">
        <v>1839</v>
      </c>
      <c r="AE7" s="235" t="s">
        <v>2853</v>
      </c>
      <c r="BV7" s="236" t="str">
        <f>HYPERLINK("#내역서!A211","A03 →")</f>
        <v>A03 →</v>
      </c>
      <c r="CB7" s="235">
        <v>331495453</v>
      </c>
      <c r="CC7" s="235">
        <v>331495453</v>
      </c>
      <c r="CD7" s="235">
        <v>225705394</v>
      </c>
      <c r="CE7" s="235">
        <v>225705394</v>
      </c>
      <c r="CF7" s="235">
        <v>97506880</v>
      </c>
      <c r="CG7" s="235">
        <v>97506880</v>
      </c>
      <c r="CH7" s="235">
        <v>8283179</v>
      </c>
      <c r="CI7" s="235">
        <v>8283179</v>
      </c>
      <c r="CJ7" s="235" t="s">
        <v>2856</v>
      </c>
    </row>
    <row r="8" spans="1:88" s="235" customFormat="1" ht="20.100000000000001" customHeight="1" x14ac:dyDescent="0.15">
      <c r="A8" s="229" t="s">
        <v>1151</v>
      </c>
      <c r="B8" s="229" t="s">
        <v>2856</v>
      </c>
      <c r="C8" s="230" t="s">
        <v>2303</v>
      </c>
      <c r="D8" s="233">
        <v>1</v>
      </c>
      <c r="E8" s="231">
        <f t="shared" si="1"/>
        <v>1640859</v>
      </c>
      <c r="F8" s="232">
        <f t="shared" si="0"/>
        <v>1640859</v>
      </c>
      <c r="G8" s="231">
        <f>H312</f>
        <v>0</v>
      </c>
      <c r="H8" s="232">
        <f>TRUNC(G8*D8,0)</f>
        <v>0</v>
      </c>
      <c r="I8" s="231">
        <f>J312</f>
        <v>0</v>
      </c>
      <c r="J8" s="232">
        <f>TRUNC(I8*D8,0)</f>
        <v>0</v>
      </c>
      <c r="K8" s="231">
        <f>L312</f>
        <v>1640859</v>
      </c>
      <c r="L8" s="232">
        <f>TRUNC(K8*D8,0)</f>
        <v>1640859</v>
      </c>
      <c r="M8" s="232"/>
      <c r="N8" s="232"/>
      <c r="O8" s="270">
        <f t="shared" si="2"/>
        <v>0</v>
      </c>
      <c r="P8" s="232"/>
      <c r="Q8" s="232">
        <f t="shared" si="3"/>
        <v>0</v>
      </c>
      <c r="R8" s="270">
        <f t="shared" si="4"/>
        <v>0</v>
      </c>
      <c r="S8" s="233">
        <f>S312</f>
        <v>0</v>
      </c>
      <c r="T8" s="233">
        <f>T312</f>
        <v>0</v>
      </c>
      <c r="U8" s="233">
        <f>U312</f>
        <v>0</v>
      </c>
      <c r="V8" s="232">
        <f t="shared" si="5"/>
        <v>0</v>
      </c>
      <c r="W8" s="232">
        <f t="shared" si="6"/>
        <v>0</v>
      </c>
      <c r="X8" s="270">
        <f t="shared" si="7"/>
        <v>0</v>
      </c>
      <c r="Y8" s="234"/>
      <c r="Z8" s="383"/>
      <c r="AA8" s="235" t="s">
        <v>2856</v>
      </c>
      <c r="AC8" s="235" t="s">
        <v>1686</v>
      </c>
      <c r="AD8" s="235" t="s">
        <v>1839</v>
      </c>
      <c r="AE8" s="235" t="s">
        <v>1043</v>
      </c>
      <c r="AN8" s="237" t="s">
        <v>2127</v>
      </c>
      <c r="AO8" s="238">
        <f>(내역서!H5+내역서!H6+내역서!H7+내역서!H8)</f>
        <v>532681710</v>
      </c>
      <c r="AP8" s="237" t="s">
        <v>2369</v>
      </c>
      <c r="AQ8" s="239">
        <f>$AO8</f>
        <v>532681710</v>
      </c>
      <c r="BV8" s="236" t="str">
        <f>HYPERLINK("#내역서!A224","A04 →")</f>
        <v>A04 →</v>
      </c>
      <c r="CB8" s="235">
        <v>1910028</v>
      </c>
      <c r="CC8" s="235">
        <v>1910028</v>
      </c>
      <c r="CD8" s="235">
        <v>0</v>
      </c>
      <c r="CE8" s="235">
        <v>0</v>
      </c>
      <c r="CF8" s="235">
        <v>0</v>
      </c>
      <c r="CG8" s="235">
        <v>0</v>
      </c>
      <c r="CH8" s="235">
        <v>1910028</v>
      </c>
      <c r="CI8" s="235">
        <v>1910028</v>
      </c>
      <c r="CJ8" s="235" t="s">
        <v>2856</v>
      </c>
    </row>
    <row r="9" spans="1:88" s="263" customFormat="1" ht="20.100000000000001" customHeight="1" x14ac:dyDescent="0.15">
      <c r="A9" s="276" t="s">
        <v>3302</v>
      </c>
      <c r="B9" s="276" t="s">
        <v>2856</v>
      </c>
      <c r="C9" s="264" t="s">
        <v>2303</v>
      </c>
      <c r="D9" s="277">
        <v>1</v>
      </c>
      <c r="E9" s="278">
        <f t="shared" si="1"/>
        <v>0</v>
      </c>
      <c r="F9" s="279">
        <f t="shared" si="0"/>
        <v>969794840</v>
      </c>
      <c r="G9" s="280"/>
      <c r="H9" s="279">
        <f>TRUNC((H5+H6+H7+H8),0)</f>
        <v>532681710</v>
      </c>
      <c r="I9" s="280"/>
      <c r="J9" s="279">
        <f>TRUNC((J5+J6+J7+J8),0)</f>
        <v>392029555</v>
      </c>
      <c r="K9" s="280"/>
      <c r="L9" s="279">
        <f>TRUNC((L5+L6+L7+L8),0)</f>
        <v>45083575</v>
      </c>
      <c r="M9" s="279"/>
      <c r="N9" s="279">
        <f>TRUNC((N5+N6+N7+N8),0)</f>
        <v>0</v>
      </c>
      <c r="O9" s="281">
        <f t="shared" si="2"/>
        <v>0</v>
      </c>
      <c r="P9" s="279"/>
      <c r="Q9" s="279">
        <f>TRUNC((Q5+Q6+Q7+Q8),0)</f>
        <v>140129340</v>
      </c>
      <c r="R9" s="281">
        <f t="shared" si="4"/>
        <v>0.14449379829655518</v>
      </c>
      <c r="S9" s="279">
        <f>TRUNC((S5+S6+S7+S8),0)</f>
        <v>14830383</v>
      </c>
      <c r="T9" s="279">
        <f>TRUNC((T5+T6+T7+T8),0)</f>
        <v>110073033</v>
      </c>
      <c r="U9" s="279">
        <f>TRUNC((U5+U6+U7+U8),0)</f>
        <v>15225924</v>
      </c>
      <c r="V9" s="279">
        <f t="shared" si="5"/>
        <v>0</v>
      </c>
      <c r="W9" s="279">
        <f t="shared" si="6"/>
        <v>140129340</v>
      </c>
      <c r="X9" s="281">
        <f t="shared" si="7"/>
        <v>0.14449379829655518</v>
      </c>
      <c r="Y9" s="282"/>
      <c r="Z9" s="384"/>
      <c r="AA9" s="263" t="s">
        <v>2856</v>
      </c>
      <c r="AC9" s="263" t="s">
        <v>2921</v>
      </c>
      <c r="AD9" s="263" t="s">
        <v>2856</v>
      </c>
      <c r="AE9" s="263" t="s">
        <v>2405</v>
      </c>
      <c r="AK9" s="263" t="s">
        <v>2922</v>
      </c>
      <c r="AN9" s="283" t="s">
        <v>298</v>
      </c>
      <c r="AO9" s="284">
        <f>(내역서!J5+내역서!J6+내역서!J7+내역서!J8)</f>
        <v>392029555</v>
      </c>
      <c r="AP9" s="283" t="s">
        <v>1123</v>
      </c>
      <c r="AQ9" s="285">
        <f>$AO9</f>
        <v>392029555</v>
      </c>
      <c r="CB9" s="263">
        <v>0</v>
      </c>
      <c r="CC9" s="263">
        <v>1143751560</v>
      </c>
      <c r="CE9" s="263">
        <v>659615040</v>
      </c>
      <c r="CG9" s="263">
        <v>434748520</v>
      </c>
      <c r="CI9" s="263">
        <v>49388000</v>
      </c>
      <c r="CJ9" s="263" t="s">
        <v>2856</v>
      </c>
    </row>
    <row r="10" spans="1:88" s="235" customFormat="1" ht="20.100000000000001" customHeight="1" x14ac:dyDescent="0.15">
      <c r="A10" s="229" t="s">
        <v>1164</v>
      </c>
      <c r="B10" s="229" t="s">
        <v>2856</v>
      </c>
      <c r="C10" s="230" t="s">
        <v>2856</v>
      </c>
      <c r="D10" s="233"/>
      <c r="E10" s="231">
        <f t="shared" si="1"/>
        <v>0</v>
      </c>
      <c r="F10" s="232">
        <f t="shared" si="0"/>
        <v>0</v>
      </c>
      <c r="G10" s="240"/>
      <c r="H10" s="232">
        <v>0</v>
      </c>
      <c r="I10" s="240"/>
      <c r="J10" s="232">
        <v>0</v>
      </c>
      <c r="K10" s="240"/>
      <c r="L10" s="232">
        <v>0</v>
      </c>
      <c r="M10" s="232"/>
      <c r="N10" s="232"/>
      <c r="O10" s="270">
        <f t="shared" si="2"/>
        <v>0</v>
      </c>
      <c r="P10" s="232"/>
      <c r="Q10" s="232">
        <f t="shared" si="3"/>
        <v>0</v>
      </c>
      <c r="R10" s="270">
        <f t="shared" si="4"/>
        <v>0</v>
      </c>
      <c r="S10" s="233"/>
      <c r="T10" s="233"/>
      <c r="U10" s="233"/>
      <c r="V10" s="232">
        <f t="shared" si="5"/>
        <v>0</v>
      </c>
      <c r="W10" s="232">
        <f t="shared" si="6"/>
        <v>0</v>
      </c>
      <c r="X10" s="270">
        <f t="shared" si="7"/>
        <v>0</v>
      </c>
      <c r="Y10" s="234"/>
      <c r="Z10" s="383"/>
      <c r="AA10" s="235" t="s">
        <v>2856</v>
      </c>
      <c r="AC10" s="235" t="s">
        <v>2923</v>
      </c>
      <c r="AD10" s="235" t="s">
        <v>2856</v>
      </c>
      <c r="AE10" s="235" t="s">
        <v>2856</v>
      </c>
      <c r="AN10" s="237" t="s">
        <v>917</v>
      </c>
      <c r="AO10" s="238">
        <f>(내역서!L5+내역서!L6+내역서!L7+내역서!L8)</f>
        <v>45083575</v>
      </c>
      <c r="AP10" s="237" t="s">
        <v>1546</v>
      </c>
      <c r="AQ10" s="239">
        <f>$AO10</f>
        <v>45083575</v>
      </c>
      <c r="CB10" s="235">
        <v>0</v>
      </c>
      <c r="CC10" s="235">
        <v>0</v>
      </c>
      <c r="CE10" s="235">
        <v>0</v>
      </c>
      <c r="CG10" s="235">
        <v>0</v>
      </c>
      <c r="CI10" s="235">
        <v>0</v>
      </c>
      <c r="CJ10" s="235" t="s">
        <v>2856</v>
      </c>
    </row>
    <row r="11" spans="1:88" s="235" customFormat="1" ht="20.100000000000001" customHeight="1" x14ac:dyDescent="0.15">
      <c r="A11" s="229" t="s">
        <v>2129</v>
      </c>
      <c r="B11" s="229" t="s">
        <v>2856</v>
      </c>
      <c r="C11" s="230" t="s">
        <v>2303</v>
      </c>
      <c r="D11" s="233">
        <v>1</v>
      </c>
      <c r="E11" s="231">
        <f>G11+I11+K11</f>
        <v>185372000</v>
      </c>
      <c r="F11" s="232">
        <f t="shared" si="0"/>
        <v>185372000</v>
      </c>
      <c r="G11" s="231">
        <f>H316</f>
        <v>184377307</v>
      </c>
      <c r="H11" s="232">
        <f>TRUNC(G11*D11,0)</f>
        <v>184377307</v>
      </c>
      <c r="I11" s="231">
        <f>J316</f>
        <v>0</v>
      </c>
      <c r="J11" s="232">
        <f>TRUNC(I11*D11,0)</f>
        <v>0</v>
      </c>
      <c r="K11" s="231">
        <f>L316</f>
        <v>994693</v>
      </c>
      <c r="L11" s="232">
        <f>TRUNC(K11*D11,0)</f>
        <v>994693</v>
      </c>
      <c r="M11" s="232"/>
      <c r="N11" s="232"/>
      <c r="O11" s="270">
        <f t="shared" si="2"/>
        <v>0</v>
      </c>
      <c r="P11" s="232"/>
      <c r="Q11" s="232">
        <f t="shared" si="3"/>
        <v>0</v>
      </c>
      <c r="R11" s="270">
        <f t="shared" si="4"/>
        <v>0</v>
      </c>
      <c r="S11" s="233">
        <f>S316</f>
        <v>0</v>
      </c>
      <c r="T11" s="233">
        <f>T316</f>
        <v>0</v>
      </c>
      <c r="U11" s="233">
        <f>U316</f>
        <v>0</v>
      </c>
      <c r="V11" s="232">
        <f t="shared" si="5"/>
        <v>0</v>
      </c>
      <c r="W11" s="232">
        <f t="shared" si="6"/>
        <v>0</v>
      </c>
      <c r="X11" s="270">
        <f t="shared" si="7"/>
        <v>0</v>
      </c>
      <c r="Y11" s="234"/>
      <c r="Z11" s="383"/>
      <c r="AA11" s="235" t="s">
        <v>2856</v>
      </c>
      <c r="AC11" s="235" t="s">
        <v>2420</v>
      </c>
      <c r="AD11" s="235" t="s">
        <v>1839</v>
      </c>
      <c r="AE11" s="235" t="s">
        <v>2115</v>
      </c>
      <c r="BV11" s="236" t="str">
        <f>HYPERLINK("#내역서!A228","C01 →")</f>
        <v>C01 →</v>
      </c>
      <c r="CB11" s="235">
        <v>234054000</v>
      </c>
      <c r="CC11" s="235">
        <v>234054000</v>
      </c>
      <c r="CD11" s="235">
        <v>232797050</v>
      </c>
      <c r="CE11" s="235">
        <v>232797050</v>
      </c>
      <c r="CF11" s="235">
        <v>0</v>
      </c>
      <c r="CG11" s="235">
        <v>0</v>
      </c>
      <c r="CH11" s="235">
        <v>1256950</v>
      </c>
      <c r="CI11" s="235">
        <v>1256950</v>
      </c>
      <c r="CJ11" s="235" t="s">
        <v>2856</v>
      </c>
    </row>
    <row r="12" spans="1:88" s="235" customFormat="1" ht="20.100000000000001" customHeight="1" x14ac:dyDescent="0.15">
      <c r="A12" s="229" t="s">
        <v>308</v>
      </c>
      <c r="B12" s="229" t="s">
        <v>2856</v>
      </c>
      <c r="C12" s="230" t="s">
        <v>2303</v>
      </c>
      <c r="D12" s="233">
        <v>1</v>
      </c>
      <c r="E12" s="231">
        <f t="shared" si="1"/>
        <v>98338000</v>
      </c>
      <c r="F12" s="232">
        <f t="shared" si="0"/>
        <v>98338000</v>
      </c>
      <c r="G12" s="231">
        <f>H332</f>
        <v>97810000</v>
      </c>
      <c r="H12" s="232">
        <f>TRUNC(G12*D12,0)</f>
        <v>97810000</v>
      </c>
      <c r="I12" s="231">
        <f>J332</f>
        <v>0</v>
      </c>
      <c r="J12" s="232">
        <f>TRUNC(I12*D12,0)</f>
        <v>0</v>
      </c>
      <c r="K12" s="231">
        <f>L332</f>
        <v>528000</v>
      </c>
      <c r="L12" s="232">
        <f>TRUNC(K12*D12,0)</f>
        <v>528000</v>
      </c>
      <c r="M12" s="232"/>
      <c r="N12" s="232"/>
      <c r="O12" s="270">
        <f t="shared" si="2"/>
        <v>0</v>
      </c>
      <c r="P12" s="232"/>
      <c r="Q12" s="232">
        <f t="shared" si="3"/>
        <v>0</v>
      </c>
      <c r="R12" s="270">
        <f t="shared" si="4"/>
        <v>0</v>
      </c>
      <c r="S12" s="233">
        <f>S332</f>
        <v>0</v>
      </c>
      <c r="T12" s="233">
        <f>T332</f>
        <v>0</v>
      </c>
      <c r="U12" s="233">
        <f>U332</f>
        <v>0</v>
      </c>
      <c r="V12" s="232">
        <f t="shared" si="5"/>
        <v>0</v>
      </c>
      <c r="W12" s="232">
        <f t="shared" si="6"/>
        <v>0</v>
      </c>
      <c r="X12" s="270">
        <f t="shared" si="7"/>
        <v>0</v>
      </c>
      <c r="Y12" s="234"/>
      <c r="Z12" s="383"/>
      <c r="AA12" s="235" t="s">
        <v>2856</v>
      </c>
      <c r="AC12" s="235" t="s">
        <v>2924</v>
      </c>
      <c r="AD12" s="235" t="s">
        <v>1839</v>
      </c>
      <c r="AE12" s="235" t="s">
        <v>77</v>
      </c>
      <c r="BV12" s="236" t="str">
        <f>HYPERLINK("#내역서!A242","C02 →")</f>
        <v>C02 →</v>
      </c>
      <c r="CB12" s="235">
        <v>150608000</v>
      </c>
      <c r="CC12" s="235">
        <v>150608000</v>
      </c>
      <c r="CD12" s="235">
        <v>149800000</v>
      </c>
      <c r="CE12" s="235">
        <v>149800000</v>
      </c>
      <c r="CF12" s="235">
        <v>0</v>
      </c>
      <c r="CG12" s="235">
        <v>0</v>
      </c>
      <c r="CH12" s="235">
        <v>808000</v>
      </c>
      <c r="CI12" s="235">
        <v>808000</v>
      </c>
      <c r="CJ12" s="235" t="s">
        <v>2856</v>
      </c>
    </row>
    <row r="13" spans="1:88" s="235" customFormat="1" ht="20.100000000000001" customHeight="1" x14ac:dyDescent="0.15">
      <c r="A13" s="229" t="s">
        <v>1164</v>
      </c>
      <c r="B13" s="229" t="s">
        <v>2856</v>
      </c>
      <c r="C13" s="230" t="s">
        <v>2856</v>
      </c>
      <c r="D13" s="233"/>
      <c r="E13" s="231">
        <f t="shared" si="1"/>
        <v>0</v>
      </c>
      <c r="F13" s="232">
        <f t="shared" si="0"/>
        <v>0</v>
      </c>
      <c r="G13" s="240"/>
      <c r="H13" s="232">
        <v>0</v>
      </c>
      <c r="I13" s="240"/>
      <c r="J13" s="232">
        <v>0</v>
      </c>
      <c r="K13" s="240"/>
      <c r="L13" s="232">
        <v>0</v>
      </c>
      <c r="M13" s="232"/>
      <c r="N13" s="232"/>
      <c r="O13" s="270">
        <f t="shared" si="2"/>
        <v>0</v>
      </c>
      <c r="P13" s="232"/>
      <c r="Q13" s="232">
        <f t="shared" si="3"/>
        <v>0</v>
      </c>
      <c r="R13" s="270">
        <f t="shared" si="4"/>
        <v>0</v>
      </c>
      <c r="S13" s="233"/>
      <c r="T13" s="233"/>
      <c r="U13" s="233"/>
      <c r="V13" s="232">
        <f t="shared" si="5"/>
        <v>0</v>
      </c>
      <c r="W13" s="232">
        <f t="shared" si="6"/>
        <v>0</v>
      </c>
      <c r="X13" s="270">
        <f t="shared" si="7"/>
        <v>0</v>
      </c>
      <c r="Y13" s="234"/>
      <c r="Z13" s="383"/>
      <c r="AA13" s="235" t="s">
        <v>2856</v>
      </c>
      <c r="AC13" s="235" t="s">
        <v>1419</v>
      </c>
      <c r="AD13" s="235" t="s">
        <v>650</v>
      </c>
      <c r="AE13" s="235" t="s">
        <v>2856</v>
      </c>
      <c r="CB13" s="235">
        <v>0</v>
      </c>
      <c r="CC13" s="235">
        <v>0</v>
      </c>
      <c r="CE13" s="235">
        <v>0</v>
      </c>
      <c r="CG13" s="235">
        <v>0</v>
      </c>
      <c r="CI13" s="235">
        <v>0</v>
      </c>
      <c r="CJ13" s="235" t="s">
        <v>2856</v>
      </c>
    </row>
    <row r="14" spans="1:88" s="228" customFormat="1" ht="20.100000000000001" customHeight="1" x14ac:dyDescent="0.15">
      <c r="A14" s="241" t="s">
        <v>2231</v>
      </c>
      <c r="B14" s="241" t="s">
        <v>2856</v>
      </c>
      <c r="C14" s="223" t="s">
        <v>2303</v>
      </c>
      <c r="D14" s="226">
        <v>1</v>
      </c>
      <c r="E14" s="242"/>
      <c r="F14" s="225">
        <f t="shared" si="0"/>
        <v>477770857</v>
      </c>
      <c r="G14" s="242"/>
      <c r="H14" s="225">
        <f>SUM(H15+H101+H206+H220+H235+H250)</f>
        <v>226137202</v>
      </c>
      <c r="I14" s="242"/>
      <c r="J14" s="225">
        <f>SUM(J15+J101+J206+J220+J235+J250)</f>
        <v>221230528</v>
      </c>
      <c r="K14" s="242"/>
      <c r="L14" s="225">
        <f>SUM(L15+L101+L206+L220+L235+L250)</f>
        <v>30403127</v>
      </c>
      <c r="M14" s="225"/>
      <c r="N14" s="225"/>
      <c r="O14" s="269">
        <f t="shared" si="2"/>
        <v>0</v>
      </c>
      <c r="P14" s="225"/>
      <c r="Q14" s="225">
        <f t="shared" si="3"/>
        <v>95721258</v>
      </c>
      <c r="R14" s="269">
        <f t="shared" si="4"/>
        <v>0.20034972120536854</v>
      </c>
      <c r="S14" s="226">
        <f>SUM(S15+S101+S206+S220+S235+S250)</f>
        <v>9136631</v>
      </c>
      <c r="T14" s="226">
        <f>SUM(T15+T101+T206+T220+T235+T250)</f>
        <v>75690614</v>
      </c>
      <c r="U14" s="226">
        <f>SUM(U15+U101+U206+U220+U235+U250)</f>
        <v>10894013</v>
      </c>
      <c r="V14" s="225">
        <f t="shared" si="5"/>
        <v>0</v>
      </c>
      <c r="W14" s="225">
        <f t="shared" si="6"/>
        <v>95721258</v>
      </c>
      <c r="X14" s="269">
        <f t="shared" si="7"/>
        <v>0.20034972120536854</v>
      </c>
      <c r="Y14" s="227"/>
      <c r="Z14" s="382"/>
      <c r="AA14" s="228" t="s">
        <v>2856</v>
      </c>
      <c r="AB14" s="228" t="s">
        <v>2362</v>
      </c>
      <c r="AM14" s="225">
        <f>H16+H18+H20+H21+H22+H23+H24+H25+H26+H27+H29+H30+H31+H32+H34+H35+H36+H37+H38+H39+H40+H46+H49+H50+H51+H52+H53+H54+H55+H56+H57+H58+H59+H60+H62+H64+H65</f>
        <v>249497</v>
      </c>
      <c r="AN14" s="225">
        <f>J16+J18+J20+J21+J22+J23+J24+J25+J26+J27+J29+J30+J31+J32+J34+J35+J36+J37+J38+J39+J40+J46+J49+J50+J51+J52+J53+J54+J55+J56+J57+J58+J59+J60+J62+J64+J65</f>
        <v>14376913</v>
      </c>
      <c r="AO14" s="225">
        <f>L16+L18+L20+L21+L22+L23+L24+L25+L26+L27+L29+L30+L31+L32+L34+L35+L36+L37+L38+L39+L40+L46+L49+L50+L51+L52+L53+L54+L55+L56+L57+L58+L59+L60+L62+L64+L65</f>
        <v>82252</v>
      </c>
      <c r="CC14" s="228">
        <v>543080398</v>
      </c>
      <c r="CE14" s="228">
        <v>266195980</v>
      </c>
      <c r="CG14" s="228">
        <v>243076433</v>
      </c>
      <c r="CI14" s="228">
        <v>33807985</v>
      </c>
      <c r="CJ14" s="228" t="s">
        <v>2856</v>
      </c>
    </row>
    <row r="15" spans="1:88" s="250" customFormat="1" ht="20.100000000000001" customHeight="1" x14ac:dyDescent="0.15">
      <c r="A15" s="243" t="s">
        <v>2925</v>
      </c>
      <c r="B15" s="243" t="s">
        <v>2856</v>
      </c>
      <c r="C15" s="244" t="s">
        <v>2856</v>
      </c>
      <c r="D15" s="248"/>
      <c r="E15" s="245">
        <f t="shared" ref="E15:E53" si="8">G15+I15+K15</f>
        <v>0</v>
      </c>
      <c r="F15" s="246">
        <f t="shared" si="0"/>
        <v>35153353</v>
      </c>
      <c r="G15" s="247"/>
      <c r="H15" s="246">
        <f>SUM(H16:H99)</f>
        <v>702995</v>
      </c>
      <c r="I15" s="247"/>
      <c r="J15" s="246">
        <f>SUM(J16:J99)</f>
        <v>33799710</v>
      </c>
      <c r="K15" s="247"/>
      <c r="L15" s="246">
        <f>SUM(L16:L99)</f>
        <v>650648</v>
      </c>
      <c r="M15" s="246"/>
      <c r="N15" s="246"/>
      <c r="O15" s="271">
        <f t="shared" si="2"/>
        <v>0</v>
      </c>
      <c r="P15" s="246"/>
      <c r="Q15" s="246">
        <f t="shared" si="3"/>
        <v>34629535</v>
      </c>
      <c r="R15" s="271">
        <f t="shared" si="4"/>
        <v>0.98509906010957193</v>
      </c>
      <c r="S15" s="248">
        <f>SUM(S16:S99)</f>
        <v>696460</v>
      </c>
      <c r="T15" s="248">
        <f>SUM(T16:T99)</f>
        <v>33285357</v>
      </c>
      <c r="U15" s="248">
        <f>SUM(U16:U99)</f>
        <v>647718</v>
      </c>
      <c r="V15" s="246">
        <f t="shared" si="5"/>
        <v>0</v>
      </c>
      <c r="W15" s="246">
        <f t="shared" si="6"/>
        <v>34629535</v>
      </c>
      <c r="X15" s="271">
        <f t="shared" si="7"/>
        <v>0.98509906010957193</v>
      </c>
      <c r="Y15" s="249"/>
      <c r="Z15" s="385"/>
      <c r="AA15" s="250" t="s">
        <v>2856</v>
      </c>
      <c r="AC15" s="250" t="s">
        <v>915</v>
      </c>
      <c r="AD15" s="250" t="s">
        <v>2856</v>
      </c>
      <c r="AE15" s="250" t="s">
        <v>2856</v>
      </c>
      <c r="AM15" s="246" t="e">
        <f>H66+H70+H77+H78+H79+H81+H82+#REF!+H88+H90+H102+H103+H104+H105+H106+H108+H109+H110+H111+H112+H113+H114+H115+H116+H117+H118+H119+H120+H121+H122+H123+H124+H125+H126+H127+H128+H129</f>
        <v>#REF!</v>
      </c>
      <c r="AN15" s="246" t="e">
        <f>J66+J70+J77+J78+J79+J81+J82+#REF!+J88+J90+J102+J103+J104+J105+J106+J108+J109+J110+J111+J112+J113+J114+J115+J116+J117+J118+J119+J120+J121+J122+J123+J124+J125+J126+J127+J128+J129</f>
        <v>#REF!</v>
      </c>
      <c r="AO15" s="246" t="e">
        <f>L66+L70+L77+L78+L79+L81+L82+#REF!+L88+L90+L102+L103+L104+L105+L106+L108+L109+L110+L111+L112+L113+L114+L115+L116+L117+L118+L119+L120+L121+L122+L123+L124+L125+L126+L127+L128+L129</f>
        <v>#REF!</v>
      </c>
      <c r="AP15" s="246">
        <f>H16+H18+H20+H21+H22+H23+H24+H25+H26+H27+H29+H30+H31+H32+H34+H35+H36+H37+H38+H39+H40+H46+H49+H50+H51+H52+H53+H54+H55+H56+H57+H58+H59+H60+H62+H64+H65</f>
        <v>249497</v>
      </c>
      <c r="AQ15" s="246">
        <f>J16+J18+J20+J21+J22+J23+J24+J25+J26+J27+J29+J30+J31+J32+J34+J35+J36+J37+J38+J39+J40+J46+J49+J50+J51+J52+J53+J54+J55+J56+J57+J58+J59+J60+J62+J64+J65</f>
        <v>14376913</v>
      </c>
      <c r="AR15" s="246">
        <f>L16+L18+L20+L21+L22+L23+L24+L25+L26+L27+L29+L30+L31+L32+L34+L35+L36+L37+L38+L39+L40+L46+L49+L50+L51+L52+L53+L54+L55+L56+L57+L58+L59+L60+L62+L64+L65</f>
        <v>82252</v>
      </c>
      <c r="CB15" s="250">
        <v>0</v>
      </c>
      <c r="CC15" s="250">
        <v>12809658</v>
      </c>
      <c r="CE15" s="250">
        <v>213560</v>
      </c>
      <c r="CG15" s="250">
        <v>12520920</v>
      </c>
      <c r="CI15" s="250">
        <v>75178</v>
      </c>
      <c r="CJ15" s="250" t="s">
        <v>2856</v>
      </c>
    </row>
    <row r="16" spans="1:88" s="235" customFormat="1" ht="20.100000000000001" customHeight="1" x14ac:dyDescent="0.15">
      <c r="A16" s="229" t="s">
        <v>2926</v>
      </c>
      <c r="B16" s="229" t="s">
        <v>144</v>
      </c>
      <c r="C16" s="230" t="s">
        <v>556</v>
      </c>
      <c r="D16" s="251">
        <v>3</v>
      </c>
      <c r="E16" s="231">
        <f t="shared" si="8"/>
        <v>9854</v>
      </c>
      <c r="F16" s="232">
        <f t="shared" si="0"/>
        <v>29562</v>
      </c>
      <c r="G16" s="231">
        <v>102</v>
      </c>
      <c r="H16" s="232">
        <f t="shared" ref="H16:H47" si="9">TRUNC(G16*D16,0)</f>
        <v>306</v>
      </c>
      <c r="I16" s="231">
        <v>9722</v>
      </c>
      <c r="J16" s="232">
        <f t="shared" ref="J16:J47" si="10">TRUNC(I16*D16,0)</f>
        <v>29166</v>
      </c>
      <c r="K16" s="231">
        <v>30</v>
      </c>
      <c r="L16" s="232">
        <f t="shared" ref="L16:L47" si="11">TRUNC(K16*D16,0)</f>
        <v>90</v>
      </c>
      <c r="M16" s="232"/>
      <c r="N16" s="232"/>
      <c r="O16" s="270">
        <f t="shared" si="2"/>
        <v>0</v>
      </c>
      <c r="P16" s="232">
        <f>D16</f>
        <v>3</v>
      </c>
      <c r="Q16" s="232">
        <f t="shared" si="3"/>
        <v>29562</v>
      </c>
      <c r="R16" s="270">
        <f t="shared" si="4"/>
        <v>1</v>
      </c>
      <c r="S16" s="233">
        <f>TRUNC(G16*$P16,0)</f>
        <v>306</v>
      </c>
      <c r="T16" s="233">
        <f>TRUNC(I16*$P16,0)</f>
        <v>29166</v>
      </c>
      <c r="U16" s="233">
        <f>TRUNC(K16*$P16,0)</f>
        <v>90</v>
      </c>
      <c r="V16" s="232">
        <f t="shared" si="5"/>
        <v>3</v>
      </c>
      <c r="W16" s="232">
        <f t="shared" si="6"/>
        <v>29562</v>
      </c>
      <c r="X16" s="270">
        <f t="shared" si="7"/>
        <v>1</v>
      </c>
      <c r="Y16" s="234"/>
      <c r="Z16" s="383"/>
      <c r="AA16" s="252" t="e">
        <f>E16-#REF!</f>
        <v>#REF!</v>
      </c>
      <c r="AC16" s="235" t="s">
        <v>334</v>
      </c>
      <c r="AD16" s="235" t="s">
        <v>2856</v>
      </c>
      <c r="AE16" s="235" t="s">
        <v>2095</v>
      </c>
      <c r="AG16" s="235" t="s">
        <v>1778</v>
      </c>
      <c r="AM16" s="232">
        <f>H130+H131+H134+H142+H143+H144+H145+H146+H147+H148+H149+H150+H151+H152+H153+H154+H155+H158+H163+H164+H165+H170+H171+H172+H173+H174+H175+H176+H177+H178+H179</f>
        <v>3367835</v>
      </c>
      <c r="AN16" s="232">
        <f>J130+J131+J134+J142+J143+J144+J145+J146+J147+J148+J149+J150+J151+J152+J153+J154+J155+J158+J163+J164+J165+J170+J171+J172+J173+J174+J175+J176+J177+J178+J179</f>
        <v>18262212</v>
      </c>
      <c r="AO16" s="232">
        <f>L130+L131+L134+L142+L143+L144+L145+L146+L147+L148+L149+L150+L151+L152+L153+L154+L155+L158+L163+L164+L165+L170+L171+L172+L173+L174+L175+L176+L177+L178+L179</f>
        <v>4273561</v>
      </c>
      <c r="AP16" s="232" t="e">
        <f>H66+H70+H77+H78+H79+H81+H82+#REF!+H88+H90</f>
        <v>#REF!</v>
      </c>
      <c r="AQ16" s="232" t="e">
        <f>J66+J70+J77+J78+J79+J81+J82+#REF!+J88+J90</f>
        <v>#REF!</v>
      </c>
      <c r="AR16" s="232" t="e">
        <f>L66+L70+L77+L78+L79+L81+L82+#REF!+L88+L90</f>
        <v>#REF!</v>
      </c>
      <c r="BV16" s="236" t="str">
        <f>HYPERLINK("#일위대가목록!A9","HX0020 →")</f>
        <v>HX0020 →</v>
      </c>
      <c r="CB16" s="235">
        <v>11468</v>
      </c>
      <c r="CC16" s="235">
        <v>34404</v>
      </c>
      <c r="CD16" s="235">
        <v>119</v>
      </c>
      <c r="CE16" s="235">
        <v>357</v>
      </c>
      <c r="CF16" s="235">
        <v>11314</v>
      </c>
      <c r="CG16" s="235">
        <v>33942</v>
      </c>
      <c r="CH16" s="235">
        <v>35</v>
      </c>
      <c r="CI16" s="235">
        <v>105</v>
      </c>
      <c r="CJ16" s="235" t="s">
        <v>2573</v>
      </c>
    </row>
    <row r="17" spans="1:88" s="235" customFormat="1" ht="20.100000000000001" customHeight="1" x14ac:dyDescent="0.15">
      <c r="A17" s="229" t="s">
        <v>2926</v>
      </c>
      <c r="B17" s="229" t="s">
        <v>3030</v>
      </c>
      <c r="C17" s="230" t="s">
        <v>556</v>
      </c>
      <c r="D17" s="251">
        <v>3</v>
      </c>
      <c r="E17" s="231">
        <f t="shared" si="8"/>
        <v>51119</v>
      </c>
      <c r="F17" s="232">
        <f>H17+J17+L17</f>
        <v>153357</v>
      </c>
      <c r="G17" s="231">
        <v>799</v>
      </c>
      <c r="H17" s="232">
        <f t="shared" si="9"/>
        <v>2397</v>
      </c>
      <c r="I17" s="231">
        <v>50063</v>
      </c>
      <c r="J17" s="232">
        <f t="shared" si="10"/>
        <v>150189</v>
      </c>
      <c r="K17" s="231">
        <v>257</v>
      </c>
      <c r="L17" s="232">
        <f t="shared" si="11"/>
        <v>771</v>
      </c>
      <c r="M17" s="232"/>
      <c r="N17" s="232"/>
      <c r="O17" s="270">
        <f t="shared" si="2"/>
        <v>0</v>
      </c>
      <c r="P17" s="232">
        <f t="shared" ref="P17:P37" si="12">D17</f>
        <v>3</v>
      </c>
      <c r="Q17" s="232">
        <f t="shared" si="3"/>
        <v>153357</v>
      </c>
      <c r="R17" s="270">
        <f t="shared" si="4"/>
        <v>1</v>
      </c>
      <c r="S17" s="233">
        <f t="shared" ref="S17:S80" si="13">TRUNC(G17*$P17,0)</f>
        <v>2397</v>
      </c>
      <c r="T17" s="233">
        <f t="shared" ref="T17:T80" si="14">TRUNC(I17*$P17,0)</f>
        <v>150189</v>
      </c>
      <c r="U17" s="233">
        <f t="shared" ref="U17:U80" si="15">TRUNC(K17*$P17,0)</f>
        <v>771</v>
      </c>
      <c r="V17" s="232">
        <f t="shared" si="5"/>
        <v>3</v>
      </c>
      <c r="W17" s="232">
        <f t="shared" si="6"/>
        <v>153357</v>
      </c>
      <c r="X17" s="270">
        <f t="shared" si="7"/>
        <v>1</v>
      </c>
      <c r="Y17" s="234"/>
      <c r="Z17" s="383"/>
      <c r="AA17" s="252" t="e">
        <f>E17-#REF!</f>
        <v>#REF!</v>
      </c>
      <c r="AC17" s="235" t="s">
        <v>2471</v>
      </c>
      <c r="AD17" s="235" t="s">
        <v>2856</v>
      </c>
      <c r="AE17" s="235" t="s">
        <v>488</v>
      </c>
      <c r="AG17" s="235" t="s">
        <v>1778</v>
      </c>
      <c r="AM17" s="232">
        <f>H179+H180+H181+H182+H183+H185+H186+H191+H192+H199+H200+H201+H206+H207+H208+H209+H210+H211+H212+H213+H214+H215+H216+H217+H218+H220+H221+H222+H223+H224</f>
        <v>204768025</v>
      </c>
      <c r="AN17" s="232">
        <f>J179+J180+J181+J182+J183+J185+J186+J191+J192+J199+J200+J201+J206+J207+J208+J209+J210+J211+J212+J213+J214+J215+J216+J217+J218+J220+J221+J222+J223+J224</f>
        <v>79858195</v>
      </c>
      <c r="AO17" s="232">
        <f>L179+L180+L181+L182+L183+L185+L186+L191+L192+L199+L200+L201+L206+L207+L208+L209+L210+L211+L212+L213+L214+L215+L216+L217+L218+L220+L221+L222+L223+L224</f>
        <v>4888309</v>
      </c>
      <c r="BV17" s="236" t="str">
        <f>HYPERLINK("#일위대가목록!A10","HX0021 →")</f>
        <v>HX0021 →</v>
      </c>
      <c r="CB17" s="235">
        <v>91691</v>
      </c>
      <c r="CC17" s="235">
        <v>91691</v>
      </c>
      <c r="CD17" s="235">
        <v>1614</v>
      </c>
      <c r="CE17" s="235">
        <v>1614</v>
      </c>
      <c r="CF17" s="235">
        <v>89527</v>
      </c>
      <c r="CG17" s="235">
        <v>89527</v>
      </c>
      <c r="CH17" s="235">
        <v>550</v>
      </c>
      <c r="CI17" s="235">
        <v>550</v>
      </c>
      <c r="CJ17" s="235" t="s">
        <v>1055</v>
      </c>
    </row>
    <row r="18" spans="1:88" s="235" customFormat="1" ht="20.100000000000001" customHeight="1" x14ac:dyDescent="0.15">
      <c r="A18" s="229" t="s">
        <v>2926</v>
      </c>
      <c r="B18" s="229" t="s">
        <v>1831</v>
      </c>
      <c r="C18" s="230" t="s">
        <v>556</v>
      </c>
      <c r="D18" s="251">
        <v>1</v>
      </c>
      <c r="E18" s="231">
        <f t="shared" si="8"/>
        <v>78794</v>
      </c>
      <c r="F18" s="232">
        <f t="shared" si="0"/>
        <v>78794</v>
      </c>
      <c r="G18" s="231">
        <v>1387</v>
      </c>
      <c r="H18" s="232">
        <f t="shared" si="9"/>
        <v>1387</v>
      </c>
      <c r="I18" s="231">
        <v>76935</v>
      </c>
      <c r="J18" s="232">
        <f t="shared" si="10"/>
        <v>76935</v>
      </c>
      <c r="K18" s="231">
        <v>472</v>
      </c>
      <c r="L18" s="232">
        <f t="shared" si="11"/>
        <v>472</v>
      </c>
      <c r="M18" s="232"/>
      <c r="N18" s="232"/>
      <c r="O18" s="270">
        <f t="shared" si="2"/>
        <v>0</v>
      </c>
      <c r="P18" s="232">
        <f t="shared" si="12"/>
        <v>1</v>
      </c>
      <c r="Q18" s="232">
        <f t="shared" si="3"/>
        <v>78794</v>
      </c>
      <c r="R18" s="270">
        <f t="shared" si="4"/>
        <v>1</v>
      </c>
      <c r="S18" s="233">
        <f t="shared" si="13"/>
        <v>1387</v>
      </c>
      <c r="T18" s="233">
        <f t="shared" si="14"/>
        <v>76935</v>
      </c>
      <c r="U18" s="233">
        <f t="shared" si="15"/>
        <v>472</v>
      </c>
      <c r="V18" s="232">
        <f t="shared" si="5"/>
        <v>1</v>
      </c>
      <c r="W18" s="232">
        <f t="shared" si="6"/>
        <v>78794</v>
      </c>
      <c r="X18" s="270">
        <f t="shared" si="7"/>
        <v>1</v>
      </c>
      <c r="Y18" s="234"/>
      <c r="Z18" s="383"/>
      <c r="AA18" s="252" t="e">
        <f>E18-#REF!</f>
        <v>#REF!</v>
      </c>
      <c r="AC18" s="235" t="s">
        <v>2471</v>
      </c>
      <c r="AD18" s="235" t="s">
        <v>2856</v>
      </c>
      <c r="AE18" s="235" t="s">
        <v>488</v>
      </c>
      <c r="AG18" s="235" t="s">
        <v>1778</v>
      </c>
      <c r="AM18" s="232">
        <f>H180+H181+H182+H183+H185+H186+H191+H192+H199+H200+H201+H202+H207+H208+H209+H210+H211+H212+H213+H214+H215+H216+H217+H218+H219+H221+H222+H223+H224+H225</f>
        <v>94483169</v>
      </c>
      <c r="AN18" s="232">
        <f>J180+J181+J182+J183+J185+J186+J191+J192+J199+J200+J201+J202+J207+J208+J209+J210+J211+J212+J213+J214+J215+J216+J217+J218+J219+J221+J222+J223+J224+J225</f>
        <v>31889025</v>
      </c>
      <c r="AO18" s="232">
        <f>L180+L181+L182+L183+L185+L186+L191+L192+L199+L200+L201+L202+L207+L208+L209+L210+L211+L212+L213+L214+L215+L216+L217+L218+L219+L221+L222+L223+L224+L225</f>
        <v>2792988</v>
      </c>
      <c r="BV18" s="236" t="str">
        <f>HYPERLINK("#일위대가목록!A10","HX0021 →")</f>
        <v>HX0021 →</v>
      </c>
      <c r="CB18" s="235">
        <v>91691</v>
      </c>
      <c r="CC18" s="235">
        <v>91691</v>
      </c>
      <c r="CD18" s="235">
        <v>1614</v>
      </c>
      <c r="CE18" s="235">
        <v>1614</v>
      </c>
      <c r="CF18" s="235">
        <v>89527</v>
      </c>
      <c r="CG18" s="235">
        <v>89527</v>
      </c>
      <c r="CH18" s="235">
        <v>550</v>
      </c>
      <c r="CI18" s="235">
        <v>550</v>
      </c>
      <c r="CJ18" s="235" t="s">
        <v>1055</v>
      </c>
    </row>
    <row r="19" spans="1:88" s="235" customFormat="1" ht="20.100000000000001" customHeight="1" x14ac:dyDescent="0.15">
      <c r="A19" s="229" t="s">
        <v>2926</v>
      </c>
      <c r="B19" s="229" t="s">
        <v>3031</v>
      </c>
      <c r="C19" s="230" t="s">
        <v>556</v>
      </c>
      <c r="D19" s="251">
        <v>1</v>
      </c>
      <c r="E19" s="231">
        <f t="shared" si="8"/>
        <v>163535</v>
      </c>
      <c r="F19" s="232">
        <f>H19+J19+L19</f>
        <v>163535</v>
      </c>
      <c r="G19" s="231">
        <v>3068</v>
      </c>
      <c r="H19" s="232">
        <f t="shared" si="9"/>
        <v>3068</v>
      </c>
      <c r="I19" s="231">
        <v>159502</v>
      </c>
      <c r="J19" s="232">
        <f t="shared" si="10"/>
        <v>159502</v>
      </c>
      <c r="K19" s="231">
        <v>965</v>
      </c>
      <c r="L19" s="232">
        <f t="shared" si="11"/>
        <v>965</v>
      </c>
      <c r="M19" s="232"/>
      <c r="N19" s="232"/>
      <c r="O19" s="270">
        <f t="shared" si="2"/>
        <v>0</v>
      </c>
      <c r="P19" s="232">
        <f t="shared" si="12"/>
        <v>1</v>
      </c>
      <c r="Q19" s="232">
        <f t="shared" si="3"/>
        <v>163535</v>
      </c>
      <c r="R19" s="270">
        <f t="shared" si="4"/>
        <v>1</v>
      </c>
      <c r="S19" s="233">
        <f t="shared" si="13"/>
        <v>3068</v>
      </c>
      <c r="T19" s="233">
        <f t="shared" si="14"/>
        <v>159502</v>
      </c>
      <c r="U19" s="233">
        <f t="shared" si="15"/>
        <v>965</v>
      </c>
      <c r="V19" s="232">
        <f t="shared" si="5"/>
        <v>1</v>
      </c>
      <c r="W19" s="232">
        <f t="shared" si="6"/>
        <v>163535</v>
      </c>
      <c r="X19" s="270">
        <f t="shared" si="7"/>
        <v>1</v>
      </c>
      <c r="Y19" s="234"/>
      <c r="Z19" s="383"/>
      <c r="AA19" s="252" t="e">
        <f>E19-#REF!</f>
        <v>#REF!</v>
      </c>
      <c r="AC19" s="235" t="s">
        <v>2247</v>
      </c>
      <c r="AD19" s="235" t="s">
        <v>2856</v>
      </c>
      <c r="AE19" s="235" t="s">
        <v>2715</v>
      </c>
      <c r="AG19" s="235" t="s">
        <v>1778</v>
      </c>
      <c r="BV19" s="236" t="str">
        <f>HYPERLINK("#일위대가목록!A44","HX0055 →")</f>
        <v>HX0055 →</v>
      </c>
      <c r="CB19" s="235">
        <v>190302</v>
      </c>
      <c r="CC19" s="235">
        <v>190302</v>
      </c>
      <c r="CD19" s="235">
        <v>3571</v>
      </c>
      <c r="CE19" s="235">
        <v>3571</v>
      </c>
      <c r="CF19" s="235">
        <v>185607</v>
      </c>
      <c r="CG19" s="235">
        <v>185607</v>
      </c>
      <c r="CH19" s="235">
        <v>1124</v>
      </c>
      <c r="CI19" s="235">
        <v>1124</v>
      </c>
      <c r="CJ19" s="235" t="s">
        <v>2459</v>
      </c>
    </row>
    <row r="20" spans="1:88" s="235" customFormat="1" ht="20.100000000000001" customHeight="1" x14ac:dyDescent="0.15">
      <c r="A20" s="229" t="s">
        <v>2927</v>
      </c>
      <c r="B20" s="229" t="s">
        <v>150</v>
      </c>
      <c r="C20" s="230" t="s">
        <v>556</v>
      </c>
      <c r="D20" s="233">
        <v>15</v>
      </c>
      <c r="E20" s="231">
        <f t="shared" si="8"/>
        <v>146977</v>
      </c>
      <c r="F20" s="232">
        <f t="shared" si="0"/>
        <v>2204655</v>
      </c>
      <c r="G20" s="231">
        <v>2667</v>
      </c>
      <c r="H20" s="232">
        <f t="shared" si="9"/>
        <v>40005</v>
      </c>
      <c r="I20" s="231">
        <v>143492</v>
      </c>
      <c r="J20" s="232">
        <f t="shared" si="10"/>
        <v>2152380</v>
      </c>
      <c r="K20" s="231">
        <v>818</v>
      </c>
      <c r="L20" s="232">
        <f t="shared" si="11"/>
        <v>12270</v>
      </c>
      <c r="M20" s="232"/>
      <c r="N20" s="232"/>
      <c r="O20" s="270">
        <f t="shared" si="2"/>
        <v>0</v>
      </c>
      <c r="P20" s="232">
        <f t="shared" si="12"/>
        <v>15</v>
      </c>
      <c r="Q20" s="232">
        <f t="shared" si="3"/>
        <v>2204655</v>
      </c>
      <c r="R20" s="270">
        <f t="shared" si="4"/>
        <v>1</v>
      </c>
      <c r="S20" s="233">
        <f t="shared" si="13"/>
        <v>40005</v>
      </c>
      <c r="T20" s="233">
        <f t="shared" si="14"/>
        <v>2152380</v>
      </c>
      <c r="U20" s="233">
        <f t="shared" si="15"/>
        <v>12270</v>
      </c>
      <c r="V20" s="232">
        <f t="shared" si="5"/>
        <v>15</v>
      </c>
      <c r="W20" s="232">
        <f t="shared" si="6"/>
        <v>2204655</v>
      </c>
      <c r="X20" s="270">
        <f t="shared" si="7"/>
        <v>1</v>
      </c>
      <c r="Y20" s="234"/>
      <c r="Z20" s="383"/>
      <c r="AA20" s="252" t="e">
        <f>E20-#REF!</f>
        <v>#REF!</v>
      </c>
      <c r="AC20" s="235" t="s">
        <v>1741</v>
      </c>
      <c r="AD20" s="235" t="s">
        <v>2856</v>
      </c>
      <c r="AE20" s="235" t="s">
        <v>1673</v>
      </c>
      <c r="AG20" s="235" t="s">
        <v>1778</v>
      </c>
      <c r="AM20" s="232">
        <f>H226+H227+H228+H229+H230+H231+H232+H233+H234+H236+H237+H238+H239+H240+H241+H242+H243+H244+H245+H246+H247+H248+H249+H251+H252+H253+H254</f>
        <v>112549125</v>
      </c>
      <c r="AN20" s="232">
        <f>J226+J227+J228+J229+J230+J231+J232+J233+J234+J236+J237+J238+J239+J240+J241+J242+J243+J244+J245+J246+J247+J248+J249+J251+J252+J253+J254</f>
        <v>47910404</v>
      </c>
      <c r="AO20" s="232">
        <f>L226+L227+L228+L229+L230+L231+L232+L233+L234+L236+L237+L238+L239+L240+L241+L242+L243+L244+L245+L246+L247+L248+L249+L251+L252+L253+L254</f>
        <v>0</v>
      </c>
      <c r="BV20" s="236" t="str">
        <f>HYPERLINK("#일위대가목록!A11","HX0022 →")</f>
        <v>HX0022 →</v>
      </c>
      <c r="CB20" s="235">
        <v>171033</v>
      </c>
      <c r="CC20" s="235">
        <v>342066</v>
      </c>
      <c r="CD20" s="235">
        <v>3104</v>
      </c>
      <c r="CE20" s="235">
        <v>6208</v>
      </c>
      <c r="CF20" s="235">
        <v>166977</v>
      </c>
      <c r="CG20" s="235">
        <v>333954</v>
      </c>
      <c r="CH20" s="235">
        <v>952</v>
      </c>
      <c r="CI20" s="235">
        <v>1904</v>
      </c>
      <c r="CJ20" s="235" t="s">
        <v>2258</v>
      </c>
    </row>
    <row r="21" spans="1:88" s="235" customFormat="1" ht="20.100000000000001" customHeight="1" x14ac:dyDescent="0.15">
      <c r="A21" s="229" t="s">
        <v>2927</v>
      </c>
      <c r="B21" s="229" t="s">
        <v>2079</v>
      </c>
      <c r="C21" s="230" t="s">
        <v>556</v>
      </c>
      <c r="D21" s="233">
        <v>17</v>
      </c>
      <c r="E21" s="231">
        <f t="shared" si="8"/>
        <v>42303</v>
      </c>
      <c r="F21" s="232">
        <f t="shared" si="0"/>
        <v>719151</v>
      </c>
      <c r="G21" s="231">
        <v>640</v>
      </c>
      <c r="H21" s="232">
        <f t="shared" si="9"/>
        <v>10880</v>
      </c>
      <c r="I21" s="231">
        <v>41457</v>
      </c>
      <c r="J21" s="232">
        <f t="shared" si="10"/>
        <v>704769</v>
      </c>
      <c r="K21" s="231">
        <v>206</v>
      </c>
      <c r="L21" s="232">
        <f t="shared" si="11"/>
        <v>3502</v>
      </c>
      <c r="M21" s="232"/>
      <c r="N21" s="232"/>
      <c r="O21" s="270">
        <f t="shared" si="2"/>
        <v>0</v>
      </c>
      <c r="P21" s="232">
        <f t="shared" si="12"/>
        <v>17</v>
      </c>
      <c r="Q21" s="232">
        <f t="shared" si="3"/>
        <v>719151</v>
      </c>
      <c r="R21" s="270">
        <f t="shared" si="4"/>
        <v>1</v>
      </c>
      <c r="S21" s="233">
        <f t="shared" si="13"/>
        <v>10880</v>
      </c>
      <c r="T21" s="233">
        <f t="shared" si="14"/>
        <v>704769</v>
      </c>
      <c r="U21" s="233">
        <f t="shared" si="15"/>
        <v>3502</v>
      </c>
      <c r="V21" s="232">
        <f t="shared" si="5"/>
        <v>17</v>
      </c>
      <c r="W21" s="232">
        <f t="shared" si="6"/>
        <v>719151</v>
      </c>
      <c r="X21" s="270">
        <f t="shared" si="7"/>
        <v>1</v>
      </c>
      <c r="Y21" s="234"/>
      <c r="Z21" s="383"/>
      <c r="AA21" s="252" t="e">
        <f>E21-#REF!</f>
        <v>#REF!</v>
      </c>
      <c r="AC21" s="235" t="s">
        <v>1036</v>
      </c>
      <c r="AD21" s="235" t="s">
        <v>2856</v>
      </c>
      <c r="AE21" s="235" t="s">
        <v>16</v>
      </c>
      <c r="AG21" s="235" t="s">
        <v>1778</v>
      </c>
      <c r="BV21" s="236" t="str">
        <f>HYPERLINK("#일위대가목록!A12","HX0023 →")</f>
        <v>HX0023 →</v>
      </c>
      <c r="CB21" s="235">
        <v>49228</v>
      </c>
      <c r="CC21" s="235">
        <v>886104</v>
      </c>
      <c r="CD21" s="235">
        <v>745</v>
      </c>
      <c r="CE21" s="235">
        <v>13410</v>
      </c>
      <c r="CF21" s="235">
        <v>48243</v>
      </c>
      <c r="CG21" s="235">
        <v>868374</v>
      </c>
      <c r="CH21" s="235">
        <v>240</v>
      </c>
      <c r="CI21" s="235">
        <v>4320</v>
      </c>
      <c r="CJ21" s="235" t="s">
        <v>1189</v>
      </c>
    </row>
    <row r="22" spans="1:88" s="235" customFormat="1" ht="20.100000000000001" customHeight="1" x14ac:dyDescent="0.15">
      <c r="A22" s="229" t="s">
        <v>2927</v>
      </c>
      <c r="B22" s="229" t="s">
        <v>2097</v>
      </c>
      <c r="C22" s="230" t="s">
        <v>556</v>
      </c>
      <c r="D22" s="233">
        <v>25</v>
      </c>
      <c r="E22" s="231">
        <f t="shared" si="8"/>
        <v>78644</v>
      </c>
      <c r="F22" s="232">
        <f t="shared" si="0"/>
        <v>1966100</v>
      </c>
      <c r="G22" s="231">
        <v>1360</v>
      </c>
      <c r="H22" s="232">
        <f t="shared" si="9"/>
        <v>34000</v>
      </c>
      <c r="I22" s="231">
        <v>76846</v>
      </c>
      <c r="J22" s="232">
        <f t="shared" si="10"/>
        <v>1921150</v>
      </c>
      <c r="K22" s="231">
        <v>438</v>
      </c>
      <c r="L22" s="232">
        <f t="shared" si="11"/>
        <v>10950</v>
      </c>
      <c r="M22" s="232"/>
      <c r="N22" s="232"/>
      <c r="O22" s="270">
        <f t="shared" si="2"/>
        <v>0</v>
      </c>
      <c r="P22" s="232">
        <f t="shared" si="12"/>
        <v>25</v>
      </c>
      <c r="Q22" s="232">
        <f t="shared" si="3"/>
        <v>1966100</v>
      </c>
      <c r="R22" s="270">
        <f t="shared" si="4"/>
        <v>1</v>
      </c>
      <c r="S22" s="233">
        <f t="shared" si="13"/>
        <v>34000</v>
      </c>
      <c r="T22" s="233">
        <f t="shared" si="14"/>
        <v>1921150</v>
      </c>
      <c r="U22" s="233">
        <f t="shared" si="15"/>
        <v>10950</v>
      </c>
      <c r="V22" s="232">
        <f t="shared" si="5"/>
        <v>25</v>
      </c>
      <c r="W22" s="232">
        <f t="shared" si="6"/>
        <v>1966100</v>
      </c>
      <c r="X22" s="270">
        <f t="shared" si="7"/>
        <v>1</v>
      </c>
      <c r="Y22" s="234"/>
      <c r="Z22" s="383"/>
      <c r="AA22" s="252" t="e">
        <f>E22-#REF!</f>
        <v>#REF!</v>
      </c>
      <c r="AC22" s="235" t="s">
        <v>286</v>
      </c>
      <c r="AD22" s="235" t="s">
        <v>2856</v>
      </c>
      <c r="AE22" s="235" t="s">
        <v>1818</v>
      </c>
      <c r="AG22" s="235" t="s">
        <v>1778</v>
      </c>
      <c r="BV22" s="236" t="str">
        <f>HYPERLINK("#일위대가목록!A13","HX0024 →")</f>
        <v>HX0024 →</v>
      </c>
      <c r="CB22" s="235">
        <v>91516</v>
      </c>
      <c r="CC22" s="235">
        <v>640612</v>
      </c>
      <c r="CD22" s="235">
        <v>1583</v>
      </c>
      <c r="CE22" s="235">
        <v>11081</v>
      </c>
      <c r="CF22" s="235">
        <v>89423</v>
      </c>
      <c r="CG22" s="235">
        <v>625961</v>
      </c>
      <c r="CH22" s="235">
        <v>510</v>
      </c>
      <c r="CI22" s="235">
        <v>3570</v>
      </c>
      <c r="CJ22" s="235" t="s">
        <v>2852</v>
      </c>
    </row>
    <row r="23" spans="1:88" s="235" customFormat="1" ht="20.100000000000001" customHeight="1" x14ac:dyDescent="0.15">
      <c r="A23" s="229" t="s">
        <v>2927</v>
      </c>
      <c r="B23" s="229" t="s">
        <v>1581</v>
      </c>
      <c r="C23" s="230" t="s">
        <v>556</v>
      </c>
      <c r="D23" s="233">
        <v>12</v>
      </c>
      <c r="E23" s="231">
        <f t="shared" si="8"/>
        <v>51321</v>
      </c>
      <c r="F23" s="232">
        <f t="shared" si="0"/>
        <v>615852</v>
      </c>
      <c r="G23" s="231">
        <v>835</v>
      </c>
      <c r="H23" s="232">
        <f t="shared" si="9"/>
        <v>10020</v>
      </c>
      <c r="I23" s="231">
        <v>50182</v>
      </c>
      <c r="J23" s="232">
        <f t="shared" si="10"/>
        <v>602184</v>
      </c>
      <c r="K23" s="231">
        <v>304</v>
      </c>
      <c r="L23" s="232">
        <f t="shared" si="11"/>
        <v>3648</v>
      </c>
      <c r="M23" s="232"/>
      <c r="N23" s="232"/>
      <c r="O23" s="270">
        <f t="shared" si="2"/>
        <v>0</v>
      </c>
      <c r="P23" s="232">
        <f t="shared" si="12"/>
        <v>12</v>
      </c>
      <c r="Q23" s="232">
        <f t="shared" si="3"/>
        <v>615852</v>
      </c>
      <c r="R23" s="270">
        <f t="shared" si="4"/>
        <v>1</v>
      </c>
      <c r="S23" s="233">
        <f t="shared" si="13"/>
        <v>10020</v>
      </c>
      <c r="T23" s="233">
        <f t="shared" si="14"/>
        <v>602184</v>
      </c>
      <c r="U23" s="233">
        <f t="shared" si="15"/>
        <v>3648</v>
      </c>
      <c r="V23" s="232">
        <f t="shared" si="5"/>
        <v>12</v>
      </c>
      <c r="W23" s="232">
        <f t="shared" si="6"/>
        <v>615852</v>
      </c>
      <c r="X23" s="270">
        <f t="shared" si="7"/>
        <v>1</v>
      </c>
      <c r="Y23" s="234"/>
      <c r="Z23" s="383"/>
      <c r="AA23" s="252" t="e">
        <f>E23-#REF!</f>
        <v>#REF!</v>
      </c>
      <c r="AC23" s="235" t="s">
        <v>2428</v>
      </c>
      <c r="AD23" s="235" t="s">
        <v>2856</v>
      </c>
      <c r="AE23" s="235" t="s">
        <v>578</v>
      </c>
      <c r="AG23" s="235" t="s">
        <v>1778</v>
      </c>
      <c r="BV23" s="236" t="str">
        <f>HYPERLINK("#일위대가목록!A14","HX0025 →")</f>
        <v>HX0025 →</v>
      </c>
      <c r="CB23" s="235">
        <v>59722</v>
      </c>
      <c r="CC23" s="235">
        <v>716664</v>
      </c>
      <c r="CD23" s="235">
        <v>972</v>
      </c>
      <c r="CE23" s="235">
        <v>11664</v>
      </c>
      <c r="CF23" s="235">
        <v>58396</v>
      </c>
      <c r="CG23" s="235">
        <v>700752</v>
      </c>
      <c r="CH23" s="235">
        <v>354</v>
      </c>
      <c r="CI23" s="235">
        <v>4248</v>
      </c>
      <c r="CJ23" s="235" t="s">
        <v>765</v>
      </c>
    </row>
    <row r="24" spans="1:88" s="235" customFormat="1" ht="20.100000000000001" customHeight="1" x14ac:dyDescent="0.15">
      <c r="A24" s="229" t="s">
        <v>2927</v>
      </c>
      <c r="B24" s="229" t="s">
        <v>1816</v>
      </c>
      <c r="C24" s="230" t="s">
        <v>556</v>
      </c>
      <c r="D24" s="233">
        <v>21</v>
      </c>
      <c r="E24" s="231">
        <f t="shared" si="8"/>
        <v>51119</v>
      </c>
      <c r="F24" s="232">
        <f t="shared" si="0"/>
        <v>1073499</v>
      </c>
      <c r="G24" s="231">
        <v>799</v>
      </c>
      <c r="H24" s="232">
        <f t="shared" si="9"/>
        <v>16779</v>
      </c>
      <c r="I24" s="231">
        <v>50063</v>
      </c>
      <c r="J24" s="232">
        <f t="shared" si="10"/>
        <v>1051323</v>
      </c>
      <c r="K24" s="231">
        <v>257</v>
      </c>
      <c r="L24" s="232">
        <f t="shared" si="11"/>
        <v>5397</v>
      </c>
      <c r="M24" s="232"/>
      <c r="N24" s="232"/>
      <c r="O24" s="270">
        <f t="shared" si="2"/>
        <v>0</v>
      </c>
      <c r="P24" s="232">
        <f t="shared" si="12"/>
        <v>21</v>
      </c>
      <c r="Q24" s="232">
        <f t="shared" si="3"/>
        <v>1073499</v>
      </c>
      <c r="R24" s="270">
        <f t="shared" si="4"/>
        <v>1</v>
      </c>
      <c r="S24" s="233">
        <f t="shared" si="13"/>
        <v>16779</v>
      </c>
      <c r="T24" s="233">
        <f t="shared" si="14"/>
        <v>1051323</v>
      </c>
      <c r="U24" s="233">
        <f t="shared" si="15"/>
        <v>5397</v>
      </c>
      <c r="V24" s="232">
        <f t="shared" si="5"/>
        <v>21</v>
      </c>
      <c r="W24" s="232">
        <f t="shared" si="6"/>
        <v>1073499</v>
      </c>
      <c r="X24" s="270">
        <f t="shared" si="7"/>
        <v>1</v>
      </c>
      <c r="Y24" s="234"/>
      <c r="Z24" s="383"/>
      <c r="AA24" s="252" t="e">
        <f>E24-#REF!</f>
        <v>#REF!</v>
      </c>
      <c r="AC24" s="235" t="s">
        <v>983</v>
      </c>
      <c r="AD24" s="235" t="s">
        <v>2856</v>
      </c>
      <c r="AE24" s="235" t="s">
        <v>1578</v>
      </c>
      <c r="AG24" s="235" t="s">
        <v>1778</v>
      </c>
      <c r="BV24" s="236" t="str">
        <f>HYPERLINK("#일위대가목록!A15","HX0026 →")</f>
        <v>HX0026 →</v>
      </c>
      <c r="CB24" s="235">
        <v>59487</v>
      </c>
      <c r="CC24" s="235">
        <v>237948</v>
      </c>
      <c r="CD24" s="235">
        <v>930</v>
      </c>
      <c r="CE24" s="235">
        <v>3720</v>
      </c>
      <c r="CF24" s="235">
        <v>58257</v>
      </c>
      <c r="CG24" s="235">
        <v>233028</v>
      </c>
      <c r="CH24" s="235">
        <v>300</v>
      </c>
      <c r="CI24" s="235">
        <v>1200</v>
      </c>
      <c r="CJ24" s="235" t="s">
        <v>2352</v>
      </c>
    </row>
    <row r="25" spans="1:88" s="235" customFormat="1" ht="20.100000000000001" customHeight="1" x14ac:dyDescent="0.15">
      <c r="A25" s="229" t="s">
        <v>2927</v>
      </c>
      <c r="B25" s="229" t="s">
        <v>2659</v>
      </c>
      <c r="C25" s="230" t="s">
        <v>556</v>
      </c>
      <c r="D25" s="233">
        <v>31</v>
      </c>
      <c r="E25" s="231">
        <f t="shared" si="8"/>
        <v>30359</v>
      </c>
      <c r="F25" s="232">
        <f t="shared" si="0"/>
        <v>941129</v>
      </c>
      <c r="G25" s="231">
        <v>421</v>
      </c>
      <c r="H25" s="232">
        <f t="shared" si="9"/>
        <v>13051</v>
      </c>
      <c r="I25" s="231">
        <v>29805</v>
      </c>
      <c r="J25" s="232">
        <f t="shared" si="10"/>
        <v>923955</v>
      </c>
      <c r="K25" s="231">
        <v>133</v>
      </c>
      <c r="L25" s="232">
        <f t="shared" si="11"/>
        <v>4123</v>
      </c>
      <c r="M25" s="232"/>
      <c r="N25" s="232"/>
      <c r="O25" s="270">
        <f t="shared" si="2"/>
        <v>0</v>
      </c>
      <c r="P25" s="232">
        <f t="shared" si="12"/>
        <v>31</v>
      </c>
      <c r="Q25" s="232">
        <f t="shared" si="3"/>
        <v>941129</v>
      </c>
      <c r="R25" s="270">
        <f t="shared" si="4"/>
        <v>1</v>
      </c>
      <c r="S25" s="233">
        <f t="shared" si="13"/>
        <v>13051</v>
      </c>
      <c r="T25" s="233">
        <f t="shared" si="14"/>
        <v>923955</v>
      </c>
      <c r="U25" s="233">
        <f t="shared" si="15"/>
        <v>4123</v>
      </c>
      <c r="V25" s="232">
        <f t="shared" si="5"/>
        <v>31</v>
      </c>
      <c r="W25" s="232">
        <f t="shared" si="6"/>
        <v>941129</v>
      </c>
      <c r="X25" s="270">
        <f t="shared" si="7"/>
        <v>1</v>
      </c>
      <c r="Y25" s="234"/>
      <c r="Z25" s="383"/>
      <c r="AA25" s="252" t="e">
        <f>E25-#REF!</f>
        <v>#REF!</v>
      </c>
      <c r="AC25" s="235" t="s">
        <v>241</v>
      </c>
      <c r="AD25" s="235" t="s">
        <v>2856</v>
      </c>
      <c r="AE25" s="235" t="s">
        <v>278</v>
      </c>
      <c r="AG25" s="235" t="s">
        <v>1778</v>
      </c>
      <c r="BV25" s="236" t="str">
        <f>HYPERLINK("#일위대가목록!A16","HX0027 →")</f>
        <v>HX0027 →</v>
      </c>
      <c r="CB25" s="235">
        <v>35329</v>
      </c>
      <c r="CC25" s="235">
        <v>529935</v>
      </c>
      <c r="CD25" s="235">
        <v>490</v>
      </c>
      <c r="CE25" s="235">
        <v>7350</v>
      </c>
      <c r="CF25" s="235">
        <v>34684</v>
      </c>
      <c r="CG25" s="235">
        <v>520260</v>
      </c>
      <c r="CH25" s="235">
        <v>155</v>
      </c>
      <c r="CI25" s="235">
        <v>2325</v>
      </c>
      <c r="CJ25" s="235" t="s">
        <v>729</v>
      </c>
    </row>
    <row r="26" spans="1:88" s="235" customFormat="1" ht="20.100000000000001" customHeight="1" x14ac:dyDescent="0.15">
      <c r="A26" s="229" t="s">
        <v>2927</v>
      </c>
      <c r="B26" s="229" t="s">
        <v>2586</v>
      </c>
      <c r="C26" s="230" t="s">
        <v>556</v>
      </c>
      <c r="D26" s="233">
        <v>0</v>
      </c>
      <c r="E26" s="231"/>
      <c r="F26" s="232"/>
      <c r="G26" s="231"/>
      <c r="H26" s="232"/>
      <c r="I26" s="231"/>
      <c r="J26" s="232"/>
      <c r="K26" s="231"/>
      <c r="L26" s="232"/>
      <c r="M26" s="232"/>
      <c r="N26" s="232"/>
      <c r="O26" s="270">
        <f t="shared" si="2"/>
        <v>0</v>
      </c>
      <c r="P26" s="232">
        <f t="shared" si="12"/>
        <v>0</v>
      </c>
      <c r="Q26" s="232">
        <f t="shared" si="3"/>
        <v>0</v>
      </c>
      <c r="R26" s="270">
        <f t="shared" si="4"/>
        <v>0</v>
      </c>
      <c r="S26" s="233">
        <f t="shared" si="13"/>
        <v>0</v>
      </c>
      <c r="T26" s="233">
        <f t="shared" si="14"/>
        <v>0</v>
      </c>
      <c r="U26" s="233">
        <f t="shared" si="15"/>
        <v>0</v>
      </c>
      <c r="V26" s="232">
        <f t="shared" si="5"/>
        <v>0</v>
      </c>
      <c r="W26" s="232">
        <f t="shared" si="6"/>
        <v>0</v>
      </c>
      <c r="X26" s="270">
        <f t="shared" si="7"/>
        <v>0</v>
      </c>
      <c r="Y26" s="234"/>
      <c r="Z26" s="383"/>
      <c r="AA26" s="252" t="e">
        <f>E26-#REF!</f>
        <v>#REF!</v>
      </c>
      <c r="AC26" s="235" t="s">
        <v>954</v>
      </c>
      <c r="AD26" s="235" t="s">
        <v>2856</v>
      </c>
      <c r="AE26" s="235" t="s">
        <v>1528</v>
      </c>
      <c r="AG26" s="235" t="s">
        <v>1778</v>
      </c>
      <c r="BV26" s="236" t="str">
        <f>HYPERLINK("#일위대가목록!A17","HX0028 →")</f>
        <v>HX0028 →</v>
      </c>
      <c r="CB26" s="235">
        <v>49228</v>
      </c>
      <c r="CC26" s="235">
        <v>1624524</v>
      </c>
      <c r="CD26" s="235">
        <v>745</v>
      </c>
      <c r="CE26" s="235">
        <v>24585</v>
      </c>
      <c r="CF26" s="235">
        <v>48243</v>
      </c>
      <c r="CG26" s="235">
        <v>1592019</v>
      </c>
      <c r="CH26" s="235">
        <v>240</v>
      </c>
      <c r="CI26" s="235">
        <v>7920</v>
      </c>
      <c r="CJ26" s="235" t="s">
        <v>2363</v>
      </c>
    </row>
    <row r="27" spans="1:88" s="235" customFormat="1" ht="20.100000000000001" customHeight="1" x14ac:dyDescent="0.15">
      <c r="A27" s="229" t="s">
        <v>2927</v>
      </c>
      <c r="B27" s="229" t="s">
        <v>1281</v>
      </c>
      <c r="C27" s="230" t="s">
        <v>556</v>
      </c>
      <c r="D27" s="233"/>
      <c r="E27" s="231"/>
      <c r="F27" s="232"/>
      <c r="G27" s="231"/>
      <c r="H27" s="232"/>
      <c r="I27" s="231"/>
      <c r="J27" s="232"/>
      <c r="K27" s="231"/>
      <c r="L27" s="232"/>
      <c r="M27" s="232"/>
      <c r="N27" s="232"/>
      <c r="O27" s="270">
        <f t="shared" si="2"/>
        <v>0</v>
      </c>
      <c r="P27" s="232">
        <f t="shared" si="12"/>
        <v>0</v>
      </c>
      <c r="Q27" s="232">
        <f t="shared" si="3"/>
        <v>0</v>
      </c>
      <c r="R27" s="270">
        <f t="shared" si="4"/>
        <v>0</v>
      </c>
      <c r="S27" s="233">
        <f t="shared" si="13"/>
        <v>0</v>
      </c>
      <c r="T27" s="233">
        <f t="shared" si="14"/>
        <v>0</v>
      </c>
      <c r="U27" s="233">
        <f t="shared" si="15"/>
        <v>0</v>
      </c>
      <c r="V27" s="232">
        <f t="shared" si="5"/>
        <v>0</v>
      </c>
      <c r="W27" s="232">
        <f t="shared" si="6"/>
        <v>0</v>
      </c>
      <c r="X27" s="270">
        <f t="shared" si="7"/>
        <v>0</v>
      </c>
      <c r="Y27" s="234"/>
      <c r="Z27" s="383"/>
      <c r="AA27" s="252" t="e">
        <f>E27-#REF!</f>
        <v>#REF!</v>
      </c>
      <c r="AC27" s="235" t="s">
        <v>1677</v>
      </c>
      <c r="AD27" s="235" t="s">
        <v>2856</v>
      </c>
      <c r="AE27" s="235" t="s">
        <v>340</v>
      </c>
      <c r="AG27" s="235" t="s">
        <v>1778</v>
      </c>
      <c r="BV27" s="236" t="str">
        <f>HYPERLINK("#일위대가목록!A18","HX0029 →")</f>
        <v>HX0029 →</v>
      </c>
      <c r="CB27" s="235">
        <v>35329</v>
      </c>
      <c r="CC27" s="235">
        <v>388619</v>
      </c>
      <c r="CD27" s="235">
        <v>490</v>
      </c>
      <c r="CE27" s="235">
        <v>5390</v>
      </c>
      <c r="CF27" s="235">
        <v>34684</v>
      </c>
      <c r="CG27" s="235">
        <v>381524</v>
      </c>
      <c r="CH27" s="235">
        <v>155</v>
      </c>
      <c r="CI27" s="235">
        <v>1705</v>
      </c>
      <c r="CJ27" s="235" t="s">
        <v>1207</v>
      </c>
    </row>
    <row r="28" spans="1:88" s="235" customFormat="1" ht="20.100000000000001" customHeight="1" x14ac:dyDescent="0.15">
      <c r="A28" s="229" t="s">
        <v>2927</v>
      </c>
      <c r="B28" s="229" t="s">
        <v>3166</v>
      </c>
      <c r="C28" s="230" t="s">
        <v>556</v>
      </c>
      <c r="D28" s="233">
        <v>22</v>
      </c>
      <c r="E28" s="231">
        <f>G28+I28+K28</f>
        <v>24608</v>
      </c>
      <c r="F28" s="232">
        <f>H28+J28+L28</f>
        <v>541376</v>
      </c>
      <c r="G28" s="231">
        <v>302</v>
      </c>
      <c r="H28" s="232">
        <f t="shared" si="9"/>
        <v>6644</v>
      </c>
      <c r="I28" s="231">
        <v>24216</v>
      </c>
      <c r="J28" s="232">
        <f t="shared" si="10"/>
        <v>532752</v>
      </c>
      <c r="K28" s="231">
        <v>90</v>
      </c>
      <c r="L28" s="232">
        <f t="shared" si="11"/>
        <v>1980</v>
      </c>
      <c r="M28" s="232"/>
      <c r="N28" s="232"/>
      <c r="O28" s="270">
        <f t="shared" si="2"/>
        <v>0</v>
      </c>
      <c r="P28" s="232">
        <f t="shared" si="12"/>
        <v>22</v>
      </c>
      <c r="Q28" s="232">
        <f t="shared" si="3"/>
        <v>541376</v>
      </c>
      <c r="R28" s="270">
        <f t="shared" si="4"/>
        <v>1</v>
      </c>
      <c r="S28" s="233">
        <f t="shared" si="13"/>
        <v>6644</v>
      </c>
      <c r="T28" s="233">
        <f t="shared" si="14"/>
        <v>532752</v>
      </c>
      <c r="U28" s="233">
        <f t="shared" si="15"/>
        <v>1980</v>
      </c>
      <c r="V28" s="232">
        <f t="shared" si="5"/>
        <v>22</v>
      </c>
      <c r="W28" s="232">
        <f t="shared" si="6"/>
        <v>541376</v>
      </c>
      <c r="X28" s="270">
        <f t="shared" si="7"/>
        <v>1</v>
      </c>
      <c r="Y28" s="234"/>
      <c r="Z28" s="383"/>
      <c r="AA28" s="252" t="e">
        <f>E28-#REF!</f>
        <v>#REF!</v>
      </c>
      <c r="AC28" s="235" t="s">
        <v>1677</v>
      </c>
      <c r="AD28" s="235" t="s">
        <v>2856</v>
      </c>
      <c r="AE28" s="235" t="s">
        <v>340</v>
      </c>
      <c r="AG28" s="235" t="s">
        <v>1778</v>
      </c>
      <c r="BV28" s="236" t="str">
        <f>HYPERLINK("#일위대가목록!A18","HX0029 →")</f>
        <v>HX0029 →</v>
      </c>
      <c r="CB28" s="235">
        <v>35329</v>
      </c>
      <c r="CC28" s="235">
        <v>388619</v>
      </c>
      <c r="CD28" s="235">
        <v>490</v>
      </c>
      <c r="CE28" s="235">
        <v>5390</v>
      </c>
      <c r="CF28" s="235">
        <v>34684</v>
      </c>
      <c r="CG28" s="235">
        <v>381524</v>
      </c>
      <c r="CH28" s="235">
        <v>155</v>
      </c>
      <c r="CI28" s="235">
        <v>1705</v>
      </c>
      <c r="CJ28" s="235" t="s">
        <v>1207</v>
      </c>
    </row>
    <row r="29" spans="1:88" s="235" customFormat="1" ht="20.100000000000001" customHeight="1" x14ac:dyDescent="0.15">
      <c r="A29" s="229" t="s">
        <v>2928</v>
      </c>
      <c r="B29" s="229" t="s">
        <v>490</v>
      </c>
      <c r="C29" s="230" t="s">
        <v>556</v>
      </c>
      <c r="D29" s="233">
        <v>0</v>
      </c>
      <c r="E29" s="231">
        <f t="shared" si="8"/>
        <v>0</v>
      </c>
      <c r="F29" s="232">
        <f t="shared" si="0"/>
        <v>0</v>
      </c>
      <c r="G29" s="231"/>
      <c r="H29" s="232"/>
      <c r="I29" s="231"/>
      <c r="J29" s="232"/>
      <c r="K29" s="231"/>
      <c r="L29" s="232"/>
      <c r="M29" s="232"/>
      <c r="N29" s="232"/>
      <c r="O29" s="270">
        <f t="shared" si="2"/>
        <v>0</v>
      </c>
      <c r="P29" s="232">
        <f t="shared" si="12"/>
        <v>0</v>
      </c>
      <c r="Q29" s="232">
        <f t="shared" si="3"/>
        <v>0</v>
      </c>
      <c r="R29" s="270">
        <f t="shared" si="4"/>
        <v>0</v>
      </c>
      <c r="S29" s="233">
        <f t="shared" si="13"/>
        <v>0</v>
      </c>
      <c r="T29" s="233">
        <f t="shared" si="14"/>
        <v>0</v>
      </c>
      <c r="U29" s="233">
        <f t="shared" si="15"/>
        <v>0</v>
      </c>
      <c r="V29" s="232">
        <f t="shared" si="5"/>
        <v>0</v>
      </c>
      <c r="W29" s="232">
        <f t="shared" si="6"/>
        <v>0</v>
      </c>
      <c r="X29" s="270">
        <f t="shared" si="7"/>
        <v>0</v>
      </c>
      <c r="Y29" s="234"/>
      <c r="Z29" s="383"/>
      <c r="AA29" s="252" t="e">
        <f>E29-#REF!</f>
        <v>#REF!</v>
      </c>
      <c r="AC29" s="235" t="s">
        <v>2389</v>
      </c>
      <c r="AD29" s="235" t="s">
        <v>2856</v>
      </c>
      <c r="AE29" s="235" t="s">
        <v>2791</v>
      </c>
      <c r="AG29" s="235" t="s">
        <v>1778</v>
      </c>
      <c r="BV29" s="236" t="str">
        <f>HYPERLINK("#일위대가목록!A19","HX0030 →")</f>
        <v>HX0030 →</v>
      </c>
      <c r="CB29" s="235">
        <v>16038</v>
      </c>
      <c r="CC29" s="235">
        <v>64152</v>
      </c>
      <c r="CD29" s="235">
        <v>941</v>
      </c>
      <c r="CE29" s="235">
        <v>3764</v>
      </c>
      <c r="CF29" s="235">
        <v>14018</v>
      </c>
      <c r="CG29" s="235">
        <v>56072</v>
      </c>
      <c r="CH29" s="235">
        <v>1079</v>
      </c>
      <c r="CI29" s="235">
        <v>4316</v>
      </c>
      <c r="CJ29" s="235" t="s">
        <v>2834</v>
      </c>
    </row>
    <row r="30" spans="1:88" s="235" customFormat="1" ht="20.100000000000001" customHeight="1" x14ac:dyDescent="0.15">
      <c r="A30" s="229" t="s">
        <v>2928</v>
      </c>
      <c r="B30" s="229" t="s">
        <v>945</v>
      </c>
      <c r="C30" s="230" t="s">
        <v>556</v>
      </c>
      <c r="D30" s="233">
        <v>16</v>
      </c>
      <c r="E30" s="231">
        <f t="shared" si="8"/>
        <v>42303</v>
      </c>
      <c r="F30" s="232">
        <f t="shared" si="0"/>
        <v>676848</v>
      </c>
      <c r="G30" s="231">
        <v>640</v>
      </c>
      <c r="H30" s="232">
        <f t="shared" si="9"/>
        <v>10240</v>
      </c>
      <c r="I30" s="231">
        <v>41457</v>
      </c>
      <c r="J30" s="232">
        <f t="shared" si="10"/>
        <v>663312</v>
      </c>
      <c r="K30" s="231">
        <v>206</v>
      </c>
      <c r="L30" s="232">
        <f t="shared" si="11"/>
        <v>3296</v>
      </c>
      <c r="M30" s="232"/>
      <c r="N30" s="232"/>
      <c r="O30" s="270">
        <f t="shared" si="2"/>
        <v>0</v>
      </c>
      <c r="P30" s="232">
        <f t="shared" si="12"/>
        <v>16</v>
      </c>
      <c r="Q30" s="232">
        <f t="shared" si="3"/>
        <v>676848</v>
      </c>
      <c r="R30" s="270">
        <f t="shared" si="4"/>
        <v>1</v>
      </c>
      <c r="S30" s="233">
        <f t="shared" si="13"/>
        <v>10240</v>
      </c>
      <c r="T30" s="233">
        <f t="shared" si="14"/>
        <v>663312</v>
      </c>
      <c r="U30" s="233">
        <f t="shared" si="15"/>
        <v>3296</v>
      </c>
      <c r="V30" s="232">
        <f t="shared" si="5"/>
        <v>16</v>
      </c>
      <c r="W30" s="232">
        <f t="shared" si="6"/>
        <v>676848</v>
      </c>
      <c r="X30" s="270">
        <f t="shared" si="7"/>
        <v>1</v>
      </c>
      <c r="Y30" s="234"/>
      <c r="Z30" s="383"/>
      <c r="AA30" s="252" t="e">
        <f>E30-#REF!</f>
        <v>#REF!</v>
      </c>
      <c r="AC30" s="235" t="s">
        <v>189</v>
      </c>
      <c r="AD30" s="235" t="s">
        <v>2856</v>
      </c>
      <c r="AE30" s="235" t="s">
        <v>1212</v>
      </c>
      <c r="AG30" s="235" t="s">
        <v>1778</v>
      </c>
      <c r="BV30" s="236" t="str">
        <f>HYPERLINK("#일위대가목록!A20","HX0031 →")</f>
        <v>HX0031 →</v>
      </c>
      <c r="CB30" s="235">
        <v>49228</v>
      </c>
      <c r="CC30" s="235">
        <v>492280</v>
      </c>
      <c r="CD30" s="235">
        <v>745</v>
      </c>
      <c r="CE30" s="235">
        <v>7450</v>
      </c>
      <c r="CF30" s="235">
        <v>48243</v>
      </c>
      <c r="CG30" s="235">
        <v>482430</v>
      </c>
      <c r="CH30" s="235">
        <v>240</v>
      </c>
      <c r="CI30" s="235">
        <v>2400</v>
      </c>
      <c r="CJ30" s="235" t="s">
        <v>785</v>
      </c>
    </row>
    <row r="31" spans="1:88" s="235" customFormat="1" ht="20.100000000000001" customHeight="1" x14ac:dyDescent="0.15">
      <c r="A31" s="229" t="s">
        <v>2928</v>
      </c>
      <c r="B31" s="229" t="s">
        <v>2364</v>
      </c>
      <c r="C31" s="230" t="s">
        <v>556</v>
      </c>
      <c r="D31" s="233"/>
      <c r="E31" s="231">
        <f t="shared" si="8"/>
        <v>0</v>
      </c>
      <c r="F31" s="232">
        <f t="shared" si="0"/>
        <v>0</v>
      </c>
      <c r="G31" s="231"/>
      <c r="H31" s="232"/>
      <c r="I31" s="231"/>
      <c r="J31" s="232"/>
      <c r="K31" s="231"/>
      <c r="L31" s="232">
        <f t="shared" si="11"/>
        <v>0</v>
      </c>
      <c r="M31" s="232"/>
      <c r="N31" s="232"/>
      <c r="O31" s="270">
        <f t="shared" si="2"/>
        <v>0</v>
      </c>
      <c r="P31" s="232">
        <f t="shared" si="12"/>
        <v>0</v>
      </c>
      <c r="Q31" s="232">
        <f t="shared" si="3"/>
        <v>0</v>
      </c>
      <c r="R31" s="270">
        <f t="shared" si="4"/>
        <v>0</v>
      </c>
      <c r="S31" s="233">
        <f t="shared" si="13"/>
        <v>0</v>
      </c>
      <c r="T31" s="233">
        <f t="shared" si="14"/>
        <v>0</v>
      </c>
      <c r="U31" s="233">
        <f t="shared" si="15"/>
        <v>0</v>
      </c>
      <c r="V31" s="232">
        <f t="shared" si="5"/>
        <v>0</v>
      </c>
      <c r="W31" s="232">
        <f t="shared" si="6"/>
        <v>0</v>
      </c>
      <c r="X31" s="270">
        <f t="shared" si="7"/>
        <v>0</v>
      </c>
      <c r="Y31" s="234"/>
      <c r="Z31" s="383"/>
      <c r="AA31" s="252" t="e">
        <f>E31-#REF!</f>
        <v>#REF!</v>
      </c>
      <c r="AC31" s="235" t="s">
        <v>904</v>
      </c>
      <c r="AD31" s="235" t="s">
        <v>2856</v>
      </c>
      <c r="AE31" s="235" t="s">
        <v>2391</v>
      </c>
      <c r="AG31" s="235" t="s">
        <v>1778</v>
      </c>
      <c r="BV31" s="236" t="str">
        <f>HYPERLINK("#일위대가목록!A21","HX0032 →")</f>
        <v>HX0032 →</v>
      </c>
      <c r="CB31" s="235">
        <v>37556</v>
      </c>
      <c r="CC31" s="235">
        <v>112668</v>
      </c>
      <c r="CD31" s="235">
        <v>891</v>
      </c>
      <c r="CE31" s="235">
        <v>2673</v>
      </c>
      <c r="CF31" s="235">
        <v>36001</v>
      </c>
      <c r="CG31" s="235">
        <v>108003</v>
      </c>
      <c r="CH31" s="235">
        <v>664</v>
      </c>
      <c r="CI31" s="235">
        <v>1992</v>
      </c>
      <c r="CJ31" s="235" t="s">
        <v>2329</v>
      </c>
    </row>
    <row r="32" spans="1:88" s="235" customFormat="1" ht="20.100000000000001" customHeight="1" x14ac:dyDescent="0.15">
      <c r="A32" s="229" t="s">
        <v>2928</v>
      </c>
      <c r="B32" s="229" t="s">
        <v>1558</v>
      </c>
      <c r="C32" s="230" t="s">
        <v>556</v>
      </c>
      <c r="D32" s="233">
        <v>7</v>
      </c>
      <c r="E32" s="231">
        <f t="shared" si="8"/>
        <v>51119</v>
      </c>
      <c r="F32" s="232">
        <f t="shared" si="0"/>
        <v>357833</v>
      </c>
      <c r="G32" s="231">
        <v>799</v>
      </c>
      <c r="H32" s="232">
        <f t="shared" si="9"/>
        <v>5593</v>
      </c>
      <c r="I32" s="231">
        <v>50063</v>
      </c>
      <c r="J32" s="232">
        <f t="shared" si="10"/>
        <v>350441</v>
      </c>
      <c r="K32" s="231">
        <v>257</v>
      </c>
      <c r="L32" s="232">
        <f t="shared" si="11"/>
        <v>1799</v>
      </c>
      <c r="M32" s="232"/>
      <c r="N32" s="232"/>
      <c r="O32" s="270">
        <f t="shared" si="2"/>
        <v>0</v>
      </c>
      <c r="P32" s="232">
        <f t="shared" si="12"/>
        <v>7</v>
      </c>
      <c r="Q32" s="232">
        <f t="shared" si="3"/>
        <v>357833</v>
      </c>
      <c r="R32" s="270">
        <f t="shared" si="4"/>
        <v>1</v>
      </c>
      <c r="S32" s="233">
        <f t="shared" si="13"/>
        <v>5593</v>
      </c>
      <c r="T32" s="233">
        <f t="shared" si="14"/>
        <v>350441</v>
      </c>
      <c r="U32" s="233">
        <f t="shared" si="15"/>
        <v>1799</v>
      </c>
      <c r="V32" s="232">
        <f t="shared" si="5"/>
        <v>7</v>
      </c>
      <c r="W32" s="232">
        <f t="shared" si="6"/>
        <v>357833</v>
      </c>
      <c r="X32" s="270">
        <f t="shared" si="7"/>
        <v>1</v>
      </c>
      <c r="Y32" s="234"/>
      <c r="Z32" s="383"/>
      <c r="AA32" s="252" t="e">
        <f>E32-#REF!</f>
        <v>#REF!</v>
      </c>
      <c r="AC32" s="235" t="s">
        <v>2340</v>
      </c>
      <c r="AD32" s="235" t="s">
        <v>2856</v>
      </c>
      <c r="AE32" s="235" t="s">
        <v>702</v>
      </c>
      <c r="AG32" s="235" t="s">
        <v>1778</v>
      </c>
      <c r="BV32" s="236" t="str">
        <f>HYPERLINK("#일위대가목록!A22","HX0033 →")</f>
        <v>HX0033 →</v>
      </c>
      <c r="CB32" s="235">
        <v>59487</v>
      </c>
      <c r="CC32" s="235">
        <v>178461</v>
      </c>
      <c r="CD32" s="235">
        <v>930</v>
      </c>
      <c r="CE32" s="235">
        <v>2790</v>
      </c>
      <c r="CF32" s="235">
        <v>58257</v>
      </c>
      <c r="CG32" s="235">
        <v>174771</v>
      </c>
      <c r="CH32" s="235">
        <v>300</v>
      </c>
      <c r="CI32" s="235">
        <v>900</v>
      </c>
      <c r="CJ32" s="235" t="s">
        <v>1275</v>
      </c>
    </row>
    <row r="33" spans="1:88" s="235" customFormat="1" ht="20.100000000000001" customHeight="1" x14ac:dyDescent="0.15">
      <c r="A33" s="229" t="s">
        <v>2928</v>
      </c>
      <c r="B33" s="229" t="s">
        <v>3040</v>
      </c>
      <c r="C33" s="230" t="s">
        <v>556</v>
      </c>
      <c r="D33" s="233">
        <v>6</v>
      </c>
      <c r="E33" s="231">
        <f>G33+I33+K33</f>
        <v>103445</v>
      </c>
      <c r="F33" s="232">
        <f>H33+J33+L33</f>
        <v>620670</v>
      </c>
      <c r="G33" s="231">
        <v>1814</v>
      </c>
      <c r="H33" s="232">
        <f t="shared" si="9"/>
        <v>10884</v>
      </c>
      <c r="I33" s="231">
        <v>101053</v>
      </c>
      <c r="J33" s="232">
        <f t="shared" si="10"/>
        <v>606318</v>
      </c>
      <c r="K33" s="231">
        <v>578</v>
      </c>
      <c r="L33" s="232">
        <f t="shared" si="11"/>
        <v>3468</v>
      </c>
      <c r="M33" s="232"/>
      <c r="N33" s="232"/>
      <c r="O33" s="270">
        <f t="shared" si="2"/>
        <v>0</v>
      </c>
      <c r="P33" s="232">
        <f t="shared" si="12"/>
        <v>6</v>
      </c>
      <c r="Q33" s="232">
        <f t="shared" si="3"/>
        <v>620670</v>
      </c>
      <c r="R33" s="270">
        <f t="shared" si="4"/>
        <v>1</v>
      </c>
      <c r="S33" s="233">
        <f t="shared" si="13"/>
        <v>10884</v>
      </c>
      <c r="T33" s="233">
        <f t="shared" si="14"/>
        <v>606318</v>
      </c>
      <c r="U33" s="233">
        <f t="shared" si="15"/>
        <v>3468</v>
      </c>
      <c r="V33" s="232">
        <f t="shared" si="5"/>
        <v>6</v>
      </c>
      <c r="W33" s="232">
        <f t="shared" si="6"/>
        <v>620670</v>
      </c>
      <c r="X33" s="270">
        <f t="shared" si="7"/>
        <v>1</v>
      </c>
      <c r="Y33" s="234"/>
      <c r="Z33" s="383"/>
      <c r="AA33" s="252" t="e">
        <f>E33-#REF!</f>
        <v>#REF!</v>
      </c>
      <c r="AC33" s="235" t="s">
        <v>2340</v>
      </c>
      <c r="AD33" s="235" t="s">
        <v>2856</v>
      </c>
      <c r="AE33" s="235" t="s">
        <v>702</v>
      </c>
      <c r="AG33" s="235" t="s">
        <v>1778</v>
      </c>
      <c r="BV33" s="236" t="str">
        <f>HYPERLINK("#일위대가목록!A22","HX0033 →")</f>
        <v>HX0033 →</v>
      </c>
      <c r="CB33" s="235">
        <v>59487</v>
      </c>
      <c r="CC33" s="235">
        <v>178461</v>
      </c>
      <c r="CD33" s="235">
        <v>930</v>
      </c>
      <c r="CE33" s="235">
        <v>2790</v>
      </c>
      <c r="CF33" s="235">
        <v>58257</v>
      </c>
      <c r="CG33" s="235">
        <v>174771</v>
      </c>
      <c r="CH33" s="235">
        <v>300</v>
      </c>
      <c r="CI33" s="235">
        <v>900</v>
      </c>
      <c r="CJ33" s="235" t="s">
        <v>1275</v>
      </c>
    </row>
    <row r="34" spans="1:88" s="235" customFormat="1" ht="20.100000000000001" customHeight="1" x14ac:dyDescent="0.15">
      <c r="A34" s="229" t="s">
        <v>2928</v>
      </c>
      <c r="B34" s="229" t="s">
        <v>164</v>
      </c>
      <c r="C34" s="230" t="s">
        <v>556</v>
      </c>
      <c r="D34" s="233">
        <v>7</v>
      </c>
      <c r="E34" s="231">
        <f t="shared" si="8"/>
        <v>24759</v>
      </c>
      <c r="F34" s="232">
        <f t="shared" si="0"/>
        <v>173313</v>
      </c>
      <c r="G34" s="231">
        <v>329</v>
      </c>
      <c r="H34" s="232">
        <f t="shared" si="9"/>
        <v>2303</v>
      </c>
      <c r="I34" s="231">
        <v>24306</v>
      </c>
      <c r="J34" s="232">
        <f t="shared" si="10"/>
        <v>170142</v>
      </c>
      <c r="K34" s="231">
        <v>124</v>
      </c>
      <c r="L34" s="232">
        <f t="shared" si="11"/>
        <v>868</v>
      </c>
      <c r="M34" s="232"/>
      <c r="N34" s="232"/>
      <c r="O34" s="270">
        <f t="shared" si="2"/>
        <v>0</v>
      </c>
      <c r="P34" s="232">
        <f t="shared" si="12"/>
        <v>7</v>
      </c>
      <c r="Q34" s="232">
        <f t="shared" si="3"/>
        <v>173313</v>
      </c>
      <c r="R34" s="270">
        <f t="shared" si="4"/>
        <v>1</v>
      </c>
      <c r="S34" s="233">
        <f t="shared" si="13"/>
        <v>2303</v>
      </c>
      <c r="T34" s="233">
        <f t="shared" si="14"/>
        <v>170142</v>
      </c>
      <c r="U34" s="233">
        <f t="shared" si="15"/>
        <v>868</v>
      </c>
      <c r="V34" s="232">
        <f t="shared" si="5"/>
        <v>7</v>
      </c>
      <c r="W34" s="232">
        <f t="shared" si="6"/>
        <v>173313</v>
      </c>
      <c r="X34" s="270">
        <f t="shared" si="7"/>
        <v>1</v>
      </c>
      <c r="Y34" s="234"/>
      <c r="Z34" s="383"/>
      <c r="AA34" s="252" t="e">
        <f>E34-#REF!</f>
        <v>#REF!</v>
      </c>
      <c r="AC34" s="235" t="s">
        <v>1045</v>
      </c>
      <c r="AD34" s="235" t="s">
        <v>2856</v>
      </c>
      <c r="AE34" s="235" t="s">
        <v>2540</v>
      </c>
      <c r="AG34" s="235" t="s">
        <v>1778</v>
      </c>
      <c r="BV34" s="236" t="str">
        <f>HYPERLINK("#일위대가목록!A23","HX0034 →")</f>
        <v>HX0034 →</v>
      </c>
      <c r="CB34" s="235">
        <v>28813</v>
      </c>
      <c r="CC34" s="235">
        <v>172878</v>
      </c>
      <c r="CD34" s="235">
        <v>384</v>
      </c>
      <c r="CE34" s="235">
        <v>2304</v>
      </c>
      <c r="CF34" s="235">
        <v>28284</v>
      </c>
      <c r="CG34" s="235">
        <v>169704</v>
      </c>
      <c r="CH34" s="235">
        <v>145</v>
      </c>
      <c r="CI34" s="235">
        <v>870</v>
      </c>
      <c r="CJ34" s="235" t="s">
        <v>2560</v>
      </c>
    </row>
    <row r="35" spans="1:88" s="235" customFormat="1" ht="20.100000000000001" customHeight="1" x14ac:dyDescent="0.15">
      <c r="A35" s="229" t="s">
        <v>2928</v>
      </c>
      <c r="B35" s="229" t="s">
        <v>18</v>
      </c>
      <c r="C35" s="230" t="s">
        <v>556</v>
      </c>
      <c r="D35" s="233">
        <v>13</v>
      </c>
      <c r="E35" s="231">
        <f t="shared" si="8"/>
        <v>19115</v>
      </c>
      <c r="F35" s="232">
        <f t="shared" si="0"/>
        <v>248495</v>
      </c>
      <c r="G35" s="231">
        <v>213</v>
      </c>
      <c r="H35" s="232">
        <f t="shared" si="9"/>
        <v>2769</v>
      </c>
      <c r="I35" s="231">
        <v>18830</v>
      </c>
      <c r="J35" s="232">
        <f t="shared" si="10"/>
        <v>244790</v>
      </c>
      <c r="K35" s="231">
        <v>72</v>
      </c>
      <c r="L35" s="232">
        <f t="shared" si="11"/>
        <v>936</v>
      </c>
      <c r="M35" s="232"/>
      <c r="N35" s="232"/>
      <c r="O35" s="270">
        <f t="shared" si="2"/>
        <v>0</v>
      </c>
      <c r="P35" s="232">
        <f t="shared" si="12"/>
        <v>13</v>
      </c>
      <c r="Q35" s="232">
        <f t="shared" si="3"/>
        <v>248495</v>
      </c>
      <c r="R35" s="270">
        <f t="shared" si="4"/>
        <v>1</v>
      </c>
      <c r="S35" s="233">
        <f t="shared" si="13"/>
        <v>2769</v>
      </c>
      <c r="T35" s="233">
        <f t="shared" si="14"/>
        <v>244790</v>
      </c>
      <c r="U35" s="233">
        <f t="shared" si="15"/>
        <v>936</v>
      </c>
      <c r="V35" s="232">
        <f t="shared" si="5"/>
        <v>13</v>
      </c>
      <c r="W35" s="232">
        <f t="shared" si="6"/>
        <v>248495</v>
      </c>
      <c r="X35" s="270">
        <f t="shared" si="7"/>
        <v>1</v>
      </c>
      <c r="Y35" s="234"/>
      <c r="Z35" s="383"/>
      <c r="AA35" s="252" t="e">
        <f>E35-#REF!</f>
        <v>#REF!</v>
      </c>
      <c r="AC35" s="235" t="s">
        <v>140</v>
      </c>
      <c r="AD35" s="235" t="s">
        <v>2856</v>
      </c>
      <c r="AE35" s="235" t="s">
        <v>1318</v>
      </c>
      <c r="AG35" s="235" t="s">
        <v>1778</v>
      </c>
      <c r="BV35" s="236" t="str">
        <f>HYPERLINK("#일위대가목록!A24","HX0035 →")</f>
        <v>HX0035 →</v>
      </c>
      <c r="CB35" s="235">
        <v>22244</v>
      </c>
      <c r="CC35" s="235">
        <v>244684</v>
      </c>
      <c r="CD35" s="235">
        <v>248</v>
      </c>
      <c r="CE35" s="235">
        <v>2728</v>
      </c>
      <c r="CF35" s="235">
        <v>21912</v>
      </c>
      <c r="CG35" s="235">
        <v>241032</v>
      </c>
      <c r="CH35" s="235">
        <v>84</v>
      </c>
      <c r="CI35" s="235">
        <v>924</v>
      </c>
      <c r="CJ35" s="235" t="s">
        <v>1077</v>
      </c>
    </row>
    <row r="36" spans="1:88" s="235" customFormat="1" ht="20.100000000000001" customHeight="1" x14ac:dyDescent="0.15">
      <c r="A36" s="229" t="s">
        <v>2929</v>
      </c>
      <c r="B36" s="229" t="s">
        <v>2797</v>
      </c>
      <c r="C36" s="230" t="s">
        <v>556</v>
      </c>
      <c r="D36" s="233">
        <v>3</v>
      </c>
      <c r="E36" s="231">
        <f t="shared" si="8"/>
        <v>19013</v>
      </c>
      <c r="F36" s="232">
        <f t="shared" si="0"/>
        <v>57039</v>
      </c>
      <c r="G36" s="231">
        <v>195</v>
      </c>
      <c r="H36" s="232">
        <f t="shared" si="9"/>
        <v>585</v>
      </c>
      <c r="I36" s="231">
        <v>18770</v>
      </c>
      <c r="J36" s="232">
        <f t="shared" si="10"/>
        <v>56310</v>
      </c>
      <c r="K36" s="231">
        <v>48</v>
      </c>
      <c r="L36" s="232">
        <f t="shared" si="11"/>
        <v>144</v>
      </c>
      <c r="M36" s="232"/>
      <c r="N36" s="232"/>
      <c r="O36" s="270">
        <f t="shared" si="2"/>
        <v>0</v>
      </c>
      <c r="P36" s="232">
        <f t="shared" si="12"/>
        <v>3</v>
      </c>
      <c r="Q36" s="232">
        <f t="shared" si="3"/>
        <v>57039</v>
      </c>
      <c r="R36" s="270">
        <f t="shared" si="4"/>
        <v>1</v>
      </c>
      <c r="S36" s="233">
        <f t="shared" si="13"/>
        <v>585</v>
      </c>
      <c r="T36" s="233">
        <f t="shared" si="14"/>
        <v>56310</v>
      </c>
      <c r="U36" s="233">
        <f t="shared" si="15"/>
        <v>144</v>
      </c>
      <c r="V36" s="232">
        <f t="shared" si="5"/>
        <v>3</v>
      </c>
      <c r="W36" s="232">
        <f t="shared" si="6"/>
        <v>57039</v>
      </c>
      <c r="X36" s="270">
        <f t="shared" si="7"/>
        <v>1</v>
      </c>
      <c r="Y36" s="234"/>
      <c r="Z36" s="383"/>
      <c r="AA36" s="252" t="e">
        <f>E36-#REF!</f>
        <v>#REF!</v>
      </c>
      <c r="AC36" s="235" t="s">
        <v>1588</v>
      </c>
      <c r="AD36" s="235" t="s">
        <v>2856</v>
      </c>
      <c r="AE36" s="235" t="s">
        <v>2315</v>
      </c>
      <c r="AG36" s="235" t="s">
        <v>1778</v>
      </c>
      <c r="BV36" s="236" t="str">
        <f>HYPERLINK("#일위대가목록!A25","HX0036 →")</f>
        <v>HX0036 →</v>
      </c>
      <c r="CB36" s="235">
        <v>22126</v>
      </c>
      <c r="CC36" s="235">
        <v>66378</v>
      </c>
      <c r="CD36" s="235">
        <v>227</v>
      </c>
      <c r="CE36" s="235">
        <v>681</v>
      </c>
      <c r="CF36" s="235">
        <v>21842</v>
      </c>
      <c r="CG36" s="235">
        <v>65526</v>
      </c>
      <c r="CH36" s="235">
        <v>57</v>
      </c>
      <c r="CI36" s="235">
        <v>171</v>
      </c>
      <c r="CJ36" s="235" t="s">
        <v>2242</v>
      </c>
    </row>
    <row r="37" spans="1:88" s="235" customFormat="1" ht="20.100000000000001" customHeight="1" x14ac:dyDescent="0.15">
      <c r="A37" s="229" t="s">
        <v>2929</v>
      </c>
      <c r="B37" s="229" t="s">
        <v>1592</v>
      </c>
      <c r="C37" s="230" t="s">
        <v>556</v>
      </c>
      <c r="D37" s="233">
        <v>2</v>
      </c>
      <c r="E37" s="231">
        <f t="shared" si="8"/>
        <v>9854</v>
      </c>
      <c r="F37" s="232">
        <f t="shared" si="0"/>
        <v>19708</v>
      </c>
      <c r="G37" s="231">
        <v>102</v>
      </c>
      <c r="H37" s="232">
        <f t="shared" si="9"/>
        <v>204</v>
      </c>
      <c r="I37" s="231">
        <v>9722</v>
      </c>
      <c r="J37" s="232">
        <f t="shared" si="10"/>
        <v>19444</v>
      </c>
      <c r="K37" s="231">
        <v>30</v>
      </c>
      <c r="L37" s="232">
        <f t="shared" si="11"/>
        <v>60</v>
      </c>
      <c r="M37" s="232"/>
      <c r="N37" s="232"/>
      <c r="O37" s="270">
        <f t="shared" si="2"/>
        <v>0</v>
      </c>
      <c r="P37" s="232">
        <f t="shared" si="12"/>
        <v>2</v>
      </c>
      <c r="Q37" s="232">
        <f t="shared" si="3"/>
        <v>19708</v>
      </c>
      <c r="R37" s="270">
        <f t="shared" si="4"/>
        <v>1</v>
      </c>
      <c r="S37" s="233">
        <f t="shared" si="13"/>
        <v>204</v>
      </c>
      <c r="T37" s="233">
        <f t="shared" si="14"/>
        <v>19444</v>
      </c>
      <c r="U37" s="233">
        <f t="shared" si="15"/>
        <v>60</v>
      </c>
      <c r="V37" s="232">
        <f t="shared" si="5"/>
        <v>2</v>
      </c>
      <c r="W37" s="232">
        <f t="shared" si="6"/>
        <v>19708</v>
      </c>
      <c r="X37" s="270">
        <f t="shared" si="7"/>
        <v>1</v>
      </c>
      <c r="Y37" s="234"/>
      <c r="Z37" s="383"/>
      <c r="AA37" s="252" t="e">
        <f>E37-#REF!</f>
        <v>#REF!</v>
      </c>
      <c r="AC37" s="235" t="s">
        <v>103</v>
      </c>
      <c r="AD37" s="235" t="s">
        <v>2856</v>
      </c>
      <c r="AE37" s="235" t="s">
        <v>1016</v>
      </c>
      <c r="AG37" s="235" t="s">
        <v>1778</v>
      </c>
      <c r="BV37" s="236" t="str">
        <f>HYPERLINK("#일위대가목록!A26","HX0037 →")</f>
        <v>HX0037 →</v>
      </c>
      <c r="CB37" s="235">
        <v>11468</v>
      </c>
      <c r="CC37" s="235">
        <v>22936</v>
      </c>
      <c r="CD37" s="235">
        <v>119</v>
      </c>
      <c r="CE37" s="235">
        <v>238</v>
      </c>
      <c r="CF37" s="235">
        <v>11314</v>
      </c>
      <c r="CG37" s="235">
        <v>22628</v>
      </c>
      <c r="CH37" s="235">
        <v>35</v>
      </c>
      <c r="CI37" s="235">
        <v>70</v>
      </c>
      <c r="CJ37" s="235" t="s">
        <v>1023</v>
      </c>
    </row>
    <row r="38" spans="1:88" s="391" customFormat="1" ht="20.100000000000001" customHeight="1" x14ac:dyDescent="0.15">
      <c r="A38" s="255" t="s">
        <v>2930</v>
      </c>
      <c r="B38" s="255" t="s">
        <v>527</v>
      </c>
      <c r="C38" s="387" t="s">
        <v>556</v>
      </c>
      <c r="D38" s="251">
        <v>100</v>
      </c>
      <c r="E38" s="257">
        <f t="shared" si="8"/>
        <v>622</v>
      </c>
      <c r="F38" s="256">
        <f t="shared" si="0"/>
        <v>62200</v>
      </c>
      <c r="G38" s="257">
        <v>8</v>
      </c>
      <c r="H38" s="256">
        <f t="shared" si="9"/>
        <v>800</v>
      </c>
      <c r="I38" s="257">
        <v>603</v>
      </c>
      <c r="J38" s="256">
        <f t="shared" si="10"/>
        <v>60300</v>
      </c>
      <c r="K38" s="257">
        <v>11</v>
      </c>
      <c r="L38" s="256">
        <f t="shared" si="11"/>
        <v>1100</v>
      </c>
      <c r="M38" s="256"/>
      <c r="N38" s="256"/>
      <c r="O38" s="272">
        <f t="shared" si="2"/>
        <v>0</v>
      </c>
      <c r="P38" s="256"/>
      <c r="Q38" s="256">
        <f t="shared" si="3"/>
        <v>0</v>
      </c>
      <c r="R38" s="272">
        <f t="shared" si="4"/>
        <v>0</v>
      </c>
      <c r="S38" s="251">
        <f t="shared" si="13"/>
        <v>0</v>
      </c>
      <c r="T38" s="251">
        <f t="shared" si="14"/>
        <v>0</v>
      </c>
      <c r="U38" s="251">
        <f t="shared" si="15"/>
        <v>0</v>
      </c>
      <c r="V38" s="256">
        <f t="shared" si="5"/>
        <v>0</v>
      </c>
      <c r="W38" s="256">
        <f t="shared" si="6"/>
        <v>0</v>
      </c>
      <c r="X38" s="272">
        <f t="shared" si="7"/>
        <v>0</v>
      </c>
      <c r="Y38" s="388"/>
      <c r="Z38" s="389"/>
      <c r="AA38" s="390" t="e">
        <f>E38-#REF!</f>
        <v>#REF!</v>
      </c>
      <c r="AC38" s="391" t="s">
        <v>1554</v>
      </c>
      <c r="AD38" s="391" t="s">
        <v>2856</v>
      </c>
      <c r="AE38" s="391" t="s">
        <v>2246</v>
      </c>
      <c r="AG38" s="391" t="s">
        <v>1778</v>
      </c>
      <c r="BV38" s="392" t="str">
        <f>HYPERLINK("#일위대가목록!A27","HX0038 →")</f>
        <v>HX0038 →</v>
      </c>
      <c r="CB38" s="391">
        <v>725</v>
      </c>
      <c r="CC38" s="391">
        <v>72500</v>
      </c>
      <c r="CD38" s="391">
        <v>10</v>
      </c>
      <c r="CE38" s="391">
        <v>1000</v>
      </c>
      <c r="CF38" s="391">
        <v>702</v>
      </c>
      <c r="CG38" s="391">
        <v>70200</v>
      </c>
      <c r="CH38" s="391">
        <v>13</v>
      </c>
      <c r="CI38" s="391">
        <v>1300</v>
      </c>
      <c r="CJ38" s="391" t="s">
        <v>2316</v>
      </c>
    </row>
    <row r="39" spans="1:88" s="391" customFormat="1" ht="20.100000000000001" customHeight="1" x14ac:dyDescent="0.15">
      <c r="A39" s="255" t="s">
        <v>2931</v>
      </c>
      <c r="B39" s="255" t="s">
        <v>1737</v>
      </c>
      <c r="C39" s="387" t="s">
        <v>556</v>
      </c>
      <c r="D39" s="251">
        <v>9</v>
      </c>
      <c r="E39" s="257">
        <f t="shared" si="8"/>
        <v>9854</v>
      </c>
      <c r="F39" s="256">
        <f t="shared" si="0"/>
        <v>88686</v>
      </c>
      <c r="G39" s="257">
        <v>102</v>
      </c>
      <c r="H39" s="256">
        <f t="shared" si="9"/>
        <v>918</v>
      </c>
      <c r="I39" s="257">
        <v>9722</v>
      </c>
      <c r="J39" s="256">
        <f t="shared" si="10"/>
        <v>87498</v>
      </c>
      <c r="K39" s="257">
        <v>30</v>
      </c>
      <c r="L39" s="256">
        <f t="shared" si="11"/>
        <v>270</v>
      </c>
      <c r="M39" s="256"/>
      <c r="N39" s="256"/>
      <c r="O39" s="272">
        <f t="shared" si="2"/>
        <v>0</v>
      </c>
      <c r="P39" s="256"/>
      <c r="Q39" s="256">
        <f t="shared" si="3"/>
        <v>0</v>
      </c>
      <c r="R39" s="272">
        <f t="shared" si="4"/>
        <v>0</v>
      </c>
      <c r="S39" s="251">
        <f t="shared" si="13"/>
        <v>0</v>
      </c>
      <c r="T39" s="251">
        <f t="shared" si="14"/>
        <v>0</v>
      </c>
      <c r="U39" s="251">
        <f t="shared" si="15"/>
        <v>0</v>
      </c>
      <c r="V39" s="256">
        <f t="shared" si="5"/>
        <v>0</v>
      </c>
      <c r="W39" s="256">
        <f t="shared" si="6"/>
        <v>0</v>
      </c>
      <c r="X39" s="272">
        <f t="shared" si="7"/>
        <v>0</v>
      </c>
      <c r="Y39" s="388"/>
      <c r="Z39" s="389"/>
      <c r="AA39" s="390" t="e">
        <f>E39-#REF!</f>
        <v>#REF!</v>
      </c>
      <c r="AC39" s="391" t="s">
        <v>2064</v>
      </c>
      <c r="AD39" s="391" t="s">
        <v>2856</v>
      </c>
      <c r="AE39" s="391" t="s">
        <v>1070</v>
      </c>
      <c r="AG39" s="391" t="s">
        <v>1778</v>
      </c>
      <c r="BV39" s="392" t="str">
        <f>HYPERLINK("#일위대가목록!A28","HX0039 →")</f>
        <v>HX0039 →</v>
      </c>
      <c r="CB39" s="391">
        <v>11468</v>
      </c>
      <c r="CC39" s="391">
        <v>103212</v>
      </c>
      <c r="CD39" s="391">
        <v>119</v>
      </c>
      <c r="CE39" s="391">
        <v>1071</v>
      </c>
      <c r="CF39" s="391">
        <v>11314</v>
      </c>
      <c r="CG39" s="391">
        <v>101826</v>
      </c>
      <c r="CH39" s="391">
        <v>35</v>
      </c>
      <c r="CI39" s="391">
        <v>315</v>
      </c>
      <c r="CJ39" s="391" t="s">
        <v>1875</v>
      </c>
    </row>
    <row r="40" spans="1:88" s="391" customFormat="1" ht="20.100000000000001" customHeight="1" x14ac:dyDescent="0.15">
      <c r="A40" s="255" t="s">
        <v>2932</v>
      </c>
      <c r="B40" s="255" t="s">
        <v>1323</v>
      </c>
      <c r="C40" s="387" t="s">
        <v>556</v>
      </c>
      <c r="D40" s="251">
        <v>2</v>
      </c>
      <c r="E40" s="257">
        <f t="shared" si="8"/>
        <v>6926</v>
      </c>
      <c r="F40" s="256">
        <f t="shared" si="0"/>
        <v>13852</v>
      </c>
      <c r="G40" s="257">
        <v>57</v>
      </c>
      <c r="H40" s="256">
        <f t="shared" si="9"/>
        <v>114</v>
      </c>
      <c r="I40" s="257">
        <v>6849</v>
      </c>
      <c r="J40" s="256">
        <f t="shared" si="10"/>
        <v>13698</v>
      </c>
      <c r="K40" s="257">
        <v>20</v>
      </c>
      <c r="L40" s="256">
        <f t="shared" si="11"/>
        <v>40</v>
      </c>
      <c r="M40" s="256"/>
      <c r="N40" s="256"/>
      <c r="O40" s="272">
        <f t="shared" si="2"/>
        <v>0</v>
      </c>
      <c r="P40" s="256"/>
      <c r="Q40" s="256">
        <f t="shared" si="3"/>
        <v>0</v>
      </c>
      <c r="R40" s="272">
        <f t="shared" si="4"/>
        <v>0</v>
      </c>
      <c r="S40" s="251">
        <f t="shared" si="13"/>
        <v>0</v>
      </c>
      <c r="T40" s="251">
        <f t="shared" si="14"/>
        <v>0</v>
      </c>
      <c r="U40" s="251">
        <f t="shared" si="15"/>
        <v>0</v>
      </c>
      <c r="V40" s="256">
        <f t="shared" si="5"/>
        <v>0</v>
      </c>
      <c r="W40" s="256">
        <f t="shared" si="6"/>
        <v>0</v>
      </c>
      <c r="X40" s="272">
        <f t="shared" si="7"/>
        <v>0</v>
      </c>
      <c r="Y40" s="388"/>
      <c r="Z40" s="389"/>
      <c r="AA40" s="390" t="e">
        <f>E40-#REF!</f>
        <v>#REF!</v>
      </c>
      <c r="AC40" s="391" t="s">
        <v>683</v>
      </c>
      <c r="AD40" s="391" t="s">
        <v>2856</v>
      </c>
      <c r="AE40" s="391" t="s">
        <v>671</v>
      </c>
      <c r="AG40" s="391" t="s">
        <v>1778</v>
      </c>
      <c r="BV40" s="392" t="str">
        <f>HYPERLINK("#일위대가목록!A29","HX0040 →")</f>
        <v>HX0040 →</v>
      </c>
      <c r="CB40" s="391">
        <v>8062</v>
      </c>
      <c r="CC40" s="391">
        <v>16124</v>
      </c>
      <c r="CD40" s="391">
        <v>67</v>
      </c>
      <c r="CE40" s="391">
        <v>134</v>
      </c>
      <c r="CF40" s="391">
        <v>7971</v>
      </c>
      <c r="CG40" s="391">
        <v>15942</v>
      </c>
      <c r="CH40" s="391">
        <v>24</v>
      </c>
      <c r="CI40" s="391">
        <v>48</v>
      </c>
      <c r="CJ40" s="391" t="s">
        <v>679</v>
      </c>
    </row>
    <row r="41" spans="1:88" s="391" customFormat="1" ht="20.100000000000001" customHeight="1" x14ac:dyDescent="0.15">
      <c r="A41" s="255" t="s">
        <v>3167</v>
      </c>
      <c r="B41" s="255" t="s">
        <v>3168</v>
      </c>
      <c r="C41" s="387" t="s">
        <v>556</v>
      </c>
      <c r="D41" s="251">
        <v>2</v>
      </c>
      <c r="E41" s="257">
        <f t="shared" ref="E41:F44" si="16">G41+I41+K41</f>
        <v>42303</v>
      </c>
      <c r="F41" s="256">
        <f t="shared" si="16"/>
        <v>84606</v>
      </c>
      <c r="G41" s="257">
        <v>640</v>
      </c>
      <c r="H41" s="256">
        <f t="shared" si="9"/>
        <v>1280</v>
      </c>
      <c r="I41" s="257">
        <v>41457</v>
      </c>
      <c r="J41" s="256">
        <f t="shared" si="10"/>
        <v>82914</v>
      </c>
      <c r="K41" s="257">
        <v>206</v>
      </c>
      <c r="L41" s="256">
        <f t="shared" si="11"/>
        <v>412</v>
      </c>
      <c r="M41" s="256"/>
      <c r="N41" s="256"/>
      <c r="O41" s="272">
        <f t="shared" si="2"/>
        <v>0</v>
      </c>
      <c r="P41" s="256">
        <f>D41</f>
        <v>2</v>
      </c>
      <c r="Q41" s="256">
        <f t="shared" si="3"/>
        <v>84606</v>
      </c>
      <c r="R41" s="272">
        <f t="shared" si="4"/>
        <v>1</v>
      </c>
      <c r="S41" s="251">
        <f t="shared" si="13"/>
        <v>1280</v>
      </c>
      <c r="T41" s="251">
        <f t="shared" si="14"/>
        <v>82914</v>
      </c>
      <c r="U41" s="251">
        <f t="shared" si="15"/>
        <v>412</v>
      </c>
      <c r="V41" s="256">
        <f t="shared" si="5"/>
        <v>2</v>
      </c>
      <c r="W41" s="256">
        <f t="shared" si="6"/>
        <v>84606</v>
      </c>
      <c r="X41" s="272">
        <f t="shared" si="7"/>
        <v>1</v>
      </c>
      <c r="Y41" s="388"/>
      <c r="Z41" s="389"/>
      <c r="AA41" s="390" t="e">
        <f>E41-#REF!</f>
        <v>#REF!</v>
      </c>
      <c r="AC41" s="391" t="s">
        <v>189</v>
      </c>
      <c r="AD41" s="391" t="s">
        <v>2856</v>
      </c>
      <c r="AE41" s="391" t="s">
        <v>1212</v>
      </c>
      <c r="AG41" s="391" t="s">
        <v>1778</v>
      </c>
      <c r="BV41" s="392" t="str">
        <f>HYPERLINK("#일위대가목록!A20","HX0031 →")</f>
        <v>HX0031 →</v>
      </c>
      <c r="CB41" s="391">
        <v>49228</v>
      </c>
      <c r="CC41" s="391">
        <v>492280</v>
      </c>
      <c r="CD41" s="391">
        <v>745</v>
      </c>
      <c r="CE41" s="391">
        <v>7450</v>
      </c>
      <c r="CF41" s="391">
        <v>48243</v>
      </c>
      <c r="CG41" s="391">
        <v>482430</v>
      </c>
      <c r="CH41" s="391">
        <v>240</v>
      </c>
      <c r="CI41" s="391">
        <v>2400</v>
      </c>
      <c r="CJ41" s="391" t="s">
        <v>785</v>
      </c>
    </row>
    <row r="42" spans="1:88" s="391" customFormat="1" ht="20.100000000000001" customHeight="1" x14ac:dyDescent="0.15">
      <c r="A42" s="255" t="s">
        <v>3045</v>
      </c>
      <c r="B42" s="255" t="s">
        <v>3169</v>
      </c>
      <c r="C42" s="387" t="s">
        <v>556</v>
      </c>
      <c r="D42" s="251">
        <v>1</v>
      </c>
      <c r="E42" s="257">
        <f t="shared" si="16"/>
        <v>164241</v>
      </c>
      <c r="F42" s="256">
        <f t="shared" si="16"/>
        <v>164241</v>
      </c>
      <c r="G42" s="257">
        <v>3195</v>
      </c>
      <c r="H42" s="256">
        <f t="shared" si="9"/>
        <v>3195</v>
      </c>
      <c r="I42" s="257">
        <v>159919</v>
      </c>
      <c r="J42" s="256">
        <f t="shared" si="10"/>
        <v>159919</v>
      </c>
      <c r="K42" s="257">
        <v>1127</v>
      </c>
      <c r="L42" s="256">
        <f t="shared" si="11"/>
        <v>1127</v>
      </c>
      <c r="M42" s="256"/>
      <c r="N42" s="256"/>
      <c r="O42" s="272">
        <f t="shared" si="2"/>
        <v>0</v>
      </c>
      <c r="P42" s="256">
        <f>D42</f>
        <v>1</v>
      </c>
      <c r="Q42" s="256">
        <f t="shared" si="3"/>
        <v>164241</v>
      </c>
      <c r="R42" s="272">
        <f t="shared" si="4"/>
        <v>1</v>
      </c>
      <c r="S42" s="251">
        <f t="shared" si="13"/>
        <v>3195</v>
      </c>
      <c r="T42" s="251">
        <f t="shared" si="14"/>
        <v>159919</v>
      </c>
      <c r="U42" s="251">
        <f t="shared" si="15"/>
        <v>1127</v>
      </c>
      <c r="V42" s="256">
        <f t="shared" si="5"/>
        <v>1</v>
      </c>
      <c r="W42" s="256">
        <f t="shared" si="6"/>
        <v>164241</v>
      </c>
      <c r="X42" s="272">
        <f t="shared" si="7"/>
        <v>1</v>
      </c>
      <c r="Y42" s="388"/>
      <c r="Z42" s="389"/>
      <c r="AA42" s="390" t="e">
        <f>E42-#REF!</f>
        <v>#REF!</v>
      </c>
      <c r="AC42" s="391" t="s">
        <v>2138</v>
      </c>
      <c r="AD42" s="391" t="s">
        <v>2856</v>
      </c>
      <c r="AE42" s="391" t="s">
        <v>88</v>
      </c>
      <c r="AG42" s="391" t="s">
        <v>1778</v>
      </c>
      <c r="BV42" s="392" t="str">
        <f>HYPERLINK("#일위대가목록!A35","HX0046 →")</f>
        <v>HX0046 →</v>
      </c>
      <c r="CB42" s="391">
        <v>191123</v>
      </c>
      <c r="CC42" s="391">
        <v>191123</v>
      </c>
      <c r="CD42" s="391">
        <v>3719</v>
      </c>
      <c r="CE42" s="391">
        <v>3719</v>
      </c>
      <c r="CF42" s="391">
        <v>186092</v>
      </c>
      <c r="CG42" s="391">
        <v>186092</v>
      </c>
      <c r="CH42" s="391">
        <v>1312</v>
      </c>
      <c r="CI42" s="391">
        <v>1312</v>
      </c>
      <c r="CJ42" s="391" t="s">
        <v>121</v>
      </c>
    </row>
    <row r="43" spans="1:88" s="391" customFormat="1" ht="20.100000000000001" customHeight="1" x14ac:dyDescent="0.15">
      <c r="A43" s="255" t="s">
        <v>3045</v>
      </c>
      <c r="B43" s="255" t="s">
        <v>3170</v>
      </c>
      <c r="C43" s="387" t="s">
        <v>556</v>
      </c>
      <c r="D43" s="251">
        <v>2</v>
      </c>
      <c r="E43" s="257">
        <f t="shared" si="16"/>
        <v>146977</v>
      </c>
      <c r="F43" s="256">
        <f t="shared" si="16"/>
        <v>293954</v>
      </c>
      <c r="G43" s="257">
        <v>2667</v>
      </c>
      <c r="H43" s="256">
        <f t="shared" si="9"/>
        <v>5334</v>
      </c>
      <c r="I43" s="257">
        <v>143492</v>
      </c>
      <c r="J43" s="256">
        <f t="shared" si="10"/>
        <v>286984</v>
      </c>
      <c r="K43" s="257">
        <v>818</v>
      </c>
      <c r="L43" s="256">
        <f t="shared" si="11"/>
        <v>1636</v>
      </c>
      <c r="M43" s="256"/>
      <c r="N43" s="256"/>
      <c r="O43" s="272">
        <f t="shared" si="2"/>
        <v>0</v>
      </c>
      <c r="P43" s="256">
        <f>D43</f>
        <v>2</v>
      </c>
      <c r="Q43" s="256">
        <f t="shared" si="3"/>
        <v>293954</v>
      </c>
      <c r="R43" s="272">
        <f t="shared" si="4"/>
        <v>1</v>
      </c>
      <c r="S43" s="251">
        <f t="shared" si="13"/>
        <v>5334</v>
      </c>
      <c r="T43" s="251">
        <f t="shared" si="14"/>
        <v>286984</v>
      </c>
      <c r="U43" s="251">
        <f t="shared" si="15"/>
        <v>1636</v>
      </c>
      <c r="V43" s="256">
        <f t="shared" si="5"/>
        <v>2</v>
      </c>
      <c r="W43" s="256">
        <f t="shared" si="6"/>
        <v>293954</v>
      </c>
      <c r="X43" s="272">
        <f t="shared" si="7"/>
        <v>1</v>
      </c>
      <c r="Y43" s="388"/>
      <c r="Z43" s="389"/>
      <c r="AA43" s="390" t="e">
        <f>E43-#REF!</f>
        <v>#REF!</v>
      </c>
      <c r="AC43" s="391" t="s">
        <v>2138</v>
      </c>
      <c r="AD43" s="391" t="s">
        <v>2856</v>
      </c>
      <c r="AE43" s="391" t="s">
        <v>88</v>
      </c>
      <c r="AG43" s="391" t="s">
        <v>1778</v>
      </c>
      <c r="BV43" s="392" t="str">
        <f>HYPERLINK("#일위대가목록!A35","HX0046 →")</f>
        <v>HX0046 →</v>
      </c>
      <c r="CB43" s="391">
        <v>191123</v>
      </c>
      <c r="CC43" s="391">
        <v>191123</v>
      </c>
      <c r="CD43" s="391">
        <v>3719</v>
      </c>
      <c r="CE43" s="391">
        <v>3719</v>
      </c>
      <c r="CF43" s="391">
        <v>186092</v>
      </c>
      <c r="CG43" s="391">
        <v>186092</v>
      </c>
      <c r="CH43" s="391">
        <v>1312</v>
      </c>
      <c r="CI43" s="391">
        <v>1312</v>
      </c>
      <c r="CJ43" s="391" t="s">
        <v>121</v>
      </c>
    </row>
    <row r="44" spans="1:88" s="391" customFormat="1" ht="20.100000000000001" customHeight="1" x14ac:dyDescent="0.15">
      <c r="A44" s="255" t="s">
        <v>3045</v>
      </c>
      <c r="B44" s="255" t="s">
        <v>3171</v>
      </c>
      <c r="C44" s="387" t="s">
        <v>556</v>
      </c>
      <c r="D44" s="251">
        <v>2</v>
      </c>
      <c r="E44" s="257">
        <f t="shared" si="16"/>
        <v>78644</v>
      </c>
      <c r="F44" s="256">
        <f t="shared" si="16"/>
        <v>157288</v>
      </c>
      <c r="G44" s="257">
        <v>1360</v>
      </c>
      <c r="H44" s="256">
        <f t="shared" si="9"/>
        <v>2720</v>
      </c>
      <c r="I44" s="257">
        <v>76846</v>
      </c>
      <c r="J44" s="256">
        <f t="shared" si="10"/>
        <v>153692</v>
      </c>
      <c r="K44" s="257">
        <v>438</v>
      </c>
      <c r="L44" s="256">
        <f t="shared" si="11"/>
        <v>876</v>
      </c>
      <c r="M44" s="256"/>
      <c r="N44" s="256"/>
      <c r="O44" s="272">
        <f t="shared" si="2"/>
        <v>0</v>
      </c>
      <c r="P44" s="256">
        <f>D44</f>
        <v>2</v>
      </c>
      <c r="Q44" s="256">
        <f t="shared" si="3"/>
        <v>157288</v>
      </c>
      <c r="R44" s="272">
        <f t="shared" si="4"/>
        <v>1</v>
      </c>
      <c r="S44" s="251">
        <f t="shared" si="13"/>
        <v>2720</v>
      </c>
      <c r="T44" s="251">
        <f t="shared" si="14"/>
        <v>153692</v>
      </c>
      <c r="U44" s="251">
        <f t="shared" si="15"/>
        <v>876</v>
      </c>
      <c r="V44" s="256">
        <f t="shared" si="5"/>
        <v>2</v>
      </c>
      <c r="W44" s="256">
        <f t="shared" si="6"/>
        <v>157288</v>
      </c>
      <c r="X44" s="272">
        <f t="shared" si="7"/>
        <v>1</v>
      </c>
      <c r="Y44" s="388"/>
      <c r="Z44" s="389"/>
      <c r="AA44" s="390" t="e">
        <f>E44-#REF!</f>
        <v>#REF!</v>
      </c>
      <c r="AC44" s="391" t="s">
        <v>2138</v>
      </c>
      <c r="AD44" s="391" t="s">
        <v>2856</v>
      </c>
      <c r="AE44" s="391" t="s">
        <v>88</v>
      </c>
      <c r="AG44" s="391" t="s">
        <v>1778</v>
      </c>
      <c r="BV44" s="392" t="str">
        <f>HYPERLINK("#일위대가목록!A35","HX0046 →")</f>
        <v>HX0046 →</v>
      </c>
      <c r="CB44" s="391">
        <v>191123</v>
      </c>
      <c r="CC44" s="391">
        <v>191123</v>
      </c>
      <c r="CD44" s="391">
        <v>3719</v>
      </c>
      <c r="CE44" s="391">
        <v>3719</v>
      </c>
      <c r="CF44" s="391">
        <v>186092</v>
      </c>
      <c r="CG44" s="391">
        <v>186092</v>
      </c>
      <c r="CH44" s="391">
        <v>1312</v>
      </c>
      <c r="CI44" s="391">
        <v>1312</v>
      </c>
      <c r="CJ44" s="391" t="s">
        <v>121</v>
      </c>
    </row>
    <row r="45" spans="1:88" s="391" customFormat="1" ht="20.100000000000001" customHeight="1" x14ac:dyDescent="0.15">
      <c r="A45" s="255" t="s">
        <v>3032</v>
      </c>
      <c r="B45" s="255" t="s">
        <v>2116</v>
      </c>
      <c r="C45" s="387" t="s">
        <v>556</v>
      </c>
      <c r="D45" s="251">
        <v>6</v>
      </c>
      <c r="E45" s="257">
        <f t="shared" si="8"/>
        <v>42203</v>
      </c>
      <c r="F45" s="256">
        <f>H45+J45+L45</f>
        <v>253218</v>
      </c>
      <c r="G45" s="257">
        <v>622</v>
      </c>
      <c r="H45" s="256">
        <f t="shared" si="9"/>
        <v>3732</v>
      </c>
      <c r="I45" s="257">
        <v>41398</v>
      </c>
      <c r="J45" s="256">
        <f t="shared" si="10"/>
        <v>248388</v>
      </c>
      <c r="K45" s="257">
        <v>183</v>
      </c>
      <c r="L45" s="256">
        <f t="shared" si="11"/>
        <v>1098</v>
      </c>
      <c r="M45" s="256"/>
      <c r="N45" s="256"/>
      <c r="O45" s="272">
        <f t="shared" si="2"/>
        <v>0</v>
      </c>
      <c r="P45" s="256">
        <f>D45</f>
        <v>6</v>
      </c>
      <c r="Q45" s="256">
        <f t="shared" si="3"/>
        <v>253218</v>
      </c>
      <c r="R45" s="272">
        <f t="shared" si="4"/>
        <v>1</v>
      </c>
      <c r="S45" s="251">
        <f t="shared" si="13"/>
        <v>3732</v>
      </c>
      <c r="T45" s="251">
        <f t="shared" si="14"/>
        <v>248388</v>
      </c>
      <c r="U45" s="251">
        <f t="shared" si="15"/>
        <v>1098</v>
      </c>
      <c r="V45" s="256">
        <f t="shared" si="5"/>
        <v>6</v>
      </c>
      <c r="W45" s="256">
        <f t="shared" si="6"/>
        <v>253218</v>
      </c>
      <c r="X45" s="272">
        <f t="shared" si="7"/>
        <v>1</v>
      </c>
      <c r="Y45" s="388"/>
      <c r="Z45" s="389"/>
      <c r="AA45" s="390" t="e">
        <f>E45-#REF!</f>
        <v>#REF!</v>
      </c>
      <c r="AC45" s="391" t="s">
        <v>2799</v>
      </c>
      <c r="AD45" s="391" t="s">
        <v>2856</v>
      </c>
      <c r="AE45" s="391" t="s">
        <v>1696</v>
      </c>
      <c r="AG45" s="391" t="s">
        <v>1778</v>
      </c>
      <c r="BV45" s="392" t="str">
        <f>HYPERLINK("#일위대가목록!A38","HX0049 →")</f>
        <v>HX0049 →</v>
      </c>
      <c r="CB45" s="391">
        <v>49111</v>
      </c>
      <c r="CC45" s="391">
        <v>245555</v>
      </c>
      <c r="CD45" s="391">
        <v>724</v>
      </c>
      <c r="CE45" s="391">
        <v>3620</v>
      </c>
      <c r="CF45" s="391">
        <v>48174</v>
      </c>
      <c r="CG45" s="391">
        <v>240870</v>
      </c>
      <c r="CH45" s="391">
        <v>213</v>
      </c>
      <c r="CI45" s="391">
        <v>1065</v>
      </c>
      <c r="CJ45" s="391" t="s">
        <v>2603</v>
      </c>
    </row>
    <row r="46" spans="1:88" s="391" customFormat="1" ht="20.100000000000001" customHeight="1" x14ac:dyDescent="0.15">
      <c r="A46" s="255" t="s">
        <v>2933</v>
      </c>
      <c r="B46" s="255" t="s">
        <v>1558</v>
      </c>
      <c r="C46" s="387" t="s">
        <v>556</v>
      </c>
      <c r="D46" s="251">
        <v>10</v>
      </c>
      <c r="E46" s="257">
        <f t="shared" si="8"/>
        <v>51119</v>
      </c>
      <c r="F46" s="256">
        <f t="shared" si="0"/>
        <v>511190</v>
      </c>
      <c r="G46" s="257">
        <v>799</v>
      </c>
      <c r="H46" s="256">
        <f t="shared" si="9"/>
        <v>7990</v>
      </c>
      <c r="I46" s="257">
        <v>50063</v>
      </c>
      <c r="J46" s="256">
        <f t="shared" si="10"/>
        <v>500630</v>
      </c>
      <c r="K46" s="257">
        <v>257</v>
      </c>
      <c r="L46" s="256">
        <f t="shared" si="11"/>
        <v>2570</v>
      </c>
      <c r="M46" s="256"/>
      <c r="N46" s="256"/>
      <c r="O46" s="272">
        <f t="shared" si="2"/>
        <v>0</v>
      </c>
      <c r="P46" s="256">
        <v>7</v>
      </c>
      <c r="Q46" s="256">
        <f t="shared" si="3"/>
        <v>357833</v>
      </c>
      <c r="R46" s="272">
        <f t="shared" si="4"/>
        <v>0.7</v>
      </c>
      <c r="S46" s="251">
        <f t="shared" si="13"/>
        <v>5593</v>
      </c>
      <c r="T46" s="251">
        <f t="shared" si="14"/>
        <v>350441</v>
      </c>
      <c r="U46" s="251">
        <f t="shared" si="15"/>
        <v>1799</v>
      </c>
      <c r="V46" s="256">
        <f t="shared" si="5"/>
        <v>7</v>
      </c>
      <c r="W46" s="256">
        <f t="shared" si="6"/>
        <v>357833</v>
      </c>
      <c r="X46" s="272">
        <f t="shared" si="7"/>
        <v>0.7</v>
      </c>
      <c r="Y46" s="388"/>
      <c r="Z46" s="389"/>
      <c r="AA46" s="390" t="e">
        <f>E46-#REF!</f>
        <v>#REF!</v>
      </c>
      <c r="AC46" s="391" t="s">
        <v>2840</v>
      </c>
      <c r="AD46" s="391" t="s">
        <v>2856</v>
      </c>
      <c r="AE46" s="391" t="s">
        <v>1904</v>
      </c>
      <c r="AG46" s="391" t="s">
        <v>1778</v>
      </c>
      <c r="BV46" s="392" t="str">
        <f>HYPERLINK("#일위대가목록!A30","HX0041 →")</f>
        <v>HX0041 →</v>
      </c>
      <c r="CB46" s="391">
        <v>59487</v>
      </c>
      <c r="CC46" s="391">
        <v>178461</v>
      </c>
      <c r="CD46" s="391">
        <v>930</v>
      </c>
      <c r="CE46" s="391">
        <v>2790</v>
      </c>
      <c r="CF46" s="391">
        <v>58257</v>
      </c>
      <c r="CG46" s="391">
        <v>174771</v>
      </c>
      <c r="CH46" s="391">
        <v>300</v>
      </c>
      <c r="CI46" s="391">
        <v>900</v>
      </c>
      <c r="CJ46" s="391" t="s">
        <v>1473</v>
      </c>
    </row>
    <row r="47" spans="1:88" s="391" customFormat="1" ht="20.100000000000001" customHeight="1" x14ac:dyDescent="0.15">
      <c r="A47" s="255" t="s">
        <v>2933</v>
      </c>
      <c r="B47" s="255" t="s">
        <v>3172</v>
      </c>
      <c r="C47" s="387" t="s">
        <v>556</v>
      </c>
      <c r="D47" s="251">
        <v>1</v>
      </c>
      <c r="E47" s="257">
        <f>G47+I47+K47</f>
        <v>78794</v>
      </c>
      <c r="F47" s="256">
        <f>H47+J47+L47</f>
        <v>78794</v>
      </c>
      <c r="G47" s="257">
        <v>1387</v>
      </c>
      <c r="H47" s="256">
        <f t="shared" si="9"/>
        <v>1387</v>
      </c>
      <c r="I47" s="257">
        <v>76935</v>
      </c>
      <c r="J47" s="256">
        <f t="shared" si="10"/>
        <v>76935</v>
      </c>
      <c r="K47" s="257">
        <v>472</v>
      </c>
      <c r="L47" s="256">
        <f t="shared" si="11"/>
        <v>472</v>
      </c>
      <c r="M47" s="256"/>
      <c r="N47" s="256"/>
      <c r="O47" s="272">
        <f t="shared" si="2"/>
        <v>0</v>
      </c>
      <c r="P47" s="256">
        <f>D47</f>
        <v>1</v>
      </c>
      <c r="Q47" s="256">
        <f t="shared" si="3"/>
        <v>78794</v>
      </c>
      <c r="R47" s="272">
        <f t="shared" si="4"/>
        <v>1</v>
      </c>
      <c r="S47" s="251">
        <f t="shared" si="13"/>
        <v>1387</v>
      </c>
      <c r="T47" s="251">
        <f t="shared" si="14"/>
        <v>76935</v>
      </c>
      <c r="U47" s="251">
        <f t="shared" si="15"/>
        <v>472</v>
      </c>
      <c r="V47" s="256">
        <f t="shared" si="5"/>
        <v>1</v>
      </c>
      <c r="W47" s="256">
        <f t="shared" si="6"/>
        <v>78794</v>
      </c>
      <c r="X47" s="272">
        <f t="shared" si="7"/>
        <v>1</v>
      </c>
      <c r="Y47" s="388"/>
      <c r="Z47" s="389"/>
      <c r="AA47" s="390" t="e">
        <f>E47-#REF!</f>
        <v>#REF!</v>
      </c>
      <c r="AC47" s="391" t="s">
        <v>2840</v>
      </c>
      <c r="AD47" s="391" t="s">
        <v>2856</v>
      </c>
      <c r="AE47" s="391" t="s">
        <v>1904</v>
      </c>
      <c r="AG47" s="391" t="s">
        <v>1778</v>
      </c>
      <c r="BV47" s="392" t="str">
        <f>HYPERLINK("#일위대가목록!A30","HX0041 →")</f>
        <v>HX0041 →</v>
      </c>
      <c r="CB47" s="391">
        <v>59487</v>
      </c>
      <c r="CC47" s="391">
        <v>178461</v>
      </c>
      <c r="CD47" s="391">
        <v>930</v>
      </c>
      <c r="CE47" s="391">
        <v>2790</v>
      </c>
      <c r="CF47" s="391">
        <v>58257</v>
      </c>
      <c r="CG47" s="391">
        <v>174771</v>
      </c>
      <c r="CH47" s="391">
        <v>300</v>
      </c>
      <c r="CI47" s="391">
        <v>900</v>
      </c>
      <c r="CJ47" s="391" t="s">
        <v>1473</v>
      </c>
    </row>
    <row r="48" spans="1:88" s="391" customFormat="1" ht="20.100000000000001" customHeight="1" x14ac:dyDescent="0.15">
      <c r="A48" s="255" t="s">
        <v>2933</v>
      </c>
      <c r="B48" s="255" t="s">
        <v>3173</v>
      </c>
      <c r="C48" s="387" t="s">
        <v>556</v>
      </c>
      <c r="D48" s="251">
        <v>1</v>
      </c>
      <c r="E48" s="257">
        <f>G48+I48+K48</f>
        <v>146977</v>
      </c>
      <c r="F48" s="256">
        <f>H48+J48+L48</f>
        <v>146977</v>
      </c>
      <c r="G48" s="257">
        <v>2667</v>
      </c>
      <c r="H48" s="256">
        <f t="shared" ref="H48:H79" si="17">TRUNC(G48*D48,0)</f>
        <v>2667</v>
      </c>
      <c r="I48" s="257">
        <v>143492</v>
      </c>
      <c r="J48" s="256">
        <f t="shared" ref="J48:J79" si="18">TRUNC(I48*D48,0)</f>
        <v>143492</v>
      </c>
      <c r="K48" s="257">
        <v>818</v>
      </c>
      <c r="L48" s="256">
        <f t="shared" ref="L48:L79" si="19">TRUNC(K48*D48,0)</f>
        <v>818</v>
      </c>
      <c r="M48" s="256"/>
      <c r="N48" s="256"/>
      <c r="O48" s="272">
        <f t="shared" si="2"/>
        <v>0</v>
      </c>
      <c r="P48" s="256">
        <f>D48</f>
        <v>1</v>
      </c>
      <c r="Q48" s="256">
        <f t="shared" si="3"/>
        <v>146977</v>
      </c>
      <c r="R48" s="272">
        <f t="shared" si="4"/>
        <v>1</v>
      </c>
      <c r="S48" s="251">
        <f t="shared" si="13"/>
        <v>2667</v>
      </c>
      <c r="T48" s="251">
        <f t="shared" si="14"/>
        <v>143492</v>
      </c>
      <c r="U48" s="251">
        <f t="shared" si="15"/>
        <v>818</v>
      </c>
      <c r="V48" s="256">
        <f t="shared" si="5"/>
        <v>1</v>
      </c>
      <c r="W48" s="256">
        <f t="shared" si="6"/>
        <v>146977</v>
      </c>
      <c r="X48" s="272">
        <f t="shared" si="7"/>
        <v>1</v>
      </c>
      <c r="Y48" s="388"/>
      <c r="Z48" s="389"/>
      <c r="AA48" s="390" t="e">
        <f>E48-#REF!</f>
        <v>#REF!</v>
      </c>
      <c r="AC48" s="391" t="s">
        <v>2840</v>
      </c>
      <c r="AD48" s="391" t="s">
        <v>2856</v>
      </c>
      <c r="AE48" s="391" t="s">
        <v>1904</v>
      </c>
      <c r="AG48" s="391" t="s">
        <v>1778</v>
      </c>
      <c r="BV48" s="392" t="str">
        <f>HYPERLINK("#일위대가목록!A30","HX0041 →")</f>
        <v>HX0041 →</v>
      </c>
      <c r="CB48" s="391">
        <v>59487</v>
      </c>
      <c r="CC48" s="391">
        <v>178461</v>
      </c>
      <c r="CD48" s="391">
        <v>930</v>
      </c>
      <c r="CE48" s="391">
        <v>2790</v>
      </c>
      <c r="CF48" s="391">
        <v>58257</v>
      </c>
      <c r="CG48" s="391">
        <v>174771</v>
      </c>
      <c r="CH48" s="391">
        <v>300</v>
      </c>
      <c r="CI48" s="391">
        <v>900</v>
      </c>
      <c r="CJ48" s="391" t="s">
        <v>1473</v>
      </c>
    </row>
    <row r="49" spans="1:88" s="391" customFormat="1" ht="20.100000000000001" customHeight="1" x14ac:dyDescent="0.15">
      <c r="A49" s="255" t="s">
        <v>2934</v>
      </c>
      <c r="B49" s="255" t="s">
        <v>2244</v>
      </c>
      <c r="C49" s="387" t="s">
        <v>556</v>
      </c>
      <c r="D49" s="251">
        <v>1</v>
      </c>
      <c r="E49" s="257">
        <f t="shared" si="8"/>
        <v>24608</v>
      </c>
      <c r="F49" s="256">
        <f t="shared" si="0"/>
        <v>24608</v>
      </c>
      <c r="G49" s="257">
        <v>302</v>
      </c>
      <c r="H49" s="256">
        <f t="shared" si="17"/>
        <v>302</v>
      </c>
      <c r="I49" s="257">
        <v>24216</v>
      </c>
      <c r="J49" s="256">
        <f t="shared" si="18"/>
        <v>24216</v>
      </c>
      <c r="K49" s="257">
        <v>90</v>
      </c>
      <c r="L49" s="256">
        <f t="shared" si="19"/>
        <v>90</v>
      </c>
      <c r="M49" s="256"/>
      <c r="N49" s="256"/>
      <c r="O49" s="272">
        <f t="shared" si="2"/>
        <v>0</v>
      </c>
      <c r="P49" s="256"/>
      <c r="Q49" s="256">
        <f t="shared" si="3"/>
        <v>0</v>
      </c>
      <c r="R49" s="272">
        <f t="shared" si="4"/>
        <v>0</v>
      </c>
      <c r="S49" s="251">
        <f t="shared" si="13"/>
        <v>0</v>
      </c>
      <c r="T49" s="251">
        <f t="shared" si="14"/>
        <v>0</v>
      </c>
      <c r="U49" s="251">
        <f t="shared" si="15"/>
        <v>0</v>
      </c>
      <c r="V49" s="256">
        <f t="shared" si="5"/>
        <v>0</v>
      </c>
      <c r="W49" s="256">
        <f t="shared" si="6"/>
        <v>0</v>
      </c>
      <c r="X49" s="272">
        <f t="shared" si="7"/>
        <v>0</v>
      </c>
      <c r="Y49" s="388"/>
      <c r="Z49" s="389"/>
      <c r="AA49" s="390" t="e">
        <f>E49-#REF!</f>
        <v>#REF!</v>
      </c>
      <c r="AC49" s="391" t="s">
        <v>2107</v>
      </c>
      <c r="AD49" s="391" t="s">
        <v>2856</v>
      </c>
      <c r="AE49" s="391" t="s">
        <v>187</v>
      </c>
      <c r="AG49" s="391" t="s">
        <v>1778</v>
      </c>
      <c r="BV49" s="392" t="str">
        <f>HYPERLINK("#일위대가목록!A31","HX0042 →")</f>
        <v>HX0042 →</v>
      </c>
      <c r="CB49" s="391">
        <v>28637</v>
      </c>
      <c r="CC49" s="391">
        <v>28637</v>
      </c>
      <c r="CD49" s="391">
        <v>352</v>
      </c>
      <c r="CE49" s="391">
        <v>352</v>
      </c>
      <c r="CF49" s="391">
        <v>28180</v>
      </c>
      <c r="CG49" s="391">
        <v>28180</v>
      </c>
      <c r="CH49" s="391">
        <v>105</v>
      </c>
      <c r="CI49" s="391">
        <v>105</v>
      </c>
      <c r="CJ49" s="391" t="s">
        <v>200</v>
      </c>
    </row>
    <row r="50" spans="1:88" s="391" customFormat="1" ht="20.100000000000001" customHeight="1" x14ac:dyDescent="0.15">
      <c r="A50" s="255" t="s">
        <v>2935</v>
      </c>
      <c r="B50" s="255" t="s">
        <v>1323</v>
      </c>
      <c r="C50" s="387" t="s">
        <v>556</v>
      </c>
      <c r="D50" s="251">
        <v>13</v>
      </c>
      <c r="E50" s="257">
        <f t="shared" si="8"/>
        <v>6926</v>
      </c>
      <c r="F50" s="256">
        <f t="shared" si="0"/>
        <v>90038</v>
      </c>
      <c r="G50" s="257">
        <v>57</v>
      </c>
      <c r="H50" s="256">
        <f t="shared" si="17"/>
        <v>741</v>
      </c>
      <c r="I50" s="257">
        <v>6849</v>
      </c>
      <c r="J50" s="256">
        <f t="shared" si="18"/>
        <v>89037</v>
      </c>
      <c r="K50" s="257">
        <v>20</v>
      </c>
      <c r="L50" s="256">
        <f t="shared" si="19"/>
        <v>260</v>
      </c>
      <c r="M50" s="256"/>
      <c r="N50" s="256"/>
      <c r="O50" s="272">
        <f t="shared" si="2"/>
        <v>0</v>
      </c>
      <c r="P50" s="256"/>
      <c r="Q50" s="256">
        <f t="shared" si="3"/>
        <v>0</v>
      </c>
      <c r="R50" s="272">
        <f t="shared" si="4"/>
        <v>0</v>
      </c>
      <c r="S50" s="251">
        <f t="shared" si="13"/>
        <v>0</v>
      </c>
      <c r="T50" s="251">
        <f t="shared" si="14"/>
        <v>0</v>
      </c>
      <c r="U50" s="251">
        <f t="shared" si="15"/>
        <v>0</v>
      </c>
      <c r="V50" s="256">
        <f t="shared" si="5"/>
        <v>0</v>
      </c>
      <c r="W50" s="256">
        <f t="shared" si="6"/>
        <v>0</v>
      </c>
      <c r="X50" s="272">
        <f t="shared" si="7"/>
        <v>0</v>
      </c>
      <c r="Y50" s="388"/>
      <c r="Z50" s="389"/>
      <c r="AA50" s="390" t="e">
        <f>E50-#REF!</f>
        <v>#REF!</v>
      </c>
      <c r="AC50" s="391" t="s">
        <v>1289</v>
      </c>
      <c r="AD50" s="391" t="s">
        <v>2856</v>
      </c>
      <c r="AE50" s="391" t="s">
        <v>1507</v>
      </c>
      <c r="AG50" s="391" t="s">
        <v>1778</v>
      </c>
      <c r="BV50" s="392" t="str">
        <f>HYPERLINK("#일위대가목록!A32","HX0043 →")</f>
        <v>HX0043 →</v>
      </c>
      <c r="CB50" s="391">
        <v>8062</v>
      </c>
      <c r="CC50" s="391">
        <v>104806</v>
      </c>
      <c r="CD50" s="391">
        <v>67</v>
      </c>
      <c r="CE50" s="391">
        <v>871</v>
      </c>
      <c r="CF50" s="391">
        <v>7971</v>
      </c>
      <c r="CG50" s="391">
        <v>103623</v>
      </c>
      <c r="CH50" s="391">
        <v>24</v>
      </c>
      <c r="CI50" s="391">
        <v>312</v>
      </c>
      <c r="CJ50" s="391" t="s">
        <v>1977</v>
      </c>
    </row>
    <row r="51" spans="1:88" s="391" customFormat="1" ht="20.100000000000001" customHeight="1" x14ac:dyDescent="0.15">
      <c r="A51" s="255" t="s">
        <v>2936</v>
      </c>
      <c r="B51" s="255" t="s">
        <v>1567</v>
      </c>
      <c r="C51" s="387" t="s">
        <v>556</v>
      </c>
      <c r="D51" s="251">
        <v>4</v>
      </c>
      <c r="E51" s="257">
        <f t="shared" si="8"/>
        <v>30359</v>
      </c>
      <c r="F51" s="256">
        <f t="shared" si="0"/>
        <v>121436</v>
      </c>
      <c r="G51" s="257">
        <v>421</v>
      </c>
      <c r="H51" s="256">
        <f t="shared" si="17"/>
        <v>1684</v>
      </c>
      <c r="I51" s="257">
        <v>29805</v>
      </c>
      <c r="J51" s="256">
        <f t="shared" si="18"/>
        <v>119220</v>
      </c>
      <c r="K51" s="257">
        <v>133</v>
      </c>
      <c r="L51" s="256">
        <f t="shared" si="19"/>
        <v>532</v>
      </c>
      <c r="M51" s="256"/>
      <c r="N51" s="256"/>
      <c r="O51" s="272">
        <f t="shared" si="2"/>
        <v>0</v>
      </c>
      <c r="P51" s="256">
        <v>1</v>
      </c>
      <c r="Q51" s="256">
        <f t="shared" si="3"/>
        <v>30359</v>
      </c>
      <c r="R51" s="272">
        <f t="shared" si="4"/>
        <v>0.25</v>
      </c>
      <c r="S51" s="251">
        <f t="shared" si="13"/>
        <v>421</v>
      </c>
      <c r="T51" s="251">
        <f t="shared" si="14"/>
        <v>29805</v>
      </c>
      <c r="U51" s="251">
        <f t="shared" si="15"/>
        <v>133</v>
      </c>
      <c r="V51" s="256">
        <f t="shared" si="5"/>
        <v>1</v>
      </c>
      <c r="W51" s="256">
        <f t="shared" si="6"/>
        <v>30359</v>
      </c>
      <c r="X51" s="272">
        <f t="shared" si="7"/>
        <v>0.25</v>
      </c>
      <c r="Y51" s="388"/>
      <c r="Z51" s="389"/>
      <c r="AA51" s="390" t="e">
        <f>E51-#REF!</f>
        <v>#REF!</v>
      </c>
      <c r="AC51" s="391" t="s">
        <v>551</v>
      </c>
      <c r="AD51" s="391" t="s">
        <v>2856</v>
      </c>
      <c r="AE51" s="391" t="s">
        <v>391</v>
      </c>
      <c r="AG51" s="391" t="s">
        <v>1778</v>
      </c>
      <c r="BV51" s="392" t="str">
        <f>HYPERLINK("#일위대가목록!A33","HX0044 →")</f>
        <v>HX0044 →</v>
      </c>
      <c r="CB51" s="391">
        <v>35329</v>
      </c>
      <c r="CC51" s="391">
        <v>105987</v>
      </c>
      <c r="CD51" s="391">
        <v>490</v>
      </c>
      <c r="CE51" s="391">
        <v>1470</v>
      </c>
      <c r="CF51" s="391">
        <v>34684</v>
      </c>
      <c r="CG51" s="391">
        <v>104052</v>
      </c>
      <c r="CH51" s="391">
        <v>155</v>
      </c>
      <c r="CI51" s="391">
        <v>465</v>
      </c>
      <c r="CJ51" s="391" t="s">
        <v>434</v>
      </c>
    </row>
    <row r="52" spans="1:88" s="235" customFormat="1" ht="20.100000000000001" customHeight="1" x14ac:dyDescent="0.15">
      <c r="A52" s="229" t="s">
        <v>2937</v>
      </c>
      <c r="B52" s="229" t="s">
        <v>2816</v>
      </c>
      <c r="C52" s="230" t="s">
        <v>556</v>
      </c>
      <c r="D52" s="233">
        <v>1</v>
      </c>
      <c r="E52" s="231">
        <f t="shared" si="8"/>
        <v>1399118</v>
      </c>
      <c r="F52" s="232">
        <f t="shared" si="0"/>
        <v>1399118</v>
      </c>
      <c r="G52" s="231">
        <v>30197</v>
      </c>
      <c r="H52" s="232">
        <f t="shared" si="17"/>
        <v>30197</v>
      </c>
      <c r="I52" s="231">
        <v>1359297</v>
      </c>
      <c r="J52" s="232">
        <f t="shared" si="18"/>
        <v>1359297</v>
      </c>
      <c r="K52" s="231">
        <v>9624</v>
      </c>
      <c r="L52" s="232">
        <f t="shared" si="19"/>
        <v>9624</v>
      </c>
      <c r="M52" s="232"/>
      <c r="N52" s="232"/>
      <c r="O52" s="270">
        <f t="shared" si="2"/>
        <v>0</v>
      </c>
      <c r="P52" s="232">
        <f>D52</f>
        <v>1</v>
      </c>
      <c r="Q52" s="232">
        <f t="shared" si="3"/>
        <v>1399118</v>
      </c>
      <c r="R52" s="270">
        <f t="shared" si="4"/>
        <v>1</v>
      </c>
      <c r="S52" s="233">
        <f t="shared" si="13"/>
        <v>30197</v>
      </c>
      <c r="T52" s="233">
        <f t="shared" si="14"/>
        <v>1359297</v>
      </c>
      <c r="U52" s="233">
        <f t="shared" si="15"/>
        <v>9624</v>
      </c>
      <c r="V52" s="232">
        <f t="shared" si="5"/>
        <v>1</v>
      </c>
      <c r="W52" s="232">
        <f t="shared" si="6"/>
        <v>1399118</v>
      </c>
      <c r="X52" s="270">
        <f t="shared" si="7"/>
        <v>1</v>
      </c>
      <c r="Y52" s="234"/>
      <c r="Z52" s="383"/>
      <c r="AA52" s="252" t="e">
        <f>E52-#REF!</f>
        <v>#REF!</v>
      </c>
      <c r="AC52" s="235" t="s">
        <v>2843</v>
      </c>
      <c r="AD52" s="235" t="s">
        <v>2856</v>
      </c>
      <c r="AE52" s="235" t="s">
        <v>1988</v>
      </c>
      <c r="AG52" s="235" t="s">
        <v>1778</v>
      </c>
      <c r="BV52" s="236" t="str">
        <f>HYPERLINK("#일위대가목록!A34","HX0045 →")</f>
        <v>HX0045 →</v>
      </c>
      <c r="CB52" s="235">
        <v>1628103</v>
      </c>
      <c r="CC52" s="235">
        <v>1628103</v>
      </c>
      <c r="CD52" s="235">
        <v>35140</v>
      </c>
      <c r="CE52" s="235">
        <v>35140</v>
      </c>
      <c r="CF52" s="235">
        <v>1581763</v>
      </c>
      <c r="CG52" s="235">
        <v>1581763</v>
      </c>
      <c r="CH52" s="235">
        <v>11200</v>
      </c>
      <c r="CI52" s="235">
        <v>11200</v>
      </c>
      <c r="CJ52" s="235" t="s">
        <v>1753</v>
      </c>
    </row>
    <row r="53" spans="1:88" s="235" customFormat="1" ht="20.100000000000001" customHeight="1" x14ac:dyDescent="0.15">
      <c r="A53" s="229" t="s">
        <v>2937</v>
      </c>
      <c r="B53" s="229" t="s">
        <v>1855</v>
      </c>
      <c r="C53" s="230" t="s">
        <v>556</v>
      </c>
      <c r="D53" s="233">
        <v>2</v>
      </c>
      <c r="E53" s="231">
        <f t="shared" si="8"/>
        <v>164241</v>
      </c>
      <c r="F53" s="232">
        <f t="shared" si="0"/>
        <v>328482</v>
      </c>
      <c r="G53" s="231">
        <v>3195</v>
      </c>
      <c r="H53" s="232">
        <f t="shared" si="17"/>
        <v>6390</v>
      </c>
      <c r="I53" s="231">
        <v>159919</v>
      </c>
      <c r="J53" s="232">
        <f t="shared" si="18"/>
        <v>319838</v>
      </c>
      <c r="K53" s="231">
        <v>1127</v>
      </c>
      <c r="L53" s="232">
        <f t="shared" si="19"/>
        <v>2254</v>
      </c>
      <c r="M53" s="232"/>
      <c r="N53" s="232"/>
      <c r="O53" s="270">
        <f t="shared" si="2"/>
        <v>0</v>
      </c>
      <c r="P53" s="232">
        <f t="shared" ref="P53:P90" si="20">D53</f>
        <v>2</v>
      </c>
      <c r="Q53" s="232">
        <f t="shared" si="3"/>
        <v>328482</v>
      </c>
      <c r="R53" s="270">
        <f t="shared" si="4"/>
        <v>1</v>
      </c>
      <c r="S53" s="233">
        <f t="shared" si="13"/>
        <v>6390</v>
      </c>
      <c r="T53" s="233">
        <f t="shared" si="14"/>
        <v>319838</v>
      </c>
      <c r="U53" s="233">
        <f t="shared" si="15"/>
        <v>2254</v>
      </c>
      <c r="V53" s="232">
        <f t="shared" si="5"/>
        <v>2</v>
      </c>
      <c r="W53" s="232">
        <f t="shared" si="6"/>
        <v>328482</v>
      </c>
      <c r="X53" s="270">
        <f t="shared" si="7"/>
        <v>1</v>
      </c>
      <c r="Y53" s="234"/>
      <c r="Z53" s="383"/>
      <c r="AA53" s="252" t="e">
        <f>E53-#REF!</f>
        <v>#REF!</v>
      </c>
      <c r="AC53" s="235" t="s">
        <v>2138</v>
      </c>
      <c r="AD53" s="235" t="s">
        <v>2856</v>
      </c>
      <c r="AE53" s="235" t="s">
        <v>88</v>
      </c>
      <c r="AG53" s="235" t="s">
        <v>1778</v>
      </c>
      <c r="BV53" s="236" t="str">
        <f>HYPERLINK("#일위대가목록!A35","HX0046 →")</f>
        <v>HX0046 →</v>
      </c>
      <c r="CB53" s="235">
        <v>191123</v>
      </c>
      <c r="CC53" s="235">
        <v>191123</v>
      </c>
      <c r="CD53" s="235">
        <v>3719</v>
      </c>
      <c r="CE53" s="235">
        <v>3719</v>
      </c>
      <c r="CF53" s="235">
        <v>186092</v>
      </c>
      <c r="CG53" s="235">
        <v>186092</v>
      </c>
      <c r="CH53" s="235">
        <v>1312</v>
      </c>
      <c r="CI53" s="235">
        <v>1312</v>
      </c>
      <c r="CJ53" s="235" t="s">
        <v>121</v>
      </c>
    </row>
    <row r="54" spans="1:88" s="235" customFormat="1" ht="20.100000000000001" customHeight="1" x14ac:dyDescent="0.15">
      <c r="A54" s="229" t="s">
        <v>2937</v>
      </c>
      <c r="B54" s="229" t="s">
        <v>824</v>
      </c>
      <c r="C54" s="230" t="s">
        <v>556</v>
      </c>
      <c r="D54" s="233">
        <v>15</v>
      </c>
      <c r="E54" s="231">
        <f t="shared" ref="E54:E84" si="21">G54+I54+K54</f>
        <v>51321</v>
      </c>
      <c r="F54" s="232">
        <f t="shared" si="0"/>
        <v>769815</v>
      </c>
      <c r="G54" s="231">
        <v>835</v>
      </c>
      <c r="H54" s="232">
        <f t="shared" si="17"/>
        <v>12525</v>
      </c>
      <c r="I54" s="231">
        <v>50182</v>
      </c>
      <c r="J54" s="232">
        <f t="shared" si="18"/>
        <v>752730</v>
      </c>
      <c r="K54" s="231">
        <v>304</v>
      </c>
      <c r="L54" s="232">
        <f t="shared" si="19"/>
        <v>4560</v>
      </c>
      <c r="M54" s="232"/>
      <c r="N54" s="232"/>
      <c r="O54" s="270">
        <f t="shared" si="2"/>
        <v>0</v>
      </c>
      <c r="P54" s="232">
        <f t="shared" si="20"/>
        <v>15</v>
      </c>
      <c r="Q54" s="232">
        <f t="shared" si="3"/>
        <v>769815</v>
      </c>
      <c r="R54" s="270">
        <f t="shared" si="4"/>
        <v>1</v>
      </c>
      <c r="S54" s="233">
        <f t="shared" si="13"/>
        <v>12525</v>
      </c>
      <c r="T54" s="233">
        <f t="shared" si="14"/>
        <v>752730</v>
      </c>
      <c r="U54" s="233">
        <f t="shared" si="15"/>
        <v>4560</v>
      </c>
      <c r="V54" s="232">
        <f t="shared" si="5"/>
        <v>15</v>
      </c>
      <c r="W54" s="232">
        <f t="shared" si="6"/>
        <v>769815</v>
      </c>
      <c r="X54" s="270">
        <f t="shared" si="7"/>
        <v>1</v>
      </c>
      <c r="Y54" s="234"/>
      <c r="Z54" s="383"/>
      <c r="AA54" s="252" t="e">
        <f>E54-#REF!</f>
        <v>#REF!</v>
      </c>
      <c r="AC54" s="235" t="s">
        <v>1389</v>
      </c>
      <c r="AD54" s="235" t="s">
        <v>2856</v>
      </c>
      <c r="AE54" s="235" t="s">
        <v>1756</v>
      </c>
      <c r="AG54" s="235" t="s">
        <v>1778</v>
      </c>
      <c r="BV54" s="236" t="str">
        <f>HYPERLINK("#일위대가목록!A36","HX0047 →")</f>
        <v>HX0047 →</v>
      </c>
      <c r="CB54" s="235">
        <v>59722</v>
      </c>
      <c r="CC54" s="235">
        <v>358332</v>
      </c>
      <c r="CD54" s="235">
        <v>972</v>
      </c>
      <c r="CE54" s="235">
        <v>5832</v>
      </c>
      <c r="CF54" s="235">
        <v>58396</v>
      </c>
      <c r="CG54" s="235">
        <v>350376</v>
      </c>
      <c r="CH54" s="235">
        <v>354</v>
      </c>
      <c r="CI54" s="235">
        <v>2124</v>
      </c>
      <c r="CJ54" s="235" t="s">
        <v>1712</v>
      </c>
    </row>
    <row r="55" spans="1:88" s="235" customFormat="1" ht="20.100000000000001" customHeight="1" x14ac:dyDescent="0.15">
      <c r="A55" s="229" t="s">
        <v>2937</v>
      </c>
      <c r="B55" s="229" t="s">
        <v>648</v>
      </c>
      <c r="C55" s="230" t="s">
        <v>556</v>
      </c>
      <c r="D55" s="233">
        <v>0</v>
      </c>
      <c r="E55" s="231">
        <f t="shared" si="21"/>
        <v>0</v>
      </c>
      <c r="F55" s="232">
        <f t="shared" si="0"/>
        <v>0</v>
      </c>
      <c r="G55" s="231"/>
      <c r="H55" s="232"/>
      <c r="I55" s="231"/>
      <c r="J55" s="232"/>
      <c r="K55" s="231"/>
      <c r="L55" s="232">
        <f t="shared" si="19"/>
        <v>0</v>
      </c>
      <c r="M55" s="232"/>
      <c r="N55" s="232"/>
      <c r="O55" s="270">
        <f t="shared" si="2"/>
        <v>0</v>
      </c>
      <c r="P55" s="232">
        <f t="shared" si="20"/>
        <v>0</v>
      </c>
      <c r="Q55" s="232">
        <f t="shared" si="3"/>
        <v>0</v>
      </c>
      <c r="R55" s="270">
        <f t="shared" si="4"/>
        <v>0</v>
      </c>
      <c r="S55" s="233">
        <f t="shared" si="13"/>
        <v>0</v>
      </c>
      <c r="T55" s="233">
        <f t="shared" si="14"/>
        <v>0</v>
      </c>
      <c r="U55" s="233">
        <f t="shared" si="15"/>
        <v>0</v>
      </c>
      <c r="V55" s="232">
        <f t="shared" si="5"/>
        <v>0</v>
      </c>
      <c r="W55" s="232">
        <f t="shared" si="6"/>
        <v>0</v>
      </c>
      <c r="X55" s="270">
        <f t="shared" si="7"/>
        <v>0</v>
      </c>
      <c r="Y55" s="234"/>
      <c r="Z55" s="383"/>
      <c r="AA55" s="252" t="e">
        <f>E55-#REF!</f>
        <v>#REF!</v>
      </c>
      <c r="AC55" s="235" t="s">
        <v>665</v>
      </c>
      <c r="AD55" s="235" t="s">
        <v>2856</v>
      </c>
      <c r="AE55" s="235" t="s">
        <v>163</v>
      </c>
      <c r="AG55" s="235" t="s">
        <v>1778</v>
      </c>
      <c r="BV55" s="236" t="str">
        <f>HYPERLINK("#일위대가목록!A37","HX0048 →")</f>
        <v>HX0048 →</v>
      </c>
      <c r="CB55" s="235">
        <v>191123</v>
      </c>
      <c r="CC55" s="235">
        <v>191123</v>
      </c>
      <c r="CD55" s="235">
        <v>3719</v>
      </c>
      <c r="CE55" s="235">
        <v>3719</v>
      </c>
      <c r="CF55" s="235">
        <v>186092</v>
      </c>
      <c r="CG55" s="235">
        <v>186092</v>
      </c>
      <c r="CH55" s="235">
        <v>1312</v>
      </c>
      <c r="CI55" s="235">
        <v>1312</v>
      </c>
      <c r="CJ55" s="235" t="s">
        <v>136</v>
      </c>
    </row>
    <row r="56" spans="1:88" s="235" customFormat="1" ht="20.100000000000001" customHeight="1" x14ac:dyDescent="0.15">
      <c r="A56" s="229" t="s">
        <v>2937</v>
      </c>
      <c r="B56" s="229" t="s">
        <v>2116</v>
      </c>
      <c r="C56" s="230" t="s">
        <v>556</v>
      </c>
      <c r="D56" s="233">
        <v>7</v>
      </c>
      <c r="E56" s="231">
        <f t="shared" si="21"/>
        <v>42203</v>
      </c>
      <c r="F56" s="232">
        <f t="shared" si="0"/>
        <v>295421</v>
      </c>
      <c r="G56" s="231">
        <v>622</v>
      </c>
      <c r="H56" s="232">
        <f t="shared" si="17"/>
        <v>4354</v>
      </c>
      <c r="I56" s="231">
        <v>41398</v>
      </c>
      <c r="J56" s="232">
        <f t="shared" si="18"/>
        <v>289786</v>
      </c>
      <c r="K56" s="231">
        <v>183</v>
      </c>
      <c r="L56" s="232">
        <f t="shared" si="19"/>
        <v>1281</v>
      </c>
      <c r="M56" s="232"/>
      <c r="N56" s="232"/>
      <c r="O56" s="270">
        <f t="shared" si="2"/>
        <v>0</v>
      </c>
      <c r="P56" s="232">
        <f t="shared" si="20"/>
        <v>7</v>
      </c>
      <c r="Q56" s="232">
        <f t="shared" si="3"/>
        <v>295421</v>
      </c>
      <c r="R56" s="270">
        <f t="shared" si="4"/>
        <v>1</v>
      </c>
      <c r="S56" s="233">
        <f t="shared" si="13"/>
        <v>4354</v>
      </c>
      <c r="T56" s="233">
        <f t="shared" si="14"/>
        <v>289786</v>
      </c>
      <c r="U56" s="233">
        <f t="shared" si="15"/>
        <v>1281</v>
      </c>
      <c r="V56" s="232">
        <f t="shared" si="5"/>
        <v>7</v>
      </c>
      <c r="W56" s="232">
        <f t="shared" si="6"/>
        <v>295421</v>
      </c>
      <c r="X56" s="270">
        <f t="shared" si="7"/>
        <v>1</v>
      </c>
      <c r="Y56" s="234"/>
      <c r="Z56" s="383"/>
      <c r="AA56" s="252" t="e">
        <f>E56-#REF!</f>
        <v>#REF!</v>
      </c>
      <c r="AC56" s="235" t="s">
        <v>2799</v>
      </c>
      <c r="AD56" s="235" t="s">
        <v>2856</v>
      </c>
      <c r="AE56" s="235" t="s">
        <v>1696</v>
      </c>
      <c r="AG56" s="235" t="s">
        <v>1778</v>
      </c>
      <c r="BV56" s="236" t="str">
        <f>HYPERLINK("#일위대가목록!A38","HX0049 →")</f>
        <v>HX0049 →</v>
      </c>
      <c r="CB56" s="235">
        <v>49111</v>
      </c>
      <c r="CC56" s="235">
        <v>245555</v>
      </c>
      <c r="CD56" s="235">
        <v>724</v>
      </c>
      <c r="CE56" s="235">
        <v>3620</v>
      </c>
      <c r="CF56" s="235">
        <v>48174</v>
      </c>
      <c r="CG56" s="235">
        <v>240870</v>
      </c>
      <c r="CH56" s="235">
        <v>213</v>
      </c>
      <c r="CI56" s="235">
        <v>1065</v>
      </c>
      <c r="CJ56" s="235" t="s">
        <v>2603</v>
      </c>
    </row>
    <row r="57" spans="1:88" s="235" customFormat="1" ht="20.100000000000001" customHeight="1" x14ac:dyDescent="0.15">
      <c r="A57" s="229" t="s">
        <v>2937</v>
      </c>
      <c r="B57" s="229" t="s">
        <v>1581</v>
      </c>
      <c r="C57" s="230" t="s">
        <v>556</v>
      </c>
      <c r="D57" s="233">
        <v>0</v>
      </c>
      <c r="E57" s="231">
        <f t="shared" si="21"/>
        <v>0</v>
      </c>
      <c r="F57" s="232">
        <f t="shared" si="0"/>
        <v>0</v>
      </c>
      <c r="G57" s="231"/>
      <c r="H57" s="232"/>
      <c r="I57" s="231"/>
      <c r="J57" s="232"/>
      <c r="K57" s="231"/>
      <c r="L57" s="232">
        <f t="shared" si="19"/>
        <v>0</v>
      </c>
      <c r="M57" s="232"/>
      <c r="N57" s="232"/>
      <c r="O57" s="270">
        <f t="shared" si="2"/>
        <v>0</v>
      </c>
      <c r="P57" s="232">
        <f t="shared" si="20"/>
        <v>0</v>
      </c>
      <c r="Q57" s="232">
        <f t="shared" si="3"/>
        <v>0</v>
      </c>
      <c r="R57" s="270">
        <f t="shared" si="4"/>
        <v>0</v>
      </c>
      <c r="S57" s="233">
        <f t="shared" si="13"/>
        <v>0</v>
      </c>
      <c r="T57" s="233">
        <f t="shared" si="14"/>
        <v>0</v>
      </c>
      <c r="U57" s="233">
        <f t="shared" si="15"/>
        <v>0</v>
      </c>
      <c r="V57" s="232">
        <f t="shared" si="5"/>
        <v>0</v>
      </c>
      <c r="W57" s="232">
        <f t="shared" si="6"/>
        <v>0</v>
      </c>
      <c r="X57" s="270">
        <f t="shared" si="7"/>
        <v>0</v>
      </c>
      <c r="Y57" s="234"/>
      <c r="Z57" s="383"/>
      <c r="AA57" s="252" t="e">
        <f>E57-#REF!</f>
        <v>#REF!</v>
      </c>
      <c r="AC57" s="235" t="s">
        <v>2103</v>
      </c>
      <c r="AD57" s="235" t="s">
        <v>2856</v>
      </c>
      <c r="AE57" s="235" t="s">
        <v>1393</v>
      </c>
      <c r="AG57" s="235" t="s">
        <v>1778</v>
      </c>
      <c r="BV57" s="236" t="str">
        <f>HYPERLINK("#일위대가목록!A39","HX0050 →")</f>
        <v>HX0050 →</v>
      </c>
      <c r="CB57" s="235">
        <v>59722</v>
      </c>
      <c r="CC57" s="235">
        <v>119444</v>
      </c>
      <c r="CD57" s="235">
        <v>972</v>
      </c>
      <c r="CE57" s="235">
        <v>1944</v>
      </c>
      <c r="CF57" s="235">
        <v>58396</v>
      </c>
      <c r="CG57" s="235">
        <v>116792</v>
      </c>
      <c r="CH57" s="235">
        <v>354</v>
      </c>
      <c r="CI57" s="235">
        <v>708</v>
      </c>
      <c r="CJ57" s="235" t="s">
        <v>1418</v>
      </c>
    </row>
    <row r="58" spans="1:88" s="235" customFormat="1" ht="20.100000000000001" customHeight="1" x14ac:dyDescent="0.15">
      <c r="A58" s="229" t="s">
        <v>2937</v>
      </c>
      <c r="B58" s="229" t="s">
        <v>804</v>
      </c>
      <c r="C58" s="230" t="s">
        <v>556</v>
      </c>
      <c r="D58" s="233">
        <v>5</v>
      </c>
      <c r="E58" s="231">
        <f t="shared" si="21"/>
        <v>19115</v>
      </c>
      <c r="F58" s="232">
        <f t="shared" si="0"/>
        <v>95575</v>
      </c>
      <c r="G58" s="231">
        <v>213</v>
      </c>
      <c r="H58" s="232">
        <f t="shared" si="17"/>
        <v>1065</v>
      </c>
      <c r="I58" s="231">
        <v>18830</v>
      </c>
      <c r="J58" s="232">
        <f t="shared" si="18"/>
        <v>94150</v>
      </c>
      <c r="K58" s="231">
        <v>72</v>
      </c>
      <c r="L58" s="232">
        <f t="shared" si="19"/>
        <v>360</v>
      </c>
      <c r="M58" s="232"/>
      <c r="N58" s="232"/>
      <c r="O58" s="270">
        <f t="shared" si="2"/>
        <v>0</v>
      </c>
      <c r="P58" s="232">
        <f t="shared" si="20"/>
        <v>5</v>
      </c>
      <c r="Q58" s="232">
        <f t="shared" si="3"/>
        <v>95575</v>
      </c>
      <c r="R58" s="270">
        <f t="shared" si="4"/>
        <v>1</v>
      </c>
      <c r="S58" s="233">
        <f t="shared" si="13"/>
        <v>1065</v>
      </c>
      <c r="T58" s="233">
        <f t="shared" si="14"/>
        <v>94150</v>
      </c>
      <c r="U58" s="233">
        <f t="shared" si="15"/>
        <v>360</v>
      </c>
      <c r="V58" s="232">
        <f t="shared" si="5"/>
        <v>5</v>
      </c>
      <c r="W58" s="232">
        <f t="shared" si="6"/>
        <v>95575</v>
      </c>
      <c r="X58" s="270">
        <f t="shared" si="7"/>
        <v>1</v>
      </c>
      <c r="Y58" s="234"/>
      <c r="Z58" s="383"/>
      <c r="AA58" s="252" t="e">
        <f>E58-#REF!</f>
        <v>#REF!</v>
      </c>
      <c r="AC58" s="235" t="s">
        <v>1346</v>
      </c>
      <c r="AD58" s="235" t="s">
        <v>2856</v>
      </c>
      <c r="AE58" s="235" t="s">
        <v>2615</v>
      </c>
      <c r="AG58" s="235" t="s">
        <v>1778</v>
      </c>
      <c r="BV58" s="236" t="str">
        <f>HYPERLINK("#일위대가목록!A40","HX0051 →")</f>
        <v>HX0051 →</v>
      </c>
      <c r="CB58" s="235">
        <v>22244</v>
      </c>
      <c r="CC58" s="235">
        <v>200196</v>
      </c>
      <c r="CD58" s="235">
        <v>248</v>
      </c>
      <c r="CE58" s="235">
        <v>2232</v>
      </c>
      <c r="CF58" s="235">
        <v>21912</v>
      </c>
      <c r="CG58" s="235">
        <v>197208</v>
      </c>
      <c r="CH58" s="235">
        <v>84</v>
      </c>
      <c r="CI58" s="235">
        <v>756</v>
      </c>
      <c r="CJ58" s="235" t="s">
        <v>2203</v>
      </c>
    </row>
    <row r="59" spans="1:88" s="235" customFormat="1" ht="20.100000000000001" customHeight="1" x14ac:dyDescent="0.15">
      <c r="A59" s="229" t="s">
        <v>2937</v>
      </c>
      <c r="B59" s="229" t="s">
        <v>1638</v>
      </c>
      <c r="C59" s="230" t="s">
        <v>556</v>
      </c>
      <c r="D59" s="233">
        <v>5</v>
      </c>
      <c r="E59" s="231">
        <f t="shared" si="21"/>
        <v>292133</v>
      </c>
      <c r="F59" s="232">
        <f t="shared" si="0"/>
        <v>1460665</v>
      </c>
      <c r="G59" s="231">
        <v>5906</v>
      </c>
      <c r="H59" s="232">
        <f t="shared" si="17"/>
        <v>29530</v>
      </c>
      <c r="I59" s="231">
        <v>284195</v>
      </c>
      <c r="J59" s="232">
        <f t="shared" si="18"/>
        <v>1420975</v>
      </c>
      <c r="K59" s="231">
        <v>2032</v>
      </c>
      <c r="L59" s="232">
        <f t="shared" si="19"/>
        <v>10160</v>
      </c>
      <c r="M59" s="232"/>
      <c r="N59" s="232"/>
      <c r="O59" s="270">
        <f t="shared" si="2"/>
        <v>0</v>
      </c>
      <c r="P59" s="232">
        <f t="shared" si="20"/>
        <v>5</v>
      </c>
      <c r="Q59" s="232">
        <f t="shared" si="3"/>
        <v>1460665</v>
      </c>
      <c r="R59" s="270">
        <f t="shared" si="4"/>
        <v>1</v>
      </c>
      <c r="S59" s="233">
        <f t="shared" si="13"/>
        <v>29530</v>
      </c>
      <c r="T59" s="233">
        <f t="shared" si="14"/>
        <v>1420975</v>
      </c>
      <c r="U59" s="233">
        <f t="shared" si="15"/>
        <v>10160</v>
      </c>
      <c r="V59" s="232">
        <f t="shared" si="5"/>
        <v>5</v>
      </c>
      <c r="W59" s="232">
        <f t="shared" si="6"/>
        <v>1460665</v>
      </c>
      <c r="X59" s="270">
        <f t="shared" si="7"/>
        <v>1</v>
      </c>
      <c r="Y59" s="234"/>
      <c r="Z59" s="383"/>
      <c r="AA59" s="252" t="e">
        <f>E59-#REF!</f>
        <v>#REF!</v>
      </c>
      <c r="AC59" s="235" t="s">
        <v>623</v>
      </c>
      <c r="AD59" s="235" t="s">
        <v>2856</v>
      </c>
      <c r="AE59" s="235" t="s">
        <v>911</v>
      </c>
      <c r="AG59" s="235" t="s">
        <v>1778</v>
      </c>
      <c r="BV59" s="236" t="str">
        <f>HYPERLINK("#일위대가목록!A41","HX0052 →")</f>
        <v>HX0052 →</v>
      </c>
      <c r="CB59" s="235">
        <v>339946</v>
      </c>
      <c r="CC59" s="235">
        <v>339946</v>
      </c>
      <c r="CD59" s="235">
        <v>6873</v>
      </c>
      <c r="CE59" s="235">
        <v>6873</v>
      </c>
      <c r="CF59" s="235">
        <v>330708</v>
      </c>
      <c r="CG59" s="235">
        <v>330708</v>
      </c>
      <c r="CH59" s="235">
        <v>2365</v>
      </c>
      <c r="CI59" s="235">
        <v>2365</v>
      </c>
      <c r="CJ59" s="235" t="s">
        <v>944</v>
      </c>
    </row>
    <row r="60" spans="1:88" s="235" customFormat="1" ht="20.100000000000001" customHeight="1" x14ac:dyDescent="0.15">
      <c r="A60" s="229" t="s">
        <v>2937</v>
      </c>
      <c r="B60" s="229" t="s">
        <v>1048</v>
      </c>
      <c r="C60" s="230" t="s">
        <v>556</v>
      </c>
      <c r="D60" s="233">
        <v>0</v>
      </c>
      <c r="E60" s="231">
        <f t="shared" si="21"/>
        <v>0</v>
      </c>
      <c r="F60" s="232">
        <f t="shared" si="0"/>
        <v>0</v>
      </c>
      <c r="G60" s="231"/>
      <c r="H60" s="232"/>
      <c r="I60" s="231"/>
      <c r="J60" s="232"/>
      <c r="K60" s="231"/>
      <c r="L60" s="232">
        <f t="shared" si="19"/>
        <v>0</v>
      </c>
      <c r="M60" s="232"/>
      <c r="N60" s="232"/>
      <c r="O60" s="270">
        <f t="shared" si="2"/>
        <v>0</v>
      </c>
      <c r="P60" s="232">
        <f t="shared" si="20"/>
        <v>0</v>
      </c>
      <c r="Q60" s="232">
        <f t="shared" si="3"/>
        <v>0</v>
      </c>
      <c r="R60" s="270">
        <f t="shared" si="4"/>
        <v>0</v>
      </c>
      <c r="S60" s="233">
        <f t="shared" si="13"/>
        <v>0</v>
      </c>
      <c r="T60" s="233">
        <f t="shared" si="14"/>
        <v>0</v>
      </c>
      <c r="U60" s="233">
        <f t="shared" si="15"/>
        <v>0</v>
      </c>
      <c r="V60" s="232">
        <f t="shared" si="5"/>
        <v>0</v>
      </c>
      <c r="W60" s="232">
        <f t="shared" si="6"/>
        <v>0</v>
      </c>
      <c r="X60" s="270">
        <f t="shared" si="7"/>
        <v>0</v>
      </c>
      <c r="Y60" s="234"/>
      <c r="Z60" s="383"/>
      <c r="AA60" s="252" t="e">
        <f>E60-#REF!</f>
        <v>#REF!</v>
      </c>
      <c r="AC60" s="235" t="s">
        <v>2759</v>
      </c>
      <c r="AD60" s="235" t="s">
        <v>2856</v>
      </c>
      <c r="AE60" s="235" t="s">
        <v>2222</v>
      </c>
      <c r="AG60" s="235" t="s">
        <v>1778</v>
      </c>
      <c r="BV60" s="236" t="str">
        <f>HYPERLINK("#일위대가목록!A42","HX0053 →")</f>
        <v>HX0053 →</v>
      </c>
      <c r="CB60" s="235">
        <v>22244</v>
      </c>
      <c r="CC60" s="235">
        <v>111220</v>
      </c>
      <c r="CD60" s="235">
        <v>248</v>
      </c>
      <c r="CE60" s="235">
        <v>1240</v>
      </c>
      <c r="CF60" s="235">
        <v>21912</v>
      </c>
      <c r="CG60" s="235">
        <v>109560</v>
      </c>
      <c r="CH60" s="235">
        <v>84</v>
      </c>
      <c r="CI60" s="235">
        <v>420</v>
      </c>
      <c r="CJ60" s="235" t="s">
        <v>2689</v>
      </c>
    </row>
    <row r="61" spans="1:88" s="235" customFormat="1" ht="20.100000000000001" customHeight="1" x14ac:dyDescent="0.15">
      <c r="A61" s="229" t="s">
        <v>3034</v>
      </c>
      <c r="B61" s="229" t="s">
        <v>3174</v>
      </c>
      <c r="C61" s="230" t="s">
        <v>556</v>
      </c>
      <c r="D61" s="251">
        <v>14</v>
      </c>
      <c r="E61" s="231">
        <f t="shared" si="21"/>
        <v>103445</v>
      </c>
      <c r="F61" s="232">
        <f>H61+J61+L61</f>
        <v>1448230</v>
      </c>
      <c r="G61" s="231">
        <v>1814</v>
      </c>
      <c r="H61" s="232">
        <f t="shared" si="17"/>
        <v>25396</v>
      </c>
      <c r="I61" s="231">
        <v>101053</v>
      </c>
      <c r="J61" s="232">
        <f t="shared" si="18"/>
        <v>1414742</v>
      </c>
      <c r="K61" s="231">
        <v>578</v>
      </c>
      <c r="L61" s="232">
        <f t="shared" si="19"/>
        <v>8092</v>
      </c>
      <c r="M61" s="232"/>
      <c r="N61" s="232"/>
      <c r="O61" s="270">
        <f t="shared" si="2"/>
        <v>0</v>
      </c>
      <c r="P61" s="232">
        <f t="shared" si="20"/>
        <v>14</v>
      </c>
      <c r="Q61" s="232">
        <f t="shared" si="3"/>
        <v>1448230</v>
      </c>
      <c r="R61" s="270">
        <f t="shared" si="4"/>
        <v>1</v>
      </c>
      <c r="S61" s="233">
        <f t="shared" si="13"/>
        <v>25396</v>
      </c>
      <c r="T61" s="233">
        <f t="shared" si="14"/>
        <v>1414742</v>
      </c>
      <c r="U61" s="233">
        <f t="shared" si="15"/>
        <v>8092</v>
      </c>
      <c r="V61" s="232">
        <f t="shared" si="5"/>
        <v>14</v>
      </c>
      <c r="W61" s="232">
        <f t="shared" si="6"/>
        <v>1448230</v>
      </c>
      <c r="X61" s="270">
        <f t="shared" si="7"/>
        <v>1</v>
      </c>
      <c r="Y61" s="234"/>
      <c r="Z61" s="383"/>
      <c r="AA61" s="252"/>
      <c r="AC61" s="235" t="s">
        <v>1741</v>
      </c>
      <c r="AD61" s="235" t="s">
        <v>2856</v>
      </c>
      <c r="AE61" s="235" t="s">
        <v>1673</v>
      </c>
      <c r="AG61" s="235" t="s">
        <v>1778</v>
      </c>
      <c r="AM61" s="232">
        <f>H260+H261+H262+H263+H264+H269+H270+H278+H279+H283+H284+H285+H286+H287+H288+H289+H290+H291+H292+H293+H294+H296+H297+H299+H300+H301+H302</f>
        <v>266541229</v>
      </c>
      <c r="AN61" s="232">
        <f>J260+J261+J262+J263+J264+J269+J270+J278+J279+J283+J284+J285+J286+J287+J288+J289+J290+J291+J292+J293+J294+J296+J297+J299+J300+J301+J302</f>
        <v>118728719</v>
      </c>
      <c r="AO61" s="232">
        <f>L260+L261+L262+L263+L264+L269+L270+L278+L279+L283+L284+L285+L286+L287+L288+L289+L290+L291+L292+L293+L294+L296+L297+L299+L300+L301+L302</f>
        <v>9329975</v>
      </c>
      <c r="BV61" s="236" t="str">
        <f>HYPERLINK("#일위대가목록!A11","HX0022 →")</f>
        <v>HX0022 →</v>
      </c>
      <c r="CB61" s="235">
        <v>171033</v>
      </c>
      <c r="CC61" s="235">
        <v>342066</v>
      </c>
      <c r="CD61" s="235">
        <v>3104</v>
      </c>
      <c r="CE61" s="235">
        <v>6208</v>
      </c>
      <c r="CF61" s="235">
        <v>166977</v>
      </c>
      <c r="CG61" s="235">
        <v>333954</v>
      </c>
      <c r="CH61" s="235">
        <v>952</v>
      </c>
      <c r="CI61" s="235">
        <v>1904</v>
      </c>
      <c r="CJ61" s="235" t="s">
        <v>2258</v>
      </c>
    </row>
    <row r="62" spans="1:88" s="235" customFormat="1" ht="20.100000000000001" customHeight="1" x14ac:dyDescent="0.15">
      <c r="A62" s="229" t="s">
        <v>2938</v>
      </c>
      <c r="B62" s="229" t="s">
        <v>1072</v>
      </c>
      <c r="C62" s="230" t="s">
        <v>556</v>
      </c>
      <c r="D62" s="233">
        <v>2</v>
      </c>
      <c r="E62" s="231">
        <f t="shared" si="21"/>
        <v>24608</v>
      </c>
      <c r="F62" s="232">
        <f t="shared" si="0"/>
        <v>49216</v>
      </c>
      <c r="G62" s="231">
        <v>302</v>
      </c>
      <c r="H62" s="232">
        <f t="shared" si="17"/>
        <v>604</v>
      </c>
      <c r="I62" s="231">
        <v>24216</v>
      </c>
      <c r="J62" s="232">
        <f t="shared" si="18"/>
        <v>48432</v>
      </c>
      <c r="K62" s="231">
        <v>90</v>
      </c>
      <c r="L62" s="232">
        <f t="shared" si="19"/>
        <v>180</v>
      </c>
      <c r="M62" s="232"/>
      <c r="N62" s="232"/>
      <c r="O62" s="270">
        <f t="shared" si="2"/>
        <v>0</v>
      </c>
      <c r="P62" s="232">
        <f t="shared" si="20"/>
        <v>2</v>
      </c>
      <c r="Q62" s="232">
        <f t="shared" si="3"/>
        <v>49216</v>
      </c>
      <c r="R62" s="270">
        <f t="shared" si="4"/>
        <v>1</v>
      </c>
      <c r="S62" s="233">
        <f t="shared" si="13"/>
        <v>604</v>
      </c>
      <c r="T62" s="233">
        <f t="shared" si="14"/>
        <v>48432</v>
      </c>
      <c r="U62" s="233">
        <f t="shared" si="15"/>
        <v>180</v>
      </c>
      <c r="V62" s="232">
        <f t="shared" si="5"/>
        <v>2</v>
      </c>
      <c r="W62" s="232">
        <f t="shared" si="6"/>
        <v>49216</v>
      </c>
      <c r="X62" s="270">
        <f t="shared" si="7"/>
        <v>1</v>
      </c>
      <c r="Y62" s="234"/>
      <c r="Z62" s="383"/>
      <c r="AA62" s="252" t="e">
        <f>E62-#REF!</f>
        <v>#REF!</v>
      </c>
      <c r="AC62" s="235" t="s">
        <v>2060</v>
      </c>
      <c r="AD62" s="235" t="s">
        <v>2856</v>
      </c>
      <c r="AE62" s="235" t="s">
        <v>1137</v>
      </c>
      <c r="AG62" s="235" t="s">
        <v>1778</v>
      </c>
      <c r="BV62" s="236" t="str">
        <f>HYPERLINK("#일위대가목록!A43","HX0054 →")</f>
        <v>HX0054 →</v>
      </c>
      <c r="CB62" s="235">
        <v>28637</v>
      </c>
      <c r="CC62" s="235">
        <v>28637</v>
      </c>
      <c r="CD62" s="235">
        <v>352</v>
      </c>
      <c r="CE62" s="235">
        <v>352</v>
      </c>
      <c r="CF62" s="235">
        <v>28180</v>
      </c>
      <c r="CG62" s="235">
        <v>28180</v>
      </c>
      <c r="CH62" s="235">
        <v>105</v>
      </c>
      <c r="CI62" s="235">
        <v>105</v>
      </c>
      <c r="CJ62" s="235" t="s">
        <v>1152</v>
      </c>
    </row>
    <row r="63" spans="1:88" s="235" customFormat="1" ht="20.100000000000001" customHeight="1" x14ac:dyDescent="0.15">
      <c r="A63" s="229" t="s">
        <v>3035</v>
      </c>
      <c r="B63" s="229" t="s">
        <v>1558</v>
      </c>
      <c r="C63" s="230" t="s">
        <v>556</v>
      </c>
      <c r="D63" s="233">
        <v>4</v>
      </c>
      <c r="E63" s="231">
        <f t="shared" si="21"/>
        <v>51119</v>
      </c>
      <c r="F63" s="232">
        <f>H63+J63+L63</f>
        <v>204476</v>
      </c>
      <c r="G63" s="231">
        <v>799</v>
      </c>
      <c r="H63" s="232">
        <f t="shared" si="17"/>
        <v>3196</v>
      </c>
      <c r="I63" s="231">
        <v>50063</v>
      </c>
      <c r="J63" s="232">
        <f t="shared" si="18"/>
        <v>200252</v>
      </c>
      <c r="K63" s="231">
        <v>257</v>
      </c>
      <c r="L63" s="232">
        <f t="shared" si="19"/>
        <v>1028</v>
      </c>
      <c r="M63" s="232"/>
      <c r="N63" s="232"/>
      <c r="O63" s="270">
        <f t="shared" si="2"/>
        <v>0</v>
      </c>
      <c r="P63" s="232">
        <f t="shared" si="20"/>
        <v>4</v>
      </c>
      <c r="Q63" s="232">
        <f t="shared" si="3"/>
        <v>204476</v>
      </c>
      <c r="R63" s="270">
        <f t="shared" si="4"/>
        <v>1</v>
      </c>
      <c r="S63" s="233">
        <f t="shared" si="13"/>
        <v>3196</v>
      </c>
      <c r="T63" s="233">
        <f t="shared" si="14"/>
        <v>200252</v>
      </c>
      <c r="U63" s="233">
        <f t="shared" si="15"/>
        <v>1028</v>
      </c>
      <c r="V63" s="232">
        <f t="shared" si="5"/>
        <v>4</v>
      </c>
      <c r="W63" s="232">
        <f t="shared" si="6"/>
        <v>204476</v>
      </c>
      <c r="X63" s="270">
        <f t="shared" si="7"/>
        <v>1</v>
      </c>
      <c r="Y63" s="234"/>
      <c r="Z63" s="383"/>
      <c r="AA63" s="252" t="e">
        <f>E63-#REF!</f>
        <v>#REF!</v>
      </c>
      <c r="AC63" s="235" t="s">
        <v>2840</v>
      </c>
      <c r="AD63" s="235" t="s">
        <v>2856</v>
      </c>
      <c r="AE63" s="235" t="s">
        <v>1904</v>
      </c>
      <c r="AG63" s="235" t="s">
        <v>1778</v>
      </c>
      <c r="BV63" s="236" t="str">
        <f>HYPERLINK("#일위대가목록!A30","HX0041 →")</f>
        <v>HX0041 →</v>
      </c>
      <c r="CB63" s="235">
        <v>59487</v>
      </c>
      <c r="CC63" s="235">
        <v>178461</v>
      </c>
      <c r="CD63" s="235">
        <v>930</v>
      </c>
      <c r="CE63" s="235">
        <v>2790</v>
      </c>
      <c r="CF63" s="235">
        <v>58257</v>
      </c>
      <c r="CG63" s="235">
        <v>174771</v>
      </c>
      <c r="CH63" s="235">
        <v>300</v>
      </c>
      <c r="CI63" s="235">
        <v>900</v>
      </c>
      <c r="CJ63" s="235" t="s">
        <v>1473</v>
      </c>
    </row>
    <row r="64" spans="1:88" s="235" customFormat="1" ht="20.100000000000001" customHeight="1" x14ac:dyDescent="0.15">
      <c r="A64" s="229" t="s">
        <v>2939</v>
      </c>
      <c r="B64" s="229" t="s">
        <v>2676</v>
      </c>
      <c r="C64" s="230" t="s">
        <v>556</v>
      </c>
      <c r="D64" s="233">
        <v>0</v>
      </c>
      <c r="E64" s="231">
        <f t="shared" si="21"/>
        <v>0</v>
      </c>
      <c r="F64" s="232">
        <f t="shared" si="0"/>
        <v>0</v>
      </c>
      <c r="G64" s="231"/>
      <c r="H64" s="232"/>
      <c r="I64" s="231"/>
      <c r="J64" s="232"/>
      <c r="K64" s="231"/>
      <c r="L64" s="232">
        <f t="shared" si="19"/>
        <v>0</v>
      </c>
      <c r="M64" s="232"/>
      <c r="N64" s="232"/>
      <c r="O64" s="270">
        <f t="shared" si="2"/>
        <v>0</v>
      </c>
      <c r="P64" s="232">
        <f t="shared" si="20"/>
        <v>0</v>
      </c>
      <c r="Q64" s="232">
        <f t="shared" si="3"/>
        <v>0</v>
      </c>
      <c r="R64" s="270">
        <f t="shared" si="4"/>
        <v>0</v>
      </c>
      <c r="S64" s="233">
        <f t="shared" si="13"/>
        <v>0</v>
      </c>
      <c r="T64" s="233">
        <f t="shared" si="14"/>
        <v>0</v>
      </c>
      <c r="U64" s="233">
        <f t="shared" si="15"/>
        <v>0</v>
      </c>
      <c r="V64" s="232">
        <f t="shared" si="5"/>
        <v>0</v>
      </c>
      <c r="W64" s="232">
        <f t="shared" si="6"/>
        <v>0</v>
      </c>
      <c r="X64" s="270">
        <f t="shared" si="7"/>
        <v>0</v>
      </c>
      <c r="Y64" s="234"/>
      <c r="Z64" s="383"/>
      <c r="AA64" s="252" t="e">
        <f>E64-#REF!</f>
        <v>#REF!</v>
      </c>
      <c r="AC64" s="235" t="s">
        <v>2247</v>
      </c>
      <c r="AD64" s="235" t="s">
        <v>2856</v>
      </c>
      <c r="AE64" s="235" t="s">
        <v>2715</v>
      </c>
      <c r="AG64" s="235" t="s">
        <v>1778</v>
      </c>
      <c r="BV64" s="236" t="str">
        <f>HYPERLINK("#일위대가목록!A44","HX0055 →")</f>
        <v>HX0055 →</v>
      </c>
      <c r="CB64" s="235">
        <v>190302</v>
      </c>
      <c r="CC64" s="235">
        <v>190302</v>
      </c>
      <c r="CD64" s="235">
        <v>3571</v>
      </c>
      <c r="CE64" s="235">
        <v>3571</v>
      </c>
      <c r="CF64" s="235">
        <v>185607</v>
      </c>
      <c r="CG64" s="235">
        <v>185607</v>
      </c>
      <c r="CH64" s="235">
        <v>1124</v>
      </c>
      <c r="CI64" s="235">
        <v>1124</v>
      </c>
      <c r="CJ64" s="235" t="s">
        <v>2459</v>
      </c>
    </row>
    <row r="65" spans="1:88" s="235" customFormat="1" ht="20.100000000000001" customHeight="1" x14ac:dyDescent="0.15">
      <c r="A65" s="229" t="s">
        <v>2940</v>
      </c>
      <c r="B65" s="229" t="s">
        <v>489</v>
      </c>
      <c r="C65" s="230" t="s">
        <v>556</v>
      </c>
      <c r="D65" s="233">
        <v>3</v>
      </c>
      <c r="E65" s="231">
        <f t="shared" si="21"/>
        <v>78794</v>
      </c>
      <c r="F65" s="232">
        <f t="shared" si="0"/>
        <v>236382</v>
      </c>
      <c r="G65" s="231">
        <v>1387</v>
      </c>
      <c r="H65" s="232">
        <f t="shared" si="17"/>
        <v>4161</v>
      </c>
      <c r="I65" s="231">
        <v>76935</v>
      </c>
      <c r="J65" s="232">
        <f t="shared" si="18"/>
        <v>230805</v>
      </c>
      <c r="K65" s="231">
        <v>472</v>
      </c>
      <c r="L65" s="232">
        <f t="shared" si="19"/>
        <v>1416</v>
      </c>
      <c r="M65" s="232"/>
      <c r="N65" s="232"/>
      <c r="O65" s="270">
        <f t="shared" si="2"/>
        <v>0</v>
      </c>
      <c r="P65" s="232">
        <f t="shared" si="20"/>
        <v>3</v>
      </c>
      <c r="Q65" s="232">
        <f t="shared" si="3"/>
        <v>236382</v>
      </c>
      <c r="R65" s="270">
        <f t="shared" si="4"/>
        <v>1</v>
      </c>
      <c r="S65" s="233">
        <f t="shared" si="13"/>
        <v>4161</v>
      </c>
      <c r="T65" s="233">
        <f t="shared" si="14"/>
        <v>230805</v>
      </c>
      <c r="U65" s="233">
        <f t="shared" si="15"/>
        <v>1416</v>
      </c>
      <c r="V65" s="232">
        <f t="shared" si="5"/>
        <v>3</v>
      </c>
      <c r="W65" s="232">
        <f t="shared" si="6"/>
        <v>236382</v>
      </c>
      <c r="X65" s="270">
        <f t="shared" si="7"/>
        <v>1</v>
      </c>
      <c r="Y65" s="234"/>
      <c r="Z65" s="383"/>
      <c r="AA65" s="252" t="e">
        <f>E65-#REF!</f>
        <v>#REF!</v>
      </c>
      <c r="AC65" s="235" t="s">
        <v>1517</v>
      </c>
      <c r="AD65" s="235" t="s">
        <v>2856</v>
      </c>
      <c r="AE65" s="235" t="s">
        <v>807</v>
      </c>
      <c r="AG65" s="235" t="s">
        <v>1778</v>
      </c>
      <c r="BV65" s="236" t="str">
        <f>HYPERLINK("#일위대가목록!A45","HX0056 →")</f>
        <v>HX0056 →</v>
      </c>
      <c r="CB65" s="235">
        <v>91691</v>
      </c>
      <c r="CC65" s="235">
        <v>183382</v>
      </c>
      <c r="CD65" s="235">
        <v>1614</v>
      </c>
      <c r="CE65" s="235">
        <v>3228</v>
      </c>
      <c r="CF65" s="235">
        <v>89527</v>
      </c>
      <c r="CG65" s="235">
        <v>179054</v>
      </c>
      <c r="CH65" s="235">
        <v>550</v>
      </c>
      <c r="CI65" s="235">
        <v>1100</v>
      </c>
      <c r="CJ65" s="235" t="s">
        <v>818</v>
      </c>
    </row>
    <row r="66" spans="1:88" s="235" customFormat="1" ht="20.100000000000001" customHeight="1" x14ac:dyDescent="0.15">
      <c r="A66" s="229" t="s">
        <v>2940</v>
      </c>
      <c r="B66" s="229" t="s">
        <v>1104</v>
      </c>
      <c r="C66" s="230" t="s">
        <v>556</v>
      </c>
      <c r="D66" s="233">
        <v>16</v>
      </c>
      <c r="E66" s="231">
        <f t="shared" si="21"/>
        <v>19115</v>
      </c>
      <c r="F66" s="232">
        <f t="shared" si="0"/>
        <v>305840</v>
      </c>
      <c r="G66" s="231">
        <v>213</v>
      </c>
      <c r="H66" s="232">
        <f t="shared" si="17"/>
        <v>3408</v>
      </c>
      <c r="I66" s="231">
        <v>18830</v>
      </c>
      <c r="J66" s="232">
        <f t="shared" si="18"/>
        <v>301280</v>
      </c>
      <c r="K66" s="231">
        <v>72</v>
      </c>
      <c r="L66" s="232">
        <f t="shared" si="19"/>
        <v>1152</v>
      </c>
      <c r="M66" s="232"/>
      <c r="N66" s="232"/>
      <c r="O66" s="270">
        <f t="shared" si="2"/>
        <v>0</v>
      </c>
      <c r="P66" s="232">
        <f t="shared" si="20"/>
        <v>16</v>
      </c>
      <c r="Q66" s="232">
        <f t="shared" si="3"/>
        <v>305840</v>
      </c>
      <c r="R66" s="270">
        <f t="shared" si="4"/>
        <v>1</v>
      </c>
      <c r="S66" s="233">
        <f t="shared" si="13"/>
        <v>3408</v>
      </c>
      <c r="T66" s="233">
        <f t="shared" si="14"/>
        <v>301280</v>
      </c>
      <c r="U66" s="233">
        <f t="shared" si="15"/>
        <v>1152</v>
      </c>
      <c r="V66" s="232">
        <f t="shared" si="5"/>
        <v>16</v>
      </c>
      <c r="W66" s="232">
        <f t="shared" si="6"/>
        <v>305840</v>
      </c>
      <c r="X66" s="270">
        <f t="shared" si="7"/>
        <v>1</v>
      </c>
      <c r="Y66" s="234"/>
      <c r="Z66" s="383"/>
      <c r="AA66" s="252" t="e">
        <f>E66-#REF!</f>
        <v>#REF!</v>
      </c>
      <c r="AC66" s="235" t="s">
        <v>830</v>
      </c>
      <c r="AD66" s="235" t="s">
        <v>2856</v>
      </c>
      <c r="AE66" s="235" t="s">
        <v>2485</v>
      </c>
      <c r="AG66" s="235" t="s">
        <v>1778</v>
      </c>
      <c r="BV66" s="236" t="str">
        <f>HYPERLINK("#일위대가목록!A46","HX0057 →")</f>
        <v>HX0057 →</v>
      </c>
      <c r="CB66" s="235">
        <v>22244</v>
      </c>
      <c r="CC66" s="235">
        <v>88976</v>
      </c>
      <c r="CD66" s="235">
        <v>248</v>
      </c>
      <c r="CE66" s="235">
        <v>992</v>
      </c>
      <c r="CF66" s="235">
        <v>21912</v>
      </c>
      <c r="CG66" s="235">
        <v>87648</v>
      </c>
      <c r="CH66" s="235">
        <v>84</v>
      </c>
      <c r="CI66" s="235">
        <v>336</v>
      </c>
      <c r="CJ66" s="235" t="s">
        <v>2449</v>
      </c>
    </row>
    <row r="67" spans="1:88" s="235" customFormat="1" ht="20.100000000000001" customHeight="1" x14ac:dyDescent="0.15">
      <c r="A67" s="229" t="s">
        <v>3036</v>
      </c>
      <c r="B67" s="229" t="s">
        <v>3175</v>
      </c>
      <c r="C67" s="230" t="s">
        <v>556</v>
      </c>
      <c r="D67" s="233">
        <v>16</v>
      </c>
      <c r="E67" s="231">
        <f t="shared" si="21"/>
        <v>30359</v>
      </c>
      <c r="F67" s="232">
        <f t="shared" si="0"/>
        <v>485744</v>
      </c>
      <c r="G67" s="231">
        <v>421</v>
      </c>
      <c r="H67" s="232">
        <f t="shared" si="17"/>
        <v>6736</v>
      </c>
      <c r="I67" s="231">
        <v>29805</v>
      </c>
      <c r="J67" s="232">
        <f t="shared" si="18"/>
        <v>476880</v>
      </c>
      <c r="K67" s="231">
        <v>133</v>
      </c>
      <c r="L67" s="232">
        <f t="shared" si="19"/>
        <v>2128</v>
      </c>
      <c r="M67" s="232"/>
      <c r="N67" s="232"/>
      <c r="O67" s="270">
        <f t="shared" si="2"/>
        <v>0</v>
      </c>
      <c r="P67" s="232">
        <f t="shared" si="20"/>
        <v>16</v>
      </c>
      <c r="Q67" s="232">
        <f t="shared" si="3"/>
        <v>485744</v>
      </c>
      <c r="R67" s="270">
        <f t="shared" si="4"/>
        <v>1</v>
      </c>
      <c r="S67" s="233">
        <f t="shared" si="13"/>
        <v>6736</v>
      </c>
      <c r="T67" s="233">
        <f t="shared" si="14"/>
        <v>476880</v>
      </c>
      <c r="U67" s="233">
        <f t="shared" si="15"/>
        <v>2128</v>
      </c>
      <c r="V67" s="232">
        <f t="shared" si="5"/>
        <v>16</v>
      </c>
      <c r="W67" s="232">
        <f t="shared" si="6"/>
        <v>485744</v>
      </c>
      <c r="X67" s="270">
        <f t="shared" si="7"/>
        <v>1</v>
      </c>
      <c r="Y67" s="234"/>
      <c r="Z67" s="383"/>
      <c r="AA67" s="252" t="e">
        <f>E67-#REF!</f>
        <v>#REF!</v>
      </c>
      <c r="AC67" s="235" t="s">
        <v>189</v>
      </c>
      <c r="AD67" s="235" t="s">
        <v>2856</v>
      </c>
      <c r="AE67" s="235" t="s">
        <v>1212</v>
      </c>
      <c r="AG67" s="235" t="s">
        <v>1778</v>
      </c>
      <c r="BV67" s="236" t="str">
        <f>HYPERLINK("#일위대가목록!A20","HX0031 →")</f>
        <v>HX0031 →</v>
      </c>
      <c r="CB67" s="235">
        <v>49228</v>
      </c>
      <c r="CC67" s="235">
        <v>492280</v>
      </c>
      <c r="CD67" s="235">
        <v>745</v>
      </c>
      <c r="CE67" s="235">
        <v>7450</v>
      </c>
      <c r="CF67" s="235">
        <v>48243</v>
      </c>
      <c r="CG67" s="235">
        <v>482430</v>
      </c>
      <c r="CH67" s="235">
        <v>240</v>
      </c>
      <c r="CI67" s="235">
        <v>2400</v>
      </c>
      <c r="CJ67" s="235" t="s">
        <v>785</v>
      </c>
    </row>
    <row r="68" spans="1:88" s="235" customFormat="1" ht="20.100000000000001" customHeight="1" x14ac:dyDescent="0.15">
      <c r="A68" s="229" t="s">
        <v>3036</v>
      </c>
      <c r="B68" s="229" t="s">
        <v>3176</v>
      </c>
      <c r="C68" s="230" t="s">
        <v>556</v>
      </c>
      <c r="D68" s="233">
        <v>11</v>
      </c>
      <c r="E68" s="231">
        <f>G68+I68+K68</f>
        <v>51119</v>
      </c>
      <c r="F68" s="232">
        <f>H68+J68+L68</f>
        <v>562309</v>
      </c>
      <c r="G68" s="231">
        <v>799</v>
      </c>
      <c r="H68" s="232">
        <f t="shared" si="17"/>
        <v>8789</v>
      </c>
      <c r="I68" s="231">
        <v>50063</v>
      </c>
      <c r="J68" s="232">
        <f t="shared" si="18"/>
        <v>550693</v>
      </c>
      <c r="K68" s="231">
        <v>257</v>
      </c>
      <c r="L68" s="232">
        <f t="shared" si="19"/>
        <v>2827</v>
      </c>
      <c r="M68" s="232"/>
      <c r="N68" s="232"/>
      <c r="O68" s="270">
        <f t="shared" si="2"/>
        <v>0</v>
      </c>
      <c r="P68" s="232">
        <f t="shared" si="20"/>
        <v>11</v>
      </c>
      <c r="Q68" s="232">
        <f t="shared" si="3"/>
        <v>562309</v>
      </c>
      <c r="R68" s="270">
        <f t="shared" si="4"/>
        <v>1</v>
      </c>
      <c r="S68" s="233">
        <f t="shared" si="13"/>
        <v>8789</v>
      </c>
      <c r="T68" s="233">
        <f t="shared" si="14"/>
        <v>550693</v>
      </c>
      <c r="U68" s="233">
        <f t="shared" si="15"/>
        <v>2827</v>
      </c>
      <c r="V68" s="232">
        <f t="shared" si="5"/>
        <v>11</v>
      </c>
      <c r="W68" s="232">
        <f t="shared" si="6"/>
        <v>562309</v>
      </c>
      <c r="X68" s="270">
        <f t="shared" si="7"/>
        <v>1</v>
      </c>
      <c r="Y68" s="234"/>
      <c r="Z68" s="383"/>
      <c r="AA68" s="252" t="e">
        <f>E68-#REF!</f>
        <v>#REF!</v>
      </c>
      <c r="AC68" s="235" t="s">
        <v>189</v>
      </c>
      <c r="AD68" s="235" t="s">
        <v>2856</v>
      </c>
      <c r="AE68" s="235" t="s">
        <v>1212</v>
      </c>
      <c r="AG68" s="235" t="s">
        <v>1778</v>
      </c>
      <c r="BV68" s="236" t="str">
        <f>HYPERLINK("#일위대가목록!A20","HX0031 →")</f>
        <v>HX0031 →</v>
      </c>
      <c r="CB68" s="235">
        <v>49228</v>
      </c>
      <c r="CC68" s="235">
        <v>492280</v>
      </c>
      <c r="CD68" s="235">
        <v>745</v>
      </c>
      <c r="CE68" s="235">
        <v>7450</v>
      </c>
      <c r="CF68" s="235">
        <v>48243</v>
      </c>
      <c r="CG68" s="235">
        <v>482430</v>
      </c>
      <c r="CH68" s="235">
        <v>240</v>
      </c>
      <c r="CI68" s="235">
        <v>2400</v>
      </c>
      <c r="CJ68" s="235" t="s">
        <v>785</v>
      </c>
    </row>
    <row r="69" spans="1:88" s="235" customFormat="1" ht="20.100000000000001" customHeight="1" x14ac:dyDescent="0.15">
      <c r="A69" s="229" t="s">
        <v>3036</v>
      </c>
      <c r="B69" s="229" t="s">
        <v>3177</v>
      </c>
      <c r="C69" s="230" t="s">
        <v>556</v>
      </c>
      <c r="D69" s="251">
        <v>5</v>
      </c>
      <c r="E69" s="231">
        <f t="shared" si="21"/>
        <v>146977</v>
      </c>
      <c r="F69" s="232">
        <f>H69+J69+L69</f>
        <v>734885</v>
      </c>
      <c r="G69" s="231">
        <v>2667</v>
      </c>
      <c r="H69" s="232">
        <f t="shared" si="17"/>
        <v>13335</v>
      </c>
      <c r="I69" s="231">
        <v>143492</v>
      </c>
      <c r="J69" s="232">
        <f t="shared" si="18"/>
        <v>717460</v>
      </c>
      <c r="K69" s="231">
        <v>818</v>
      </c>
      <c r="L69" s="232">
        <f t="shared" si="19"/>
        <v>4090</v>
      </c>
      <c r="M69" s="232"/>
      <c r="N69" s="232"/>
      <c r="O69" s="270">
        <f t="shared" ref="O69:O132" si="22">IFERROR(N69/$F69,0)</f>
        <v>0</v>
      </c>
      <c r="P69" s="232">
        <f t="shared" si="20"/>
        <v>5</v>
      </c>
      <c r="Q69" s="232">
        <f t="shared" ref="Q69:Q132" si="23">SUM(S69:U69)</f>
        <v>734885</v>
      </c>
      <c r="R69" s="270">
        <f t="shared" ref="R69:R132" si="24">IFERROR(Q69/$F69,0)</f>
        <v>1</v>
      </c>
      <c r="S69" s="233">
        <f t="shared" si="13"/>
        <v>13335</v>
      </c>
      <c r="T69" s="233">
        <f t="shared" si="14"/>
        <v>717460</v>
      </c>
      <c r="U69" s="233">
        <f t="shared" si="15"/>
        <v>4090</v>
      </c>
      <c r="V69" s="232">
        <f t="shared" ref="V69:V132" si="25">M69+P69</f>
        <v>5</v>
      </c>
      <c r="W69" s="232">
        <f t="shared" ref="W69:W132" si="26">N69+Q69</f>
        <v>734885</v>
      </c>
      <c r="X69" s="270">
        <f t="shared" ref="X69:X132" si="27">IFERROR(W69/$F69,0)</f>
        <v>1</v>
      </c>
      <c r="Y69" s="234"/>
      <c r="Z69" s="383"/>
      <c r="AA69" s="252" t="e">
        <f>E69-#REF!</f>
        <v>#REF!</v>
      </c>
      <c r="AC69" s="235" t="s">
        <v>1741</v>
      </c>
      <c r="AD69" s="235" t="s">
        <v>2856</v>
      </c>
      <c r="AE69" s="235" t="s">
        <v>1673</v>
      </c>
      <c r="AG69" s="235" t="s">
        <v>1778</v>
      </c>
      <c r="AM69" s="232">
        <f>H278+H279+H281+H283+H284+H285+H286+H287+H288+H290+H291+H292+H293+H294+H296+H297+H298+H299+H300+H301+H302+H303+H304+H306+H309+H310+H311</f>
        <v>393369066</v>
      </c>
      <c r="AN69" s="232">
        <f>J278+J279+J281+J283+J284+J285+J286+J287+J288+J290+J291+J292+J293+J294+J296+J297+J298+J299+J300+J301+J302+J303+J304+J306+J309+J310+J311</f>
        <v>150968099</v>
      </c>
      <c r="AO69" s="232">
        <f>L278+L279+L281+L283+L284+L285+L286+L287+L288+L290+L291+L292+L293+L294+L296+L297+L298+L299+L300+L301+L302+L303+L304+L306+L309+L310+L311</f>
        <v>11508280</v>
      </c>
      <c r="BV69" s="236" t="str">
        <f>HYPERLINK("#일위대가목록!A11","HX0022 →")</f>
        <v>HX0022 →</v>
      </c>
      <c r="CB69" s="235">
        <v>171033</v>
      </c>
      <c r="CC69" s="235">
        <v>342066</v>
      </c>
      <c r="CD69" s="235">
        <v>3104</v>
      </c>
      <c r="CE69" s="235">
        <v>6208</v>
      </c>
      <c r="CF69" s="235">
        <v>166977</v>
      </c>
      <c r="CG69" s="235">
        <v>333954</v>
      </c>
      <c r="CH69" s="235">
        <v>952</v>
      </c>
      <c r="CI69" s="235">
        <v>1904</v>
      </c>
      <c r="CJ69" s="235" t="s">
        <v>2258</v>
      </c>
    </row>
    <row r="70" spans="1:88" s="235" customFormat="1" ht="20.100000000000001" customHeight="1" x14ac:dyDescent="0.15">
      <c r="A70" s="229" t="s">
        <v>2941</v>
      </c>
      <c r="B70" s="229" t="s">
        <v>2228</v>
      </c>
      <c r="C70" s="230" t="s">
        <v>556</v>
      </c>
      <c r="D70" s="233">
        <v>11</v>
      </c>
      <c r="E70" s="231">
        <f t="shared" si="21"/>
        <v>30359</v>
      </c>
      <c r="F70" s="232">
        <f t="shared" si="0"/>
        <v>333949</v>
      </c>
      <c r="G70" s="231">
        <v>421</v>
      </c>
      <c r="H70" s="232">
        <f t="shared" si="17"/>
        <v>4631</v>
      </c>
      <c r="I70" s="231">
        <v>29805</v>
      </c>
      <c r="J70" s="232">
        <f t="shared" si="18"/>
        <v>327855</v>
      </c>
      <c r="K70" s="231">
        <v>133</v>
      </c>
      <c r="L70" s="232">
        <f t="shared" si="19"/>
        <v>1463</v>
      </c>
      <c r="M70" s="232"/>
      <c r="N70" s="232"/>
      <c r="O70" s="270">
        <f t="shared" si="22"/>
        <v>0</v>
      </c>
      <c r="P70" s="232">
        <f t="shared" si="20"/>
        <v>11</v>
      </c>
      <c r="Q70" s="232">
        <f t="shared" si="23"/>
        <v>333949</v>
      </c>
      <c r="R70" s="270">
        <f t="shared" si="24"/>
        <v>1</v>
      </c>
      <c r="S70" s="233">
        <f t="shared" si="13"/>
        <v>4631</v>
      </c>
      <c r="T70" s="233">
        <f t="shared" si="14"/>
        <v>327855</v>
      </c>
      <c r="U70" s="233">
        <f t="shared" si="15"/>
        <v>1463</v>
      </c>
      <c r="V70" s="232">
        <f t="shared" si="25"/>
        <v>11</v>
      </c>
      <c r="W70" s="232">
        <f t="shared" si="26"/>
        <v>333949</v>
      </c>
      <c r="X70" s="270">
        <f t="shared" si="27"/>
        <v>1</v>
      </c>
      <c r="Y70" s="234"/>
      <c r="Z70" s="383"/>
      <c r="AA70" s="252" t="e">
        <f>E70-#REF!</f>
        <v>#REF!</v>
      </c>
      <c r="AC70" s="235" t="s">
        <v>105</v>
      </c>
      <c r="AD70" s="235" t="s">
        <v>2856</v>
      </c>
      <c r="AE70" s="235" t="s">
        <v>862</v>
      </c>
      <c r="AG70" s="235" t="s">
        <v>1778</v>
      </c>
      <c r="BV70" s="236" t="str">
        <f>HYPERLINK("#일위대가목록!A47","HX0058 →")</f>
        <v>HX0058 →</v>
      </c>
      <c r="CB70" s="235">
        <v>35329</v>
      </c>
      <c r="CC70" s="235">
        <v>35329</v>
      </c>
      <c r="CD70" s="235">
        <v>490</v>
      </c>
      <c r="CE70" s="235">
        <v>490</v>
      </c>
      <c r="CF70" s="235">
        <v>34684</v>
      </c>
      <c r="CG70" s="235">
        <v>34684</v>
      </c>
      <c r="CH70" s="235">
        <v>155</v>
      </c>
      <c r="CI70" s="235">
        <v>155</v>
      </c>
      <c r="CJ70" s="235" t="s">
        <v>856</v>
      </c>
    </row>
    <row r="71" spans="1:88" s="235" customFormat="1" ht="20.100000000000001" customHeight="1" x14ac:dyDescent="0.15">
      <c r="A71" s="229" t="s">
        <v>2941</v>
      </c>
      <c r="B71" s="229" t="s">
        <v>3178</v>
      </c>
      <c r="C71" s="230" t="s">
        <v>556</v>
      </c>
      <c r="D71" s="233">
        <v>3</v>
      </c>
      <c r="E71" s="231">
        <f>G71+I71+K71</f>
        <v>19115</v>
      </c>
      <c r="F71" s="232">
        <f>H71+J71+L71</f>
        <v>57345</v>
      </c>
      <c r="G71" s="231">
        <v>213</v>
      </c>
      <c r="H71" s="232">
        <f t="shared" si="17"/>
        <v>639</v>
      </c>
      <c r="I71" s="231">
        <v>18830</v>
      </c>
      <c r="J71" s="232">
        <f t="shared" si="18"/>
        <v>56490</v>
      </c>
      <c r="K71" s="231">
        <v>72</v>
      </c>
      <c r="L71" s="232">
        <f t="shared" si="19"/>
        <v>216</v>
      </c>
      <c r="M71" s="232"/>
      <c r="N71" s="232"/>
      <c r="O71" s="270">
        <f t="shared" si="22"/>
        <v>0</v>
      </c>
      <c r="P71" s="232">
        <f t="shared" si="20"/>
        <v>3</v>
      </c>
      <c r="Q71" s="232">
        <f t="shared" si="23"/>
        <v>57345</v>
      </c>
      <c r="R71" s="270">
        <f t="shared" si="24"/>
        <v>1</v>
      </c>
      <c r="S71" s="233">
        <f t="shared" si="13"/>
        <v>639</v>
      </c>
      <c r="T71" s="233">
        <f t="shared" si="14"/>
        <v>56490</v>
      </c>
      <c r="U71" s="233">
        <f t="shared" si="15"/>
        <v>216</v>
      </c>
      <c r="V71" s="232">
        <f t="shared" si="25"/>
        <v>3</v>
      </c>
      <c r="W71" s="232">
        <f t="shared" si="26"/>
        <v>57345</v>
      </c>
      <c r="X71" s="270">
        <f t="shared" si="27"/>
        <v>1</v>
      </c>
      <c r="Y71" s="234"/>
      <c r="Z71" s="383"/>
      <c r="AA71" s="252" t="e">
        <f>E71-#REF!</f>
        <v>#REF!</v>
      </c>
      <c r="AC71" s="235" t="s">
        <v>105</v>
      </c>
      <c r="AD71" s="235" t="s">
        <v>2856</v>
      </c>
      <c r="AE71" s="235" t="s">
        <v>862</v>
      </c>
      <c r="AG71" s="235" t="s">
        <v>1778</v>
      </c>
      <c r="BV71" s="236" t="str">
        <f>HYPERLINK("#일위대가목록!A47","HX0058 →")</f>
        <v>HX0058 →</v>
      </c>
      <c r="CB71" s="235">
        <v>35329</v>
      </c>
      <c r="CC71" s="235">
        <v>35329</v>
      </c>
      <c r="CD71" s="235">
        <v>490</v>
      </c>
      <c r="CE71" s="235">
        <v>490</v>
      </c>
      <c r="CF71" s="235">
        <v>34684</v>
      </c>
      <c r="CG71" s="235">
        <v>34684</v>
      </c>
      <c r="CH71" s="235">
        <v>155</v>
      </c>
      <c r="CI71" s="235">
        <v>155</v>
      </c>
      <c r="CJ71" s="235" t="s">
        <v>856</v>
      </c>
    </row>
    <row r="72" spans="1:88" s="235" customFormat="1" ht="20.100000000000001" customHeight="1" x14ac:dyDescent="0.15">
      <c r="A72" s="229" t="s">
        <v>2941</v>
      </c>
      <c r="B72" s="229" t="s">
        <v>3039</v>
      </c>
      <c r="C72" s="230" t="s">
        <v>556</v>
      </c>
      <c r="D72" s="233">
        <v>21</v>
      </c>
      <c r="E72" s="231">
        <f t="shared" si="21"/>
        <v>51119</v>
      </c>
      <c r="F72" s="232">
        <f>H72+J72+L72</f>
        <v>1073499</v>
      </c>
      <c r="G72" s="231">
        <v>799</v>
      </c>
      <c r="H72" s="232">
        <f t="shared" si="17"/>
        <v>16779</v>
      </c>
      <c r="I72" s="231">
        <v>50063</v>
      </c>
      <c r="J72" s="232">
        <f t="shared" si="18"/>
        <v>1051323</v>
      </c>
      <c r="K72" s="231">
        <v>257</v>
      </c>
      <c r="L72" s="232">
        <f t="shared" si="19"/>
        <v>5397</v>
      </c>
      <c r="M72" s="232"/>
      <c r="N72" s="232"/>
      <c r="O72" s="270">
        <f t="shared" si="22"/>
        <v>0</v>
      </c>
      <c r="P72" s="232">
        <f t="shared" si="20"/>
        <v>21</v>
      </c>
      <c r="Q72" s="232">
        <f t="shared" si="23"/>
        <v>1073499</v>
      </c>
      <c r="R72" s="270">
        <f t="shared" si="24"/>
        <v>1</v>
      </c>
      <c r="S72" s="233">
        <f t="shared" si="13"/>
        <v>16779</v>
      </c>
      <c r="T72" s="233">
        <f t="shared" si="14"/>
        <v>1051323</v>
      </c>
      <c r="U72" s="233">
        <f t="shared" si="15"/>
        <v>5397</v>
      </c>
      <c r="V72" s="232">
        <f t="shared" si="25"/>
        <v>21</v>
      </c>
      <c r="W72" s="232">
        <f t="shared" si="26"/>
        <v>1073499</v>
      </c>
      <c r="X72" s="270">
        <f t="shared" si="27"/>
        <v>1</v>
      </c>
      <c r="Y72" s="234"/>
      <c r="Z72" s="383"/>
      <c r="AA72" s="252" t="e">
        <f>E72-#REF!</f>
        <v>#REF!</v>
      </c>
      <c r="AC72" s="235" t="s">
        <v>2340</v>
      </c>
      <c r="AD72" s="235" t="s">
        <v>2856</v>
      </c>
      <c r="AE72" s="235" t="s">
        <v>702</v>
      </c>
      <c r="AG72" s="235" t="s">
        <v>1778</v>
      </c>
      <c r="BV72" s="236" t="str">
        <f>HYPERLINK("#일위대가목록!A22","HX0033 →")</f>
        <v>HX0033 →</v>
      </c>
      <c r="CB72" s="235">
        <v>59487</v>
      </c>
      <c r="CC72" s="235">
        <v>178461</v>
      </c>
      <c r="CD72" s="235">
        <v>930</v>
      </c>
      <c r="CE72" s="235">
        <v>2790</v>
      </c>
      <c r="CF72" s="235">
        <v>58257</v>
      </c>
      <c r="CG72" s="235">
        <v>174771</v>
      </c>
      <c r="CH72" s="235">
        <v>300</v>
      </c>
      <c r="CI72" s="235">
        <v>900</v>
      </c>
      <c r="CJ72" s="235" t="s">
        <v>1275</v>
      </c>
    </row>
    <row r="73" spans="1:88" s="235" customFormat="1" ht="20.100000000000001" customHeight="1" x14ac:dyDescent="0.15">
      <c r="A73" s="229" t="s">
        <v>2941</v>
      </c>
      <c r="B73" s="229" t="s">
        <v>3179</v>
      </c>
      <c r="C73" s="230" t="s">
        <v>556</v>
      </c>
      <c r="D73" s="233">
        <v>10</v>
      </c>
      <c r="E73" s="231">
        <f t="shared" si="21"/>
        <v>78794</v>
      </c>
      <c r="F73" s="232">
        <f>H73+J73+L73</f>
        <v>787940</v>
      </c>
      <c r="G73" s="231">
        <v>1387</v>
      </c>
      <c r="H73" s="232">
        <f t="shared" si="17"/>
        <v>13870</v>
      </c>
      <c r="I73" s="231">
        <v>76935</v>
      </c>
      <c r="J73" s="232">
        <f t="shared" si="18"/>
        <v>769350</v>
      </c>
      <c r="K73" s="231">
        <v>472</v>
      </c>
      <c r="L73" s="232">
        <f t="shared" si="19"/>
        <v>4720</v>
      </c>
      <c r="M73" s="232"/>
      <c r="N73" s="232"/>
      <c r="O73" s="270">
        <f t="shared" si="22"/>
        <v>0</v>
      </c>
      <c r="P73" s="232">
        <f t="shared" si="20"/>
        <v>10</v>
      </c>
      <c r="Q73" s="232">
        <f t="shared" si="23"/>
        <v>787940</v>
      </c>
      <c r="R73" s="270">
        <f t="shared" si="24"/>
        <v>1</v>
      </c>
      <c r="S73" s="233">
        <f t="shared" si="13"/>
        <v>13870</v>
      </c>
      <c r="T73" s="233">
        <f t="shared" si="14"/>
        <v>769350</v>
      </c>
      <c r="U73" s="233">
        <f t="shared" si="15"/>
        <v>4720</v>
      </c>
      <c r="V73" s="232">
        <f t="shared" si="25"/>
        <v>10</v>
      </c>
      <c r="W73" s="232">
        <f t="shared" si="26"/>
        <v>787940</v>
      </c>
      <c r="X73" s="270">
        <f t="shared" si="27"/>
        <v>1</v>
      </c>
      <c r="Y73" s="234"/>
      <c r="Z73" s="383"/>
      <c r="AA73" s="252" t="e">
        <f>E73-#REF!</f>
        <v>#REF!</v>
      </c>
      <c r="AC73" s="235" t="s">
        <v>1611</v>
      </c>
      <c r="AD73" s="235" t="s">
        <v>2856</v>
      </c>
      <c r="AE73" s="235" t="s">
        <v>512</v>
      </c>
      <c r="AG73" s="235" t="s">
        <v>1778</v>
      </c>
      <c r="BV73" s="236" t="str">
        <f>HYPERLINK("#일위대가목록!A54","HX0065 →")</f>
        <v>HX0065 →</v>
      </c>
      <c r="CB73" s="235">
        <v>120377</v>
      </c>
      <c r="CC73" s="235">
        <v>481508</v>
      </c>
      <c r="CD73" s="235">
        <v>2112</v>
      </c>
      <c r="CE73" s="235">
        <v>8448</v>
      </c>
      <c r="CF73" s="235">
        <v>117592</v>
      </c>
      <c r="CG73" s="235">
        <v>470368</v>
      </c>
      <c r="CH73" s="235">
        <v>673</v>
      </c>
      <c r="CI73" s="235">
        <v>2692</v>
      </c>
      <c r="CJ73" s="235" t="s">
        <v>293</v>
      </c>
    </row>
    <row r="74" spans="1:88" s="235" customFormat="1" ht="20.100000000000001" customHeight="1" x14ac:dyDescent="0.15">
      <c r="A74" s="229" t="s">
        <v>2941</v>
      </c>
      <c r="B74" s="229" t="s">
        <v>3037</v>
      </c>
      <c r="C74" s="230" t="s">
        <v>556</v>
      </c>
      <c r="D74" s="233">
        <v>5</v>
      </c>
      <c r="E74" s="231">
        <f t="shared" si="21"/>
        <v>146977</v>
      </c>
      <c r="F74" s="232">
        <f>H74+J74+L74</f>
        <v>734885</v>
      </c>
      <c r="G74" s="231">
        <v>2667</v>
      </c>
      <c r="H74" s="232">
        <f t="shared" si="17"/>
        <v>13335</v>
      </c>
      <c r="I74" s="231">
        <v>143492</v>
      </c>
      <c r="J74" s="232">
        <f t="shared" si="18"/>
        <v>717460</v>
      </c>
      <c r="K74" s="231">
        <v>818</v>
      </c>
      <c r="L74" s="232">
        <f t="shared" si="19"/>
        <v>4090</v>
      </c>
      <c r="M74" s="232"/>
      <c r="N74" s="232"/>
      <c r="O74" s="270">
        <f t="shared" si="22"/>
        <v>0</v>
      </c>
      <c r="P74" s="232">
        <f t="shared" si="20"/>
        <v>5</v>
      </c>
      <c r="Q74" s="232">
        <f t="shared" si="23"/>
        <v>734885</v>
      </c>
      <c r="R74" s="270">
        <f t="shared" si="24"/>
        <v>1</v>
      </c>
      <c r="S74" s="233">
        <f t="shared" si="13"/>
        <v>13335</v>
      </c>
      <c r="T74" s="233">
        <f t="shared" si="14"/>
        <v>717460</v>
      </c>
      <c r="U74" s="233">
        <f t="shared" si="15"/>
        <v>4090</v>
      </c>
      <c r="V74" s="232">
        <f t="shared" si="25"/>
        <v>5</v>
      </c>
      <c r="W74" s="232">
        <f t="shared" si="26"/>
        <v>734885</v>
      </c>
      <c r="X74" s="270">
        <f t="shared" si="27"/>
        <v>1</v>
      </c>
      <c r="Y74" s="234"/>
      <c r="Z74" s="383"/>
      <c r="AA74" s="252" t="e">
        <f>E74-#REF!</f>
        <v>#REF!</v>
      </c>
      <c r="AC74" s="235" t="s">
        <v>2247</v>
      </c>
      <c r="AD74" s="235" t="s">
        <v>2856</v>
      </c>
      <c r="AE74" s="235" t="s">
        <v>2715</v>
      </c>
      <c r="AG74" s="235" t="s">
        <v>1778</v>
      </c>
      <c r="BV74" s="236" t="str">
        <f>HYPERLINK("#일위대가목록!A44","HX0055 →")</f>
        <v>HX0055 →</v>
      </c>
      <c r="CB74" s="235">
        <v>190302</v>
      </c>
      <c r="CC74" s="235">
        <v>190302</v>
      </c>
      <c r="CD74" s="235">
        <v>3571</v>
      </c>
      <c r="CE74" s="235">
        <v>3571</v>
      </c>
      <c r="CF74" s="235">
        <v>185607</v>
      </c>
      <c r="CG74" s="235">
        <v>185607</v>
      </c>
      <c r="CH74" s="235">
        <v>1124</v>
      </c>
      <c r="CI74" s="235">
        <v>1124</v>
      </c>
      <c r="CJ74" s="235" t="s">
        <v>2459</v>
      </c>
    </row>
    <row r="75" spans="1:88" s="235" customFormat="1" ht="20.100000000000001" customHeight="1" x14ac:dyDescent="0.15">
      <c r="A75" s="229" t="s">
        <v>2941</v>
      </c>
      <c r="B75" s="229" t="s">
        <v>3041</v>
      </c>
      <c r="C75" s="230" t="s">
        <v>556</v>
      </c>
      <c r="D75" s="233">
        <v>3</v>
      </c>
      <c r="E75" s="231">
        <f t="shared" si="21"/>
        <v>164241</v>
      </c>
      <c r="F75" s="232">
        <f>H75+J75+L75</f>
        <v>492723</v>
      </c>
      <c r="G75" s="231">
        <v>3195</v>
      </c>
      <c r="H75" s="232">
        <f t="shared" si="17"/>
        <v>9585</v>
      </c>
      <c r="I75" s="231">
        <v>159919</v>
      </c>
      <c r="J75" s="232">
        <f t="shared" si="18"/>
        <v>479757</v>
      </c>
      <c r="K75" s="231">
        <v>1127</v>
      </c>
      <c r="L75" s="232">
        <f t="shared" si="19"/>
        <v>3381</v>
      </c>
      <c r="M75" s="232"/>
      <c r="N75" s="232"/>
      <c r="O75" s="270">
        <f t="shared" si="22"/>
        <v>0</v>
      </c>
      <c r="P75" s="232">
        <f t="shared" si="20"/>
        <v>3</v>
      </c>
      <c r="Q75" s="232">
        <f t="shared" si="23"/>
        <v>492723</v>
      </c>
      <c r="R75" s="270">
        <f t="shared" si="24"/>
        <v>1</v>
      </c>
      <c r="S75" s="233">
        <f t="shared" si="13"/>
        <v>9585</v>
      </c>
      <c r="T75" s="233">
        <f t="shared" si="14"/>
        <v>479757</v>
      </c>
      <c r="U75" s="233">
        <f t="shared" si="15"/>
        <v>3381</v>
      </c>
      <c r="V75" s="232">
        <f t="shared" si="25"/>
        <v>3</v>
      </c>
      <c r="W75" s="232">
        <f t="shared" si="26"/>
        <v>492723</v>
      </c>
      <c r="X75" s="270">
        <f t="shared" si="27"/>
        <v>1</v>
      </c>
      <c r="Y75" s="234"/>
      <c r="Z75" s="383"/>
      <c r="AA75" s="252" t="e">
        <f>E75-#REF!</f>
        <v>#REF!</v>
      </c>
      <c r="AC75" s="235" t="s">
        <v>2138</v>
      </c>
      <c r="AD75" s="235" t="s">
        <v>2856</v>
      </c>
      <c r="AE75" s="235" t="s">
        <v>88</v>
      </c>
      <c r="AG75" s="235" t="s">
        <v>1778</v>
      </c>
      <c r="BV75" s="236" t="str">
        <f>HYPERLINK("#일위대가목록!A35","HX0046 →")</f>
        <v>HX0046 →</v>
      </c>
      <c r="CB75" s="235">
        <v>191123</v>
      </c>
      <c r="CC75" s="235">
        <v>191123</v>
      </c>
      <c r="CD75" s="235">
        <v>3719</v>
      </c>
      <c r="CE75" s="235">
        <v>3719</v>
      </c>
      <c r="CF75" s="235">
        <v>186092</v>
      </c>
      <c r="CG75" s="235">
        <v>186092</v>
      </c>
      <c r="CH75" s="235">
        <v>1312</v>
      </c>
      <c r="CI75" s="235">
        <v>1312</v>
      </c>
      <c r="CJ75" s="235" t="s">
        <v>121</v>
      </c>
    </row>
    <row r="76" spans="1:88" s="235" customFormat="1" ht="20.100000000000001" customHeight="1" x14ac:dyDescent="0.15">
      <c r="A76" s="229" t="s">
        <v>3038</v>
      </c>
      <c r="B76" s="229" t="s">
        <v>3042</v>
      </c>
      <c r="C76" s="230" t="s">
        <v>556</v>
      </c>
      <c r="D76" s="251">
        <v>2</v>
      </c>
      <c r="E76" s="231">
        <f t="shared" si="21"/>
        <v>292133</v>
      </c>
      <c r="F76" s="232">
        <f>H76+J76+L76</f>
        <v>584266</v>
      </c>
      <c r="G76" s="231">
        <v>5906</v>
      </c>
      <c r="H76" s="232">
        <f t="shared" si="17"/>
        <v>11812</v>
      </c>
      <c r="I76" s="231">
        <v>284195</v>
      </c>
      <c r="J76" s="232">
        <f t="shared" si="18"/>
        <v>568390</v>
      </c>
      <c r="K76" s="231">
        <v>2032</v>
      </c>
      <c r="L76" s="232">
        <f t="shared" si="19"/>
        <v>4064</v>
      </c>
      <c r="M76" s="232"/>
      <c r="N76" s="232"/>
      <c r="O76" s="270">
        <f t="shared" si="22"/>
        <v>0</v>
      </c>
      <c r="P76" s="232">
        <f t="shared" si="20"/>
        <v>2</v>
      </c>
      <c r="Q76" s="232">
        <f t="shared" si="23"/>
        <v>584266</v>
      </c>
      <c r="R76" s="270">
        <f t="shared" si="24"/>
        <v>1</v>
      </c>
      <c r="S76" s="233">
        <f t="shared" si="13"/>
        <v>11812</v>
      </c>
      <c r="T76" s="233">
        <f t="shared" si="14"/>
        <v>568390</v>
      </c>
      <c r="U76" s="233">
        <f t="shared" si="15"/>
        <v>4064</v>
      </c>
      <c r="V76" s="232">
        <f t="shared" si="25"/>
        <v>2</v>
      </c>
      <c r="W76" s="232">
        <f t="shared" si="26"/>
        <v>584266</v>
      </c>
      <c r="X76" s="270">
        <f t="shared" si="27"/>
        <v>1</v>
      </c>
      <c r="Y76" s="234"/>
      <c r="Z76" s="383"/>
      <c r="AA76" s="252" t="e">
        <f>E76-#REF!</f>
        <v>#REF!</v>
      </c>
      <c r="AC76" s="235" t="s">
        <v>1431</v>
      </c>
      <c r="AD76" s="235" t="s">
        <v>2856</v>
      </c>
      <c r="AE76" s="235" t="s">
        <v>1857</v>
      </c>
      <c r="AG76" s="235" t="s">
        <v>1778</v>
      </c>
      <c r="BV76" s="236" t="str">
        <f>HYPERLINK("#일위대가목록!A53","HX0064 →")</f>
        <v>HX0064 →</v>
      </c>
      <c r="CB76" s="235">
        <v>339946</v>
      </c>
      <c r="CC76" s="235">
        <v>339946</v>
      </c>
      <c r="CD76" s="235">
        <v>6873</v>
      </c>
      <c r="CE76" s="235">
        <v>6873</v>
      </c>
      <c r="CF76" s="235">
        <v>330708</v>
      </c>
      <c r="CG76" s="235">
        <v>330708</v>
      </c>
      <c r="CH76" s="235">
        <v>2365</v>
      </c>
      <c r="CI76" s="235">
        <v>2365</v>
      </c>
      <c r="CJ76" s="235" t="s">
        <v>1797</v>
      </c>
    </row>
    <row r="77" spans="1:88" s="235" customFormat="1" ht="20.100000000000001" customHeight="1" x14ac:dyDescent="0.15">
      <c r="A77" s="229" t="s">
        <v>2942</v>
      </c>
      <c r="B77" s="229" t="s">
        <v>929</v>
      </c>
      <c r="C77" s="230" t="s">
        <v>556</v>
      </c>
      <c r="D77" s="233">
        <v>1</v>
      </c>
      <c r="E77" s="231">
        <f t="shared" si="21"/>
        <v>78644</v>
      </c>
      <c r="F77" s="232">
        <f t="shared" si="0"/>
        <v>78644</v>
      </c>
      <c r="G77" s="231">
        <v>1360</v>
      </c>
      <c r="H77" s="232">
        <f t="shared" si="17"/>
        <v>1360</v>
      </c>
      <c r="I77" s="231">
        <v>76846</v>
      </c>
      <c r="J77" s="232">
        <f t="shared" si="18"/>
        <v>76846</v>
      </c>
      <c r="K77" s="231">
        <v>438</v>
      </c>
      <c r="L77" s="232">
        <f t="shared" si="19"/>
        <v>438</v>
      </c>
      <c r="M77" s="232"/>
      <c r="N77" s="232"/>
      <c r="O77" s="270">
        <f t="shared" si="22"/>
        <v>0</v>
      </c>
      <c r="P77" s="232">
        <f t="shared" si="20"/>
        <v>1</v>
      </c>
      <c r="Q77" s="232">
        <f t="shared" si="23"/>
        <v>78644</v>
      </c>
      <c r="R77" s="270">
        <f t="shared" si="24"/>
        <v>1</v>
      </c>
      <c r="S77" s="233">
        <f t="shared" si="13"/>
        <v>1360</v>
      </c>
      <c r="T77" s="233">
        <f t="shared" si="14"/>
        <v>76846</v>
      </c>
      <c r="U77" s="233">
        <f t="shared" si="15"/>
        <v>438</v>
      </c>
      <c r="V77" s="232">
        <f t="shared" si="25"/>
        <v>1</v>
      </c>
      <c r="W77" s="232">
        <f t="shared" si="26"/>
        <v>78644</v>
      </c>
      <c r="X77" s="270">
        <f t="shared" si="27"/>
        <v>1</v>
      </c>
      <c r="Y77" s="234"/>
      <c r="Z77" s="383"/>
      <c r="AA77" s="252" t="e">
        <f>E77-#REF!</f>
        <v>#REF!</v>
      </c>
      <c r="AC77" s="235" t="s">
        <v>2299</v>
      </c>
      <c r="AD77" s="235" t="s">
        <v>2856</v>
      </c>
      <c r="AE77" s="235" t="s">
        <v>2407</v>
      </c>
      <c r="AG77" s="235" t="s">
        <v>1778</v>
      </c>
      <c r="BV77" s="236" t="str">
        <f>HYPERLINK("#일위대가목록!A48","HX0059 →")</f>
        <v>HX0059 →</v>
      </c>
      <c r="CB77" s="235">
        <v>91516</v>
      </c>
      <c r="CC77" s="235">
        <v>183032</v>
      </c>
      <c r="CD77" s="235">
        <v>1583</v>
      </c>
      <c r="CE77" s="235">
        <v>3166</v>
      </c>
      <c r="CF77" s="235">
        <v>89423</v>
      </c>
      <c r="CG77" s="235">
        <v>178846</v>
      </c>
      <c r="CH77" s="235">
        <v>510</v>
      </c>
      <c r="CI77" s="235">
        <v>1020</v>
      </c>
      <c r="CJ77" s="235" t="s">
        <v>502</v>
      </c>
    </row>
    <row r="78" spans="1:88" s="235" customFormat="1" ht="20.100000000000001" customHeight="1" x14ac:dyDescent="0.15">
      <c r="A78" s="229" t="s">
        <v>2942</v>
      </c>
      <c r="B78" s="229" t="s">
        <v>1581</v>
      </c>
      <c r="C78" s="230" t="s">
        <v>556</v>
      </c>
      <c r="D78" s="233">
        <v>5</v>
      </c>
      <c r="E78" s="231">
        <f t="shared" si="21"/>
        <v>51321</v>
      </c>
      <c r="F78" s="232">
        <f t="shared" si="0"/>
        <v>256605</v>
      </c>
      <c r="G78" s="231">
        <v>835</v>
      </c>
      <c r="H78" s="232">
        <f t="shared" si="17"/>
        <v>4175</v>
      </c>
      <c r="I78" s="231">
        <v>50182</v>
      </c>
      <c r="J78" s="232">
        <f t="shared" si="18"/>
        <v>250910</v>
      </c>
      <c r="K78" s="231">
        <v>304</v>
      </c>
      <c r="L78" s="232">
        <f t="shared" si="19"/>
        <v>1520</v>
      </c>
      <c r="M78" s="232"/>
      <c r="N78" s="232"/>
      <c r="O78" s="270">
        <f t="shared" si="22"/>
        <v>0</v>
      </c>
      <c r="P78" s="232">
        <f t="shared" si="20"/>
        <v>5</v>
      </c>
      <c r="Q78" s="232">
        <f t="shared" si="23"/>
        <v>256605</v>
      </c>
      <c r="R78" s="270">
        <f t="shared" si="24"/>
        <v>1</v>
      </c>
      <c r="S78" s="233">
        <f t="shared" si="13"/>
        <v>4175</v>
      </c>
      <c r="T78" s="233">
        <f t="shared" si="14"/>
        <v>250910</v>
      </c>
      <c r="U78" s="233">
        <f t="shared" si="15"/>
        <v>1520</v>
      </c>
      <c r="V78" s="232">
        <f t="shared" si="25"/>
        <v>5</v>
      </c>
      <c r="W78" s="232">
        <f t="shared" si="26"/>
        <v>256605</v>
      </c>
      <c r="X78" s="270">
        <f t="shared" si="27"/>
        <v>1</v>
      </c>
      <c r="Y78" s="234"/>
      <c r="Z78" s="383"/>
      <c r="AA78" s="252" t="e">
        <f>E78-#REF!</f>
        <v>#REF!</v>
      </c>
      <c r="AC78" s="235" t="s">
        <v>1560</v>
      </c>
      <c r="AD78" s="235" t="s">
        <v>2856</v>
      </c>
      <c r="AE78" s="235" t="s">
        <v>2139</v>
      </c>
      <c r="AG78" s="235" t="s">
        <v>1778</v>
      </c>
      <c r="BV78" s="236" t="str">
        <f>HYPERLINK("#일위대가목록!A49","HX0060 →")</f>
        <v>HX0060 →</v>
      </c>
      <c r="CB78" s="235">
        <v>59722</v>
      </c>
      <c r="CC78" s="235">
        <v>59722</v>
      </c>
      <c r="CD78" s="235">
        <v>972</v>
      </c>
      <c r="CE78" s="235">
        <v>972</v>
      </c>
      <c r="CF78" s="235">
        <v>58396</v>
      </c>
      <c r="CG78" s="235">
        <v>58396</v>
      </c>
      <c r="CH78" s="235">
        <v>354</v>
      </c>
      <c r="CI78" s="235">
        <v>354</v>
      </c>
      <c r="CJ78" s="235" t="s">
        <v>2063</v>
      </c>
    </row>
    <row r="79" spans="1:88" s="235" customFormat="1" ht="20.100000000000001" customHeight="1" x14ac:dyDescent="0.15">
      <c r="A79" s="229" t="s">
        <v>2942</v>
      </c>
      <c r="B79" s="229" t="s">
        <v>2790</v>
      </c>
      <c r="C79" s="230" t="s">
        <v>556</v>
      </c>
      <c r="D79" s="233">
        <v>15</v>
      </c>
      <c r="E79" s="231">
        <f t="shared" si="21"/>
        <v>24608</v>
      </c>
      <c r="F79" s="232">
        <f t="shared" si="0"/>
        <v>369120</v>
      </c>
      <c r="G79" s="231">
        <v>302</v>
      </c>
      <c r="H79" s="232">
        <f t="shared" si="17"/>
        <v>4530</v>
      </c>
      <c r="I79" s="231">
        <v>24216</v>
      </c>
      <c r="J79" s="232">
        <f t="shared" si="18"/>
        <v>363240</v>
      </c>
      <c r="K79" s="231">
        <v>90</v>
      </c>
      <c r="L79" s="232">
        <f t="shared" si="19"/>
        <v>1350</v>
      </c>
      <c r="M79" s="232"/>
      <c r="N79" s="232"/>
      <c r="O79" s="270">
        <f t="shared" si="22"/>
        <v>0</v>
      </c>
      <c r="P79" s="232">
        <f t="shared" si="20"/>
        <v>15</v>
      </c>
      <c r="Q79" s="232">
        <f t="shared" si="23"/>
        <v>369120</v>
      </c>
      <c r="R79" s="270">
        <f t="shared" si="24"/>
        <v>1</v>
      </c>
      <c r="S79" s="233">
        <f t="shared" si="13"/>
        <v>4530</v>
      </c>
      <c r="T79" s="233">
        <f t="shared" si="14"/>
        <v>363240</v>
      </c>
      <c r="U79" s="233">
        <f t="shared" si="15"/>
        <v>1350</v>
      </c>
      <c r="V79" s="232">
        <f t="shared" si="25"/>
        <v>15</v>
      </c>
      <c r="W79" s="232">
        <f t="shared" si="26"/>
        <v>369120</v>
      </c>
      <c r="X79" s="270">
        <f t="shared" si="27"/>
        <v>1</v>
      </c>
      <c r="Y79" s="234"/>
      <c r="Z79" s="383"/>
      <c r="AA79" s="252" t="e">
        <f>E79-#REF!</f>
        <v>#REF!</v>
      </c>
      <c r="AC79" s="235" t="s">
        <v>890</v>
      </c>
      <c r="AD79" s="235" t="s">
        <v>2856</v>
      </c>
      <c r="AE79" s="235" t="s">
        <v>451</v>
      </c>
      <c r="AG79" s="235" t="s">
        <v>1778</v>
      </c>
      <c r="BV79" s="236" t="str">
        <f>HYPERLINK("#일위대가목록!A50","HX0061 →")</f>
        <v>HX0061 →</v>
      </c>
      <c r="CB79" s="235">
        <v>28637</v>
      </c>
      <c r="CC79" s="235">
        <v>28637</v>
      </c>
      <c r="CD79" s="235">
        <v>352</v>
      </c>
      <c r="CE79" s="235">
        <v>352</v>
      </c>
      <c r="CF79" s="235">
        <v>28180</v>
      </c>
      <c r="CG79" s="235">
        <v>28180</v>
      </c>
      <c r="CH79" s="235">
        <v>105</v>
      </c>
      <c r="CI79" s="235">
        <v>105</v>
      </c>
      <c r="CJ79" s="235" t="s">
        <v>32</v>
      </c>
    </row>
    <row r="80" spans="1:88" s="235" customFormat="1" ht="20.100000000000001" customHeight="1" x14ac:dyDescent="0.15">
      <c r="A80" s="229" t="s">
        <v>2942</v>
      </c>
      <c r="B80" s="229" t="s">
        <v>3042</v>
      </c>
      <c r="C80" s="230" t="s">
        <v>556</v>
      </c>
      <c r="D80" s="233">
        <v>2</v>
      </c>
      <c r="E80" s="231">
        <f t="shared" si="21"/>
        <v>292133</v>
      </c>
      <c r="F80" s="232">
        <f>H80+J80+L80</f>
        <v>584266</v>
      </c>
      <c r="G80" s="231">
        <v>5906</v>
      </c>
      <c r="H80" s="232">
        <f t="shared" ref="H80:H99" si="28">TRUNC(G80*D80,0)</f>
        <v>11812</v>
      </c>
      <c r="I80" s="231">
        <v>284195</v>
      </c>
      <c r="J80" s="232">
        <f t="shared" ref="J80:J99" si="29">TRUNC(I80*D80,0)</f>
        <v>568390</v>
      </c>
      <c r="K80" s="231">
        <v>2032</v>
      </c>
      <c r="L80" s="232">
        <f t="shared" ref="L80:L99" si="30">TRUNC(K80*D80,0)</f>
        <v>4064</v>
      </c>
      <c r="M80" s="232"/>
      <c r="N80" s="232"/>
      <c r="O80" s="270">
        <f t="shared" si="22"/>
        <v>0</v>
      </c>
      <c r="P80" s="232">
        <f t="shared" si="20"/>
        <v>2</v>
      </c>
      <c r="Q80" s="232">
        <f t="shared" si="23"/>
        <v>584266</v>
      </c>
      <c r="R80" s="270">
        <f t="shared" si="24"/>
        <v>1</v>
      </c>
      <c r="S80" s="233">
        <f t="shared" si="13"/>
        <v>11812</v>
      </c>
      <c r="T80" s="233">
        <f t="shared" si="14"/>
        <v>568390</v>
      </c>
      <c r="U80" s="233">
        <f t="shared" si="15"/>
        <v>4064</v>
      </c>
      <c r="V80" s="232">
        <f t="shared" si="25"/>
        <v>2</v>
      </c>
      <c r="W80" s="232">
        <f t="shared" si="26"/>
        <v>584266</v>
      </c>
      <c r="X80" s="270">
        <f t="shared" si="27"/>
        <v>1</v>
      </c>
      <c r="Y80" s="234"/>
      <c r="Z80" s="383"/>
      <c r="AA80" s="252" t="e">
        <f>E80-#REF!</f>
        <v>#REF!</v>
      </c>
      <c r="AC80" s="235" t="s">
        <v>1431</v>
      </c>
      <c r="AD80" s="235" t="s">
        <v>2856</v>
      </c>
      <c r="AE80" s="235" t="s">
        <v>1857</v>
      </c>
      <c r="AG80" s="235" t="s">
        <v>1778</v>
      </c>
      <c r="BV80" s="236" t="str">
        <f>HYPERLINK("#일위대가목록!A53","HX0064 →")</f>
        <v>HX0064 →</v>
      </c>
      <c r="CB80" s="235">
        <v>339946</v>
      </c>
      <c r="CC80" s="235">
        <v>339946</v>
      </c>
      <c r="CD80" s="235">
        <v>6873</v>
      </c>
      <c r="CE80" s="235">
        <v>6873</v>
      </c>
      <c r="CF80" s="235">
        <v>330708</v>
      </c>
      <c r="CG80" s="235">
        <v>330708</v>
      </c>
      <c r="CH80" s="235">
        <v>2365</v>
      </c>
      <c r="CI80" s="235">
        <v>2365</v>
      </c>
      <c r="CJ80" s="235" t="s">
        <v>1797</v>
      </c>
    </row>
    <row r="81" spans="1:88" s="235" customFormat="1" ht="20.100000000000001" customHeight="1" x14ac:dyDescent="0.15">
      <c r="A81" s="229" t="s">
        <v>2943</v>
      </c>
      <c r="B81" s="229" t="s">
        <v>2228</v>
      </c>
      <c r="C81" s="230" t="s">
        <v>556</v>
      </c>
      <c r="D81" s="233"/>
      <c r="E81" s="231">
        <f t="shared" si="21"/>
        <v>0</v>
      </c>
      <c r="F81" s="232">
        <f t="shared" si="0"/>
        <v>0</v>
      </c>
      <c r="G81" s="231"/>
      <c r="H81" s="232"/>
      <c r="I81" s="231"/>
      <c r="J81" s="232"/>
      <c r="K81" s="231"/>
      <c r="L81" s="232">
        <f t="shared" si="30"/>
        <v>0</v>
      </c>
      <c r="M81" s="232"/>
      <c r="N81" s="232"/>
      <c r="O81" s="270">
        <f t="shared" si="22"/>
        <v>0</v>
      </c>
      <c r="P81" s="232">
        <f t="shared" si="20"/>
        <v>0</v>
      </c>
      <c r="Q81" s="232">
        <f t="shared" si="23"/>
        <v>0</v>
      </c>
      <c r="R81" s="270">
        <f t="shared" si="24"/>
        <v>0</v>
      </c>
      <c r="S81" s="233">
        <f t="shared" ref="S81:S100" si="31">TRUNC(G81*$P81,0)</f>
        <v>0</v>
      </c>
      <c r="T81" s="233">
        <f t="shared" ref="T81:T100" si="32">TRUNC(I81*$P81,0)</f>
        <v>0</v>
      </c>
      <c r="U81" s="233">
        <f t="shared" ref="U81:U100" si="33">TRUNC(K81*$P81,0)</f>
        <v>0</v>
      </c>
      <c r="V81" s="232">
        <f t="shared" si="25"/>
        <v>0</v>
      </c>
      <c r="W81" s="232">
        <f t="shared" si="26"/>
        <v>0</v>
      </c>
      <c r="X81" s="270">
        <f t="shared" si="27"/>
        <v>0</v>
      </c>
      <c r="Y81" s="234"/>
      <c r="Z81" s="383"/>
      <c r="AA81" s="252" t="e">
        <f>E81-#REF!</f>
        <v>#REF!</v>
      </c>
      <c r="AC81" s="235" t="s">
        <v>159</v>
      </c>
      <c r="AD81" s="235" t="s">
        <v>2856</v>
      </c>
      <c r="AE81" s="235" t="s">
        <v>1642</v>
      </c>
      <c r="AG81" s="235" t="s">
        <v>1778</v>
      </c>
      <c r="BV81" s="236" t="str">
        <f>HYPERLINK("#일위대가목록!A51","HX0062 →")</f>
        <v>HX0062 →</v>
      </c>
      <c r="CB81" s="235">
        <v>35329</v>
      </c>
      <c r="CC81" s="235">
        <v>141316</v>
      </c>
      <c r="CD81" s="235">
        <v>490</v>
      </c>
      <c r="CE81" s="235">
        <v>1960</v>
      </c>
      <c r="CF81" s="235">
        <v>34684</v>
      </c>
      <c r="CG81" s="235">
        <v>138736</v>
      </c>
      <c r="CH81" s="235">
        <v>155</v>
      </c>
      <c r="CI81" s="235">
        <v>620</v>
      </c>
      <c r="CJ81" s="235" t="s">
        <v>1654</v>
      </c>
    </row>
    <row r="82" spans="1:88" s="235" customFormat="1" ht="20.100000000000001" customHeight="1" x14ac:dyDescent="0.15">
      <c r="A82" s="229" t="s">
        <v>2943</v>
      </c>
      <c r="B82" s="229" t="s">
        <v>1125</v>
      </c>
      <c r="C82" s="230" t="s">
        <v>556</v>
      </c>
      <c r="D82" s="233">
        <v>1</v>
      </c>
      <c r="E82" s="231">
        <f t="shared" si="21"/>
        <v>24608</v>
      </c>
      <c r="F82" s="232">
        <f t="shared" si="0"/>
        <v>24608</v>
      </c>
      <c r="G82" s="231">
        <v>302</v>
      </c>
      <c r="H82" s="232">
        <f t="shared" si="28"/>
        <v>302</v>
      </c>
      <c r="I82" s="231">
        <v>24216</v>
      </c>
      <c r="J82" s="232">
        <f t="shared" si="29"/>
        <v>24216</v>
      </c>
      <c r="K82" s="231">
        <v>90</v>
      </c>
      <c r="L82" s="232">
        <f t="shared" si="30"/>
        <v>90</v>
      </c>
      <c r="M82" s="232"/>
      <c r="N82" s="232"/>
      <c r="O82" s="270">
        <f t="shared" si="22"/>
        <v>0</v>
      </c>
      <c r="P82" s="232">
        <f t="shared" si="20"/>
        <v>1</v>
      </c>
      <c r="Q82" s="232">
        <f t="shared" si="23"/>
        <v>24608</v>
      </c>
      <c r="R82" s="270">
        <f t="shared" si="24"/>
        <v>1</v>
      </c>
      <c r="S82" s="233">
        <f t="shared" si="31"/>
        <v>302</v>
      </c>
      <c r="T82" s="233">
        <f t="shared" si="32"/>
        <v>24216</v>
      </c>
      <c r="U82" s="233">
        <f t="shared" si="33"/>
        <v>90</v>
      </c>
      <c r="V82" s="232">
        <f t="shared" si="25"/>
        <v>1</v>
      </c>
      <c r="W82" s="232">
        <f t="shared" si="26"/>
        <v>24608</v>
      </c>
      <c r="X82" s="270">
        <f t="shared" si="27"/>
        <v>1</v>
      </c>
      <c r="Y82" s="234"/>
      <c r="Z82" s="383"/>
      <c r="AA82" s="252" t="e">
        <f>E82-#REF!</f>
        <v>#REF!</v>
      </c>
      <c r="AC82" s="235" t="s">
        <v>2164</v>
      </c>
      <c r="AD82" s="235" t="s">
        <v>2856</v>
      </c>
      <c r="AE82" s="235" t="s">
        <v>55</v>
      </c>
      <c r="AG82" s="235" t="s">
        <v>1778</v>
      </c>
      <c r="BV82" s="236" t="str">
        <f>HYPERLINK("#일위대가목록!A52","HX0063 →")</f>
        <v>HX0063 →</v>
      </c>
      <c r="CB82" s="235">
        <v>28637</v>
      </c>
      <c r="CC82" s="235">
        <v>28637</v>
      </c>
      <c r="CD82" s="235">
        <v>352</v>
      </c>
      <c r="CE82" s="235">
        <v>352</v>
      </c>
      <c r="CF82" s="235">
        <v>28180</v>
      </c>
      <c r="CG82" s="235">
        <v>28180</v>
      </c>
      <c r="CH82" s="235">
        <v>105</v>
      </c>
      <c r="CI82" s="235">
        <v>105</v>
      </c>
      <c r="CJ82" s="235" t="s">
        <v>603</v>
      </c>
    </row>
    <row r="83" spans="1:88" s="235" customFormat="1" ht="20.100000000000001" customHeight="1" x14ac:dyDescent="0.15">
      <c r="A83" s="229" t="s">
        <v>3043</v>
      </c>
      <c r="B83" s="229" t="s">
        <v>1125</v>
      </c>
      <c r="C83" s="230" t="s">
        <v>556</v>
      </c>
      <c r="D83" s="233">
        <v>1</v>
      </c>
      <c r="E83" s="231">
        <f t="shared" si="21"/>
        <v>24608</v>
      </c>
      <c r="F83" s="232">
        <f>H83+J83+L83</f>
        <v>24608</v>
      </c>
      <c r="G83" s="231">
        <v>302</v>
      </c>
      <c r="H83" s="232">
        <f t="shared" si="28"/>
        <v>302</v>
      </c>
      <c r="I83" s="231">
        <v>24216</v>
      </c>
      <c r="J83" s="232">
        <f t="shared" si="29"/>
        <v>24216</v>
      </c>
      <c r="K83" s="231">
        <v>90</v>
      </c>
      <c r="L83" s="232">
        <f t="shared" si="30"/>
        <v>90</v>
      </c>
      <c r="M83" s="232"/>
      <c r="N83" s="232"/>
      <c r="O83" s="270">
        <f t="shared" si="22"/>
        <v>0</v>
      </c>
      <c r="P83" s="232">
        <f t="shared" si="20"/>
        <v>1</v>
      </c>
      <c r="Q83" s="232">
        <f t="shared" si="23"/>
        <v>24608</v>
      </c>
      <c r="R83" s="270">
        <f t="shared" si="24"/>
        <v>1</v>
      </c>
      <c r="S83" s="233">
        <f t="shared" si="31"/>
        <v>302</v>
      </c>
      <c r="T83" s="233">
        <f t="shared" si="32"/>
        <v>24216</v>
      </c>
      <c r="U83" s="233">
        <f t="shared" si="33"/>
        <v>90</v>
      </c>
      <c r="V83" s="232">
        <f t="shared" si="25"/>
        <v>1</v>
      </c>
      <c r="W83" s="232">
        <f t="shared" si="26"/>
        <v>24608</v>
      </c>
      <c r="X83" s="270">
        <f t="shared" si="27"/>
        <v>1</v>
      </c>
      <c r="Y83" s="234"/>
      <c r="Z83" s="383"/>
      <c r="AA83" s="252" t="e">
        <f>E83-#REF!</f>
        <v>#REF!</v>
      </c>
      <c r="AC83" s="235" t="s">
        <v>2164</v>
      </c>
      <c r="AD83" s="235" t="s">
        <v>2856</v>
      </c>
      <c r="AE83" s="235" t="s">
        <v>55</v>
      </c>
      <c r="AG83" s="235" t="s">
        <v>1778</v>
      </c>
      <c r="BV83" s="236" t="str">
        <f>HYPERLINK("#일위대가목록!A52","HX0063 →")</f>
        <v>HX0063 →</v>
      </c>
      <c r="CB83" s="235">
        <v>28637</v>
      </c>
      <c r="CC83" s="235">
        <v>28637</v>
      </c>
      <c r="CD83" s="235">
        <v>352</v>
      </c>
      <c r="CE83" s="235">
        <v>352</v>
      </c>
      <c r="CF83" s="235">
        <v>28180</v>
      </c>
      <c r="CG83" s="235">
        <v>28180</v>
      </c>
      <c r="CH83" s="235">
        <v>105</v>
      </c>
      <c r="CI83" s="235">
        <v>105</v>
      </c>
      <c r="CJ83" s="235" t="s">
        <v>603</v>
      </c>
    </row>
    <row r="84" spans="1:88" s="235" customFormat="1" ht="20.100000000000001" customHeight="1" x14ac:dyDescent="0.15">
      <c r="A84" s="229" t="s">
        <v>3043</v>
      </c>
      <c r="B84" s="229" t="s">
        <v>2116</v>
      </c>
      <c r="C84" s="230" t="s">
        <v>556</v>
      </c>
      <c r="D84" s="233">
        <v>2</v>
      </c>
      <c r="E84" s="231">
        <f t="shared" si="21"/>
        <v>42203</v>
      </c>
      <c r="F84" s="232">
        <f>H84+J84+L84</f>
        <v>84406</v>
      </c>
      <c r="G84" s="231">
        <v>622</v>
      </c>
      <c r="H84" s="232">
        <f t="shared" si="28"/>
        <v>1244</v>
      </c>
      <c r="I84" s="231">
        <v>41398</v>
      </c>
      <c r="J84" s="232">
        <f t="shared" si="29"/>
        <v>82796</v>
      </c>
      <c r="K84" s="231">
        <v>183</v>
      </c>
      <c r="L84" s="232">
        <f t="shared" si="30"/>
        <v>366</v>
      </c>
      <c r="M84" s="232"/>
      <c r="N84" s="232"/>
      <c r="O84" s="270">
        <f t="shared" si="22"/>
        <v>0</v>
      </c>
      <c r="P84" s="232">
        <f t="shared" si="20"/>
        <v>2</v>
      </c>
      <c r="Q84" s="232">
        <f t="shared" si="23"/>
        <v>84406</v>
      </c>
      <c r="R84" s="270">
        <f t="shared" si="24"/>
        <v>1</v>
      </c>
      <c r="S84" s="233">
        <f t="shared" si="31"/>
        <v>1244</v>
      </c>
      <c r="T84" s="233">
        <f t="shared" si="32"/>
        <v>82796</v>
      </c>
      <c r="U84" s="233">
        <f t="shared" si="33"/>
        <v>366</v>
      </c>
      <c r="V84" s="232">
        <f t="shared" si="25"/>
        <v>2</v>
      </c>
      <c r="W84" s="232">
        <f t="shared" si="26"/>
        <v>84406</v>
      </c>
      <c r="X84" s="270">
        <f t="shared" si="27"/>
        <v>1</v>
      </c>
      <c r="Y84" s="234"/>
      <c r="Z84" s="383"/>
      <c r="AA84" s="252" t="e">
        <f>E84-#REF!</f>
        <v>#REF!</v>
      </c>
      <c r="AC84" s="235" t="s">
        <v>2799</v>
      </c>
      <c r="AD84" s="235" t="s">
        <v>2856</v>
      </c>
      <c r="AE84" s="235" t="s">
        <v>1696</v>
      </c>
      <c r="AG84" s="235" t="s">
        <v>1778</v>
      </c>
      <c r="BV84" s="236" t="str">
        <f>HYPERLINK("#일위대가목록!A38","HX0049 →")</f>
        <v>HX0049 →</v>
      </c>
      <c r="CB84" s="235">
        <v>49111</v>
      </c>
      <c r="CC84" s="235">
        <v>245555</v>
      </c>
      <c r="CD84" s="235">
        <v>724</v>
      </c>
      <c r="CE84" s="235">
        <v>3620</v>
      </c>
      <c r="CF84" s="235">
        <v>48174</v>
      </c>
      <c r="CG84" s="235">
        <v>240870</v>
      </c>
      <c r="CH84" s="235">
        <v>213</v>
      </c>
      <c r="CI84" s="235">
        <v>1065</v>
      </c>
      <c r="CJ84" s="235" t="s">
        <v>2603</v>
      </c>
    </row>
    <row r="85" spans="1:88" s="235" customFormat="1" ht="20.100000000000001" customHeight="1" x14ac:dyDescent="0.15">
      <c r="A85" s="229" t="s">
        <v>3044</v>
      </c>
      <c r="B85" s="229" t="s">
        <v>3180</v>
      </c>
      <c r="C85" s="230" t="s">
        <v>556</v>
      </c>
      <c r="D85" s="233">
        <v>2</v>
      </c>
      <c r="E85" s="231">
        <f t="shared" ref="E85:E106" si="34">G85+I85+K85</f>
        <v>30359</v>
      </c>
      <c r="F85" s="232">
        <f t="shared" si="0"/>
        <v>60718</v>
      </c>
      <c r="G85" s="231">
        <v>421</v>
      </c>
      <c r="H85" s="232">
        <f t="shared" si="28"/>
        <v>842</v>
      </c>
      <c r="I85" s="231">
        <v>29805</v>
      </c>
      <c r="J85" s="232">
        <f t="shared" si="29"/>
        <v>59610</v>
      </c>
      <c r="K85" s="231">
        <v>133</v>
      </c>
      <c r="L85" s="232">
        <f t="shared" si="30"/>
        <v>266</v>
      </c>
      <c r="M85" s="232"/>
      <c r="N85" s="232"/>
      <c r="O85" s="270">
        <f t="shared" si="22"/>
        <v>0</v>
      </c>
      <c r="P85" s="232">
        <f t="shared" si="20"/>
        <v>2</v>
      </c>
      <c r="Q85" s="232">
        <f t="shared" si="23"/>
        <v>60718</v>
      </c>
      <c r="R85" s="270">
        <f t="shared" si="24"/>
        <v>1</v>
      </c>
      <c r="S85" s="233">
        <f t="shared" si="31"/>
        <v>842</v>
      </c>
      <c r="T85" s="233">
        <f t="shared" si="32"/>
        <v>59610</v>
      </c>
      <c r="U85" s="233">
        <f t="shared" si="33"/>
        <v>266</v>
      </c>
      <c r="V85" s="232">
        <f t="shared" si="25"/>
        <v>2</v>
      </c>
      <c r="W85" s="232">
        <f t="shared" si="26"/>
        <v>60718</v>
      </c>
      <c r="X85" s="270">
        <f t="shared" si="27"/>
        <v>1</v>
      </c>
      <c r="Y85" s="234"/>
      <c r="Z85" s="383"/>
      <c r="AA85" s="252" t="e">
        <f>E85-#REF!</f>
        <v>#REF!</v>
      </c>
      <c r="AC85" s="235" t="s">
        <v>2799</v>
      </c>
      <c r="AD85" s="235" t="s">
        <v>2856</v>
      </c>
      <c r="AE85" s="235" t="s">
        <v>1696</v>
      </c>
      <c r="AG85" s="235" t="s">
        <v>1778</v>
      </c>
      <c r="BV85" s="236" t="str">
        <f>HYPERLINK("#일위대가목록!A38","HX0049 →")</f>
        <v>HX0049 →</v>
      </c>
      <c r="CB85" s="235">
        <v>49111</v>
      </c>
      <c r="CC85" s="235">
        <v>245555</v>
      </c>
      <c r="CD85" s="235">
        <v>724</v>
      </c>
      <c r="CE85" s="235">
        <v>3620</v>
      </c>
      <c r="CF85" s="235">
        <v>48174</v>
      </c>
      <c r="CG85" s="235">
        <v>240870</v>
      </c>
      <c r="CH85" s="235">
        <v>213</v>
      </c>
      <c r="CI85" s="235">
        <v>1065</v>
      </c>
      <c r="CJ85" s="235" t="s">
        <v>2603</v>
      </c>
    </row>
    <row r="86" spans="1:88" s="235" customFormat="1" ht="20.100000000000001" customHeight="1" x14ac:dyDescent="0.15">
      <c r="A86" s="229" t="s">
        <v>3044</v>
      </c>
      <c r="B86" s="229" t="s">
        <v>1581</v>
      </c>
      <c r="C86" s="230" t="s">
        <v>556</v>
      </c>
      <c r="D86" s="233">
        <v>1</v>
      </c>
      <c r="E86" s="231">
        <f t="shared" si="34"/>
        <v>51321</v>
      </c>
      <c r="F86" s="232">
        <f>H86+J86+L86</f>
        <v>51321</v>
      </c>
      <c r="G86" s="231">
        <v>835</v>
      </c>
      <c r="H86" s="232">
        <f t="shared" si="28"/>
        <v>835</v>
      </c>
      <c r="I86" s="231">
        <v>50182</v>
      </c>
      <c r="J86" s="232">
        <f t="shared" si="29"/>
        <v>50182</v>
      </c>
      <c r="K86" s="231">
        <v>304</v>
      </c>
      <c r="L86" s="232">
        <f t="shared" si="30"/>
        <v>304</v>
      </c>
      <c r="M86" s="232"/>
      <c r="N86" s="232"/>
      <c r="O86" s="270">
        <f t="shared" si="22"/>
        <v>0</v>
      </c>
      <c r="P86" s="232">
        <f t="shared" si="20"/>
        <v>1</v>
      </c>
      <c r="Q86" s="232">
        <f t="shared" si="23"/>
        <v>51321</v>
      </c>
      <c r="R86" s="270">
        <f t="shared" si="24"/>
        <v>1</v>
      </c>
      <c r="S86" s="233">
        <f t="shared" si="31"/>
        <v>835</v>
      </c>
      <c r="T86" s="233">
        <f t="shared" si="32"/>
        <v>50182</v>
      </c>
      <c r="U86" s="233">
        <f t="shared" si="33"/>
        <v>304</v>
      </c>
      <c r="V86" s="232">
        <f t="shared" si="25"/>
        <v>1</v>
      </c>
      <c r="W86" s="232">
        <f t="shared" si="26"/>
        <v>51321</v>
      </c>
      <c r="X86" s="270">
        <f t="shared" si="27"/>
        <v>1</v>
      </c>
      <c r="Y86" s="234"/>
      <c r="Z86" s="383"/>
      <c r="AA86" s="252" t="e">
        <f>E86-#REF!</f>
        <v>#REF!</v>
      </c>
      <c r="AC86" s="235" t="s">
        <v>1560</v>
      </c>
      <c r="AD86" s="235" t="s">
        <v>2856</v>
      </c>
      <c r="AE86" s="235" t="s">
        <v>2139</v>
      </c>
      <c r="AG86" s="235" t="s">
        <v>1778</v>
      </c>
      <c r="BV86" s="236" t="str">
        <f>HYPERLINK("#일위대가목록!A49","HX0060 →")</f>
        <v>HX0060 →</v>
      </c>
      <c r="CB86" s="235">
        <v>59722</v>
      </c>
      <c r="CC86" s="235">
        <v>59722</v>
      </c>
      <c r="CD86" s="235">
        <v>972</v>
      </c>
      <c r="CE86" s="235">
        <v>972</v>
      </c>
      <c r="CF86" s="235">
        <v>58396</v>
      </c>
      <c r="CG86" s="235">
        <v>58396</v>
      </c>
      <c r="CH86" s="235">
        <v>354</v>
      </c>
      <c r="CI86" s="235">
        <v>354</v>
      </c>
      <c r="CJ86" s="235" t="s">
        <v>2063</v>
      </c>
    </row>
    <row r="87" spans="1:88" s="235" customFormat="1" ht="20.100000000000001" customHeight="1" x14ac:dyDescent="0.15">
      <c r="A87" s="229" t="s">
        <v>2944</v>
      </c>
      <c r="B87" s="229" t="s">
        <v>318</v>
      </c>
      <c r="C87" s="230" t="s">
        <v>556</v>
      </c>
      <c r="D87" s="233">
        <v>1</v>
      </c>
      <c r="E87" s="231">
        <f t="shared" si="34"/>
        <v>292133</v>
      </c>
      <c r="F87" s="232">
        <f>H87+J87+L87</f>
        <v>292133</v>
      </c>
      <c r="G87" s="231">
        <v>5906</v>
      </c>
      <c r="H87" s="232">
        <f t="shared" si="28"/>
        <v>5906</v>
      </c>
      <c r="I87" s="231">
        <v>284195</v>
      </c>
      <c r="J87" s="232">
        <f t="shared" si="29"/>
        <v>284195</v>
      </c>
      <c r="K87" s="231">
        <v>2032</v>
      </c>
      <c r="L87" s="232">
        <f t="shared" si="30"/>
        <v>2032</v>
      </c>
      <c r="M87" s="232"/>
      <c r="N87" s="232"/>
      <c r="O87" s="270">
        <f t="shared" si="22"/>
        <v>0</v>
      </c>
      <c r="P87" s="232">
        <f t="shared" si="20"/>
        <v>1</v>
      </c>
      <c r="Q87" s="232">
        <f t="shared" si="23"/>
        <v>292133</v>
      </c>
      <c r="R87" s="270">
        <f t="shared" si="24"/>
        <v>1</v>
      </c>
      <c r="S87" s="233">
        <f t="shared" si="31"/>
        <v>5906</v>
      </c>
      <c r="T87" s="233">
        <f t="shared" si="32"/>
        <v>284195</v>
      </c>
      <c r="U87" s="233">
        <f t="shared" si="33"/>
        <v>2032</v>
      </c>
      <c r="V87" s="232">
        <f t="shared" si="25"/>
        <v>1</v>
      </c>
      <c r="W87" s="232">
        <f t="shared" si="26"/>
        <v>292133</v>
      </c>
      <c r="X87" s="270">
        <f t="shared" si="27"/>
        <v>1</v>
      </c>
      <c r="Y87" s="234"/>
      <c r="Z87" s="383"/>
      <c r="AA87" s="252" t="e">
        <f>E87-#REF!</f>
        <v>#REF!</v>
      </c>
      <c r="AC87" s="235" t="s">
        <v>1431</v>
      </c>
      <c r="AD87" s="235" t="s">
        <v>2856</v>
      </c>
      <c r="AE87" s="235" t="s">
        <v>1857</v>
      </c>
      <c r="AG87" s="235" t="s">
        <v>1778</v>
      </c>
      <c r="BV87" s="236" t="str">
        <f>HYPERLINK("#일위대가목록!A53","HX0064 →")</f>
        <v>HX0064 →</v>
      </c>
      <c r="CB87" s="235">
        <v>339946</v>
      </c>
      <c r="CC87" s="235">
        <v>339946</v>
      </c>
      <c r="CD87" s="235">
        <v>6873</v>
      </c>
      <c r="CE87" s="235">
        <v>6873</v>
      </c>
      <c r="CF87" s="235">
        <v>330708</v>
      </c>
      <c r="CG87" s="235">
        <v>330708</v>
      </c>
      <c r="CH87" s="235">
        <v>2365</v>
      </c>
      <c r="CI87" s="235">
        <v>2365</v>
      </c>
      <c r="CJ87" s="235" t="s">
        <v>1797</v>
      </c>
    </row>
    <row r="88" spans="1:88" s="235" customFormat="1" ht="20.100000000000001" customHeight="1" x14ac:dyDescent="0.15">
      <c r="A88" s="229" t="s">
        <v>2944</v>
      </c>
      <c r="B88" s="229" t="s">
        <v>1374</v>
      </c>
      <c r="C88" s="230" t="s">
        <v>556</v>
      </c>
      <c r="D88" s="233"/>
      <c r="E88" s="231">
        <f t="shared" si="34"/>
        <v>0</v>
      </c>
      <c r="F88" s="232">
        <f t="shared" si="0"/>
        <v>0</v>
      </c>
      <c r="G88" s="231"/>
      <c r="H88" s="232"/>
      <c r="I88" s="231"/>
      <c r="J88" s="232"/>
      <c r="K88" s="231"/>
      <c r="L88" s="232">
        <f t="shared" si="30"/>
        <v>0</v>
      </c>
      <c r="M88" s="232"/>
      <c r="N88" s="232"/>
      <c r="O88" s="270">
        <f t="shared" si="22"/>
        <v>0</v>
      </c>
      <c r="P88" s="232">
        <f t="shared" si="20"/>
        <v>0</v>
      </c>
      <c r="Q88" s="232">
        <f t="shared" si="23"/>
        <v>0</v>
      </c>
      <c r="R88" s="270">
        <f t="shared" si="24"/>
        <v>0</v>
      </c>
      <c r="S88" s="233">
        <f t="shared" si="31"/>
        <v>0</v>
      </c>
      <c r="T88" s="233">
        <f t="shared" si="32"/>
        <v>0</v>
      </c>
      <c r="U88" s="233">
        <f t="shared" si="33"/>
        <v>0</v>
      </c>
      <c r="V88" s="232">
        <f t="shared" si="25"/>
        <v>0</v>
      </c>
      <c r="W88" s="232">
        <f t="shared" si="26"/>
        <v>0</v>
      </c>
      <c r="X88" s="270">
        <f t="shared" si="27"/>
        <v>0</v>
      </c>
      <c r="Y88" s="234"/>
      <c r="Z88" s="383"/>
      <c r="AA88" s="252" t="e">
        <f>E88-#REF!</f>
        <v>#REF!</v>
      </c>
      <c r="AC88" s="235" t="s">
        <v>1611</v>
      </c>
      <c r="AD88" s="235" t="s">
        <v>2856</v>
      </c>
      <c r="AE88" s="235" t="s">
        <v>512</v>
      </c>
      <c r="AG88" s="235" t="s">
        <v>1778</v>
      </c>
      <c r="BV88" s="236" t="str">
        <f>HYPERLINK("#일위대가목록!A54","HX0065 →")</f>
        <v>HX0065 →</v>
      </c>
      <c r="CB88" s="235">
        <v>120377</v>
      </c>
      <c r="CC88" s="235">
        <v>481508</v>
      </c>
      <c r="CD88" s="235">
        <v>2112</v>
      </c>
      <c r="CE88" s="235">
        <v>8448</v>
      </c>
      <c r="CF88" s="235">
        <v>117592</v>
      </c>
      <c r="CG88" s="235">
        <v>470368</v>
      </c>
      <c r="CH88" s="235">
        <v>673</v>
      </c>
      <c r="CI88" s="235">
        <v>2692</v>
      </c>
      <c r="CJ88" s="235" t="s">
        <v>293</v>
      </c>
    </row>
    <row r="89" spans="1:88" s="235" customFormat="1" ht="20.100000000000001" customHeight="1" x14ac:dyDescent="0.15">
      <c r="A89" s="229" t="s">
        <v>2944</v>
      </c>
      <c r="B89" s="229" t="s">
        <v>3234</v>
      </c>
      <c r="C89" s="230" t="s">
        <v>556</v>
      </c>
      <c r="D89" s="233"/>
      <c r="E89" s="231">
        <f>G89+I89+K89</f>
        <v>0</v>
      </c>
      <c r="F89" s="232">
        <f>H89+J89+L89</f>
        <v>0</v>
      </c>
      <c r="G89" s="231"/>
      <c r="H89" s="232"/>
      <c r="I89" s="231"/>
      <c r="J89" s="232"/>
      <c r="K89" s="231"/>
      <c r="L89" s="232">
        <f t="shared" si="30"/>
        <v>0</v>
      </c>
      <c r="M89" s="232"/>
      <c r="N89" s="232"/>
      <c r="O89" s="270">
        <f t="shared" si="22"/>
        <v>0</v>
      </c>
      <c r="P89" s="232">
        <f t="shared" si="20"/>
        <v>0</v>
      </c>
      <c r="Q89" s="232">
        <f t="shared" si="23"/>
        <v>0</v>
      </c>
      <c r="R89" s="270">
        <f t="shared" si="24"/>
        <v>0</v>
      </c>
      <c r="S89" s="233">
        <f t="shared" si="31"/>
        <v>0</v>
      </c>
      <c r="T89" s="233">
        <f t="shared" si="32"/>
        <v>0</v>
      </c>
      <c r="U89" s="233">
        <f t="shared" si="33"/>
        <v>0</v>
      </c>
      <c r="V89" s="232">
        <f t="shared" si="25"/>
        <v>0</v>
      </c>
      <c r="W89" s="232">
        <f t="shared" si="26"/>
        <v>0</v>
      </c>
      <c r="X89" s="270">
        <f t="shared" si="27"/>
        <v>0</v>
      </c>
      <c r="Y89" s="234"/>
      <c r="Z89" s="383"/>
      <c r="AA89" s="252" t="e">
        <f>E89-#REF!</f>
        <v>#REF!</v>
      </c>
      <c r="AC89" s="235" t="s">
        <v>1611</v>
      </c>
      <c r="AD89" s="235" t="s">
        <v>2856</v>
      </c>
      <c r="AE89" s="235" t="s">
        <v>512</v>
      </c>
      <c r="AG89" s="235" t="s">
        <v>1778</v>
      </c>
      <c r="BV89" s="236" t="str">
        <f>HYPERLINK("#일위대가목록!A54","HX0065 →")</f>
        <v>HX0065 →</v>
      </c>
      <c r="CB89" s="235">
        <v>120377</v>
      </c>
      <c r="CC89" s="235">
        <v>481508</v>
      </c>
      <c r="CD89" s="235">
        <v>2112</v>
      </c>
      <c r="CE89" s="235">
        <v>8448</v>
      </c>
      <c r="CF89" s="235">
        <v>117592</v>
      </c>
      <c r="CG89" s="235">
        <v>470368</v>
      </c>
      <c r="CH89" s="235">
        <v>673</v>
      </c>
      <c r="CI89" s="235">
        <v>2692</v>
      </c>
      <c r="CJ89" s="235" t="s">
        <v>293</v>
      </c>
    </row>
    <row r="90" spans="1:88" s="235" customFormat="1" ht="20.100000000000001" customHeight="1" x14ac:dyDescent="0.15">
      <c r="A90" s="229" t="s">
        <v>3181</v>
      </c>
      <c r="B90" s="253" t="str">
        <f>'[322]수목철거공(수량집계표)'!B79</f>
        <v>H14.0xR69</v>
      </c>
      <c r="C90" s="230" t="s">
        <v>556</v>
      </c>
      <c r="D90" s="233">
        <v>1</v>
      </c>
      <c r="E90" s="231">
        <f t="shared" si="34"/>
        <v>1399118</v>
      </c>
      <c r="F90" s="232">
        <f t="shared" si="0"/>
        <v>1399118</v>
      </c>
      <c r="G90" s="231">
        <v>30197</v>
      </c>
      <c r="H90" s="232">
        <f t="shared" si="28"/>
        <v>30197</v>
      </c>
      <c r="I90" s="231">
        <v>1359297</v>
      </c>
      <c r="J90" s="232">
        <f t="shared" si="29"/>
        <v>1359297</v>
      </c>
      <c r="K90" s="231">
        <v>9624</v>
      </c>
      <c r="L90" s="232">
        <f t="shared" si="30"/>
        <v>9624</v>
      </c>
      <c r="M90" s="232"/>
      <c r="N90" s="232"/>
      <c r="O90" s="270">
        <f t="shared" si="22"/>
        <v>0</v>
      </c>
      <c r="P90" s="232">
        <f t="shared" si="20"/>
        <v>1</v>
      </c>
      <c r="Q90" s="232">
        <f t="shared" si="23"/>
        <v>1399118</v>
      </c>
      <c r="R90" s="270">
        <f t="shared" si="24"/>
        <v>1</v>
      </c>
      <c r="S90" s="233">
        <f t="shared" si="31"/>
        <v>30197</v>
      </c>
      <c r="T90" s="233">
        <f t="shared" si="32"/>
        <v>1359297</v>
      </c>
      <c r="U90" s="233">
        <f t="shared" si="33"/>
        <v>9624</v>
      </c>
      <c r="V90" s="232">
        <f t="shared" si="25"/>
        <v>1</v>
      </c>
      <c r="W90" s="232">
        <f t="shared" si="26"/>
        <v>1399118</v>
      </c>
      <c r="X90" s="270">
        <f t="shared" si="27"/>
        <v>1</v>
      </c>
      <c r="Y90" s="234"/>
      <c r="Z90" s="383"/>
      <c r="AA90" s="252" t="e">
        <f>E90-#REF!</f>
        <v>#REF!</v>
      </c>
      <c r="AC90" s="235" t="s">
        <v>2337</v>
      </c>
      <c r="AD90" s="235" t="s">
        <v>2856</v>
      </c>
      <c r="AE90" s="235" t="s">
        <v>1542</v>
      </c>
      <c r="AG90" s="235" t="s">
        <v>1778</v>
      </c>
      <c r="BV90" s="236" t="str">
        <f t="shared" ref="BV90:BV97" si="35">HYPERLINK("#일위대가목록!A55","HX0066 →")</f>
        <v>HX0066 →</v>
      </c>
      <c r="CB90" s="235">
        <v>59487</v>
      </c>
      <c r="CC90" s="235">
        <v>178461</v>
      </c>
      <c r="CD90" s="235">
        <v>930</v>
      </c>
      <c r="CE90" s="235">
        <v>2790</v>
      </c>
      <c r="CF90" s="235">
        <v>58257</v>
      </c>
      <c r="CG90" s="235">
        <v>174771</v>
      </c>
      <c r="CH90" s="235">
        <v>300</v>
      </c>
      <c r="CI90" s="235">
        <v>900</v>
      </c>
      <c r="CJ90" s="235" t="s">
        <v>1574</v>
      </c>
    </row>
    <row r="91" spans="1:88" s="235" customFormat="1" ht="20.100000000000001" customHeight="1" x14ac:dyDescent="0.15">
      <c r="A91" s="254" t="s">
        <v>3285</v>
      </c>
      <c r="B91" s="254" t="s">
        <v>3275</v>
      </c>
      <c r="C91" s="230" t="s">
        <v>556</v>
      </c>
      <c r="D91" s="233">
        <v>12</v>
      </c>
      <c r="E91" s="231">
        <f t="shared" si="34"/>
        <v>24008</v>
      </c>
      <c r="F91" s="232">
        <f t="shared" si="0"/>
        <v>288096</v>
      </c>
      <c r="G91" s="231">
        <v>0</v>
      </c>
      <c r="H91" s="232">
        <f t="shared" si="28"/>
        <v>0</v>
      </c>
      <c r="I91" s="231">
        <v>23538</v>
      </c>
      <c r="J91" s="232">
        <f t="shared" si="29"/>
        <v>282456</v>
      </c>
      <c r="K91" s="231">
        <v>470</v>
      </c>
      <c r="L91" s="232">
        <f t="shared" si="30"/>
        <v>5640</v>
      </c>
      <c r="M91" s="232"/>
      <c r="N91" s="232"/>
      <c r="O91" s="270">
        <f t="shared" si="22"/>
        <v>0</v>
      </c>
      <c r="P91" s="232">
        <f>D91</f>
        <v>12</v>
      </c>
      <c r="Q91" s="232">
        <f t="shared" si="23"/>
        <v>288096</v>
      </c>
      <c r="R91" s="270">
        <f t="shared" si="24"/>
        <v>1</v>
      </c>
      <c r="S91" s="233">
        <f t="shared" si="31"/>
        <v>0</v>
      </c>
      <c r="T91" s="233">
        <f t="shared" si="32"/>
        <v>282456</v>
      </c>
      <c r="U91" s="233">
        <f t="shared" si="33"/>
        <v>5640</v>
      </c>
      <c r="V91" s="232">
        <f t="shared" si="25"/>
        <v>12</v>
      </c>
      <c r="W91" s="232">
        <f t="shared" si="26"/>
        <v>288096</v>
      </c>
      <c r="X91" s="270">
        <f t="shared" si="27"/>
        <v>1</v>
      </c>
      <c r="Y91" s="234"/>
      <c r="Z91" s="383"/>
      <c r="AA91" s="252" t="e">
        <f>E91-#REF!</f>
        <v>#REF!</v>
      </c>
      <c r="AC91" s="235" t="s">
        <v>2337</v>
      </c>
      <c r="AD91" s="235" t="s">
        <v>2856</v>
      </c>
      <c r="AE91" s="235" t="s">
        <v>1542</v>
      </c>
      <c r="AG91" s="235" t="s">
        <v>1778</v>
      </c>
      <c r="BV91" s="236" t="str">
        <f t="shared" si="35"/>
        <v>HX0066 →</v>
      </c>
      <c r="CB91" s="235">
        <v>59487</v>
      </c>
      <c r="CC91" s="235">
        <v>178461</v>
      </c>
      <c r="CD91" s="235">
        <v>930</v>
      </c>
      <c r="CE91" s="235">
        <v>2790</v>
      </c>
      <c r="CF91" s="235">
        <v>58257</v>
      </c>
      <c r="CG91" s="235">
        <v>174771</v>
      </c>
      <c r="CH91" s="235">
        <v>300</v>
      </c>
      <c r="CI91" s="235">
        <v>900</v>
      </c>
      <c r="CJ91" s="235" t="s">
        <v>1574</v>
      </c>
    </row>
    <row r="92" spans="1:88" s="235" customFormat="1" ht="20.100000000000001" customHeight="1" x14ac:dyDescent="0.15">
      <c r="A92" s="254" t="s">
        <v>3285</v>
      </c>
      <c r="B92" s="254" t="s">
        <v>3268</v>
      </c>
      <c r="C92" s="230" t="s">
        <v>556</v>
      </c>
      <c r="D92" s="233">
        <v>38</v>
      </c>
      <c r="E92" s="231">
        <f t="shared" si="34"/>
        <v>31009</v>
      </c>
      <c r="F92" s="232">
        <f t="shared" si="0"/>
        <v>1178342</v>
      </c>
      <c r="G92" s="231">
        <v>1118</v>
      </c>
      <c r="H92" s="232">
        <f t="shared" si="28"/>
        <v>42484</v>
      </c>
      <c r="I92" s="231">
        <v>27414</v>
      </c>
      <c r="J92" s="232">
        <f t="shared" si="29"/>
        <v>1041732</v>
      </c>
      <c r="K92" s="231">
        <v>2477</v>
      </c>
      <c r="L92" s="232">
        <f t="shared" si="30"/>
        <v>94126</v>
      </c>
      <c r="M92" s="232"/>
      <c r="N92" s="232"/>
      <c r="O92" s="270">
        <f t="shared" si="22"/>
        <v>0</v>
      </c>
      <c r="P92" s="232">
        <f t="shared" ref="P92:P99" si="36">D92</f>
        <v>38</v>
      </c>
      <c r="Q92" s="232">
        <f t="shared" si="23"/>
        <v>1178342</v>
      </c>
      <c r="R92" s="270">
        <f t="shared" si="24"/>
        <v>1</v>
      </c>
      <c r="S92" s="233">
        <f t="shared" si="31"/>
        <v>42484</v>
      </c>
      <c r="T92" s="233">
        <f t="shared" si="32"/>
        <v>1041732</v>
      </c>
      <c r="U92" s="233">
        <f t="shared" si="33"/>
        <v>94126</v>
      </c>
      <c r="V92" s="232">
        <f t="shared" si="25"/>
        <v>38</v>
      </c>
      <c r="W92" s="232">
        <f t="shared" si="26"/>
        <v>1178342</v>
      </c>
      <c r="X92" s="270">
        <f t="shared" si="27"/>
        <v>1</v>
      </c>
      <c r="Y92" s="234"/>
      <c r="Z92" s="383"/>
      <c r="AA92" s="252" t="e">
        <f>E92-#REF!</f>
        <v>#REF!</v>
      </c>
      <c r="AC92" s="235" t="s">
        <v>2337</v>
      </c>
      <c r="AD92" s="235" t="s">
        <v>2856</v>
      </c>
      <c r="AE92" s="235" t="s">
        <v>1542</v>
      </c>
      <c r="AG92" s="235" t="s">
        <v>1778</v>
      </c>
      <c r="BV92" s="236" t="str">
        <f t="shared" si="35"/>
        <v>HX0066 →</v>
      </c>
      <c r="CB92" s="235">
        <v>59487</v>
      </c>
      <c r="CC92" s="235">
        <v>178461</v>
      </c>
      <c r="CD92" s="235">
        <v>930</v>
      </c>
      <c r="CE92" s="235">
        <v>2790</v>
      </c>
      <c r="CF92" s="235">
        <v>58257</v>
      </c>
      <c r="CG92" s="235">
        <v>174771</v>
      </c>
      <c r="CH92" s="235">
        <v>300</v>
      </c>
      <c r="CI92" s="235">
        <v>900</v>
      </c>
      <c r="CJ92" s="235" t="s">
        <v>1574</v>
      </c>
    </row>
    <row r="93" spans="1:88" s="235" customFormat="1" ht="20.100000000000001" customHeight="1" x14ac:dyDescent="0.15">
      <c r="A93" s="254" t="s">
        <v>3285</v>
      </c>
      <c r="B93" s="254" t="s">
        <v>3272</v>
      </c>
      <c r="C93" s="230" t="s">
        <v>556</v>
      </c>
      <c r="D93" s="233">
        <v>50</v>
      </c>
      <c r="E93" s="231">
        <f t="shared" ref="E93:F96" si="37">G93+I93+K93</f>
        <v>49825</v>
      </c>
      <c r="F93" s="232">
        <f t="shared" si="37"/>
        <v>2491250</v>
      </c>
      <c r="G93" s="231">
        <v>1721</v>
      </c>
      <c r="H93" s="232">
        <f>TRUNC(G93*D93,0)</f>
        <v>86050</v>
      </c>
      <c r="I93" s="231">
        <v>44251</v>
      </c>
      <c r="J93" s="232">
        <f>TRUNC(I93*D93,0)</f>
        <v>2212550</v>
      </c>
      <c r="K93" s="231">
        <v>3853</v>
      </c>
      <c r="L93" s="232">
        <f>TRUNC(K93*D93,0)</f>
        <v>192650</v>
      </c>
      <c r="M93" s="232"/>
      <c r="N93" s="232"/>
      <c r="O93" s="270">
        <f t="shared" si="22"/>
        <v>0</v>
      </c>
      <c r="P93" s="232">
        <f t="shared" si="36"/>
        <v>50</v>
      </c>
      <c r="Q93" s="232">
        <f t="shared" si="23"/>
        <v>2491250</v>
      </c>
      <c r="R93" s="270">
        <f t="shared" si="24"/>
        <v>1</v>
      </c>
      <c r="S93" s="233">
        <f t="shared" si="31"/>
        <v>86050</v>
      </c>
      <c r="T93" s="233">
        <f t="shared" si="32"/>
        <v>2212550</v>
      </c>
      <c r="U93" s="233">
        <f t="shared" si="33"/>
        <v>192650</v>
      </c>
      <c r="V93" s="232">
        <f t="shared" si="25"/>
        <v>50</v>
      </c>
      <c r="W93" s="232">
        <f t="shared" si="26"/>
        <v>2491250</v>
      </c>
      <c r="X93" s="270">
        <f t="shared" si="27"/>
        <v>1</v>
      </c>
      <c r="Y93" s="234"/>
      <c r="Z93" s="383"/>
      <c r="AA93" s="252" t="e">
        <f>E93-#REF!</f>
        <v>#REF!</v>
      </c>
      <c r="AC93" s="235" t="s">
        <v>2337</v>
      </c>
      <c r="AD93" s="235" t="s">
        <v>2856</v>
      </c>
      <c r="AE93" s="235" t="s">
        <v>1542</v>
      </c>
      <c r="AG93" s="235" t="s">
        <v>1778</v>
      </c>
      <c r="BV93" s="236" t="str">
        <f t="shared" si="35"/>
        <v>HX0066 →</v>
      </c>
      <c r="CB93" s="235">
        <v>59487</v>
      </c>
      <c r="CC93" s="235">
        <v>178461</v>
      </c>
      <c r="CD93" s="235">
        <v>930</v>
      </c>
      <c r="CE93" s="235">
        <v>2790</v>
      </c>
      <c r="CF93" s="235">
        <v>58257</v>
      </c>
      <c r="CG93" s="235">
        <v>174771</v>
      </c>
      <c r="CH93" s="235">
        <v>300</v>
      </c>
      <c r="CI93" s="235">
        <v>900</v>
      </c>
      <c r="CJ93" s="235" t="s">
        <v>1574</v>
      </c>
    </row>
    <row r="94" spans="1:88" s="235" customFormat="1" ht="20.100000000000001" customHeight="1" x14ac:dyDescent="0.15">
      <c r="A94" s="254" t="s">
        <v>3285</v>
      </c>
      <c r="B94" s="254" t="s">
        <v>3273</v>
      </c>
      <c r="C94" s="230" t="s">
        <v>556</v>
      </c>
      <c r="D94" s="233">
        <v>10</v>
      </c>
      <c r="E94" s="231">
        <f t="shared" si="37"/>
        <v>83388</v>
      </c>
      <c r="F94" s="232">
        <f t="shared" si="37"/>
        <v>833880</v>
      </c>
      <c r="G94" s="231">
        <v>2882</v>
      </c>
      <c r="H94" s="232">
        <f>TRUNC(G94*D94,0)</f>
        <v>28820</v>
      </c>
      <c r="I94" s="231">
        <v>74054</v>
      </c>
      <c r="J94" s="232">
        <f>TRUNC(I94*D94,0)</f>
        <v>740540</v>
      </c>
      <c r="K94" s="231">
        <v>6452</v>
      </c>
      <c r="L94" s="232">
        <f>TRUNC(K94*D94,0)</f>
        <v>64520</v>
      </c>
      <c r="M94" s="232"/>
      <c r="N94" s="232"/>
      <c r="O94" s="270">
        <f t="shared" si="22"/>
        <v>0</v>
      </c>
      <c r="P94" s="232">
        <f t="shared" si="36"/>
        <v>10</v>
      </c>
      <c r="Q94" s="232">
        <f t="shared" si="23"/>
        <v>833880</v>
      </c>
      <c r="R94" s="270">
        <f t="shared" si="24"/>
        <v>1</v>
      </c>
      <c r="S94" s="233">
        <f t="shared" si="31"/>
        <v>28820</v>
      </c>
      <c r="T94" s="233">
        <f t="shared" si="32"/>
        <v>740540</v>
      </c>
      <c r="U94" s="233">
        <f t="shared" si="33"/>
        <v>64520</v>
      </c>
      <c r="V94" s="232">
        <f t="shared" si="25"/>
        <v>10</v>
      </c>
      <c r="W94" s="232">
        <f t="shared" si="26"/>
        <v>833880</v>
      </c>
      <c r="X94" s="270">
        <f t="shared" si="27"/>
        <v>1</v>
      </c>
      <c r="Y94" s="234"/>
      <c r="Z94" s="383"/>
      <c r="AA94" s="252" t="e">
        <f>E94-#REF!</f>
        <v>#REF!</v>
      </c>
      <c r="AC94" s="235" t="s">
        <v>2337</v>
      </c>
      <c r="AD94" s="235" t="s">
        <v>2856</v>
      </c>
      <c r="AE94" s="235" t="s">
        <v>1542</v>
      </c>
      <c r="AG94" s="235" t="s">
        <v>1778</v>
      </c>
      <c r="BV94" s="236" t="str">
        <f t="shared" si="35"/>
        <v>HX0066 →</v>
      </c>
      <c r="CB94" s="235">
        <v>59487</v>
      </c>
      <c r="CC94" s="235">
        <v>178461</v>
      </c>
      <c r="CD94" s="235">
        <v>930</v>
      </c>
      <c r="CE94" s="235">
        <v>2790</v>
      </c>
      <c r="CF94" s="235">
        <v>58257</v>
      </c>
      <c r="CG94" s="235">
        <v>174771</v>
      </c>
      <c r="CH94" s="235">
        <v>300</v>
      </c>
      <c r="CI94" s="235">
        <v>900</v>
      </c>
      <c r="CJ94" s="235" t="s">
        <v>1574</v>
      </c>
    </row>
    <row r="95" spans="1:88" s="235" customFormat="1" ht="20.100000000000001" customHeight="1" x14ac:dyDescent="0.15">
      <c r="A95" s="254" t="s">
        <v>3285</v>
      </c>
      <c r="B95" s="254" t="s">
        <v>3274</v>
      </c>
      <c r="C95" s="230" t="s">
        <v>556</v>
      </c>
      <c r="D95" s="233">
        <v>2</v>
      </c>
      <c r="E95" s="231">
        <f t="shared" si="37"/>
        <v>125318</v>
      </c>
      <c r="F95" s="232">
        <f t="shared" si="37"/>
        <v>250636</v>
      </c>
      <c r="G95" s="231">
        <v>4302</v>
      </c>
      <c r="H95" s="232">
        <f>TRUNC(G95*D95,0)</f>
        <v>8604</v>
      </c>
      <c r="I95" s="231">
        <v>111369</v>
      </c>
      <c r="J95" s="232">
        <f>TRUNC(I95*D95,0)</f>
        <v>222738</v>
      </c>
      <c r="K95" s="231">
        <v>9647</v>
      </c>
      <c r="L95" s="232">
        <f>TRUNC(K95*D95,0)</f>
        <v>19294</v>
      </c>
      <c r="M95" s="232"/>
      <c r="N95" s="232"/>
      <c r="O95" s="270">
        <f t="shared" si="22"/>
        <v>0</v>
      </c>
      <c r="P95" s="232">
        <f t="shared" si="36"/>
        <v>2</v>
      </c>
      <c r="Q95" s="232">
        <f t="shared" si="23"/>
        <v>250636</v>
      </c>
      <c r="R95" s="270">
        <f t="shared" si="24"/>
        <v>1</v>
      </c>
      <c r="S95" s="233">
        <f t="shared" si="31"/>
        <v>8604</v>
      </c>
      <c r="T95" s="233">
        <f t="shared" si="32"/>
        <v>222738</v>
      </c>
      <c r="U95" s="233">
        <f t="shared" si="33"/>
        <v>19294</v>
      </c>
      <c r="V95" s="232">
        <f t="shared" si="25"/>
        <v>2</v>
      </c>
      <c r="W95" s="232">
        <f t="shared" si="26"/>
        <v>250636</v>
      </c>
      <c r="X95" s="270">
        <f t="shared" si="27"/>
        <v>1</v>
      </c>
      <c r="Y95" s="234"/>
      <c r="Z95" s="383"/>
      <c r="AA95" s="252" t="e">
        <f>E95-#REF!</f>
        <v>#REF!</v>
      </c>
      <c r="AC95" s="235" t="s">
        <v>2337</v>
      </c>
      <c r="AD95" s="235" t="s">
        <v>2856</v>
      </c>
      <c r="AE95" s="235" t="s">
        <v>1542</v>
      </c>
      <c r="AG95" s="235" t="s">
        <v>1778</v>
      </c>
      <c r="BV95" s="236" t="str">
        <f t="shared" si="35"/>
        <v>HX0066 →</v>
      </c>
      <c r="CB95" s="235">
        <v>59487</v>
      </c>
      <c r="CC95" s="235">
        <v>178461</v>
      </c>
      <c r="CD95" s="235">
        <v>930</v>
      </c>
      <c r="CE95" s="235">
        <v>2790</v>
      </c>
      <c r="CF95" s="235">
        <v>58257</v>
      </c>
      <c r="CG95" s="235">
        <v>174771</v>
      </c>
      <c r="CH95" s="235">
        <v>300</v>
      </c>
      <c r="CI95" s="235">
        <v>900</v>
      </c>
      <c r="CJ95" s="235" t="s">
        <v>1574</v>
      </c>
    </row>
    <row r="96" spans="1:88" s="235" customFormat="1" ht="20.100000000000001" customHeight="1" x14ac:dyDescent="0.15">
      <c r="A96" s="254" t="s">
        <v>3286</v>
      </c>
      <c r="B96" s="254" t="s">
        <v>3275</v>
      </c>
      <c r="C96" s="230" t="s">
        <v>556</v>
      </c>
      <c r="D96" s="233">
        <v>9</v>
      </c>
      <c r="E96" s="231">
        <f t="shared" si="37"/>
        <v>19625</v>
      </c>
      <c r="F96" s="232">
        <f t="shared" si="37"/>
        <v>176625</v>
      </c>
      <c r="G96" s="231">
        <v>0</v>
      </c>
      <c r="H96" s="232">
        <f>TRUNC(G96*D96,0)</f>
        <v>0</v>
      </c>
      <c r="I96" s="231">
        <v>19625</v>
      </c>
      <c r="J96" s="232">
        <f>TRUNC(I96*D96,0)</f>
        <v>176625</v>
      </c>
      <c r="K96" s="231">
        <v>0</v>
      </c>
      <c r="L96" s="232">
        <f>TRUNC(K96*D96,0)</f>
        <v>0</v>
      </c>
      <c r="M96" s="232"/>
      <c r="N96" s="232"/>
      <c r="O96" s="270">
        <f t="shared" si="22"/>
        <v>0</v>
      </c>
      <c r="P96" s="232">
        <f t="shared" si="36"/>
        <v>9</v>
      </c>
      <c r="Q96" s="232">
        <f t="shared" si="23"/>
        <v>176625</v>
      </c>
      <c r="R96" s="270">
        <f t="shared" si="24"/>
        <v>1</v>
      </c>
      <c r="S96" s="233">
        <f t="shared" si="31"/>
        <v>0</v>
      </c>
      <c r="T96" s="233">
        <f t="shared" si="32"/>
        <v>176625</v>
      </c>
      <c r="U96" s="233">
        <f t="shared" si="33"/>
        <v>0</v>
      </c>
      <c r="V96" s="232">
        <f t="shared" si="25"/>
        <v>9</v>
      </c>
      <c r="W96" s="232">
        <f t="shared" si="26"/>
        <v>176625</v>
      </c>
      <c r="X96" s="270">
        <f t="shared" si="27"/>
        <v>1</v>
      </c>
      <c r="Y96" s="234"/>
      <c r="Z96" s="383"/>
      <c r="AA96" s="252" t="e">
        <f>E96-#REF!</f>
        <v>#REF!</v>
      </c>
      <c r="AC96" s="235" t="s">
        <v>2337</v>
      </c>
      <c r="AD96" s="235" t="s">
        <v>2856</v>
      </c>
      <c r="AE96" s="235" t="s">
        <v>1542</v>
      </c>
      <c r="AG96" s="235" t="s">
        <v>1778</v>
      </c>
      <c r="BV96" s="236" t="str">
        <f t="shared" si="35"/>
        <v>HX0066 →</v>
      </c>
      <c r="CB96" s="235">
        <v>59487</v>
      </c>
      <c r="CC96" s="235">
        <v>178461</v>
      </c>
      <c r="CD96" s="235">
        <v>930</v>
      </c>
      <c r="CE96" s="235">
        <v>2790</v>
      </c>
      <c r="CF96" s="235">
        <v>58257</v>
      </c>
      <c r="CG96" s="235">
        <v>174771</v>
      </c>
      <c r="CH96" s="235">
        <v>300</v>
      </c>
      <c r="CI96" s="235">
        <v>900</v>
      </c>
      <c r="CJ96" s="235" t="s">
        <v>1574</v>
      </c>
    </row>
    <row r="97" spans="1:88" s="235" customFormat="1" ht="20.100000000000001" customHeight="1" x14ac:dyDescent="0.15">
      <c r="A97" s="254" t="s">
        <v>3286</v>
      </c>
      <c r="B97" s="254" t="s">
        <v>3268</v>
      </c>
      <c r="C97" s="230" t="s">
        <v>556</v>
      </c>
      <c r="D97" s="233">
        <v>40</v>
      </c>
      <c r="E97" s="231">
        <f t="shared" si="34"/>
        <v>28779</v>
      </c>
      <c r="F97" s="232">
        <f t="shared" si="0"/>
        <v>1151160</v>
      </c>
      <c r="G97" s="231">
        <v>946</v>
      </c>
      <c r="H97" s="232">
        <f t="shared" si="28"/>
        <v>37840</v>
      </c>
      <c r="I97" s="231">
        <v>25687</v>
      </c>
      <c r="J97" s="232">
        <f t="shared" si="29"/>
        <v>1027480</v>
      </c>
      <c r="K97" s="231">
        <v>2146</v>
      </c>
      <c r="L97" s="232">
        <f t="shared" si="30"/>
        <v>85840</v>
      </c>
      <c r="M97" s="232"/>
      <c r="N97" s="232"/>
      <c r="O97" s="270">
        <f t="shared" si="22"/>
        <v>0</v>
      </c>
      <c r="P97" s="232">
        <f t="shared" si="36"/>
        <v>40</v>
      </c>
      <c r="Q97" s="232">
        <f t="shared" si="23"/>
        <v>1151160</v>
      </c>
      <c r="R97" s="270">
        <f t="shared" si="24"/>
        <v>1</v>
      </c>
      <c r="S97" s="233">
        <f t="shared" si="31"/>
        <v>37840</v>
      </c>
      <c r="T97" s="233">
        <f t="shared" si="32"/>
        <v>1027480</v>
      </c>
      <c r="U97" s="233">
        <f t="shared" si="33"/>
        <v>85840</v>
      </c>
      <c r="V97" s="232">
        <f t="shared" si="25"/>
        <v>40</v>
      </c>
      <c r="W97" s="232">
        <f t="shared" si="26"/>
        <v>1151160</v>
      </c>
      <c r="X97" s="270">
        <f t="shared" si="27"/>
        <v>1</v>
      </c>
      <c r="Y97" s="234"/>
      <c r="Z97" s="383"/>
      <c r="AA97" s="252" t="e">
        <f>E97-#REF!</f>
        <v>#REF!</v>
      </c>
      <c r="AC97" s="235" t="s">
        <v>2337</v>
      </c>
      <c r="AD97" s="235" t="s">
        <v>2856</v>
      </c>
      <c r="AE97" s="235" t="s">
        <v>1542</v>
      </c>
      <c r="AG97" s="235" t="s">
        <v>1778</v>
      </c>
      <c r="BV97" s="236" t="str">
        <f t="shared" si="35"/>
        <v>HX0066 →</v>
      </c>
      <c r="CB97" s="235">
        <v>59487</v>
      </c>
      <c r="CC97" s="235">
        <v>178461</v>
      </c>
      <c r="CD97" s="235">
        <v>930</v>
      </c>
      <c r="CE97" s="235">
        <v>2790</v>
      </c>
      <c r="CF97" s="235">
        <v>58257</v>
      </c>
      <c r="CG97" s="235">
        <v>174771</v>
      </c>
      <c r="CH97" s="235">
        <v>300</v>
      </c>
      <c r="CI97" s="235">
        <v>900</v>
      </c>
      <c r="CJ97" s="235" t="s">
        <v>1574</v>
      </c>
    </row>
    <row r="98" spans="1:88" s="235" customFormat="1" ht="20.100000000000001" customHeight="1" x14ac:dyDescent="0.15">
      <c r="A98" s="254" t="s">
        <v>3286</v>
      </c>
      <c r="B98" s="254" t="s">
        <v>3272</v>
      </c>
      <c r="C98" s="230" t="s">
        <v>556</v>
      </c>
      <c r="D98" s="233">
        <v>4</v>
      </c>
      <c r="E98" s="231">
        <f t="shared" ref="E98:F100" si="38">G98+I98+K98</f>
        <v>43528</v>
      </c>
      <c r="F98" s="232">
        <f t="shared" si="38"/>
        <v>174112</v>
      </c>
      <c r="G98" s="231">
        <v>1505</v>
      </c>
      <c r="H98" s="232">
        <f t="shared" si="28"/>
        <v>6020</v>
      </c>
      <c r="I98" s="231">
        <v>38653</v>
      </c>
      <c r="J98" s="232">
        <f t="shared" si="29"/>
        <v>154612</v>
      </c>
      <c r="K98" s="231">
        <v>3370</v>
      </c>
      <c r="L98" s="232">
        <f t="shared" si="30"/>
        <v>13480</v>
      </c>
      <c r="M98" s="232"/>
      <c r="N98" s="232"/>
      <c r="O98" s="270">
        <f t="shared" si="22"/>
        <v>0</v>
      </c>
      <c r="P98" s="232">
        <f t="shared" si="36"/>
        <v>4</v>
      </c>
      <c r="Q98" s="232">
        <f t="shared" si="23"/>
        <v>174112</v>
      </c>
      <c r="R98" s="270">
        <f t="shared" si="24"/>
        <v>1</v>
      </c>
      <c r="S98" s="233">
        <f t="shared" si="31"/>
        <v>6020</v>
      </c>
      <c r="T98" s="233">
        <f t="shared" si="32"/>
        <v>154612</v>
      </c>
      <c r="U98" s="233">
        <f t="shared" si="33"/>
        <v>13480</v>
      </c>
      <c r="V98" s="232">
        <f t="shared" si="25"/>
        <v>4</v>
      </c>
      <c r="W98" s="232">
        <f t="shared" si="26"/>
        <v>174112</v>
      </c>
      <c r="X98" s="270">
        <f t="shared" si="27"/>
        <v>1</v>
      </c>
      <c r="Y98" s="234"/>
      <c r="Z98" s="383"/>
      <c r="AA98" s="252" t="e">
        <f>E98-#REF!</f>
        <v>#REF!</v>
      </c>
      <c r="BV98" s="236"/>
    </row>
    <row r="99" spans="1:88" s="235" customFormat="1" ht="20.100000000000001" customHeight="1" x14ac:dyDescent="0.15">
      <c r="A99" s="254" t="s">
        <v>3286</v>
      </c>
      <c r="B99" s="254" t="s">
        <v>3273</v>
      </c>
      <c r="C99" s="230" t="s">
        <v>556</v>
      </c>
      <c r="D99" s="233">
        <v>3</v>
      </c>
      <c r="E99" s="231">
        <f t="shared" si="38"/>
        <v>70312</v>
      </c>
      <c r="F99" s="232">
        <f t="shared" si="38"/>
        <v>210936</v>
      </c>
      <c r="G99" s="231">
        <v>2452</v>
      </c>
      <c r="H99" s="232">
        <f t="shared" si="28"/>
        <v>7356</v>
      </c>
      <c r="I99" s="231">
        <v>62383</v>
      </c>
      <c r="J99" s="232">
        <f t="shared" si="29"/>
        <v>187149</v>
      </c>
      <c r="K99" s="231">
        <v>5477</v>
      </c>
      <c r="L99" s="232">
        <f t="shared" si="30"/>
        <v>16431</v>
      </c>
      <c r="M99" s="232"/>
      <c r="N99" s="232"/>
      <c r="O99" s="270">
        <f t="shared" si="22"/>
        <v>0</v>
      </c>
      <c r="P99" s="232">
        <f t="shared" si="36"/>
        <v>3</v>
      </c>
      <c r="Q99" s="232">
        <f t="shared" si="23"/>
        <v>210936</v>
      </c>
      <c r="R99" s="270">
        <f t="shared" si="24"/>
        <v>1</v>
      </c>
      <c r="S99" s="233">
        <f t="shared" si="31"/>
        <v>7356</v>
      </c>
      <c r="T99" s="233">
        <f t="shared" si="32"/>
        <v>187149</v>
      </c>
      <c r="U99" s="233">
        <f t="shared" si="33"/>
        <v>16431</v>
      </c>
      <c r="V99" s="232">
        <f t="shared" si="25"/>
        <v>3</v>
      </c>
      <c r="W99" s="232">
        <f t="shared" si="26"/>
        <v>210936</v>
      </c>
      <c r="X99" s="270">
        <f t="shared" si="27"/>
        <v>1</v>
      </c>
      <c r="Y99" s="234"/>
      <c r="Z99" s="383"/>
      <c r="AA99" s="252" t="e">
        <f>E99-#REF!</f>
        <v>#REF!</v>
      </c>
      <c r="BV99" s="236"/>
    </row>
    <row r="100" spans="1:88" s="235" customFormat="1" ht="20.100000000000001" customHeight="1" x14ac:dyDescent="0.15">
      <c r="A100" s="229"/>
      <c r="B100" s="253">
        <f>'[322]수목철거공(수량집계표)'!B80</f>
        <v>0</v>
      </c>
      <c r="C100" s="230"/>
      <c r="D100" s="233"/>
      <c r="E100" s="231">
        <f t="shared" si="38"/>
        <v>0</v>
      </c>
      <c r="F100" s="232">
        <f t="shared" si="38"/>
        <v>0</v>
      </c>
      <c r="G100" s="231"/>
      <c r="H100" s="232">
        <f>TRUNC(G100*D100,0)</f>
        <v>0</v>
      </c>
      <c r="I100" s="231"/>
      <c r="J100" s="232">
        <f>TRUNC(I100*D100,0)</f>
        <v>0</v>
      </c>
      <c r="K100" s="231"/>
      <c r="L100" s="232">
        <f>TRUNC(K100*D100,0)</f>
        <v>0</v>
      </c>
      <c r="M100" s="232"/>
      <c r="N100" s="232"/>
      <c r="O100" s="270">
        <f t="shared" si="22"/>
        <v>0</v>
      </c>
      <c r="P100" s="232"/>
      <c r="Q100" s="232">
        <f t="shared" si="23"/>
        <v>0</v>
      </c>
      <c r="R100" s="270">
        <f t="shared" si="24"/>
        <v>0</v>
      </c>
      <c r="S100" s="233">
        <f t="shared" si="31"/>
        <v>0</v>
      </c>
      <c r="T100" s="233">
        <f t="shared" si="32"/>
        <v>0</v>
      </c>
      <c r="U100" s="233">
        <f t="shared" si="33"/>
        <v>0</v>
      </c>
      <c r="V100" s="232">
        <f t="shared" si="25"/>
        <v>0</v>
      </c>
      <c r="W100" s="232">
        <f t="shared" si="26"/>
        <v>0</v>
      </c>
      <c r="X100" s="270">
        <f t="shared" si="27"/>
        <v>0</v>
      </c>
      <c r="Y100" s="234"/>
      <c r="Z100" s="383"/>
      <c r="AA100" s="252" t="e">
        <f>E100-#REF!</f>
        <v>#REF!</v>
      </c>
      <c r="AC100" s="235" t="s">
        <v>2337</v>
      </c>
      <c r="AD100" s="235" t="s">
        <v>2856</v>
      </c>
      <c r="AE100" s="235" t="s">
        <v>1542</v>
      </c>
      <c r="AG100" s="235" t="s">
        <v>1778</v>
      </c>
      <c r="BV100" s="236" t="str">
        <f>HYPERLINK("#일위대가목록!A55","HX0066 →")</f>
        <v>HX0066 →</v>
      </c>
      <c r="CB100" s="235">
        <v>59487</v>
      </c>
      <c r="CC100" s="235">
        <v>178461</v>
      </c>
      <c r="CD100" s="235">
        <v>930</v>
      </c>
      <c r="CE100" s="235">
        <v>2790</v>
      </c>
      <c r="CF100" s="235">
        <v>58257</v>
      </c>
      <c r="CG100" s="235">
        <v>174771</v>
      </c>
      <c r="CH100" s="235">
        <v>300</v>
      </c>
      <c r="CI100" s="235">
        <v>900</v>
      </c>
      <c r="CJ100" s="235" t="s">
        <v>1574</v>
      </c>
    </row>
    <row r="101" spans="1:88" s="250" customFormat="1" ht="20.100000000000001" customHeight="1" x14ac:dyDescent="0.15">
      <c r="A101" s="243" t="s">
        <v>2945</v>
      </c>
      <c r="B101" s="243" t="s">
        <v>2856</v>
      </c>
      <c r="C101" s="244" t="s">
        <v>2856</v>
      </c>
      <c r="D101" s="248"/>
      <c r="E101" s="245">
        <f t="shared" si="34"/>
        <v>0</v>
      </c>
      <c r="F101" s="246">
        <f t="shared" si="0"/>
        <v>156865628</v>
      </c>
      <c r="G101" s="247"/>
      <c r="H101" s="246">
        <f>SUM(H102:H205)</f>
        <v>18869786</v>
      </c>
      <c r="I101" s="247"/>
      <c r="J101" s="246">
        <f>SUM(J102:J205)</f>
        <v>110385594</v>
      </c>
      <c r="K101" s="247"/>
      <c r="L101" s="246">
        <f>SUM(L102:L205)</f>
        <v>27610248</v>
      </c>
      <c r="M101" s="246"/>
      <c r="N101" s="246"/>
      <c r="O101" s="271">
        <f t="shared" si="22"/>
        <v>0</v>
      </c>
      <c r="P101" s="246"/>
      <c r="Q101" s="246">
        <f t="shared" si="23"/>
        <v>59758075</v>
      </c>
      <c r="R101" s="271">
        <f t="shared" si="24"/>
        <v>0.3809507268220671</v>
      </c>
      <c r="S101" s="248">
        <f>SUM(S102:S205)</f>
        <v>7215621</v>
      </c>
      <c r="T101" s="248">
        <f>SUM(T102:T205)</f>
        <v>42296159</v>
      </c>
      <c r="U101" s="248">
        <f>SUM(U102:U205)</f>
        <v>10246295</v>
      </c>
      <c r="V101" s="246">
        <f t="shared" si="25"/>
        <v>0</v>
      </c>
      <c r="W101" s="246">
        <f t="shared" si="26"/>
        <v>59758075</v>
      </c>
      <c r="X101" s="271">
        <f t="shared" si="27"/>
        <v>0.3809507268220671</v>
      </c>
      <c r="Y101" s="249"/>
      <c r="Z101" s="385"/>
      <c r="AA101" s="252" t="e">
        <f>E101-#REF!</f>
        <v>#REF!</v>
      </c>
      <c r="AC101" s="250" t="s">
        <v>206</v>
      </c>
      <c r="AD101" s="250" t="s">
        <v>2856</v>
      </c>
      <c r="AE101" s="250" t="s">
        <v>2856</v>
      </c>
      <c r="AP101" s="246">
        <f>H102+H103+H104+H105+H106+H108+H109+H110+H111+H112+H113+H114+H115+H116+H117+H118+H119+H120+H121+H122+H123+H124+H125+H126+H127+H128+H129+H130+H131+H134+H142+H143+H144+H145+H146+H147+H148</f>
        <v>8201560</v>
      </c>
      <c r="AQ101" s="246">
        <f>J102+J103+J104+J105+J106+J108+J109+J110+J111+J112+J113+J114+J115+J116+J117+J118+J119+J120+J121+J122+J123+J124+J125+J126+J127+J128+J129+J130+J131+J134+J142+J143+J144+J145+J146+J147+J148</f>
        <v>45917172</v>
      </c>
      <c r="AR101" s="246">
        <f>L102+L103+L104+L105+L106+L108+L109+L110+L111+L112+L113+L114+L115+L116+L117+L118+L119+L120+L121+L122+L123+L124+L125+L126+L127+L128+L129+L130+L131+L134+L142+L143+L144+L145+L146+L147+L148</f>
        <v>12177865</v>
      </c>
      <c r="CB101" s="250">
        <v>0</v>
      </c>
      <c r="CC101" s="250">
        <v>197702798</v>
      </c>
      <c r="CE101" s="250">
        <v>25587176</v>
      </c>
      <c r="CG101" s="250">
        <v>140875732</v>
      </c>
      <c r="CI101" s="250">
        <v>31239890</v>
      </c>
      <c r="CJ101" s="250" t="s">
        <v>2856</v>
      </c>
    </row>
    <row r="102" spans="1:88" s="235" customFormat="1" ht="20.100000000000001" customHeight="1" x14ac:dyDescent="0.15">
      <c r="A102" s="229" t="s">
        <v>2946</v>
      </c>
      <c r="B102" s="229" t="s">
        <v>2189</v>
      </c>
      <c r="C102" s="230" t="s">
        <v>556</v>
      </c>
      <c r="D102" s="233">
        <v>2</v>
      </c>
      <c r="E102" s="231">
        <f t="shared" si="34"/>
        <v>535367</v>
      </c>
      <c r="F102" s="232">
        <f t="shared" si="0"/>
        <v>1070734</v>
      </c>
      <c r="G102" s="231">
        <v>63721</v>
      </c>
      <c r="H102" s="232">
        <f t="shared" ref="H102:H133" si="39">TRUNC(G102*D102,0)</f>
        <v>127442</v>
      </c>
      <c r="I102" s="231">
        <v>380751</v>
      </c>
      <c r="J102" s="232">
        <f t="shared" ref="J102:J133" si="40">TRUNC(I102*D102,0)</f>
        <v>761502</v>
      </c>
      <c r="K102" s="231">
        <v>90895</v>
      </c>
      <c r="L102" s="232">
        <f t="shared" ref="L102:L133" si="41">TRUNC(K102*D102,0)</f>
        <v>181790</v>
      </c>
      <c r="M102" s="232"/>
      <c r="N102" s="232"/>
      <c r="O102" s="270">
        <f t="shared" si="22"/>
        <v>0</v>
      </c>
      <c r="P102" s="232"/>
      <c r="Q102" s="232">
        <f t="shared" si="23"/>
        <v>0</v>
      </c>
      <c r="R102" s="270">
        <f t="shared" si="24"/>
        <v>0</v>
      </c>
      <c r="S102" s="233">
        <f t="shared" ref="S102:S165" si="42">TRUNC(G102*$P102,0)</f>
        <v>0</v>
      </c>
      <c r="T102" s="233">
        <f t="shared" ref="T102:T165" si="43">TRUNC(I102*$P102,0)</f>
        <v>0</v>
      </c>
      <c r="U102" s="233">
        <f t="shared" ref="U102:U165" si="44">TRUNC(K102*$P102,0)</f>
        <v>0</v>
      </c>
      <c r="V102" s="232">
        <f t="shared" si="25"/>
        <v>0</v>
      </c>
      <c r="W102" s="232">
        <f t="shared" si="26"/>
        <v>0</v>
      </c>
      <c r="X102" s="270">
        <f t="shared" si="27"/>
        <v>0</v>
      </c>
      <c r="Y102" s="234"/>
      <c r="Z102" s="383"/>
      <c r="AA102" s="252" t="e">
        <f>E102-#REF!</f>
        <v>#REF!</v>
      </c>
      <c r="AC102" s="235" t="s">
        <v>2594</v>
      </c>
      <c r="AD102" s="235" t="s">
        <v>2856</v>
      </c>
      <c r="AE102" s="235" t="s">
        <v>1623</v>
      </c>
      <c r="AG102" s="235" t="s">
        <v>1778</v>
      </c>
      <c r="AP102" s="232">
        <f>H149+H150+H151+H152+H153+H154+H155+H158+H163+H164+H165+H170+H171+H172+H173+H174+H175+H176+H177+H178+H179+H180+H181+H182+H183+H185+H186+H191+H192+H199</f>
        <v>3002807</v>
      </c>
      <c r="AQ102" s="232">
        <f>J149+J150+J151+J152+J153+J154+J155+J158+J163+J164+J165+J170+J171+J172+J173+J174+J175+J176+J177+J178+J179+J180+J181+J182+J183+J185+J186+J191+J192+J199</f>
        <v>16134470</v>
      </c>
      <c r="AR102" s="232">
        <f>L149+L150+L151+L152+L153+L154+L155+L158+L163+L164+L165+L170+L171+L172+L173+L174+L175+L176+L177+L178+L179+L180+L181+L182+L183+L185+L186+L191+L192+L199</f>
        <v>3646983</v>
      </c>
      <c r="BV102" s="236" t="str">
        <f>HYPERLINK("#일위대가목록!A56","HP001 →")</f>
        <v>HP001 →</v>
      </c>
      <c r="CB102" s="235">
        <v>622988</v>
      </c>
      <c r="CC102" s="235">
        <v>1245976</v>
      </c>
      <c r="CD102" s="235">
        <v>74150</v>
      </c>
      <c r="CE102" s="235">
        <v>148300</v>
      </c>
      <c r="CF102" s="235">
        <v>443066</v>
      </c>
      <c r="CG102" s="235">
        <v>886132</v>
      </c>
      <c r="CH102" s="235">
        <v>105772</v>
      </c>
      <c r="CI102" s="235">
        <v>211544</v>
      </c>
      <c r="CJ102" s="235" t="s">
        <v>305</v>
      </c>
    </row>
    <row r="103" spans="1:88" s="235" customFormat="1" ht="20.100000000000001" customHeight="1" x14ac:dyDescent="0.15">
      <c r="A103" s="229" t="s">
        <v>2946</v>
      </c>
      <c r="B103" s="229" t="s">
        <v>1660</v>
      </c>
      <c r="C103" s="230" t="s">
        <v>556</v>
      </c>
      <c r="D103" s="233">
        <v>3</v>
      </c>
      <c r="E103" s="231">
        <f t="shared" si="34"/>
        <v>546405</v>
      </c>
      <c r="F103" s="232">
        <f t="shared" si="0"/>
        <v>1639215</v>
      </c>
      <c r="G103" s="231">
        <v>74759</v>
      </c>
      <c r="H103" s="232">
        <f t="shared" si="39"/>
        <v>224277</v>
      </c>
      <c r="I103" s="231">
        <v>380751</v>
      </c>
      <c r="J103" s="232">
        <f t="shared" si="40"/>
        <v>1142253</v>
      </c>
      <c r="K103" s="231">
        <v>90895</v>
      </c>
      <c r="L103" s="232">
        <f t="shared" si="41"/>
        <v>272685</v>
      </c>
      <c r="M103" s="232"/>
      <c r="N103" s="232"/>
      <c r="O103" s="270">
        <f t="shared" si="22"/>
        <v>0</v>
      </c>
      <c r="P103" s="232"/>
      <c r="Q103" s="232">
        <f t="shared" si="23"/>
        <v>0</v>
      </c>
      <c r="R103" s="270">
        <f t="shared" si="24"/>
        <v>0</v>
      </c>
      <c r="S103" s="233">
        <f t="shared" si="42"/>
        <v>0</v>
      </c>
      <c r="T103" s="233">
        <f t="shared" si="43"/>
        <v>0</v>
      </c>
      <c r="U103" s="233">
        <f t="shared" si="44"/>
        <v>0</v>
      </c>
      <c r="V103" s="232">
        <f t="shared" si="25"/>
        <v>0</v>
      </c>
      <c r="W103" s="232">
        <f t="shared" si="26"/>
        <v>0</v>
      </c>
      <c r="X103" s="270">
        <f t="shared" si="27"/>
        <v>0</v>
      </c>
      <c r="Y103" s="234"/>
      <c r="Z103" s="383"/>
      <c r="AA103" s="252" t="e">
        <f>E103-#REF!</f>
        <v>#REF!</v>
      </c>
      <c r="AC103" s="235" t="s">
        <v>1885</v>
      </c>
      <c r="AD103" s="235" t="s">
        <v>2856</v>
      </c>
      <c r="AE103" s="235" t="s">
        <v>463</v>
      </c>
      <c r="AG103" s="235" t="s">
        <v>1778</v>
      </c>
      <c r="AP103" s="232">
        <f>H200+H201+H202</f>
        <v>61859</v>
      </c>
      <c r="AQ103" s="232">
        <f>J200+J201+J202</f>
        <v>380751</v>
      </c>
      <c r="AR103" s="232">
        <f>L200+L201+L202</f>
        <v>90895</v>
      </c>
      <c r="BV103" s="236" t="str">
        <f>HYPERLINK("#일위대가목록!A57","HP002 →")</f>
        <v>HP002 →</v>
      </c>
      <c r="CB103" s="235">
        <v>635833</v>
      </c>
      <c r="CC103" s="235">
        <v>1907499</v>
      </c>
      <c r="CD103" s="235">
        <v>86995</v>
      </c>
      <c r="CE103" s="235">
        <v>260985</v>
      </c>
      <c r="CF103" s="235">
        <v>443066</v>
      </c>
      <c r="CG103" s="235">
        <v>1329198</v>
      </c>
      <c r="CH103" s="235">
        <v>105772</v>
      </c>
      <c r="CI103" s="235">
        <v>317316</v>
      </c>
      <c r="CJ103" s="235" t="s">
        <v>1540</v>
      </c>
    </row>
    <row r="104" spans="1:88" s="235" customFormat="1" ht="20.100000000000001" customHeight="1" x14ac:dyDescent="0.15">
      <c r="A104" s="229" t="s">
        <v>2946</v>
      </c>
      <c r="B104" s="229" t="s">
        <v>2483</v>
      </c>
      <c r="C104" s="230" t="s">
        <v>556</v>
      </c>
      <c r="D104" s="233">
        <v>2</v>
      </c>
      <c r="E104" s="231">
        <f t="shared" si="34"/>
        <v>535367</v>
      </c>
      <c r="F104" s="232">
        <f t="shared" si="0"/>
        <v>1070734</v>
      </c>
      <c r="G104" s="231">
        <v>63721</v>
      </c>
      <c r="H104" s="232">
        <f t="shared" si="39"/>
        <v>127442</v>
      </c>
      <c r="I104" s="231">
        <v>380751</v>
      </c>
      <c r="J104" s="232">
        <f t="shared" si="40"/>
        <v>761502</v>
      </c>
      <c r="K104" s="231">
        <v>90895</v>
      </c>
      <c r="L104" s="232">
        <f t="shared" si="41"/>
        <v>181790</v>
      </c>
      <c r="M104" s="232"/>
      <c r="N104" s="232"/>
      <c r="O104" s="270">
        <f t="shared" si="22"/>
        <v>0</v>
      </c>
      <c r="P104" s="232"/>
      <c r="Q104" s="232">
        <f t="shared" si="23"/>
        <v>0</v>
      </c>
      <c r="R104" s="270">
        <f t="shared" si="24"/>
        <v>0</v>
      </c>
      <c r="S104" s="233">
        <f t="shared" si="42"/>
        <v>0</v>
      </c>
      <c r="T104" s="233">
        <f t="shared" si="43"/>
        <v>0</v>
      </c>
      <c r="U104" s="233">
        <f t="shared" si="44"/>
        <v>0</v>
      </c>
      <c r="V104" s="232">
        <f t="shared" si="25"/>
        <v>0</v>
      </c>
      <c r="W104" s="232">
        <f t="shared" si="26"/>
        <v>0</v>
      </c>
      <c r="X104" s="270">
        <f t="shared" si="27"/>
        <v>0</v>
      </c>
      <c r="Y104" s="234"/>
      <c r="Z104" s="383"/>
      <c r="AA104" s="252" t="e">
        <f>E104-#REF!</f>
        <v>#REF!</v>
      </c>
      <c r="AC104" s="235" t="s">
        <v>1197</v>
      </c>
      <c r="AD104" s="235" t="s">
        <v>2856</v>
      </c>
      <c r="AE104" s="235" t="s">
        <v>2121</v>
      </c>
      <c r="AG104" s="235" t="s">
        <v>1778</v>
      </c>
      <c r="BV104" s="236" t="str">
        <f>HYPERLINK("#일위대가목록!A58","HP003 →")</f>
        <v>HP003 →</v>
      </c>
      <c r="CB104" s="235">
        <v>622988</v>
      </c>
      <c r="CC104" s="235">
        <v>1245976</v>
      </c>
      <c r="CD104" s="235">
        <v>74150</v>
      </c>
      <c r="CE104" s="235">
        <v>148300</v>
      </c>
      <c r="CF104" s="235">
        <v>443066</v>
      </c>
      <c r="CG104" s="235">
        <v>886132</v>
      </c>
      <c r="CH104" s="235">
        <v>105772</v>
      </c>
      <c r="CI104" s="235">
        <v>211544</v>
      </c>
      <c r="CJ104" s="235" t="s">
        <v>1243</v>
      </c>
    </row>
    <row r="105" spans="1:88" s="235" customFormat="1" ht="20.100000000000001" customHeight="1" x14ac:dyDescent="0.15">
      <c r="A105" s="229" t="s">
        <v>2947</v>
      </c>
      <c r="B105" s="229" t="s">
        <v>2447</v>
      </c>
      <c r="C105" s="230" t="s">
        <v>556</v>
      </c>
      <c r="D105" s="233">
        <v>6</v>
      </c>
      <c r="E105" s="231">
        <f t="shared" si="34"/>
        <v>1040468</v>
      </c>
      <c r="F105" s="232">
        <f t="shared" si="0"/>
        <v>6242808</v>
      </c>
      <c r="G105" s="231">
        <v>124557</v>
      </c>
      <c r="H105" s="232">
        <f t="shared" si="39"/>
        <v>747342</v>
      </c>
      <c r="I105" s="231">
        <v>674645</v>
      </c>
      <c r="J105" s="232">
        <f t="shared" si="40"/>
        <v>4047870</v>
      </c>
      <c r="K105" s="231">
        <v>241266</v>
      </c>
      <c r="L105" s="232">
        <f t="shared" si="41"/>
        <v>1447596</v>
      </c>
      <c r="M105" s="232"/>
      <c r="N105" s="232"/>
      <c r="O105" s="270">
        <f t="shared" si="22"/>
        <v>0</v>
      </c>
      <c r="P105" s="232">
        <v>1</v>
      </c>
      <c r="Q105" s="232">
        <f t="shared" si="23"/>
        <v>1040468</v>
      </c>
      <c r="R105" s="270">
        <f t="shared" si="24"/>
        <v>0.16666666666666666</v>
      </c>
      <c r="S105" s="233">
        <f t="shared" si="42"/>
        <v>124557</v>
      </c>
      <c r="T105" s="233">
        <f t="shared" si="43"/>
        <v>674645</v>
      </c>
      <c r="U105" s="233">
        <f t="shared" si="44"/>
        <v>241266</v>
      </c>
      <c r="V105" s="232">
        <f t="shared" si="25"/>
        <v>1</v>
      </c>
      <c r="W105" s="232">
        <f t="shared" si="26"/>
        <v>1040468</v>
      </c>
      <c r="X105" s="270">
        <f t="shared" si="27"/>
        <v>0.16666666666666666</v>
      </c>
      <c r="Y105" s="234"/>
      <c r="Z105" s="383"/>
      <c r="AA105" s="252" t="e">
        <f>E105-#REF!</f>
        <v>#REF!</v>
      </c>
      <c r="AC105" s="235" t="s">
        <v>464</v>
      </c>
      <c r="AD105" s="235" t="s">
        <v>2856</v>
      </c>
      <c r="AE105" s="235" t="s">
        <v>327</v>
      </c>
      <c r="AG105" s="235" t="s">
        <v>1778</v>
      </c>
      <c r="BV105" s="236" t="str">
        <f>HYPERLINK("#일위대가목록!A59","HP004 →")</f>
        <v>HP004 →</v>
      </c>
      <c r="CB105" s="235">
        <v>1210755</v>
      </c>
      <c r="CC105" s="235">
        <v>6053775</v>
      </c>
      <c r="CD105" s="235">
        <v>144943</v>
      </c>
      <c r="CE105" s="235">
        <v>724715</v>
      </c>
      <c r="CF105" s="235">
        <v>785059</v>
      </c>
      <c r="CG105" s="235">
        <v>3925295</v>
      </c>
      <c r="CH105" s="235">
        <v>280753</v>
      </c>
      <c r="CI105" s="235">
        <v>1403765</v>
      </c>
      <c r="CJ105" s="235" t="s">
        <v>2785</v>
      </c>
    </row>
    <row r="106" spans="1:88" s="235" customFormat="1" ht="20.100000000000001" customHeight="1" x14ac:dyDescent="0.15">
      <c r="A106" s="229" t="s">
        <v>2947</v>
      </c>
      <c r="B106" s="229" t="s">
        <v>1721</v>
      </c>
      <c r="C106" s="230" t="s">
        <v>556</v>
      </c>
      <c r="D106" s="233">
        <v>4</v>
      </c>
      <c r="E106" s="231">
        <f t="shared" si="34"/>
        <v>738806</v>
      </c>
      <c r="F106" s="232">
        <f>H106+J106+L106</f>
        <v>2955224</v>
      </c>
      <c r="G106" s="231">
        <v>91523</v>
      </c>
      <c r="H106" s="232">
        <f t="shared" si="39"/>
        <v>366092</v>
      </c>
      <c r="I106" s="231">
        <v>514015</v>
      </c>
      <c r="J106" s="232">
        <f t="shared" si="40"/>
        <v>2056060</v>
      </c>
      <c r="K106" s="231">
        <v>133268</v>
      </c>
      <c r="L106" s="232">
        <f t="shared" si="41"/>
        <v>533072</v>
      </c>
      <c r="M106" s="232"/>
      <c r="N106" s="232"/>
      <c r="O106" s="270">
        <f t="shared" si="22"/>
        <v>0</v>
      </c>
      <c r="P106" s="232">
        <v>4</v>
      </c>
      <c r="Q106" s="232">
        <f t="shared" si="23"/>
        <v>2955224</v>
      </c>
      <c r="R106" s="270">
        <f t="shared" si="24"/>
        <v>1</v>
      </c>
      <c r="S106" s="233">
        <f t="shared" si="42"/>
        <v>366092</v>
      </c>
      <c r="T106" s="233">
        <f t="shared" si="43"/>
        <v>2056060</v>
      </c>
      <c r="U106" s="233">
        <f t="shared" si="44"/>
        <v>533072</v>
      </c>
      <c r="V106" s="232">
        <f t="shared" si="25"/>
        <v>4</v>
      </c>
      <c r="W106" s="232">
        <f t="shared" si="26"/>
        <v>2955224</v>
      </c>
      <c r="X106" s="270">
        <f t="shared" si="27"/>
        <v>1</v>
      </c>
      <c r="Y106" s="234"/>
      <c r="Z106" s="383"/>
      <c r="AA106" s="252" t="e">
        <f>E106-#REF!</f>
        <v>#REF!</v>
      </c>
      <c r="AC106" s="235" t="s">
        <v>2645</v>
      </c>
      <c r="AD106" s="235" t="s">
        <v>2856</v>
      </c>
      <c r="AE106" s="235" t="s">
        <v>1514</v>
      </c>
      <c r="AG106" s="235" t="s">
        <v>1778</v>
      </c>
      <c r="BV106" s="236" t="str">
        <f>HYPERLINK("#일위대가목록!A60","HP005 →")</f>
        <v>HP005 →</v>
      </c>
      <c r="CB106" s="235">
        <v>859723</v>
      </c>
      <c r="CC106" s="235">
        <v>5158338</v>
      </c>
      <c r="CD106" s="235">
        <v>106503</v>
      </c>
      <c r="CE106" s="235">
        <v>639018</v>
      </c>
      <c r="CF106" s="235">
        <v>598140</v>
      </c>
      <c r="CG106" s="235">
        <v>3588840</v>
      </c>
      <c r="CH106" s="235">
        <v>155080</v>
      </c>
      <c r="CI106" s="235">
        <v>930480</v>
      </c>
      <c r="CJ106" s="235" t="s">
        <v>755</v>
      </c>
    </row>
    <row r="107" spans="1:88" s="235" customFormat="1" ht="20.100000000000001" customHeight="1" x14ac:dyDescent="0.15">
      <c r="A107" s="229" t="s">
        <v>2947</v>
      </c>
      <c r="B107" s="229" t="s">
        <v>3182</v>
      </c>
      <c r="C107" s="230" t="s">
        <v>556</v>
      </c>
      <c r="D107" s="233">
        <v>6</v>
      </c>
      <c r="E107" s="231">
        <f>G107+I107+K107</f>
        <v>736005</v>
      </c>
      <c r="F107" s="232">
        <f>H107+J107+L107</f>
        <v>4416030</v>
      </c>
      <c r="G107" s="231">
        <v>88722</v>
      </c>
      <c r="H107" s="232">
        <f t="shared" si="39"/>
        <v>532332</v>
      </c>
      <c r="I107" s="231">
        <v>514015</v>
      </c>
      <c r="J107" s="232">
        <f t="shared" si="40"/>
        <v>3084090</v>
      </c>
      <c r="K107" s="231">
        <v>133268</v>
      </c>
      <c r="L107" s="232">
        <f t="shared" si="41"/>
        <v>799608</v>
      </c>
      <c r="M107" s="232"/>
      <c r="N107" s="232"/>
      <c r="O107" s="270">
        <f t="shared" si="22"/>
        <v>0</v>
      </c>
      <c r="P107" s="232">
        <v>6</v>
      </c>
      <c r="Q107" s="232">
        <f t="shared" si="23"/>
        <v>4416030</v>
      </c>
      <c r="R107" s="270">
        <f t="shared" si="24"/>
        <v>1</v>
      </c>
      <c r="S107" s="233">
        <f t="shared" si="42"/>
        <v>532332</v>
      </c>
      <c r="T107" s="233">
        <f t="shared" si="43"/>
        <v>3084090</v>
      </c>
      <c r="U107" s="233">
        <f t="shared" si="44"/>
        <v>799608</v>
      </c>
      <c r="V107" s="232">
        <f t="shared" si="25"/>
        <v>6</v>
      </c>
      <c r="W107" s="232">
        <f t="shared" si="26"/>
        <v>4416030</v>
      </c>
      <c r="X107" s="270">
        <f t="shared" si="27"/>
        <v>1</v>
      </c>
      <c r="Y107" s="234"/>
      <c r="Z107" s="383"/>
      <c r="AA107" s="252" t="e">
        <f>E107-#REF!</f>
        <v>#REF!</v>
      </c>
      <c r="AC107" s="235" t="s">
        <v>2645</v>
      </c>
      <c r="AD107" s="235" t="s">
        <v>2856</v>
      </c>
      <c r="AE107" s="235" t="s">
        <v>1514</v>
      </c>
      <c r="AG107" s="235" t="s">
        <v>1778</v>
      </c>
      <c r="BV107" s="236" t="str">
        <f>HYPERLINK("#일위대가목록!A60","HP005 →")</f>
        <v>HP005 →</v>
      </c>
      <c r="CB107" s="235">
        <v>859723</v>
      </c>
      <c r="CC107" s="235">
        <v>5158338</v>
      </c>
      <c r="CD107" s="235">
        <v>106503</v>
      </c>
      <c r="CE107" s="235">
        <v>639018</v>
      </c>
      <c r="CF107" s="235">
        <v>598140</v>
      </c>
      <c r="CG107" s="235">
        <v>3588840</v>
      </c>
      <c r="CH107" s="235">
        <v>155080</v>
      </c>
      <c r="CI107" s="235">
        <v>930480</v>
      </c>
      <c r="CJ107" s="235" t="s">
        <v>755</v>
      </c>
    </row>
    <row r="108" spans="1:88" s="235" customFormat="1" ht="20.100000000000001" customHeight="1" x14ac:dyDescent="0.15">
      <c r="A108" s="229" t="s">
        <v>2947</v>
      </c>
      <c r="B108" s="229" t="s">
        <v>1183</v>
      </c>
      <c r="C108" s="230" t="s">
        <v>556</v>
      </c>
      <c r="D108" s="233">
        <v>3</v>
      </c>
      <c r="E108" s="231">
        <f t="shared" ref="E108:F148" si="45">G108+I108+K108</f>
        <v>542670</v>
      </c>
      <c r="F108" s="232">
        <f t="shared" si="45"/>
        <v>1628010</v>
      </c>
      <c r="G108" s="231">
        <v>71024</v>
      </c>
      <c r="H108" s="232">
        <f t="shared" si="39"/>
        <v>213072</v>
      </c>
      <c r="I108" s="231">
        <v>380751</v>
      </c>
      <c r="J108" s="232">
        <f t="shared" si="40"/>
        <v>1142253</v>
      </c>
      <c r="K108" s="231">
        <v>90895</v>
      </c>
      <c r="L108" s="232">
        <f t="shared" si="41"/>
        <v>272685</v>
      </c>
      <c r="M108" s="232"/>
      <c r="N108" s="232"/>
      <c r="O108" s="270">
        <f t="shared" si="22"/>
        <v>0</v>
      </c>
      <c r="P108" s="232">
        <v>3</v>
      </c>
      <c r="Q108" s="232">
        <f t="shared" si="23"/>
        <v>1628010</v>
      </c>
      <c r="R108" s="270">
        <f t="shared" si="24"/>
        <v>1</v>
      </c>
      <c r="S108" s="233">
        <f t="shared" si="42"/>
        <v>213072</v>
      </c>
      <c r="T108" s="233">
        <f t="shared" si="43"/>
        <v>1142253</v>
      </c>
      <c r="U108" s="233">
        <f t="shared" si="44"/>
        <v>272685</v>
      </c>
      <c r="V108" s="232">
        <f t="shared" si="25"/>
        <v>3</v>
      </c>
      <c r="W108" s="232">
        <f t="shared" si="26"/>
        <v>1628010</v>
      </c>
      <c r="X108" s="270">
        <f t="shared" si="27"/>
        <v>1</v>
      </c>
      <c r="Y108" s="234"/>
      <c r="Z108" s="383"/>
      <c r="AA108" s="252" t="e">
        <f>E108-#REF!</f>
        <v>#REF!</v>
      </c>
      <c r="AC108" s="235" t="s">
        <v>1926</v>
      </c>
      <c r="AD108" s="235" t="s">
        <v>2856</v>
      </c>
      <c r="AE108" s="235" t="s">
        <v>543</v>
      </c>
      <c r="AG108" s="235" t="s">
        <v>1778</v>
      </c>
      <c r="BV108" s="236" t="str">
        <f>HYPERLINK("#일위대가목록!A61","HP006 →")</f>
        <v>HP006 →</v>
      </c>
      <c r="CB108" s="235">
        <v>631487</v>
      </c>
      <c r="CC108" s="235">
        <v>6314870</v>
      </c>
      <c r="CD108" s="235">
        <v>82649</v>
      </c>
      <c r="CE108" s="235">
        <v>826490</v>
      </c>
      <c r="CF108" s="235">
        <v>443066</v>
      </c>
      <c r="CG108" s="235">
        <v>4430660</v>
      </c>
      <c r="CH108" s="235">
        <v>105772</v>
      </c>
      <c r="CI108" s="235">
        <v>1057720</v>
      </c>
      <c r="CJ108" s="235" t="s">
        <v>2382</v>
      </c>
    </row>
    <row r="109" spans="1:88" s="235" customFormat="1" ht="20.100000000000001" customHeight="1" x14ac:dyDescent="0.15">
      <c r="A109" s="229" t="s">
        <v>2947</v>
      </c>
      <c r="B109" s="229" t="s">
        <v>395</v>
      </c>
      <c r="C109" s="230" t="s">
        <v>556</v>
      </c>
      <c r="D109" s="233">
        <v>2</v>
      </c>
      <c r="E109" s="231">
        <f t="shared" si="45"/>
        <v>535367</v>
      </c>
      <c r="F109" s="232">
        <f t="shared" si="45"/>
        <v>1070734</v>
      </c>
      <c r="G109" s="231">
        <v>63721</v>
      </c>
      <c r="H109" s="232">
        <f t="shared" si="39"/>
        <v>127442</v>
      </c>
      <c r="I109" s="231">
        <v>380751</v>
      </c>
      <c r="J109" s="232">
        <f t="shared" si="40"/>
        <v>761502</v>
      </c>
      <c r="K109" s="231">
        <v>90895</v>
      </c>
      <c r="L109" s="232">
        <f t="shared" si="41"/>
        <v>181790</v>
      </c>
      <c r="M109" s="232"/>
      <c r="N109" s="232"/>
      <c r="O109" s="270">
        <f t="shared" si="22"/>
        <v>0</v>
      </c>
      <c r="P109" s="232"/>
      <c r="Q109" s="232">
        <f t="shared" si="23"/>
        <v>0</v>
      </c>
      <c r="R109" s="270">
        <f t="shared" si="24"/>
        <v>0</v>
      </c>
      <c r="S109" s="233">
        <f t="shared" si="42"/>
        <v>0</v>
      </c>
      <c r="T109" s="233">
        <f t="shared" si="43"/>
        <v>0</v>
      </c>
      <c r="U109" s="233">
        <f t="shared" si="44"/>
        <v>0</v>
      </c>
      <c r="V109" s="232">
        <f t="shared" si="25"/>
        <v>0</v>
      </c>
      <c r="W109" s="232">
        <f t="shared" si="26"/>
        <v>0</v>
      </c>
      <c r="X109" s="270">
        <f t="shared" si="27"/>
        <v>0</v>
      </c>
      <c r="Y109" s="234"/>
      <c r="Z109" s="383"/>
      <c r="AA109" s="252" t="e">
        <f>E109-#REF!</f>
        <v>#REF!</v>
      </c>
      <c r="AC109" s="235" t="s">
        <v>1231</v>
      </c>
      <c r="AD109" s="235" t="s">
        <v>2856</v>
      </c>
      <c r="AE109" s="235" t="s">
        <v>1829</v>
      </c>
      <c r="AG109" s="235" t="s">
        <v>1778</v>
      </c>
      <c r="BV109" s="236" t="str">
        <f>HYPERLINK("#일위대가목록!A62","HP007 →")</f>
        <v>HP007 →</v>
      </c>
      <c r="CB109" s="235">
        <v>622988</v>
      </c>
      <c r="CC109" s="235">
        <v>1245976</v>
      </c>
      <c r="CD109" s="235">
        <v>74150</v>
      </c>
      <c r="CE109" s="235">
        <v>148300</v>
      </c>
      <c r="CF109" s="235">
        <v>443066</v>
      </c>
      <c r="CG109" s="235">
        <v>886132</v>
      </c>
      <c r="CH109" s="235">
        <v>105772</v>
      </c>
      <c r="CI109" s="235">
        <v>211544</v>
      </c>
      <c r="CJ109" s="235" t="s">
        <v>1320</v>
      </c>
    </row>
    <row r="110" spans="1:88" s="235" customFormat="1" ht="20.100000000000001" customHeight="1" x14ac:dyDescent="0.15">
      <c r="A110" s="229" t="s">
        <v>2947</v>
      </c>
      <c r="B110" s="229" t="s">
        <v>2159</v>
      </c>
      <c r="C110" s="230" t="s">
        <v>556</v>
      </c>
      <c r="D110" s="233">
        <v>39</v>
      </c>
      <c r="E110" s="231">
        <f t="shared" si="45"/>
        <v>533505</v>
      </c>
      <c r="F110" s="232">
        <f t="shared" si="45"/>
        <v>20806695</v>
      </c>
      <c r="G110" s="231">
        <v>61859</v>
      </c>
      <c r="H110" s="232">
        <f t="shared" si="39"/>
        <v>2412501</v>
      </c>
      <c r="I110" s="231">
        <v>380751</v>
      </c>
      <c r="J110" s="232">
        <f t="shared" si="40"/>
        <v>14849289</v>
      </c>
      <c r="K110" s="231">
        <v>90895</v>
      </c>
      <c r="L110" s="232">
        <f t="shared" si="41"/>
        <v>3544905</v>
      </c>
      <c r="M110" s="232"/>
      <c r="N110" s="232"/>
      <c r="O110" s="270">
        <f t="shared" si="22"/>
        <v>0</v>
      </c>
      <c r="P110" s="232"/>
      <c r="Q110" s="232">
        <f t="shared" si="23"/>
        <v>0</v>
      </c>
      <c r="R110" s="270">
        <f t="shared" si="24"/>
        <v>0</v>
      </c>
      <c r="S110" s="233">
        <f t="shared" si="42"/>
        <v>0</v>
      </c>
      <c r="T110" s="233">
        <f t="shared" si="43"/>
        <v>0</v>
      </c>
      <c r="U110" s="233">
        <f t="shared" si="44"/>
        <v>0</v>
      </c>
      <c r="V110" s="232">
        <f t="shared" si="25"/>
        <v>0</v>
      </c>
      <c r="W110" s="232">
        <f t="shared" si="26"/>
        <v>0</v>
      </c>
      <c r="X110" s="270">
        <f t="shared" si="27"/>
        <v>0</v>
      </c>
      <c r="Y110" s="234"/>
      <c r="Z110" s="383"/>
      <c r="AA110" s="252" t="e">
        <f>E110-#REF!</f>
        <v>#REF!</v>
      </c>
      <c r="AC110" s="235" t="s">
        <v>505</v>
      </c>
      <c r="AD110" s="235" t="s">
        <v>2856</v>
      </c>
      <c r="AE110" s="235" t="s">
        <v>580</v>
      </c>
      <c r="AG110" s="235" t="s">
        <v>1778</v>
      </c>
      <c r="BV110" s="236" t="str">
        <f>HYPERLINK("#일위대가목록!A63","HP008 →")</f>
        <v>HP008 →</v>
      </c>
      <c r="CB110" s="235">
        <v>620822</v>
      </c>
      <c r="CC110" s="235">
        <v>24212058</v>
      </c>
      <c r="CD110" s="235">
        <v>71984</v>
      </c>
      <c r="CE110" s="235">
        <v>2807376</v>
      </c>
      <c r="CF110" s="235">
        <v>443066</v>
      </c>
      <c r="CG110" s="235">
        <v>17279574</v>
      </c>
      <c r="CH110" s="235">
        <v>105772</v>
      </c>
      <c r="CI110" s="235">
        <v>4125108</v>
      </c>
      <c r="CJ110" s="235" t="s">
        <v>2502</v>
      </c>
    </row>
    <row r="111" spans="1:88" s="235" customFormat="1" ht="20.100000000000001" customHeight="1" x14ac:dyDescent="0.15">
      <c r="A111" s="229" t="s">
        <v>2947</v>
      </c>
      <c r="B111" s="229" t="s">
        <v>2040</v>
      </c>
      <c r="C111" s="230" t="s">
        <v>556</v>
      </c>
      <c r="D111" s="233">
        <v>3</v>
      </c>
      <c r="E111" s="231">
        <f t="shared" si="45"/>
        <v>177789</v>
      </c>
      <c r="F111" s="232">
        <f t="shared" si="45"/>
        <v>533367</v>
      </c>
      <c r="G111" s="231">
        <v>24593</v>
      </c>
      <c r="H111" s="232">
        <f t="shared" si="39"/>
        <v>73779</v>
      </c>
      <c r="I111" s="231">
        <v>139068</v>
      </c>
      <c r="J111" s="232">
        <f t="shared" si="40"/>
        <v>417204</v>
      </c>
      <c r="K111" s="231">
        <v>14128</v>
      </c>
      <c r="L111" s="232">
        <f t="shared" si="41"/>
        <v>42384</v>
      </c>
      <c r="M111" s="232"/>
      <c r="N111" s="232"/>
      <c r="O111" s="270">
        <f t="shared" si="22"/>
        <v>0</v>
      </c>
      <c r="P111" s="232"/>
      <c r="Q111" s="232">
        <f t="shared" si="23"/>
        <v>0</v>
      </c>
      <c r="R111" s="270">
        <f t="shared" si="24"/>
        <v>0</v>
      </c>
      <c r="S111" s="233">
        <f t="shared" si="42"/>
        <v>0</v>
      </c>
      <c r="T111" s="233">
        <f t="shared" si="43"/>
        <v>0</v>
      </c>
      <c r="U111" s="233">
        <f t="shared" si="44"/>
        <v>0</v>
      </c>
      <c r="V111" s="232">
        <f t="shared" si="25"/>
        <v>0</v>
      </c>
      <c r="W111" s="232">
        <f t="shared" si="26"/>
        <v>0</v>
      </c>
      <c r="X111" s="270">
        <f t="shared" si="27"/>
        <v>0</v>
      </c>
      <c r="Y111" s="234"/>
      <c r="Z111" s="383"/>
      <c r="AA111" s="252" t="e">
        <f>E111-#REF!</f>
        <v>#REF!</v>
      </c>
      <c r="AC111" s="235" t="s">
        <v>1804</v>
      </c>
      <c r="AD111" s="235" t="s">
        <v>2856</v>
      </c>
      <c r="AE111" s="235" t="s">
        <v>1819</v>
      </c>
      <c r="AG111" s="235" t="s">
        <v>1778</v>
      </c>
      <c r="BV111" s="236" t="str">
        <f>HYPERLINK("#일위대가목록!A64","HP009 →")</f>
        <v>HP009 →</v>
      </c>
      <c r="CB111" s="235">
        <v>206888</v>
      </c>
      <c r="CC111" s="235">
        <v>620664</v>
      </c>
      <c r="CD111" s="235">
        <v>28618</v>
      </c>
      <c r="CE111" s="235">
        <v>85854</v>
      </c>
      <c r="CF111" s="235">
        <v>161829</v>
      </c>
      <c r="CG111" s="235">
        <v>485487</v>
      </c>
      <c r="CH111" s="235">
        <v>16441</v>
      </c>
      <c r="CI111" s="235">
        <v>49323</v>
      </c>
      <c r="CJ111" s="235" t="s">
        <v>1027</v>
      </c>
    </row>
    <row r="112" spans="1:88" s="235" customFormat="1" ht="20.100000000000001" customHeight="1" x14ac:dyDescent="0.15">
      <c r="A112" s="229" t="s">
        <v>2948</v>
      </c>
      <c r="B112" s="229" t="s">
        <v>1374</v>
      </c>
      <c r="C112" s="230" t="s">
        <v>556</v>
      </c>
      <c r="D112" s="233">
        <v>2</v>
      </c>
      <c r="E112" s="231">
        <f t="shared" si="45"/>
        <v>541799</v>
      </c>
      <c r="F112" s="232">
        <f t="shared" si="45"/>
        <v>1083598</v>
      </c>
      <c r="G112" s="231">
        <v>70153</v>
      </c>
      <c r="H112" s="232">
        <f t="shared" si="39"/>
        <v>140306</v>
      </c>
      <c r="I112" s="231">
        <v>380751</v>
      </c>
      <c r="J112" s="232">
        <f t="shared" si="40"/>
        <v>761502</v>
      </c>
      <c r="K112" s="231">
        <v>90895</v>
      </c>
      <c r="L112" s="232">
        <f t="shared" si="41"/>
        <v>181790</v>
      </c>
      <c r="M112" s="232"/>
      <c r="N112" s="232"/>
      <c r="O112" s="270">
        <f t="shared" si="22"/>
        <v>0</v>
      </c>
      <c r="P112" s="232"/>
      <c r="Q112" s="232">
        <f t="shared" si="23"/>
        <v>0</v>
      </c>
      <c r="R112" s="270">
        <f t="shared" si="24"/>
        <v>0</v>
      </c>
      <c r="S112" s="233">
        <f t="shared" si="42"/>
        <v>0</v>
      </c>
      <c r="T112" s="233">
        <f t="shared" si="43"/>
        <v>0</v>
      </c>
      <c r="U112" s="233">
        <f t="shared" si="44"/>
        <v>0</v>
      </c>
      <c r="V112" s="232">
        <f t="shared" si="25"/>
        <v>0</v>
      </c>
      <c r="W112" s="232">
        <f t="shared" si="26"/>
        <v>0</v>
      </c>
      <c r="X112" s="270">
        <f t="shared" si="27"/>
        <v>0</v>
      </c>
      <c r="Y112" s="234"/>
      <c r="Z112" s="383"/>
      <c r="AA112" s="252" t="e">
        <f>E112-#REF!</f>
        <v>#REF!</v>
      </c>
      <c r="AC112" s="235" t="s">
        <v>2487</v>
      </c>
      <c r="AD112" s="235" t="s">
        <v>2856</v>
      </c>
      <c r="AE112" s="235" t="s">
        <v>2328</v>
      </c>
      <c r="AG112" s="235" t="s">
        <v>1778</v>
      </c>
      <c r="BV112" s="236" t="str">
        <f>HYPERLINK("#일위대가목록!A65","HP011 →")</f>
        <v>HP011 →</v>
      </c>
      <c r="CB112" s="235">
        <v>630473</v>
      </c>
      <c r="CC112" s="235">
        <v>1260946</v>
      </c>
      <c r="CD112" s="235">
        <v>81635</v>
      </c>
      <c r="CE112" s="235">
        <v>163270</v>
      </c>
      <c r="CF112" s="235">
        <v>443066</v>
      </c>
      <c r="CG112" s="235">
        <v>886132</v>
      </c>
      <c r="CH112" s="235">
        <v>105772</v>
      </c>
      <c r="CI112" s="235">
        <v>211544</v>
      </c>
      <c r="CJ112" s="235" t="s">
        <v>2277</v>
      </c>
    </row>
    <row r="113" spans="1:88" s="235" customFormat="1" ht="20.100000000000001" customHeight="1" x14ac:dyDescent="0.15">
      <c r="A113" s="229" t="s">
        <v>2948</v>
      </c>
      <c r="B113" s="229" t="s">
        <v>2079</v>
      </c>
      <c r="C113" s="230" t="s">
        <v>556</v>
      </c>
      <c r="D113" s="233">
        <v>0</v>
      </c>
      <c r="E113" s="231">
        <f t="shared" si="45"/>
        <v>263171</v>
      </c>
      <c r="F113" s="232">
        <f t="shared" si="45"/>
        <v>0</v>
      </c>
      <c r="G113" s="231">
        <v>39359</v>
      </c>
      <c r="H113" s="232">
        <f t="shared" si="39"/>
        <v>0</v>
      </c>
      <c r="I113" s="231">
        <v>203171</v>
      </c>
      <c r="J113" s="232">
        <f t="shared" si="40"/>
        <v>0</v>
      </c>
      <c r="K113" s="231">
        <v>20641</v>
      </c>
      <c r="L113" s="232">
        <f t="shared" si="41"/>
        <v>0</v>
      </c>
      <c r="M113" s="232"/>
      <c r="N113" s="232"/>
      <c r="O113" s="270">
        <f t="shared" si="22"/>
        <v>0</v>
      </c>
      <c r="P113" s="232"/>
      <c r="Q113" s="232">
        <f t="shared" si="23"/>
        <v>0</v>
      </c>
      <c r="R113" s="270">
        <f t="shared" si="24"/>
        <v>0</v>
      </c>
      <c r="S113" s="233">
        <f t="shared" si="42"/>
        <v>0</v>
      </c>
      <c r="T113" s="233">
        <f t="shared" si="43"/>
        <v>0</v>
      </c>
      <c r="U113" s="233">
        <f t="shared" si="44"/>
        <v>0</v>
      </c>
      <c r="V113" s="232">
        <f t="shared" si="25"/>
        <v>0</v>
      </c>
      <c r="W113" s="232">
        <f t="shared" si="26"/>
        <v>0</v>
      </c>
      <c r="X113" s="270">
        <f t="shared" si="27"/>
        <v>0</v>
      </c>
      <c r="Y113" s="234"/>
      <c r="Z113" s="383"/>
      <c r="AA113" s="252" t="e">
        <f>E113-#REF!</f>
        <v>#REF!</v>
      </c>
      <c r="AC113" s="235" t="s">
        <v>1754</v>
      </c>
      <c r="AD113" s="235" t="s">
        <v>2856</v>
      </c>
      <c r="AE113" s="235" t="s">
        <v>1201</v>
      </c>
      <c r="AG113" s="235" t="s">
        <v>1778</v>
      </c>
      <c r="BV113" s="236" t="str">
        <f>HYPERLINK("#일위대가목록!A66","HP012 →")</f>
        <v>HP012 →</v>
      </c>
      <c r="CB113" s="235">
        <v>306244</v>
      </c>
      <c r="CC113" s="235">
        <v>2143708</v>
      </c>
      <c r="CD113" s="235">
        <v>45801</v>
      </c>
      <c r="CE113" s="235">
        <v>320607</v>
      </c>
      <c r="CF113" s="235">
        <v>236423</v>
      </c>
      <c r="CG113" s="235">
        <v>1654961</v>
      </c>
      <c r="CH113" s="235">
        <v>24020</v>
      </c>
      <c r="CI113" s="235">
        <v>168140</v>
      </c>
      <c r="CJ113" s="235" t="s">
        <v>1061</v>
      </c>
    </row>
    <row r="114" spans="1:88" s="235" customFormat="1" ht="20.100000000000001" customHeight="1" x14ac:dyDescent="0.15">
      <c r="A114" s="229" t="s">
        <v>2948</v>
      </c>
      <c r="B114" s="229" t="s">
        <v>1581</v>
      </c>
      <c r="C114" s="230" t="s">
        <v>556</v>
      </c>
      <c r="D114" s="233">
        <v>0</v>
      </c>
      <c r="E114" s="231">
        <f t="shared" si="45"/>
        <v>534207</v>
      </c>
      <c r="F114" s="232">
        <f t="shared" si="45"/>
        <v>0</v>
      </c>
      <c r="G114" s="231">
        <v>62561</v>
      </c>
      <c r="H114" s="232">
        <f t="shared" si="39"/>
        <v>0</v>
      </c>
      <c r="I114" s="231">
        <v>380751</v>
      </c>
      <c r="J114" s="232">
        <f t="shared" si="40"/>
        <v>0</v>
      </c>
      <c r="K114" s="231">
        <v>90895</v>
      </c>
      <c r="L114" s="232">
        <f t="shared" si="41"/>
        <v>0</v>
      </c>
      <c r="M114" s="232"/>
      <c r="N114" s="232"/>
      <c r="O114" s="270">
        <f t="shared" si="22"/>
        <v>0</v>
      </c>
      <c r="P114" s="232"/>
      <c r="Q114" s="232">
        <f t="shared" si="23"/>
        <v>0</v>
      </c>
      <c r="R114" s="270">
        <f t="shared" si="24"/>
        <v>0</v>
      </c>
      <c r="S114" s="233">
        <f t="shared" si="42"/>
        <v>0</v>
      </c>
      <c r="T114" s="233">
        <f t="shared" si="43"/>
        <v>0</v>
      </c>
      <c r="U114" s="233">
        <f t="shared" si="44"/>
        <v>0</v>
      </c>
      <c r="V114" s="232">
        <f t="shared" si="25"/>
        <v>0</v>
      </c>
      <c r="W114" s="232">
        <f t="shared" si="26"/>
        <v>0</v>
      </c>
      <c r="X114" s="270">
        <f t="shared" si="27"/>
        <v>0</v>
      </c>
      <c r="Y114" s="234"/>
      <c r="Z114" s="383"/>
      <c r="AA114" s="252" t="e">
        <f>E114-#REF!</f>
        <v>#REF!</v>
      </c>
      <c r="AC114" s="235" t="s">
        <v>1063</v>
      </c>
      <c r="AD114" s="235" t="s">
        <v>2856</v>
      </c>
      <c r="AE114" s="235" t="s">
        <v>2824</v>
      </c>
      <c r="AG114" s="235" t="s">
        <v>1778</v>
      </c>
      <c r="BV114" s="236" t="str">
        <f>HYPERLINK("#일위대가목록!A67","HP013 →")</f>
        <v>HP013 →</v>
      </c>
      <c r="CB114" s="235">
        <v>621638</v>
      </c>
      <c r="CC114" s="235">
        <v>7459656</v>
      </c>
      <c r="CD114" s="235">
        <v>72800</v>
      </c>
      <c r="CE114" s="235">
        <v>873600</v>
      </c>
      <c r="CF114" s="235">
        <v>443066</v>
      </c>
      <c r="CG114" s="235">
        <v>5316792</v>
      </c>
      <c r="CH114" s="235">
        <v>105772</v>
      </c>
      <c r="CI114" s="235">
        <v>1269264</v>
      </c>
      <c r="CJ114" s="235" t="s">
        <v>2268</v>
      </c>
    </row>
    <row r="115" spans="1:88" s="235" customFormat="1" ht="20.100000000000001" customHeight="1" x14ac:dyDescent="0.15">
      <c r="A115" s="229" t="s">
        <v>2948</v>
      </c>
      <c r="B115" s="229" t="s">
        <v>2586</v>
      </c>
      <c r="C115" s="230" t="s">
        <v>556</v>
      </c>
      <c r="D115" s="233">
        <v>0</v>
      </c>
      <c r="E115" s="231">
        <f t="shared" si="45"/>
        <v>263171</v>
      </c>
      <c r="F115" s="232">
        <f t="shared" si="45"/>
        <v>0</v>
      </c>
      <c r="G115" s="231">
        <v>39359</v>
      </c>
      <c r="H115" s="232">
        <f t="shared" si="39"/>
        <v>0</v>
      </c>
      <c r="I115" s="231">
        <v>203171</v>
      </c>
      <c r="J115" s="232">
        <f t="shared" si="40"/>
        <v>0</v>
      </c>
      <c r="K115" s="231">
        <v>20641</v>
      </c>
      <c r="L115" s="232">
        <f t="shared" si="41"/>
        <v>0</v>
      </c>
      <c r="M115" s="232"/>
      <c r="N115" s="232"/>
      <c r="O115" s="270">
        <f t="shared" si="22"/>
        <v>0</v>
      </c>
      <c r="P115" s="232"/>
      <c r="Q115" s="232">
        <f t="shared" si="23"/>
        <v>0</v>
      </c>
      <c r="R115" s="270">
        <f t="shared" si="24"/>
        <v>0</v>
      </c>
      <c r="S115" s="233">
        <f t="shared" si="42"/>
        <v>0</v>
      </c>
      <c r="T115" s="233">
        <f t="shared" si="43"/>
        <v>0</v>
      </c>
      <c r="U115" s="233">
        <f t="shared" si="44"/>
        <v>0</v>
      </c>
      <c r="V115" s="232">
        <f t="shared" si="25"/>
        <v>0</v>
      </c>
      <c r="W115" s="232">
        <f t="shared" si="26"/>
        <v>0</v>
      </c>
      <c r="X115" s="270">
        <f t="shared" si="27"/>
        <v>0</v>
      </c>
      <c r="Y115" s="234"/>
      <c r="Z115" s="383"/>
      <c r="AA115" s="252" t="e">
        <f>E115-#REF!</f>
        <v>#REF!</v>
      </c>
      <c r="AC115" s="235" t="s">
        <v>307</v>
      </c>
      <c r="AD115" s="235" t="s">
        <v>2856</v>
      </c>
      <c r="AE115" s="235" t="s">
        <v>1082</v>
      </c>
      <c r="AG115" s="235" t="s">
        <v>1778</v>
      </c>
      <c r="BV115" s="236" t="str">
        <f>HYPERLINK("#일위대가목록!A68","HP014 →")</f>
        <v>HP014 →</v>
      </c>
      <c r="CB115" s="235">
        <v>306244</v>
      </c>
      <c r="CC115" s="235">
        <v>11024784</v>
      </c>
      <c r="CD115" s="235">
        <v>45801</v>
      </c>
      <c r="CE115" s="235">
        <v>1648836</v>
      </c>
      <c r="CF115" s="235">
        <v>236423</v>
      </c>
      <c r="CG115" s="235">
        <v>8511228</v>
      </c>
      <c r="CH115" s="235">
        <v>24020</v>
      </c>
      <c r="CI115" s="235">
        <v>864720</v>
      </c>
      <c r="CJ115" s="235" t="s">
        <v>1914</v>
      </c>
    </row>
    <row r="116" spans="1:88" s="235" customFormat="1" ht="20.100000000000001" customHeight="1" x14ac:dyDescent="0.15">
      <c r="A116" s="229" t="s">
        <v>2949</v>
      </c>
      <c r="B116" s="229" t="s">
        <v>143</v>
      </c>
      <c r="C116" s="230" t="s">
        <v>556</v>
      </c>
      <c r="D116" s="233">
        <v>8</v>
      </c>
      <c r="E116" s="231">
        <f t="shared" si="45"/>
        <v>1043771</v>
      </c>
      <c r="F116" s="232">
        <f t="shared" si="45"/>
        <v>8350168</v>
      </c>
      <c r="G116" s="231">
        <v>127860</v>
      </c>
      <c r="H116" s="232">
        <f t="shared" si="39"/>
        <v>1022880</v>
      </c>
      <c r="I116" s="231">
        <v>674645</v>
      </c>
      <c r="J116" s="232">
        <f t="shared" si="40"/>
        <v>5397160</v>
      </c>
      <c r="K116" s="231">
        <v>241266</v>
      </c>
      <c r="L116" s="232">
        <f t="shared" si="41"/>
        <v>1930128</v>
      </c>
      <c r="M116" s="232"/>
      <c r="N116" s="232"/>
      <c r="O116" s="270">
        <f t="shared" si="22"/>
        <v>0</v>
      </c>
      <c r="P116" s="232"/>
      <c r="Q116" s="232">
        <f t="shared" si="23"/>
        <v>0</v>
      </c>
      <c r="R116" s="270">
        <f t="shared" si="24"/>
        <v>0</v>
      </c>
      <c r="S116" s="233">
        <f t="shared" si="42"/>
        <v>0</v>
      </c>
      <c r="T116" s="233">
        <f t="shared" si="43"/>
        <v>0</v>
      </c>
      <c r="U116" s="233">
        <f t="shared" si="44"/>
        <v>0</v>
      </c>
      <c r="V116" s="232">
        <f t="shared" si="25"/>
        <v>0</v>
      </c>
      <c r="W116" s="232">
        <f t="shared" si="26"/>
        <v>0</v>
      </c>
      <c r="X116" s="270">
        <f t="shared" si="27"/>
        <v>0</v>
      </c>
      <c r="Y116" s="234"/>
      <c r="Z116" s="383"/>
      <c r="AA116" s="252" t="e">
        <f>E116-#REF!</f>
        <v>#REF!</v>
      </c>
      <c r="AC116" s="235" t="s">
        <v>2450</v>
      </c>
      <c r="AD116" s="235" t="s">
        <v>2856</v>
      </c>
      <c r="AE116" s="235" t="s">
        <v>2251</v>
      </c>
      <c r="AG116" s="235" t="s">
        <v>1778</v>
      </c>
      <c r="BV116" s="236" t="str">
        <f>HYPERLINK("#일위대가목록!A69","HP015 →")</f>
        <v>HP015 →</v>
      </c>
      <c r="CB116" s="235">
        <v>1214598</v>
      </c>
      <c r="CC116" s="235">
        <v>9716784</v>
      </c>
      <c r="CD116" s="235">
        <v>148786</v>
      </c>
      <c r="CE116" s="235">
        <v>1190288</v>
      </c>
      <c r="CF116" s="235">
        <v>785059</v>
      </c>
      <c r="CG116" s="235">
        <v>6280472</v>
      </c>
      <c r="CH116" s="235">
        <v>280753</v>
      </c>
      <c r="CI116" s="235">
        <v>2246024</v>
      </c>
      <c r="CJ116" s="235" t="s">
        <v>637</v>
      </c>
    </row>
    <row r="117" spans="1:88" s="235" customFormat="1" ht="20.100000000000001" customHeight="1" x14ac:dyDescent="0.15">
      <c r="A117" s="229" t="s">
        <v>2949</v>
      </c>
      <c r="B117" s="229" t="s">
        <v>2792</v>
      </c>
      <c r="C117" s="230" t="s">
        <v>556</v>
      </c>
      <c r="D117" s="233">
        <v>2</v>
      </c>
      <c r="E117" s="231">
        <f t="shared" si="45"/>
        <v>1513145</v>
      </c>
      <c r="F117" s="232">
        <f t="shared" si="45"/>
        <v>3026290</v>
      </c>
      <c r="G117" s="231">
        <v>206967</v>
      </c>
      <c r="H117" s="232">
        <f t="shared" si="39"/>
        <v>413934</v>
      </c>
      <c r="I117" s="231">
        <v>874539</v>
      </c>
      <c r="J117" s="232">
        <f t="shared" si="40"/>
        <v>1749078</v>
      </c>
      <c r="K117" s="231">
        <v>431639</v>
      </c>
      <c r="L117" s="232">
        <f t="shared" si="41"/>
        <v>863278</v>
      </c>
      <c r="M117" s="232"/>
      <c r="N117" s="232"/>
      <c r="O117" s="270">
        <f t="shared" si="22"/>
        <v>0</v>
      </c>
      <c r="P117" s="232"/>
      <c r="Q117" s="232">
        <f t="shared" si="23"/>
        <v>0</v>
      </c>
      <c r="R117" s="270">
        <f t="shared" si="24"/>
        <v>0</v>
      </c>
      <c r="S117" s="233">
        <f t="shared" si="42"/>
        <v>0</v>
      </c>
      <c r="T117" s="233">
        <f t="shared" si="43"/>
        <v>0</v>
      </c>
      <c r="U117" s="233">
        <f t="shared" si="44"/>
        <v>0</v>
      </c>
      <c r="V117" s="232">
        <f t="shared" si="25"/>
        <v>0</v>
      </c>
      <c r="W117" s="232">
        <f t="shared" si="26"/>
        <v>0</v>
      </c>
      <c r="X117" s="270">
        <f t="shared" si="27"/>
        <v>0</v>
      </c>
      <c r="Y117" s="234"/>
      <c r="Z117" s="383"/>
      <c r="AA117" s="252" t="e">
        <f>E117-#REF!</f>
        <v>#REF!</v>
      </c>
      <c r="AC117" s="235" t="s">
        <v>1716</v>
      </c>
      <c r="AD117" s="235" t="s">
        <v>2856</v>
      </c>
      <c r="AE117" s="235" t="s">
        <v>1286</v>
      </c>
      <c r="AG117" s="235" t="s">
        <v>1778</v>
      </c>
      <c r="BV117" s="236" t="str">
        <f>HYPERLINK("#일위대가목록!A70","HP016 →")</f>
        <v>HP016 →</v>
      </c>
      <c r="CB117" s="235">
        <v>1760791</v>
      </c>
      <c r="CC117" s="235">
        <v>3521582</v>
      </c>
      <c r="CD117" s="235">
        <v>240840</v>
      </c>
      <c r="CE117" s="235">
        <v>481680</v>
      </c>
      <c r="CF117" s="235">
        <v>1017669</v>
      </c>
      <c r="CG117" s="235">
        <v>2035338</v>
      </c>
      <c r="CH117" s="235">
        <v>502282</v>
      </c>
      <c r="CI117" s="235">
        <v>1004564</v>
      </c>
      <c r="CJ117" s="235" t="s">
        <v>1427</v>
      </c>
    </row>
    <row r="118" spans="1:88" s="235" customFormat="1" ht="20.100000000000001" customHeight="1" x14ac:dyDescent="0.15">
      <c r="A118" s="229" t="s">
        <v>2949</v>
      </c>
      <c r="B118" s="229" t="s">
        <v>2215</v>
      </c>
      <c r="C118" s="230" t="s">
        <v>556</v>
      </c>
      <c r="D118" s="233">
        <v>2</v>
      </c>
      <c r="E118" s="231">
        <f t="shared" si="45"/>
        <v>1043771</v>
      </c>
      <c r="F118" s="232">
        <f t="shared" si="45"/>
        <v>2087542</v>
      </c>
      <c r="G118" s="231">
        <v>127860</v>
      </c>
      <c r="H118" s="232">
        <f t="shared" si="39"/>
        <v>255720</v>
      </c>
      <c r="I118" s="231">
        <v>674645</v>
      </c>
      <c r="J118" s="232">
        <f t="shared" si="40"/>
        <v>1349290</v>
      </c>
      <c r="K118" s="231">
        <v>241266</v>
      </c>
      <c r="L118" s="232">
        <f t="shared" si="41"/>
        <v>482532</v>
      </c>
      <c r="M118" s="232"/>
      <c r="N118" s="232"/>
      <c r="O118" s="270">
        <f t="shared" si="22"/>
        <v>0</v>
      </c>
      <c r="P118" s="232"/>
      <c r="Q118" s="232">
        <f t="shared" si="23"/>
        <v>0</v>
      </c>
      <c r="R118" s="270">
        <f t="shared" si="24"/>
        <v>0</v>
      </c>
      <c r="S118" s="233">
        <f t="shared" si="42"/>
        <v>0</v>
      </c>
      <c r="T118" s="233">
        <f t="shared" si="43"/>
        <v>0</v>
      </c>
      <c r="U118" s="233">
        <f t="shared" si="44"/>
        <v>0</v>
      </c>
      <c r="V118" s="232">
        <f t="shared" si="25"/>
        <v>0</v>
      </c>
      <c r="W118" s="232">
        <f t="shared" si="26"/>
        <v>0</v>
      </c>
      <c r="X118" s="270">
        <f t="shared" si="27"/>
        <v>0</v>
      </c>
      <c r="Y118" s="234"/>
      <c r="Z118" s="383"/>
      <c r="AA118" s="252" t="e">
        <f>E118-#REF!</f>
        <v>#REF!</v>
      </c>
      <c r="AC118" s="235" t="s">
        <v>1017</v>
      </c>
      <c r="AD118" s="235" t="s">
        <v>2856</v>
      </c>
      <c r="AE118" s="235" t="s">
        <v>2563</v>
      </c>
      <c r="AG118" s="235" t="s">
        <v>1778</v>
      </c>
      <c r="BV118" s="236" t="str">
        <f>HYPERLINK("#일위대가목록!A71","HP017 →")</f>
        <v>HP017 →</v>
      </c>
      <c r="CB118" s="235">
        <v>1214598</v>
      </c>
      <c r="CC118" s="235">
        <v>2429196</v>
      </c>
      <c r="CD118" s="235">
        <v>148786</v>
      </c>
      <c r="CE118" s="235">
        <v>297572</v>
      </c>
      <c r="CF118" s="235">
        <v>785059</v>
      </c>
      <c r="CG118" s="235">
        <v>1570118</v>
      </c>
      <c r="CH118" s="235">
        <v>280753</v>
      </c>
      <c r="CI118" s="235">
        <v>561506</v>
      </c>
      <c r="CJ118" s="235" t="s">
        <v>252</v>
      </c>
    </row>
    <row r="119" spans="1:88" s="235" customFormat="1" ht="20.100000000000001" customHeight="1" x14ac:dyDescent="0.15">
      <c r="A119" s="229" t="s">
        <v>2950</v>
      </c>
      <c r="B119" s="229" t="s">
        <v>2403</v>
      </c>
      <c r="C119" s="230" t="s">
        <v>556</v>
      </c>
      <c r="D119" s="233">
        <v>4</v>
      </c>
      <c r="E119" s="231">
        <f t="shared" si="45"/>
        <v>141905</v>
      </c>
      <c r="F119" s="232">
        <f t="shared" si="45"/>
        <v>567620</v>
      </c>
      <c r="G119" s="231">
        <v>21263</v>
      </c>
      <c r="H119" s="232">
        <f t="shared" si="39"/>
        <v>85052</v>
      </c>
      <c r="I119" s="231">
        <v>109516</v>
      </c>
      <c r="J119" s="232">
        <f t="shared" si="40"/>
        <v>438064</v>
      </c>
      <c r="K119" s="231">
        <v>11126</v>
      </c>
      <c r="L119" s="232">
        <f t="shared" si="41"/>
        <v>44504</v>
      </c>
      <c r="M119" s="232"/>
      <c r="N119" s="232"/>
      <c r="O119" s="270">
        <f t="shared" si="22"/>
        <v>0</v>
      </c>
      <c r="P119" s="232"/>
      <c r="Q119" s="232">
        <f t="shared" si="23"/>
        <v>0</v>
      </c>
      <c r="R119" s="270">
        <f t="shared" si="24"/>
        <v>0</v>
      </c>
      <c r="S119" s="233">
        <f t="shared" si="42"/>
        <v>0</v>
      </c>
      <c r="T119" s="233">
        <f t="shared" si="43"/>
        <v>0</v>
      </c>
      <c r="U119" s="233">
        <f t="shared" si="44"/>
        <v>0</v>
      </c>
      <c r="V119" s="232">
        <f t="shared" si="25"/>
        <v>0</v>
      </c>
      <c r="W119" s="232">
        <f t="shared" si="26"/>
        <v>0</v>
      </c>
      <c r="X119" s="270">
        <f t="shared" si="27"/>
        <v>0</v>
      </c>
      <c r="Y119" s="234"/>
      <c r="Z119" s="383"/>
      <c r="AA119" s="252" t="e">
        <f>E119-#REF!</f>
        <v>#REF!</v>
      </c>
      <c r="AC119" s="235" t="s">
        <v>273</v>
      </c>
      <c r="AD119" s="235" t="s">
        <v>2856</v>
      </c>
      <c r="AE119" s="235" t="s">
        <v>1297</v>
      </c>
      <c r="AG119" s="235" t="s">
        <v>1778</v>
      </c>
      <c r="BV119" s="236" t="str">
        <f>HYPERLINK("#일위대가목록!A72","HP018 →")</f>
        <v>HP018 →</v>
      </c>
      <c r="CB119" s="235">
        <v>165131</v>
      </c>
      <c r="CC119" s="235">
        <v>660524</v>
      </c>
      <c r="CD119" s="235">
        <v>24744</v>
      </c>
      <c r="CE119" s="235">
        <v>98976</v>
      </c>
      <c r="CF119" s="235">
        <v>127440</v>
      </c>
      <c r="CG119" s="235">
        <v>509760</v>
      </c>
      <c r="CH119" s="235">
        <v>12947</v>
      </c>
      <c r="CI119" s="235">
        <v>51788</v>
      </c>
      <c r="CJ119" s="235" t="s">
        <v>2023</v>
      </c>
    </row>
    <row r="120" spans="1:88" s="235" customFormat="1" ht="20.100000000000001" customHeight="1" x14ac:dyDescent="0.15">
      <c r="A120" s="229" t="s">
        <v>2950</v>
      </c>
      <c r="B120" s="229" t="s">
        <v>2797</v>
      </c>
      <c r="C120" s="230" t="s">
        <v>556</v>
      </c>
      <c r="D120" s="233">
        <v>25</v>
      </c>
      <c r="E120" s="231">
        <f t="shared" si="45"/>
        <v>141905</v>
      </c>
      <c r="F120" s="232">
        <f t="shared" si="45"/>
        <v>3547625</v>
      </c>
      <c r="G120" s="231">
        <v>21263</v>
      </c>
      <c r="H120" s="232">
        <f t="shared" si="39"/>
        <v>531575</v>
      </c>
      <c r="I120" s="231">
        <v>109516</v>
      </c>
      <c r="J120" s="232">
        <f t="shared" si="40"/>
        <v>2737900</v>
      </c>
      <c r="K120" s="231">
        <v>11126</v>
      </c>
      <c r="L120" s="232">
        <f t="shared" si="41"/>
        <v>278150</v>
      </c>
      <c r="M120" s="232"/>
      <c r="N120" s="232"/>
      <c r="O120" s="270">
        <f t="shared" si="22"/>
        <v>0</v>
      </c>
      <c r="P120" s="232"/>
      <c r="Q120" s="232">
        <f t="shared" si="23"/>
        <v>0</v>
      </c>
      <c r="R120" s="270">
        <f t="shared" si="24"/>
        <v>0</v>
      </c>
      <c r="S120" s="233">
        <f t="shared" si="42"/>
        <v>0</v>
      </c>
      <c r="T120" s="233">
        <f t="shared" si="43"/>
        <v>0</v>
      </c>
      <c r="U120" s="233">
        <f t="shared" si="44"/>
        <v>0</v>
      </c>
      <c r="V120" s="232">
        <f t="shared" si="25"/>
        <v>0</v>
      </c>
      <c r="W120" s="232">
        <f t="shared" si="26"/>
        <v>0</v>
      </c>
      <c r="X120" s="270">
        <f t="shared" si="27"/>
        <v>0</v>
      </c>
      <c r="Y120" s="234"/>
      <c r="Z120" s="383"/>
      <c r="AA120" s="252" t="e">
        <f>E120-#REF!</f>
        <v>#REF!</v>
      </c>
      <c r="AC120" s="235" t="s">
        <v>2401</v>
      </c>
      <c r="AD120" s="235" t="s">
        <v>2856</v>
      </c>
      <c r="AE120" s="235" t="s">
        <v>2528</v>
      </c>
      <c r="AG120" s="235" t="s">
        <v>1778</v>
      </c>
      <c r="BV120" s="236" t="str">
        <f>HYPERLINK("#일위대가목록!A73","HP019 →")</f>
        <v>HP019 →</v>
      </c>
      <c r="CB120" s="235">
        <v>165131</v>
      </c>
      <c r="CC120" s="235">
        <v>4128275</v>
      </c>
      <c r="CD120" s="235">
        <v>24744</v>
      </c>
      <c r="CE120" s="235">
        <v>618600</v>
      </c>
      <c r="CF120" s="235">
        <v>127440</v>
      </c>
      <c r="CG120" s="235">
        <v>3186000</v>
      </c>
      <c r="CH120" s="235">
        <v>12947</v>
      </c>
      <c r="CI120" s="235">
        <v>323675</v>
      </c>
      <c r="CJ120" s="235" t="s">
        <v>380</v>
      </c>
    </row>
    <row r="121" spans="1:88" s="235" customFormat="1" ht="20.100000000000001" customHeight="1" x14ac:dyDescent="0.15">
      <c r="A121" s="229" t="s">
        <v>2950</v>
      </c>
      <c r="B121" s="229" t="s">
        <v>473</v>
      </c>
      <c r="C121" s="230" t="s">
        <v>556</v>
      </c>
      <c r="D121" s="233">
        <v>1</v>
      </c>
      <c r="E121" s="231">
        <f t="shared" si="45"/>
        <v>141905</v>
      </c>
      <c r="F121" s="232">
        <f t="shared" si="45"/>
        <v>141905</v>
      </c>
      <c r="G121" s="231">
        <v>21263</v>
      </c>
      <c r="H121" s="232">
        <f t="shared" si="39"/>
        <v>21263</v>
      </c>
      <c r="I121" s="231">
        <v>109516</v>
      </c>
      <c r="J121" s="232">
        <f t="shared" si="40"/>
        <v>109516</v>
      </c>
      <c r="K121" s="231">
        <v>11126</v>
      </c>
      <c r="L121" s="232">
        <f t="shared" si="41"/>
        <v>11126</v>
      </c>
      <c r="M121" s="232"/>
      <c r="N121" s="232"/>
      <c r="O121" s="270">
        <f t="shared" si="22"/>
        <v>0</v>
      </c>
      <c r="P121" s="232"/>
      <c r="Q121" s="232">
        <f t="shared" si="23"/>
        <v>0</v>
      </c>
      <c r="R121" s="270">
        <f t="shared" si="24"/>
        <v>0</v>
      </c>
      <c r="S121" s="233">
        <f t="shared" si="42"/>
        <v>0</v>
      </c>
      <c r="T121" s="233">
        <f t="shared" si="43"/>
        <v>0</v>
      </c>
      <c r="U121" s="233">
        <f t="shared" si="44"/>
        <v>0</v>
      </c>
      <c r="V121" s="232">
        <f t="shared" si="25"/>
        <v>0</v>
      </c>
      <c r="W121" s="232">
        <f t="shared" si="26"/>
        <v>0</v>
      </c>
      <c r="X121" s="270">
        <f t="shared" si="27"/>
        <v>0</v>
      </c>
      <c r="Y121" s="234"/>
      <c r="Z121" s="383"/>
      <c r="AA121" s="252" t="e">
        <f>E121-#REF!</f>
        <v>#REF!</v>
      </c>
      <c r="AC121" s="235" t="s">
        <v>1663</v>
      </c>
      <c r="AD121" s="235" t="s">
        <v>2856</v>
      </c>
      <c r="AE121" s="235" t="s">
        <v>1485</v>
      </c>
      <c r="AG121" s="235" t="s">
        <v>1778</v>
      </c>
      <c r="BV121" s="236" t="str">
        <f>HYPERLINK("#일위대가목록!A74","HP020 →")</f>
        <v>HP020 →</v>
      </c>
      <c r="CB121" s="235">
        <v>165131</v>
      </c>
      <c r="CC121" s="235">
        <v>165131</v>
      </c>
      <c r="CD121" s="235">
        <v>24744</v>
      </c>
      <c r="CE121" s="235">
        <v>24744</v>
      </c>
      <c r="CF121" s="235">
        <v>127440</v>
      </c>
      <c r="CG121" s="235">
        <v>127440</v>
      </c>
      <c r="CH121" s="235">
        <v>12947</v>
      </c>
      <c r="CI121" s="235">
        <v>12947</v>
      </c>
      <c r="CJ121" s="235" t="s">
        <v>1698</v>
      </c>
    </row>
    <row r="122" spans="1:88" s="235" customFormat="1" ht="20.100000000000001" customHeight="1" x14ac:dyDescent="0.15">
      <c r="A122" s="229" t="s">
        <v>2950</v>
      </c>
      <c r="B122" s="229" t="s">
        <v>1592</v>
      </c>
      <c r="C122" s="230" t="s">
        <v>556</v>
      </c>
      <c r="D122" s="233">
        <v>8</v>
      </c>
      <c r="E122" s="231">
        <f t="shared" si="45"/>
        <v>141905</v>
      </c>
      <c r="F122" s="232">
        <f t="shared" si="45"/>
        <v>1135240</v>
      </c>
      <c r="G122" s="231">
        <v>21263</v>
      </c>
      <c r="H122" s="232">
        <f t="shared" si="39"/>
        <v>170104</v>
      </c>
      <c r="I122" s="231">
        <v>109516</v>
      </c>
      <c r="J122" s="232">
        <f t="shared" si="40"/>
        <v>876128</v>
      </c>
      <c r="K122" s="231">
        <v>11126</v>
      </c>
      <c r="L122" s="232">
        <f t="shared" si="41"/>
        <v>89008</v>
      </c>
      <c r="M122" s="232"/>
      <c r="N122" s="232"/>
      <c r="O122" s="270">
        <f t="shared" si="22"/>
        <v>0</v>
      </c>
      <c r="P122" s="232"/>
      <c r="Q122" s="232">
        <f t="shared" si="23"/>
        <v>0</v>
      </c>
      <c r="R122" s="270">
        <f t="shared" si="24"/>
        <v>0</v>
      </c>
      <c r="S122" s="233">
        <f t="shared" si="42"/>
        <v>0</v>
      </c>
      <c r="T122" s="233">
        <f t="shared" si="43"/>
        <v>0</v>
      </c>
      <c r="U122" s="233">
        <f t="shared" si="44"/>
        <v>0</v>
      </c>
      <c r="V122" s="232">
        <f t="shared" si="25"/>
        <v>0</v>
      </c>
      <c r="W122" s="232">
        <f t="shared" si="26"/>
        <v>0</v>
      </c>
      <c r="X122" s="270">
        <f t="shared" si="27"/>
        <v>0</v>
      </c>
      <c r="Y122" s="234"/>
      <c r="Z122" s="383"/>
      <c r="AA122" s="252" t="e">
        <f>E122-#REF!</f>
        <v>#REF!</v>
      </c>
      <c r="AC122" s="235" t="s">
        <v>1496</v>
      </c>
      <c r="AD122" s="235" t="s">
        <v>2856</v>
      </c>
      <c r="AE122" s="235" t="s">
        <v>220</v>
      </c>
      <c r="AG122" s="235" t="s">
        <v>1778</v>
      </c>
      <c r="BV122" s="236" t="str">
        <f>HYPERLINK("#일위대가목록!A75","HP021 →")</f>
        <v>HP021 →</v>
      </c>
      <c r="CB122" s="235">
        <v>165131</v>
      </c>
      <c r="CC122" s="235">
        <v>1321048</v>
      </c>
      <c r="CD122" s="235">
        <v>24744</v>
      </c>
      <c r="CE122" s="235">
        <v>197952</v>
      </c>
      <c r="CF122" s="235">
        <v>127440</v>
      </c>
      <c r="CG122" s="235">
        <v>1019520</v>
      </c>
      <c r="CH122" s="235">
        <v>12947</v>
      </c>
      <c r="CI122" s="235">
        <v>103576</v>
      </c>
      <c r="CJ122" s="235" t="s">
        <v>167</v>
      </c>
    </row>
    <row r="123" spans="1:88" s="235" customFormat="1" ht="20.100000000000001" customHeight="1" x14ac:dyDescent="0.15">
      <c r="A123" s="229" t="s">
        <v>2950</v>
      </c>
      <c r="B123" s="229" t="s">
        <v>1820</v>
      </c>
      <c r="C123" s="230" t="s">
        <v>556</v>
      </c>
      <c r="D123" s="233">
        <v>1</v>
      </c>
      <c r="E123" s="231">
        <f t="shared" si="45"/>
        <v>141905</v>
      </c>
      <c r="F123" s="232">
        <f t="shared" si="45"/>
        <v>141905</v>
      </c>
      <c r="G123" s="231">
        <v>21263</v>
      </c>
      <c r="H123" s="232">
        <f t="shared" si="39"/>
        <v>21263</v>
      </c>
      <c r="I123" s="231">
        <v>109516</v>
      </c>
      <c r="J123" s="232">
        <f t="shared" si="40"/>
        <v>109516</v>
      </c>
      <c r="K123" s="231">
        <v>11126</v>
      </c>
      <c r="L123" s="232">
        <f t="shared" si="41"/>
        <v>11126</v>
      </c>
      <c r="M123" s="232"/>
      <c r="N123" s="232"/>
      <c r="O123" s="270">
        <f t="shared" si="22"/>
        <v>0</v>
      </c>
      <c r="P123" s="232"/>
      <c r="Q123" s="232">
        <f t="shared" si="23"/>
        <v>0</v>
      </c>
      <c r="R123" s="270">
        <f t="shared" si="24"/>
        <v>0</v>
      </c>
      <c r="S123" s="233">
        <f t="shared" si="42"/>
        <v>0</v>
      </c>
      <c r="T123" s="233">
        <f t="shared" si="43"/>
        <v>0</v>
      </c>
      <c r="U123" s="233">
        <f t="shared" si="44"/>
        <v>0</v>
      </c>
      <c r="V123" s="232">
        <f t="shared" si="25"/>
        <v>0</v>
      </c>
      <c r="W123" s="232">
        <f t="shared" si="26"/>
        <v>0</v>
      </c>
      <c r="X123" s="270">
        <f t="shared" si="27"/>
        <v>0</v>
      </c>
      <c r="Y123" s="234"/>
      <c r="Z123" s="383"/>
      <c r="AA123" s="252" t="e">
        <f>E123-#REF!</f>
        <v>#REF!</v>
      </c>
      <c r="AC123" s="235" t="s">
        <v>2233</v>
      </c>
      <c r="AD123" s="235" t="s">
        <v>2856</v>
      </c>
      <c r="AE123" s="235" t="s">
        <v>1893</v>
      </c>
      <c r="AG123" s="235" t="s">
        <v>1778</v>
      </c>
      <c r="BV123" s="236" t="str">
        <f>HYPERLINK("#일위대가목록!A76","HP022 →")</f>
        <v>HP022 →</v>
      </c>
      <c r="CB123" s="235">
        <v>165131</v>
      </c>
      <c r="CC123" s="235">
        <v>165131</v>
      </c>
      <c r="CD123" s="235">
        <v>24744</v>
      </c>
      <c r="CE123" s="235">
        <v>24744</v>
      </c>
      <c r="CF123" s="235">
        <v>127440</v>
      </c>
      <c r="CG123" s="235">
        <v>127440</v>
      </c>
      <c r="CH123" s="235">
        <v>12947</v>
      </c>
      <c r="CI123" s="235">
        <v>12947</v>
      </c>
      <c r="CJ123" s="235" t="s">
        <v>1760</v>
      </c>
    </row>
    <row r="124" spans="1:88" s="235" customFormat="1" ht="20.100000000000001" customHeight="1" x14ac:dyDescent="0.15">
      <c r="A124" s="229" t="s">
        <v>2951</v>
      </c>
      <c r="B124" s="229" t="s">
        <v>988</v>
      </c>
      <c r="C124" s="230" t="s">
        <v>556</v>
      </c>
      <c r="D124" s="233">
        <v>2</v>
      </c>
      <c r="E124" s="231">
        <f t="shared" si="45"/>
        <v>736005</v>
      </c>
      <c r="F124" s="232">
        <f t="shared" si="45"/>
        <v>1472010</v>
      </c>
      <c r="G124" s="231">
        <v>88722</v>
      </c>
      <c r="H124" s="232">
        <f t="shared" si="39"/>
        <v>177444</v>
      </c>
      <c r="I124" s="231">
        <v>514015</v>
      </c>
      <c r="J124" s="232">
        <f t="shared" si="40"/>
        <v>1028030</v>
      </c>
      <c r="K124" s="231">
        <v>133268</v>
      </c>
      <c r="L124" s="232">
        <f t="shared" si="41"/>
        <v>266536</v>
      </c>
      <c r="M124" s="232"/>
      <c r="N124" s="232"/>
      <c r="O124" s="270">
        <f t="shared" si="22"/>
        <v>0</v>
      </c>
      <c r="P124" s="232"/>
      <c r="Q124" s="232">
        <f t="shared" si="23"/>
        <v>0</v>
      </c>
      <c r="R124" s="270">
        <f t="shared" si="24"/>
        <v>0</v>
      </c>
      <c r="S124" s="233">
        <f t="shared" si="42"/>
        <v>0</v>
      </c>
      <c r="T124" s="233">
        <f t="shared" si="43"/>
        <v>0</v>
      </c>
      <c r="U124" s="233">
        <f t="shared" si="44"/>
        <v>0</v>
      </c>
      <c r="V124" s="232">
        <f t="shared" si="25"/>
        <v>0</v>
      </c>
      <c r="W124" s="232">
        <f t="shared" si="26"/>
        <v>0</v>
      </c>
      <c r="X124" s="270">
        <f t="shared" si="27"/>
        <v>0</v>
      </c>
      <c r="Y124" s="234"/>
      <c r="Z124" s="383"/>
      <c r="AA124" s="252" t="e">
        <f>E124-#REF!</f>
        <v>#REF!</v>
      </c>
      <c r="AC124" s="235" t="s">
        <v>767</v>
      </c>
      <c r="AD124" s="235" t="s">
        <v>2856</v>
      </c>
      <c r="AE124" s="235" t="s">
        <v>1733</v>
      </c>
      <c r="AG124" s="235" t="s">
        <v>1778</v>
      </c>
      <c r="BV124" s="236" t="str">
        <f>HYPERLINK("#일위대가목록!A77","HP024 →")</f>
        <v>HP024 →</v>
      </c>
      <c r="CB124" s="235">
        <v>856463</v>
      </c>
      <c r="CC124" s="235">
        <v>1712926</v>
      </c>
      <c r="CD124" s="235">
        <v>103243</v>
      </c>
      <c r="CE124" s="235">
        <v>206486</v>
      </c>
      <c r="CF124" s="235">
        <v>598140</v>
      </c>
      <c r="CG124" s="235">
        <v>1196280</v>
      </c>
      <c r="CH124" s="235">
        <v>155080</v>
      </c>
      <c r="CI124" s="235">
        <v>310160</v>
      </c>
      <c r="CJ124" s="235" t="s">
        <v>93</v>
      </c>
    </row>
    <row r="125" spans="1:88" s="235" customFormat="1" ht="20.100000000000001" customHeight="1" x14ac:dyDescent="0.15">
      <c r="A125" s="229" t="s">
        <v>2951</v>
      </c>
      <c r="B125" s="229" t="s">
        <v>1281</v>
      </c>
      <c r="C125" s="230" t="s">
        <v>556</v>
      </c>
      <c r="D125" s="233">
        <v>2</v>
      </c>
      <c r="E125" s="231">
        <f t="shared" si="45"/>
        <v>262422</v>
      </c>
      <c r="F125" s="232">
        <f t="shared" si="45"/>
        <v>524844</v>
      </c>
      <c r="G125" s="231">
        <v>38610</v>
      </c>
      <c r="H125" s="232">
        <f t="shared" si="39"/>
        <v>77220</v>
      </c>
      <c r="I125" s="231">
        <v>203171</v>
      </c>
      <c r="J125" s="232">
        <f t="shared" si="40"/>
        <v>406342</v>
      </c>
      <c r="K125" s="231">
        <v>20641</v>
      </c>
      <c r="L125" s="232">
        <f t="shared" si="41"/>
        <v>41282</v>
      </c>
      <c r="M125" s="232"/>
      <c r="N125" s="232"/>
      <c r="O125" s="270">
        <f t="shared" si="22"/>
        <v>0</v>
      </c>
      <c r="P125" s="232"/>
      <c r="Q125" s="232">
        <f t="shared" si="23"/>
        <v>0</v>
      </c>
      <c r="R125" s="270">
        <f t="shared" si="24"/>
        <v>0</v>
      </c>
      <c r="S125" s="233">
        <f t="shared" si="42"/>
        <v>0</v>
      </c>
      <c r="T125" s="233">
        <f t="shared" si="43"/>
        <v>0</v>
      </c>
      <c r="U125" s="233">
        <f t="shared" si="44"/>
        <v>0</v>
      </c>
      <c r="V125" s="232">
        <f t="shared" si="25"/>
        <v>0</v>
      </c>
      <c r="W125" s="232">
        <f t="shared" si="26"/>
        <v>0</v>
      </c>
      <c r="X125" s="270">
        <f t="shared" si="27"/>
        <v>0</v>
      </c>
      <c r="Y125" s="234"/>
      <c r="Z125" s="383"/>
      <c r="AA125" s="252" t="e">
        <f>E125-#REF!</f>
        <v>#REF!</v>
      </c>
      <c r="AC125" s="235" t="s">
        <v>1450</v>
      </c>
      <c r="AD125" s="235" t="s">
        <v>2856</v>
      </c>
      <c r="AE125" s="235" t="s">
        <v>110</v>
      </c>
      <c r="AG125" s="235" t="s">
        <v>1778</v>
      </c>
      <c r="BV125" s="236" t="str">
        <f>HYPERLINK("#일위대가목록!A78","HP025 →")</f>
        <v>HP025 →</v>
      </c>
      <c r="CB125" s="235">
        <v>305373</v>
      </c>
      <c r="CC125" s="235">
        <v>610746</v>
      </c>
      <c r="CD125" s="235">
        <v>44930</v>
      </c>
      <c r="CE125" s="235">
        <v>89860</v>
      </c>
      <c r="CF125" s="235">
        <v>236423</v>
      </c>
      <c r="CG125" s="235">
        <v>472846</v>
      </c>
      <c r="CH125" s="235">
        <v>24020</v>
      </c>
      <c r="CI125" s="235">
        <v>48040</v>
      </c>
      <c r="CJ125" s="235" t="s">
        <v>2658</v>
      </c>
    </row>
    <row r="126" spans="1:88" s="235" customFormat="1" ht="20.100000000000001" customHeight="1" x14ac:dyDescent="0.15">
      <c r="A126" s="229" t="s">
        <v>2952</v>
      </c>
      <c r="B126" s="229" t="s">
        <v>244</v>
      </c>
      <c r="C126" s="230" t="s">
        <v>556</v>
      </c>
      <c r="D126" s="233">
        <v>1</v>
      </c>
      <c r="E126" s="231">
        <f t="shared" si="45"/>
        <v>741651</v>
      </c>
      <c r="F126" s="232">
        <f t="shared" si="45"/>
        <v>741651</v>
      </c>
      <c r="G126" s="231">
        <v>94368</v>
      </c>
      <c r="H126" s="232">
        <f t="shared" si="39"/>
        <v>94368</v>
      </c>
      <c r="I126" s="231">
        <v>514015</v>
      </c>
      <c r="J126" s="232">
        <f t="shared" si="40"/>
        <v>514015</v>
      </c>
      <c r="K126" s="231">
        <v>133268</v>
      </c>
      <c r="L126" s="232">
        <f t="shared" si="41"/>
        <v>133268</v>
      </c>
      <c r="M126" s="232"/>
      <c r="N126" s="232"/>
      <c r="O126" s="270">
        <f t="shared" si="22"/>
        <v>0</v>
      </c>
      <c r="P126" s="232">
        <v>1</v>
      </c>
      <c r="Q126" s="232">
        <f t="shared" si="23"/>
        <v>741651</v>
      </c>
      <c r="R126" s="270">
        <f t="shared" si="24"/>
        <v>1</v>
      </c>
      <c r="S126" s="233">
        <f t="shared" si="42"/>
        <v>94368</v>
      </c>
      <c r="T126" s="233">
        <f t="shared" si="43"/>
        <v>514015</v>
      </c>
      <c r="U126" s="233">
        <f t="shared" si="44"/>
        <v>133268</v>
      </c>
      <c r="V126" s="232">
        <f t="shared" si="25"/>
        <v>1</v>
      </c>
      <c r="W126" s="232">
        <f t="shared" si="26"/>
        <v>741651</v>
      </c>
      <c r="X126" s="270">
        <f t="shared" si="27"/>
        <v>1</v>
      </c>
      <c r="Y126" s="234"/>
      <c r="Z126" s="383"/>
      <c r="AA126" s="252" t="e">
        <f>E126-#REF!</f>
        <v>#REF!</v>
      </c>
      <c r="AC126" s="235" t="s">
        <v>2180</v>
      </c>
      <c r="AD126" s="235" t="s">
        <v>2856</v>
      </c>
      <c r="AE126" s="235" t="s">
        <v>1963</v>
      </c>
      <c r="AG126" s="235" t="s">
        <v>1778</v>
      </c>
      <c r="BV126" s="236" t="str">
        <f>HYPERLINK("#일위대가목록!A79","HP026 →")</f>
        <v>HP026 →</v>
      </c>
      <c r="CB126" s="235">
        <v>863033</v>
      </c>
      <c r="CC126" s="235">
        <v>863033</v>
      </c>
      <c r="CD126" s="235">
        <v>109813</v>
      </c>
      <c r="CE126" s="235">
        <v>109813</v>
      </c>
      <c r="CF126" s="235">
        <v>598140</v>
      </c>
      <c r="CG126" s="235">
        <v>598140</v>
      </c>
      <c r="CH126" s="235">
        <v>155080</v>
      </c>
      <c r="CI126" s="235">
        <v>155080</v>
      </c>
      <c r="CJ126" s="235" t="s">
        <v>1386</v>
      </c>
    </row>
    <row r="127" spans="1:88" s="235" customFormat="1" ht="20.100000000000001" customHeight="1" x14ac:dyDescent="0.15">
      <c r="A127" s="229" t="s">
        <v>2952</v>
      </c>
      <c r="B127" s="229" t="s">
        <v>198</v>
      </c>
      <c r="C127" s="230" t="s">
        <v>556</v>
      </c>
      <c r="D127" s="233">
        <v>0</v>
      </c>
      <c r="E127" s="231">
        <f t="shared" si="45"/>
        <v>738806</v>
      </c>
      <c r="F127" s="232">
        <f t="shared" si="45"/>
        <v>0</v>
      </c>
      <c r="G127" s="231">
        <v>91523</v>
      </c>
      <c r="H127" s="232">
        <f t="shared" si="39"/>
        <v>0</v>
      </c>
      <c r="I127" s="231">
        <v>514015</v>
      </c>
      <c r="J127" s="232">
        <f t="shared" si="40"/>
        <v>0</v>
      </c>
      <c r="K127" s="231">
        <v>133268</v>
      </c>
      <c r="L127" s="232">
        <f t="shared" si="41"/>
        <v>0</v>
      </c>
      <c r="M127" s="232"/>
      <c r="N127" s="232"/>
      <c r="O127" s="270">
        <f t="shared" si="22"/>
        <v>0</v>
      </c>
      <c r="P127" s="232"/>
      <c r="Q127" s="232">
        <f t="shared" si="23"/>
        <v>0</v>
      </c>
      <c r="R127" s="270">
        <f t="shared" si="24"/>
        <v>0</v>
      </c>
      <c r="S127" s="233">
        <f t="shared" si="42"/>
        <v>0</v>
      </c>
      <c r="T127" s="233">
        <f t="shared" si="43"/>
        <v>0</v>
      </c>
      <c r="U127" s="233">
        <f t="shared" si="44"/>
        <v>0</v>
      </c>
      <c r="V127" s="232">
        <f t="shared" si="25"/>
        <v>0</v>
      </c>
      <c r="W127" s="232">
        <f t="shared" si="26"/>
        <v>0</v>
      </c>
      <c r="X127" s="270">
        <f t="shared" si="27"/>
        <v>0</v>
      </c>
      <c r="Y127" s="234"/>
      <c r="Z127" s="383"/>
      <c r="AA127" s="252" t="e">
        <f>E127-#REF!</f>
        <v>#REF!</v>
      </c>
      <c r="AC127" s="235" t="s">
        <v>2</v>
      </c>
      <c r="AD127" s="235" t="s">
        <v>2856</v>
      </c>
      <c r="AE127" s="235" t="s">
        <v>419</v>
      </c>
      <c r="AG127" s="235" t="s">
        <v>1778</v>
      </c>
      <c r="BV127" s="236" t="str">
        <f>HYPERLINK("#일위대가목록!A80","HP027 →")</f>
        <v>HP027 →</v>
      </c>
      <c r="CB127" s="235">
        <v>859723</v>
      </c>
      <c r="CC127" s="235">
        <v>859723</v>
      </c>
      <c r="CD127" s="235">
        <v>106503</v>
      </c>
      <c r="CE127" s="235">
        <v>106503</v>
      </c>
      <c r="CF127" s="235">
        <v>598140</v>
      </c>
      <c r="CG127" s="235">
        <v>598140</v>
      </c>
      <c r="CH127" s="235">
        <v>155080</v>
      </c>
      <c r="CI127" s="235">
        <v>155080</v>
      </c>
      <c r="CJ127" s="235" t="s">
        <v>2160</v>
      </c>
    </row>
    <row r="128" spans="1:88" s="235" customFormat="1" ht="20.100000000000001" customHeight="1" x14ac:dyDescent="0.15">
      <c r="A128" s="229" t="s">
        <v>2952</v>
      </c>
      <c r="B128" s="229" t="s">
        <v>1553</v>
      </c>
      <c r="C128" s="230" t="s">
        <v>556</v>
      </c>
      <c r="D128" s="233">
        <v>0</v>
      </c>
      <c r="E128" s="231">
        <f t="shared" si="45"/>
        <v>738806</v>
      </c>
      <c r="F128" s="232">
        <f t="shared" si="45"/>
        <v>0</v>
      </c>
      <c r="G128" s="231">
        <v>91523</v>
      </c>
      <c r="H128" s="232">
        <f t="shared" si="39"/>
        <v>0</v>
      </c>
      <c r="I128" s="231">
        <v>514015</v>
      </c>
      <c r="J128" s="232">
        <f t="shared" si="40"/>
        <v>0</v>
      </c>
      <c r="K128" s="231">
        <v>133268</v>
      </c>
      <c r="L128" s="232">
        <f t="shared" si="41"/>
        <v>0</v>
      </c>
      <c r="M128" s="232"/>
      <c r="N128" s="232"/>
      <c r="O128" s="270">
        <f t="shared" si="22"/>
        <v>0</v>
      </c>
      <c r="P128" s="232"/>
      <c r="Q128" s="232">
        <f t="shared" si="23"/>
        <v>0</v>
      </c>
      <c r="R128" s="270">
        <f t="shared" si="24"/>
        <v>0</v>
      </c>
      <c r="S128" s="233">
        <f t="shared" si="42"/>
        <v>0</v>
      </c>
      <c r="T128" s="233">
        <f t="shared" si="43"/>
        <v>0</v>
      </c>
      <c r="U128" s="233">
        <f t="shared" si="44"/>
        <v>0</v>
      </c>
      <c r="V128" s="232">
        <f t="shared" si="25"/>
        <v>0</v>
      </c>
      <c r="W128" s="232">
        <f t="shared" si="26"/>
        <v>0</v>
      </c>
      <c r="X128" s="270">
        <f t="shared" si="27"/>
        <v>0</v>
      </c>
      <c r="Y128" s="234"/>
      <c r="Z128" s="383"/>
      <c r="AA128" s="252" t="e">
        <f>E128-#REF!</f>
        <v>#REF!</v>
      </c>
      <c r="AC128" s="235" t="s">
        <v>714</v>
      </c>
      <c r="AD128" s="235" t="s">
        <v>2856</v>
      </c>
      <c r="AE128" s="235" t="s">
        <v>2049</v>
      </c>
      <c r="AG128" s="235" t="s">
        <v>1778</v>
      </c>
      <c r="BV128" s="236" t="str">
        <f>HYPERLINK("#일위대가목록!A81","HP028 →")</f>
        <v>HP028 →</v>
      </c>
      <c r="CB128" s="235">
        <v>859723</v>
      </c>
      <c r="CC128" s="235">
        <v>2579169</v>
      </c>
      <c r="CD128" s="235">
        <v>106503</v>
      </c>
      <c r="CE128" s="235">
        <v>319509</v>
      </c>
      <c r="CF128" s="235">
        <v>598140</v>
      </c>
      <c r="CG128" s="235">
        <v>1794420</v>
      </c>
      <c r="CH128" s="235">
        <v>155080</v>
      </c>
      <c r="CI128" s="235">
        <v>465240</v>
      </c>
      <c r="CJ128" s="235" t="s">
        <v>990</v>
      </c>
    </row>
    <row r="129" spans="1:88" s="235" customFormat="1" ht="20.100000000000001" customHeight="1" x14ac:dyDescent="0.15">
      <c r="A129" s="229" t="s">
        <v>2952</v>
      </c>
      <c r="B129" s="229" t="s">
        <v>1864</v>
      </c>
      <c r="C129" s="230" t="s">
        <v>556</v>
      </c>
      <c r="D129" s="233">
        <v>0</v>
      </c>
      <c r="E129" s="231">
        <f t="shared" si="45"/>
        <v>738806</v>
      </c>
      <c r="F129" s="232">
        <f t="shared" si="45"/>
        <v>0</v>
      </c>
      <c r="G129" s="231">
        <v>91523</v>
      </c>
      <c r="H129" s="232">
        <f t="shared" si="39"/>
        <v>0</v>
      </c>
      <c r="I129" s="231">
        <v>514015</v>
      </c>
      <c r="J129" s="232">
        <f t="shared" si="40"/>
        <v>0</v>
      </c>
      <c r="K129" s="231">
        <v>133268</v>
      </c>
      <c r="L129" s="232">
        <f t="shared" si="41"/>
        <v>0</v>
      </c>
      <c r="M129" s="232"/>
      <c r="N129" s="232"/>
      <c r="O129" s="270">
        <f t="shared" si="22"/>
        <v>0</v>
      </c>
      <c r="P129" s="232"/>
      <c r="Q129" s="232">
        <f t="shared" si="23"/>
        <v>0</v>
      </c>
      <c r="R129" s="270">
        <f t="shared" si="24"/>
        <v>0</v>
      </c>
      <c r="S129" s="233">
        <f t="shared" si="42"/>
        <v>0</v>
      </c>
      <c r="T129" s="233">
        <f t="shared" si="43"/>
        <v>0</v>
      </c>
      <c r="U129" s="233">
        <f t="shared" si="44"/>
        <v>0</v>
      </c>
      <c r="V129" s="232">
        <f t="shared" si="25"/>
        <v>0</v>
      </c>
      <c r="W129" s="232">
        <f t="shared" si="26"/>
        <v>0</v>
      </c>
      <c r="X129" s="270">
        <f t="shared" si="27"/>
        <v>0</v>
      </c>
      <c r="Y129" s="234"/>
      <c r="Z129" s="383"/>
      <c r="AA129" s="252" t="e">
        <f>E129-#REF!</f>
        <v>#REF!</v>
      </c>
      <c r="AC129" s="235" t="s">
        <v>1575</v>
      </c>
      <c r="AD129" s="235" t="s">
        <v>2856</v>
      </c>
      <c r="AE129" s="235" t="s">
        <v>358</v>
      </c>
      <c r="AG129" s="235" t="s">
        <v>1778</v>
      </c>
      <c r="BV129" s="236" t="str">
        <f>HYPERLINK("#일위대가목록!A82","HP029 →")</f>
        <v>HP029 →</v>
      </c>
      <c r="CB129" s="235">
        <v>859723</v>
      </c>
      <c r="CC129" s="235">
        <v>2579169</v>
      </c>
      <c r="CD129" s="235">
        <v>106503</v>
      </c>
      <c r="CE129" s="235">
        <v>319509</v>
      </c>
      <c r="CF129" s="235">
        <v>598140</v>
      </c>
      <c r="CG129" s="235">
        <v>1794420</v>
      </c>
      <c r="CH129" s="235">
        <v>155080</v>
      </c>
      <c r="CI129" s="235">
        <v>465240</v>
      </c>
      <c r="CJ129" s="235" t="s">
        <v>2726</v>
      </c>
    </row>
    <row r="130" spans="1:88" s="235" customFormat="1" ht="20.100000000000001" customHeight="1" x14ac:dyDescent="0.15">
      <c r="A130" s="229" t="s">
        <v>2952</v>
      </c>
      <c r="B130" s="229" t="s">
        <v>2133</v>
      </c>
      <c r="C130" s="230" t="s">
        <v>556</v>
      </c>
      <c r="D130" s="233">
        <v>3</v>
      </c>
      <c r="E130" s="231">
        <f t="shared" si="45"/>
        <v>736005</v>
      </c>
      <c r="F130" s="232">
        <f t="shared" si="45"/>
        <v>2208015</v>
      </c>
      <c r="G130" s="231">
        <v>88722</v>
      </c>
      <c r="H130" s="232">
        <f t="shared" si="39"/>
        <v>266166</v>
      </c>
      <c r="I130" s="231">
        <v>514015</v>
      </c>
      <c r="J130" s="232">
        <f t="shared" si="40"/>
        <v>1542045</v>
      </c>
      <c r="K130" s="231">
        <v>133268</v>
      </c>
      <c r="L130" s="232">
        <f t="shared" si="41"/>
        <v>399804</v>
      </c>
      <c r="M130" s="232"/>
      <c r="N130" s="232"/>
      <c r="O130" s="270">
        <f t="shared" si="22"/>
        <v>0</v>
      </c>
      <c r="P130" s="232">
        <v>3</v>
      </c>
      <c r="Q130" s="232">
        <f t="shared" si="23"/>
        <v>2208015</v>
      </c>
      <c r="R130" s="270">
        <f t="shared" si="24"/>
        <v>1</v>
      </c>
      <c r="S130" s="233">
        <f t="shared" si="42"/>
        <v>266166</v>
      </c>
      <c r="T130" s="233">
        <f t="shared" si="43"/>
        <v>1542045</v>
      </c>
      <c r="U130" s="233">
        <f t="shared" si="44"/>
        <v>399804</v>
      </c>
      <c r="V130" s="232">
        <f t="shared" si="25"/>
        <v>3</v>
      </c>
      <c r="W130" s="232">
        <f t="shared" si="26"/>
        <v>2208015</v>
      </c>
      <c r="X130" s="270">
        <f t="shared" si="27"/>
        <v>1</v>
      </c>
      <c r="Y130" s="234"/>
      <c r="Z130" s="383"/>
      <c r="AA130" s="252" t="e">
        <f>E130-#REF!</f>
        <v>#REF!</v>
      </c>
      <c r="AC130" s="235" t="s">
        <v>2309</v>
      </c>
      <c r="AD130" s="235" t="s">
        <v>2856</v>
      </c>
      <c r="AE130" s="235" t="s">
        <v>2194</v>
      </c>
      <c r="AG130" s="235" t="s">
        <v>1778</v>
      </c>
      <c r="BV130" s="236" t="str">
        <f>HYPERLINK("#일위대가목록!A83","HP030 →")</f>
        <v>HP030 →</v>
      </c>
      <c r="CB130" s="235">
        <v>856463</v>
      </c>
      <c r="CC130" s="235">
        <v>11134019</v>
      </c>
      <c r="CD130" s="235">
        <v>103243</v>
      </c>
      <c r="CE130" s="235">
        <v>1342159</v>
      </c>
      <c r="CF130" s="235">
        <v>598140</v>
      </c>
      <c r="CG130" s="235">
        <v>7775820</v>
      </c>
      <c r="CH130" s="235">
        <v>155080</v>
      </c>
      <c r="CI130" s="235">
        <v>2016040</v>
      </c>
      <c r="CJ130" s="235" t="s">
        <v>1107</v>
      </c>
    </row>
    <row r="131" spans="1:88" s="235" customFormat="1" ht="20.100000000000001" customHeight="1" x14ac:dyDescent="0.15">
      <c r="A131" s="229" t="s">
        <v>2952</v>
      </c>
      <c r="B131" s="229" t="s">
        <v>837</v>
      </c>
      <c r="C131" s="230" t="s">
        <v>556</v>
      </c>
      <c r="D131" s="233">
        <v>0</v>
      </c>
      <c r="E131" s="231">
        <f t="shared" si="45"/>
        <v>533505</v>
      </c>
      <c r="F131" s="232">
        <f t="shared" si="45"/>
        <v>0</v>
      </c>
      <c r="G131" s="231">
        <v>61859</v>
      </c>
      <c r="H131" s="232">
        <f t="shared" si="39"/>
        <v>0</v>
      </c>
      <c r="I131" s="231">
        <v>380751</v>
      </c>
      <c r="J131" s="232">
        <f t="shared" si="40"/>
        <v>0</v>
      </c>
      <c r="K131" s="231">
        <v>90895</v>
      </c>
      <c r="L131" s="232">
        <f t="shared" si="41"/>
        <v>0</v>
      </c>
      <c r="M131" s="232"/>
      <c r="N131" s="232"/>
      <c r="O131" s="270">
        <f t="shared" si="22"/>
        <v>0</v>
      </c>
      <c r="P131" s="232"/>
      <c r="Q131" s="232">
        <f t="shared" si="23"/>
        <v>0</v>
      </c>
      <c r="R131" s="270">
        <f t="shared" si="24"/>
        <v>0</v>
      </c>
      <c r="S131" s="233">
        <f t="shared" si="42"/>
        <v>0</v>
      </c>
      <c r="T131" s="233">
        <f t="shared" si="43"/>
        <v>0</v>
      </c>
      <c r="U131" s="233">
        <f t="shared" si="44"/>
        <v>0</v>
      </c>
      <c r="V131" s="232">
        <f t="shared" si="25"/>
        <v>0</v>
      </c>
      <c r="W131" s="232">
        <f t="shared" si="26"/>
        <v>0</v>
      </c>
      <c r="X131" s="270">
        <f t="shared" si="27"/>
        <v>0</v>
      </c>
      <c r="Y131" s="234"/>
      <c r="Z131" s="383"/>
      <c r="AA131" s="252" t="e">
        <f>E131-#REF!</f>
        <v>#REF!</v>
      </c>
      <c r="AC131" s="235" t="s">
        <v>1978</v>
      </c>
      <c r="AD131" s="235" t="s">
        <v>2856</v>
      </c>
      <c r="AE131" s="235" t="s">
        <v>931</v>
      </c>
      <c r="AG131" s="235" t="s">
        <v>1778</v>
      </c>
      <c r="BV131" s="236" t="str">
        <f>HYPERLINK("#일위대가목록!A84","HP031 →")</f>
        <v>HP031 →</v>
      </c>
      <c r="CB131" s="235">
        <v>620822</v>
      </c>
      <c r="CC131" s="235">
        <v>620822</v>
      </c>
      <c r="CD131" s="235">
        <v>71984</v>
      </c>
      <c r="CE131" s="235">
        <v>71984</v>
      </c>
      <c r="CF131" s="235">
        <v>443066</v>
      </c>
      <c r="CG131" s="235">
        <v>443066</v>
      </c>
      <c r="CH131" s="235">
        <v>105772</v>
      </c>
      <c r="CI131" s="235">
        <v>105772</v>
      </c>
      <c r="CJ131" s="235" t="s">
        <v>2412</v>
      </c>
    </row>
    <row r="132" spans="1:88" s="235" customFormat="1" ht="20.100000000000001" customHeight="1" x14ac:dyDescent="0.15">
      <c r="A132" s="255" t="s">
        <v>3192</v>
      </c>
      <c r="B132" s="255" t="s">
        <v>3194</v>
      </c>
      <c r="C132" s="230" t="s">
        <v>556</v>
      </c>
      <c r="D132" s="233">
        <v>4</v>
      </c>
      <c r="E132" s="231">
        <f>G132+I132+K132</f>
        <v>1471634</v>
      </c>
      <c r="F132" s="232">
        <f>H132+J132+L132</f>
        <v>5886536</v>
      </c>
      <c r="G132" s="231">
        <v>156588</v>
      </c>
      <c r="H132" s="232">
        <f t="shared" si="39"/>
        <v>626352</v>
      </c>
      <c r="I132" s="231">
        <v>1044292</v>
      </c>
      <c r="J132" s="232">
        <f t="shared" si="40"/>
        <v>4177168</v>
      </c>
      <c r="K132" s="231">
        <v>270754</v>
      </c>
      <c r="L132" s="232">
        <f t="shared" si="41"/>
        <v>1083016</v>
      </c>
      <c r="M132" s="232"/>
      <c r="N132" s="232"/>
      <c r="O132" s="270">
        <f t="shared" si="22"/>
        <v>0</v>
      </c>
      <c r="P132" s="232">
        <v>2</v>
      </c>
      <c r="Q132" s="232">
        <f t="shared" si="23"/>
        <v>2943268</v>
      </c>
      <c r="R132" s="270">
        <f t="shared" si="24"/>
        <v>0.5</v>
      </c>
      <c r="S132" s="233">
        <f t="shared" si="42"/>
        <v>313176</v>
      </c>
      <c r="T132" s="233">
        <f t="shared" si="43"/>
        <v>2088584</v>
      </c>
      <c r="U132" s="233">
        <f t="shared" si="44"/>
        <v>541508</v>
      </c>
      <c r="V132" s="232">
        <f t="shared" si="25"/>
        <v>2</v>
      </c>
      <c r="W132" s="232">
        <f t="shared" si="26"/>
        <v>2943268</v>
      </c>
      <c r="X132" s="270">
        <f t="shared" si="27"/>
        <v>0.5</v>
      </c>
      <c r="Y132" s="234"/>
      <c r="Z132" s="383"/>
      <c r="AA132" s="252" t="e">
        <f>E132-#REF!</f>
        <v>#REF!</v>
      </c>
      <c r="AC132" s="235" t="s">
        <v>2180</v>
      </c>
      <c r="AD132" s="235" t="s">
        <v>2856</v>
      </c>
      <c r="AE132" s="235" t="s">
        <v>1963</v>
      </c>
      <c r="AG132" s="235" t="s">
        <v>1778</v>
      </c>
      <c r="BV132" s="236" t="str">
        <f>HYPERLINK("#일위대가목록!A79","HP026 →")</f>
        <v>HP026 →</v>
      </c>
      <c r="CB132" s="235">
        <v>863033</v>
      </c>
      <c r="CC132" s="235">
        <v>863033</v>
      </c>
      <c r="CD132" s="235">
        <v>109813</v>
      </c>
      <c r="CE132" s="235">
        <v>109813</v>
      </c>
      <c r="CF132" s="235">
        <v>598140</v>
      </c>
      <c r="CG132" s="235">
        <v>598140</v>
      </c>
      <c r="CH132" s="235">
        <v>155080</v>
      </c>
      <c r="CI132" s="235">
        <v>155080</v>
      </c>
      <c r="CJ132" s="235" t="s">
        <v>1386</v>
      </c>
    </row>
    <row r="133" spans="1:88" s="235" customFormat="1" ht="20.100000000000001" customHeight="1" x14ac:dyDescent="0.15">
      <c r="A133" s="255" t="s">
        <v>2952</v>
      </c>
      <c r="B133" s="255" t="s">
        <v>3195</v>
      </c>
      <c r="C133" s="230" t="s">
        <v>3193</v>
      </c>
      <c r="D133" s="233">
        <v>2</v>
      </c>
      <c r="E133" s="231">
        <f>G133+I133+K133</f>
        <v>1464617</v>
      </c>
      <c r="F133" s="232">
        <f>H133+J133+L133</f>
        <v>2929234</v>
      </c>
      <c r="G133" s="231">
        <v>149571</v>
      </c>
      <c r="H133" s="232">
        <f t="shared" si="39"/>
        <v>299142</v>
      </c>
      <c r="I133" s="231">
        <v>1044292</v>
      </c>
      <c r="J133" s="232">
        <f t="shared" si="40"/>
        <v>2088584</v>
      </c>
      <c r="K133" s="231">
        <v>270754</v>
      </c>
      <c r="L133" s="232">
        <f t="shared" si="41"/>
        <v>541508</v>
      </c>
      <c r="M133" s="232"/>
      <c r="N133" s="232"/>
      <c r="O133" s="270">
        <f t="shared" ref="O133:O196" si="46">IFERROR(N133/$F133,0)</f>
        <v>0</v>
      </c>
      <c r="P133" s="232">
        <v>1</v>
      </c>
      <c r="Q133" s="232">
        <f t="shared" ref="Q133:Q196" si="47">SUM(S133:U133)</f>
        <v>1464617</v>
      </c>
      <c r="R133" s="270">
        <f t="shared" ref="R133:R196" si="48">IFERROR(Q133/$F133,0)</f>
        <v>0.5</v>
      </c>
      <c r="S133" s="233">
        <f t="shared" si="42"/>
        <v>149571</v>
      </c>
      <c r="T133" s="233">
        <f t="shared" si="43"/>
        <v>1044292</v>
      </c>
      <c r="U133" s="233">
        <f t="shared" si="44"/>
        <v>270754</v>
      </c>
      <c r="V133" s="232">
        <f t="shared" ref="V133:V196" si="49">M133+P133</f>
        <v>1</v>
      </c>
      <c r="W133" s="232">
        <f t="shared" ref="W133:W196" si="50">N133+Q133</f>
        <v>1464617</v>
      </c>
      <c r="X133" s="270">
        <f t="shared" ref="X133:X196" si="51">IFERROR(W133/$F133,0)</f>
        <v>0.5</v>
      </c>
      <c r="Y133" s="234"/>
      <c r="Z133" s="383"/>
      <c r="AA133" s="252" t="e">
        <f>E133-#REF!</f>
        <v>#REF!</v>
      </c>
      <c r="AC133" s="235" t="s">
        <v>2309</v>
      </c>
      <c r="AD133" s="235" t="s">
        <v>2856</v>
      </c>
      <c r="AE133" s="235" t="s">
        <v>2194</v>
      </c>
      <c r="AG133" s="235" t="s">
        <v>1778</v>
      </c>
      <c r="BV133" s="236" t="str">
        <f>HYPERLINK("#일위대가목록!A83","HP030 →")</f>
        <v>HP030 →</v>
      </c>
      <c r="CB133" s="235">
        <v>856463</v>
      </c>
      <c r="CC133" s="235">
        <v>11134019</v>
      </c>
      <c r="CD133" s="235">
        <v>103243</v>
      </c>
      <c r="CE133" s="235">
        <v>1342159</v>
      </c>
      <c r="CF133" s="235">
        <v>598140</v>
      </c>
      <c r="CG133" s="235">
        <v>7775820</v>
      </c>
      <c r="CH133" s="235">
        <v>155080</v>
      </c>
      <c r="CI133" s="235">
        <v>2016040</v>
      </c>
      <c r="CJ133" s="235" t="s">
        <v>1107</v>
      </c>
    </row>
    <row r="134" spans="1:88" s="235" customFormat="1" ht="20.100000000000001" customHeight="1" x14ac:dyDescent="0.15">
      <c r="A134" s="255" t="s">
        <v>2953</v>
      </c>
      <c r="B134" s="255" t="s">
        <v>1558</v>
      </c>
      <c r="C134" s="230" t="s">
        <v>556</v>
      </c>
      <c r="D134" s="233">
        <v>4</v>
      </c>
      <c r="E134" s="231">
        <f t="shared" si="45"/>
        <v>533505</v>
      </c>
      <c r="F134" s="232">
        <f t="shared" si="45"/>
        <v>2134020</v>
      </c>
      <c r="G134" s="231">
        <v>61859</v>
      </c>
      <c r="H134" s="232">
        <f t="shared" ref="H134:H165" si="52">TRUNC(G134*D134,0)</f>
        <v>247436</v>
      </c>
      <c r="I134" s="231">
        <v>380751</v>
      </c>
      <c r="J134" s="232">
        <f t="shared" ref="J134:J165" si="53">TRUNC(I134*D134,0)</f>
        <v>1523004</v>
      </c>
      <c r="K134" s="231">
        <v>90895</v>
      </c>
      <c r="L134" s="232">
        <f t="shared" ref="L134:L165" si="54">TRUNC(K134*D134,0)</f>
        <v>363580</v>
      </c>
      <c r="M134" s="232"/>
      <c r="N134" s="232"/>
      <c r="O134" s="270">
        <f t="shared" si="46"/>
        <v>0</v>
      </c>
      <c r="P134" s="232">
        <v>3</v>
      </c>
      <c r="Q134" s="232">
        <f t="shared" si="47"/>
        <v>1600515</v>
      </c>
      <c r="R134" s="270">
        <f t="shared" si="48"/>
        <v>0.75</v>
      </c>
      <c r="S134" s="233">
        <f t="shared" si="42"/>
        <v>185577</v>
      </c>
      <c r="T134" s="233">
        <f t="shared" si="43"/>
        <v>1142253</v>
      </c>
      <c r="U134" s="233">
        <f t="shared" si="44"/>
        <v>272685</v>
      </c>
      <c r="V134" s="232">
        <f t="shared" si="49"/>
        <v>3</v>
      </c>
      <c r="W134" s="232">
        <f t="shared" si="50"/>
        <v>1600515</v>
      </c>
      <c r="X134" s="270">
        <f t="shared" si="51"/>
        <v>0.75</v>
      </c>
      <c r="Y134" s="234"/>
      <c r="Z134" s="383"/>
      <c r="AA134" s="252" t="e">
        <f>E134-#REF!</f>
        <v>#REF!</v>
      </c>
      <c r="AC134" s="235" t="s">
        <v>2687</v>
      </c>
      <c r="AD134" s="235" t="s">
        <v>2856</v>
      </c>
      <c r="AE134" s="235" t="s">
        <v>2596</v>
      </c>
      <c r="AG134" s="235" t="s">
        <v>1778</v>
      </c>
      <c r="BV134" s="236" t="str">
        <f>HYPERLINK("#일위대가목록!A85","HP032 →")</f>
        <v>HP032 →</v>
      </c>
      <c r="CB134" s="235">
        <v>620822</v>
      </c>
      <c r="CC134" s="235">
        <v>620822</v>
      </c>
      <c r="CD134" s="235">
        <v>71984</v>
      </c>
      <c r="CE134" s="235">
        <v>71984</v>
      </c>
      <c r="CF134" s="235">
        <v>443066</v>
      </c>
      <c r="CG134" s="235">
        <v>443066</v>
      </c>
      <c r="CH134" s="235">
        <v>105772</v>
      </c>
      <c r="CI134" s="235">
        <v>105772</v>
      </c>
      <c r="CJ134" s="235" t="s">
        <v>865</v>
      </c>
    </row>
    <row r="135" spans="1:88" s="235" customFormat="1" ht="20.100000000000001" customHeight="1" x14ac:dyDescent="0.15">
      <c r="A135" s="255" t="s">
        <v>2953</v>
      </c>
      <c r="B135" s="255" t="s">
        <v>3183</v>
      </c>
      <c r="C135" s="230" t="s">
        <v>556</v>
      </c>
      <c r="D135" s="233">
        <v>1</v>
      </c>
      <c r="E135" s="231">
        <f t="shared" ref="E135:F141" si="55">G135+I135+K135</f>
        <v>542670</v>
      </c>
      <c r="F135" s="232">
        <f t="shared" si="55"/>
        <v>542670</v>
      </c>
      <c r="G135" s="231">
        <v>71024</v>
      </c>
      <c r="H135" s="232">
        <f t="shared" si="52"/>
        <v>71024</v>
      </c>
      <c r="I135" s="231">
        <v>380751</v>
      </c>
      <c r="J135" s="232">
        <f t="shared" si="53"/>
        <v>380751</v>
      </c>
      <c r="K135" s="231">
        <v>90895</v>
      </c>
      <c r="L135" s="232">
        <f t="shared" si="54"/>
        <v>90895</v>
      </c>
      <c r="M135" s="232"/>
      <c r="N135" s="232"/>
      <c r="O135" s="270">
        <f t="shared" si="46"/>
        <v>0</v>
      </c>
      <c r="P135" s="232">
        <v>1</v>
      </c>
      <c r="Q135" s="232">
        <f t="shared" si="47"/>
        <v>542670</v>
      </c>
      <c r="R135" s="270">
        <f t="shared" si="48"/>
        <v>1</v>
      </c>
      <c r="S135" s="233">
        <f t="shared" si="42"/>
        <v>71024</v>
      </c>
      <c r="T135" s="233">
        <f t="shared" si="43"/>
        <v>380751</v>
      </c>
      <c r="U135" s="233">
        <f t="shared" si="44"/>
        <v>90895</v>
      </c>
      <c r="V135" s="232">
        <f t="shared" si="49"/>
        <v>1</v>
      </c>
      <c r="W135" s="232">
        <f t="shared" si="50"/>
        <v>542670</v>
      </c>
      <c r="X135" s="270">
        <f t="shared" si="51"/>
        <v>1</v>
      </c>
      <c r="Y135" s="234"/>
      <c r="Z135" s="383"/>
      <c r="AA135" s="252" t="e">
        <f>E135-#REF!</f>
        <v>#REF!</v>
      </c>
      <c r="AC135" s="235" t="s">
        <v>562</v>
      </c>
      <c r="AD135" s="235" t="s">
        <v>2856</v>
      </c>
      <c r="AE135" s="235" t="s">
        <v>1415</v>
      </c>
      <c r="AG135" s="235" t="s">
        <v>1778</v>
      </c>
      <c r="BV135" s="236" t="str">
        <f>HYPERLINK("#일위대가목록!A86","HP033 →")</f>
        <v>HP033 →</v>
      </c>
      <c r="CB135" s="235">
        <v>631487</v>
      </c>
      <c r="CC135" s="235">
        <v>631487</v>
      </c>
      <c r="CD135" s="235">
        <v>82649</v>
      </c>
      <c r="CE135" s="235">
        <v>82649</v>
      </c>
      <c r="CF135" s="235">
        <v>443066</v>
      </c>
      <c r="CG135" s="235">
        <v>443066</v>
      </c>
      <c r="CH135" s="235">
        <v>105772</v>
      </c>
      <c r="CI135" s="235">
        <v>105772</v>
      </c>
      <c r="CJ135" s="235" t="s">
        <v>2489</v>
      </c>
    </row>
    <row r="136" spans="1:88" s="235" customFormat="1" ht="20.100000000000001" customHeight="1" x14ac:dyDescent="0.15">
      <c r="A136" s="255" t="s">
        <v>2953</v>
      </c>
      <c r="B136" s="255" t="s">
        <v>3184</v>
      </c>
      <c r="C136" s="230" t="s">
        <v>556</v>
      </c>
      <c r="D136" s="233">
        <v>1</v>
      </c>
      <c r="E136" s="231">
        <f t="shared" si="55"/>
        <v>373671</v>
      </c>
      <c r="F136" s="232">
        <f t="shared" si="55"/>
        <v>373671</v>
      </c>
      <c r="G136" s="231">
        <v>124557</v>
      </c>
      <c r="H136" s="232">
        <f t="shared" si="52"/>
        <v>124557</v>
      </c>
      <c r="I136" s="231">
        <v>124557</v>
      </c>
      <c r="J136" s="232">
        <f t="shared" si="53"/>
        <v>124557</v>
      </c>
      <c r="K136" s="231">
        <v>124557</v>
      </c>
      <c r="L136" s="232">
        <f t="shared" si="54"/>
        <v>124557</v>
      </c>
      <c r="M136" s="232"/>
      <c r="N136" s="232"/>
      <c r="O136" s="270">
        <f t="shared" si="46"/>
        <v>0</v>
      </c>
      <c r="P136" s="232">
        <v>1</v>
      </c>
      <c r="Q136" s="232">
        <f t="shared" si="47"/>
        <v>373671</v>
      </c>
      <c r="R136" s="270">
        <f t="shared" si="48"/>
        <v>1</v>
      </c>
      <c r="S136" s="233">
        <f t="shared" si="42"/>
        <v>124557</v>
      </c>
      <c r="T136" s="233">
        <f t="shared" si="43"/>
        <v>124557</v>
      </c>
      <c r="U136" s="233">
        <f t="shared" si="44"/>
        <v>124557</v>
      </c>
      <c r="V136" s="232">
        <f t="shared" si="49"/>
        <v>1</v>
      </c>
      <c r="W136" s="232">
        <f t="shared" si="50"/>
        <v>373671</v>
      </c>
      <c r="X136" s="270">
        <f t="shared" si="51"/>
        <v>1</v>
      </c>
      <c r="Y136" s="234"/>
      <c r="Z136" s="383"/>
      <c r="AA136" s="252" t="e">
        <f>E136-#REF!</f>
        <v>#REF!</v>
      </c>
      <c r="AC136" s="235" t="s">
        <v>562</v>
      </c>
      <c r="AD136" s="235" t="s">
        <v>2856</v>
      </c>
      <c r="AE136" s="235" t="s">
        <v>1415</v>
      </c>
      <c r="AG136" s="235" t="s">
        <v>1778</v>
      </c>
      <c r="BV136" s="236" t="str">
        <f>HYPERLINK("#일위대가목록!A86","HP033 →")</f>
        <v>HP033 →</v>
      </c>
      <c r="CB136" s="235">
        <v>631487</v>
      </c>
      <c r="CC136" s="235">
        <v>631487</v>
      </c>
      <c r="CD136" s="235">
        <v>82649</v>
      </c>
      <c r="CE136" s="235">
        <v>82649</v>
      </c>
      <c r="CF136" s="235">
        <v>443066</v>
      </c>
      <c r="CG136" s="235">
        <v>443066</v>
      </c>
      <c r="CH136" s="235">
        <v>105772</v>
      </c>
      <c r="CI136" s="235">
        <v>105772</v>
      </c>
      <c r="CJ136" s="235" t="s">
        <v>2489</v>
      </c>
    </row>
    <row r="137" spans="1:88" s="235" customFormat="1" ht="20.100000000000001" customHeight="1" x14ac:dyDescent="0.15">
      <c r="A137" s="255" t="s">
        <v>2953</v>
      </c>
      <c r="B137" s="255" t="s">
        <v>3033</v>
      </c>
      <c r="C137" s="230" t="s">
        <v>556</v>
      </c>
      <c r="D137" s="233">
        <v>6</v>
      </c>
      <c r="E137" s="231">
        <f t="shared" si="55"/>
        <v>118077</v>
      </c>
      <c r="F137" s="256">
        <f t="shared" si="55"/>
        <v>708462</v>
      </c>
      <c r="G137" s="257">
        <v>39359</v>
      </c>
      <c r="H137" s="256">
        <f t="shared" si="52"/>
        <v>236154</v>
      </c>
      <c r="I137" s="257">
        <v>39359</v>
      </c>
      <c r="J137" s="256">
        <f t="shared" si="53"/>
        <v>236154</v>
      </c>
      <c r="K137" s="257">
        <v>39359</v>
      </c>
      <c r="L137" s="256">
        <f t="shared" si="54"/>
        <v>236154</v>
      </c>
      <c r="M137" s="256"/>
      <c r="N137" s="256"/>
      <c r="O137" s="272">
        <f t="shared" si="46"/>
        <v>0</v>
      </c>
      <c r="P137" s="256">
        <v>6</v>
      </c>
      <c r="Q137" s="256">
        <f t="shared" si="47"/>
        <v>708462</v>
      </c>
      <c r="R137" s="272">
        <f t="shared" si="48"/>
        <v>1</v>
      </c>
      <c r="S137" s="233">
        <f t="shared" si="42"/>
        <v>236154</v>
      </c>
      <c r="T137" s="233">
        <f t="shared" si="43"/>
        <v>236154</v>
      </c>
      <c r="U137" s="233">
        <f t="shared" si="44"/>
        <v>236154</v>
      </c>
      <c r="V137" s="256">
        <f t="shared" si="49"/>
        <v>6</v>
      </c>
      <c r="W137" s="256">
        <f t="shared" si="50"/>
        <v>708462</v>
      </c>
      <c r="X137" s="272">
        <f t="shared" si="51"/>
        <v>1</v>
      </c>
      <c r="Y137" s="234"/>
      <c r="Z137" s="383"/>
      <c r="AA137" s="252" t="e">
        <f>E137-#REF!</f>
        <v>#REF!</v>
      </c>
      <c r="AC137" s="235" t="s">
        <v>562</v>
      </c>
      <c r="AD137" s="235" t="s">
        <v>2856</v>
      </c>
      <c r="AE137" s="235" t="s">
        <v>1415</v>
      </c>
      <c r="AG137" s="235" t="s">
        <v>1778</v>
      </c>
      <c r="BV137" s="236" t="str">
        <f>HYPERLINK("#일위대가목록!A86","HP033 →")</f>
        <v>HP033 →</v>
      </c>
      <c r="CB137" s="235">
        <v>631487</v>
      </c>
      <c r="CC137" s="235">
        <v>631487</v>
      </c>
      <c r="CD137" s="235">
        <v>82649</v>
      </c>
      <c r="CE137" s="235">
        <v>82649</v>
      </c>
      <c r="CF137" s="235">
        <v>443066</v>
      </c>
      <c r="CG137" s="235">
        <v>443066</v>
      </c>
      <c r="CH137" s="235">
        <v>105772</v>
      </c>
      <c r="CI137" s="235">
        <v>105772</v>
      </c>
      <c r="CJ137" s="235" t="s">
        <v>2489</v>
      </c>
    </row>
    <row r="138" spans="1:88" s="235" customFormat="1" ht="20.100000000000001" customHeight="1" x14ac:dyDescent="0.15">
      <c r="A138" s="255" t="s">
        <v>2953</v>
      </c>
      <c r="B138" s="255" t="s">
        <v>3196</v>
      </c>
      <c r="C138" s="230" t="s">
        <v>556</v>
      </c>
      <c r="D138" s="233">
        <v>6</v>
      </c>
      <c r="E138" s="231">
        <f t="shared" si="55"/>
        <v>1064751</v>
      </c>
      <c r="F138" s="256">
        <f t="shared" si="55"/>
        <v>6388506</v>
      </c>
      <c r="G138" s="257">
        <v>106536</v>
      </c>
      <c r="H138" s="256">
        <f t="shared" si="52"/>
        <v>639216</v>
      </c>
      <c r="I138" s="257">
        <v>773548</v>
      </c>
      <c r="J138" s="256">
        <f t="shared" si="53"/>
        <v>4641288</v>
      </c>
      <c r="K138" s="257">
        <v>184667</v>
      </c>
      <c r="L138" s="256">
        <f t="shared" si="54"/>
        <v>1108002</v>
      </c>
      <c r="M138" s="256"/>
      <c r="N138" s="256"/>
      <c r="O138" s="272">
        <f t="shared" si="46"/>
        <v>0</v>
      </c>
      <c r="P138" s="256">
        <v>3</v>
      </c>
      <c r="Q138" s="256">
        <f t="shared" si="47"/>
        <v>3194253</v>
      </c>
      <c r="R138" s="272">
        <f t="shared" si="48"/>
        <v>0.5</v>
      </c>
      <c r="S138" s="233">
        <f t="shared" si="42"/>
        <v>319608</v>
      </c>
      <c r="T138" s="233">
        <f t="shared" si="43"/>
        <v>2320644</v>
      </c>
      <c r="U138" s="233">
        <f t="shared" si="44"/>
        <v>554001</v>
      </c>
      <c r="V138" s="256">
        <f t="shared" si="49"/>
        <v>3</v>
      </c>
      <c r="W138" s="256">
        <f t="shared" si="50"/>
        <v>3194253</v>
      </c>
      <c r="X138" s="272">
        <f t="shared" si="51"/>
        <v>0.5</v>
      </c>
      <c r="Y138" s="234"/>
      <c r="Z138" s="383"/>
      <c r="AA138" s="252" t="e">
        <f>E138-#REF!</f>
        <v>#REF!</v>
      </c>
      <c r="AC138" s="235" t="s">
        <v>2687</v>
      </c>
      <c r="AD138" s="235" t="s">
        <v>2856</v>
      </c>
      <c r="AE138" s="235" t="s">
        <v>2596</v>
      </c>
      <c r="AG138" s="235" t="s">
        <v>1778</v>
      </c>
      <c r="BV138" s="236" t="str">
        <f>HYPERLINK("#일위대가목록!A85","HP032 →")</f>
        <v>HP032 →</v>
      </c>
      <c r="CB138" s="235">
        <v>620822</v>
      </c>
      <c r="CC138" s="235">
        <v>620822</v>
      </c>
      <c r="CD138" s="235">
        <v>71984</v>
      </c>
      <c r="CE138" s="235">
        <v>71984</v>
      </c>
      <c r="CF138" s="235">
        <v>443066</v>
      </c>
      <c r="CG138" s="235">
        <v>443066</v>
      </c>
      <c r="CH138" s="235">
        <v>105772</v>
      </c>
      <c r="CI138" s="235">
        <v>105772</v>
      </c>
      <c r="CJ138" s="235" t="s">
        <v>865</v>
      </c>
    </row>
    <row r="139" spans="1:88" s="235" customFormat="1" ht="20.100000000000001" customHeight="1" x14ac:dyDescent="0.15">
      <c r="A139" s="255" t="s">
        <v>2953</v>
      </c>
      <c r="B139" s="255" t="s">
        <v>3197</v>
      </c>
      <c r="C139" s="230" t="s">
        <v>556</v>
      </c>
      <c r="D139" s="233">
        <v>5</v>
      </c>
      <c r="E139" s="231">
        <f t="shared" si="55"/>
        <v>1065463</v>
      </c>
      <c r="F139" s="256">
        <f t="shared" si="55"/>
        <v>5327315</v>
      </c>
      <c r="G139" s="257">
        <v>107248</v>
      </c>
      <c r="H139" s="256">
        <f t="shared" si="52"/>
        <v>536240</v>
      </c>
      <c r="I139" s="257">
        <v>773548</v>
      </c>
      <c r="J139" s="256">
        <f t="shared" si="53"/>
        <v>3867740</v>
      </c>
      <c r="K139" s="257">
        <v>184667</v>
      </c>
      <c r="L139" s="256">
        <f t="shared" si="54"/>
        <v>923335</v>
      </c>
      <c r="M139" s="256"/>
      <c r="N139" s="256"/>
      <c r="O139" s="272">
        <f t="shared" si="46"/>
        <v>0</v>
      </c>
      <c r="P139" s="256">
        <v>2</v>
      </c>
      <c r="Q139" s="256">
        <f t="shared" si="47"/>
        <v>2130926</v>
      </c>
      <c r="R139" s="272">
        <f t="shared" si="48"/>
        <v>0.4</v>
      </c>
      <c r="S139" s="233">
        <f t="shared" si="42"/>
        <v>214496</v>
      </c>
      <c r="T139" s="233">
        <f t="shared" si="43"/>
        <v>1547096</v>
      </c>
      <c r="U139" s="233">
        <f t="shared" si="44"/>
        <v>369334</v>
      </c>
      <c r="V139" s="256">
        <f t="shared" si="49"/>
        <v>2</v>
      </c>
      <c r="W139" s="256">
        <f t="shared" si="50"/>
        <v>2130926</v>
      </c>
      <c r="X139" s="272">
        <f t="shared" si="51"/>
        <v>0.4</v>
      </c>
      <c r="Y139" s="234"/>
      <c r="Z139" s="383"/>
      <c r="AA139" s="252" t="e">
        <f>E139-#REF!</f>
        <v>#REF!</v>
      </c>
      <c r="AC139" s="235" t="s">
        <v>2687</v>
      </c>
      <c r="AD139" s="235" t="s">
        <v>2856</v>
      </c>
      <c r="AE139" s="235" t="s">
        <v>2596</v>
      </c>
      <c r="AG139" s="235" t="s">
        <v>1778</v>
      </c>
      <c r="BV139" s="236" t="str">
        <f>HYPERLINK("#일위대가목록!A85","HP032 →")</f>
        <v>HP032 →</v>
      </c>
      <c r="CB139" s="235">
        <v>620822</v>
      </c>
      <c r="CC139" s="235">
        <v>620822</v>
      </c>
      <c r="CD139" s="235">
        <v>71984</v>
      </c>
      <c r="CE139" s="235">
        <v>71984</v>
      </c>
      <c r="CF139" s="235">
        <v>443066</v>
      </c>
      <c r="CG139" s="235">
        <v>443066</v>
      </c>
      <c r="CH139" s="235">
        <v>105772</v>
      </c>
      <c r="CI139" s="235">
        <v>105772</v>
      </c>
      <c r="CJ139" s="235" t="s">
        <v>865</v>
      </c>
    </row>
    <row r="140" spans="1:88" s="235" customFormat="1" ht="20.100000000000001" customHeight="1" x14ac:dyDescent="0.15">
      <c r="A140" s="255" t="s">
        <v>2953</v>
      </c>
      <c r="B140" s="255" t="s">
        <v>3198</v>
      </c>
      <c r="C140" s="230" t="s">
        <v>3193</v>
      </c>
      <c r="D140" s="233">
        <v>4</v>
      </c>
      <c r="E140" s="231">
        <f t="shared" si="55"/>
        <v>1464617</v>
      </c>
      <c r="F140" s="256">
        <f t="shared" si="55"/>
        <v>5858468</v>
      </c>
      <c r="G140" s="257">
        <v>149571</v>
      </c>
      <c r="H140" s="256">
        <f t="shared" si="52"/>
        <v>598284</v>
      </c>
      <c r="I140" s="257">
        <v>1044292</v>
      </c>
      <c r="J140" s="256">
        <f t="shared" si="53"/>
        <v>4177168</v>
      </c>
      <c r="K140" s="257">
        <v>270754</v>
      </c>
      <c r="L140" s="256">
        <f t="shared" si="54"/>
        <v>1083016</v>
      </c>
      <c r="M140" s="256"/>
      <c r="N140" s="256"/>
      <c r="O140" s="272">
        <f t="shared" si="46"/>
        <v>0</v>
      </c>
      <c r="P140" s="256">
        <v>2</v>
      </c>
      <c r="Q140" s="256">
        <f t="shared" si="47"/>
        <v>2929234</v>
      </c>
      <c r="R140" s="272">
        <f t="shared" si="48"/>
        <v>0.5</v>
      </c>
      <c r="S140" s="233">
        <f t="shared" si="42"/>
        <v>299142</v>
      </c>
      <c r="T140" s="233">
        <f t="shared" si="43"/>
        <v>2088584</v>
      </c>
      <c r="U140" s="233">
        <f t="shared" si="44"/>
        <v>541508</v>
      </c>
      <c r="V140" s="256">
        <f t="shared" si="49"/>
        <v>2</v>
      </c>
      <c r="W140" s="256">
        <f t="shared" si="50"/>
        <v>2929234</v>
      </c>
      <c r="X140" s="272">
        <f t="shared" si="51"/>
        <v>0.5</v>
      </c>
      <c r="Y140" s="234"/>
      <c r="Z140" s="383"/>
      <c r="AA140" s="252" t="e">
        <f>E140-#REF!</f>
        <v>#REF!</v>
      </c>
      <c r="AC140" s="235" t="s">
        <v>2309</v>
      </c>
      <c r="AD140" s="235" t="s">
        <v>2856</v>
      </c>
      <c r="AE140" s="235" t="s">
        <v>2194</v>
      </c>
      <c r="AG140" s="235" t="s">
        <v>1778</v>
      </c>
      <c r="BV140" s="236" t="str">
        <f>HYPERLINK("#일위대가목록!A83","HP030 →")</f>
        <v>HP030 →</v>
      </c>
      <c r="CB140" s="235">
        <v>856463</v>
      </c>
      <c r="CC140" s="235">
        <v>11134019</v>
      </c>
      <c r="CD140" s="235">
        <v>103243</v>
      </c>
      <c r="CE140" s="235">
        <v>1342159</v>
      </c>
      <c r="CF140" s="235">
        <v>598140</v>
      </c>
      <c r="CG140" s="235">
        <v>7775820</v>
      </c>
      <c r="CH140" s="235">
        <v>155080</v>
      </c>
      <c r="CI140" s="235">
        <v>2016040</v>
      </c>
      <c r="CJ140" s="235" t="s">
        <v>1107</v>
      </c>
    </row>
    <row r="141" spans="1:88" s="235" customFormat="1" ht="20.100000000000001" customHeight="1" x14ac:dyDescent="0.15">
      <c r="A141" s="255" t="s">
        <v>2953</v>
      </c>
      <c r="B141" s="255" t="s">
        <v>3199</v>
      </c>
      <c r="C141" s="230" t="s">
        <v>556</v>
      </c>
      <c r="D141" s="233">
        <v>1</v>
      </c>
      <c r="E141" s="231">
        <f t="shared" si="55"/>
        <v>515421</v>
      </c>
      <c r="F141" s="256">
        <f t="shared" si="55"/>
        <v>515421</v>
      </c>
      <c r="G141" s="257">
        <v>60715</v>
      </c>
      <c r="H141" s="256">
        <f t="shared" si="52"/>
        <v>60715</v>
      </c>
      <c r="I141" s="257">
        <v>412770</v>
      </c>
      <c r="J141" s="256">
        <f t="shared" si="53"/>
        <v>412770</v>
      </c>
      <c r="K141" s="257">
        <v>41936</v>
      </c>
      <c r="L141" s="256">
        <f t="shared" si="54"/>
        <v>41936</v>
      </c>
      <c r="M141" s="256"/>
      <c r="N141" s="256"/>
      <c r="O141" s="272">
        <f t="shared" si="46"/>
        <v>0</v>
      </c>
      <c r="P141" s="256"/>
      <c r="Q141" s="256">
        <f t="shared" si="47"/>
        <v>0</v>
      </c>
      <c r="R141" s="272">
        <f t="shared" si="48"/>
        <v>0</v>
      </c>
      <c r="S141" s="233">
        <f t="shared" si="42"/>
        <v>0</v>
      </c>
      <c r="T141" s="233">
        <f t="shared" si="43"/>
        <v>0</v>
      </c>
      <c r="U141" s="233">
        <f t="shared" si="44"/>
        <v>0</v>
      </c>
      <c r="V141" s="256">
        <f t="shared" si="49"/>
        <v>0</v>
      </c>
      <c r="W141" s="256">
        <f t="shared" si="50"/>
        <v>0</v>
      </c>
      <c r="X141" s="272">
        <f t="shared" si="51"/>
        <v>0</v>
      </c>
      <c r="Y141" s="234"/>
      <c r="Z141" s="383"/>
      <c r="AA141" s="252" t="e">
        <f>E141-#REF!</f>
        <v>#REF!</v>
      </c>
      <c r="AC141" s="235" t="s">
        <v>1450</v>
      </c>
      <c r="AD141" s="235" t="s">
        <v>2856</v>
      </c>
      <c r="AE141" s="235" t="s">
        <v>110</v>
      </c>
      <c r="AG141" s="235" t="s">
        <v>1778</v>
      </c>
      <c r="BV141" s="236" t="str">
        <f>HYPERLINK("#일위대가목록!A78","HP025 →")</f>
        <v>HP025 →</v>
      </c>
      <c r="CB141" s="235">
        <v>305373</v>
      </c>
      <c r="CC141" s="235">
        <v>610746</v>
      </c>
      <c r="CD141" s="235">
        <v>44930</v>
      </c>
      <c r="CE141" s="235">
        <v>89860</v>
      </c>
      <c r="CF141" s="235">
        <v>236423</v>
      </c>
      <c r="CG141" s="235">
        <v>472846</v>
      </c>
      <c r="CH141" s="235">
        <v>24020</v>
      </c>
      <c r="CI141" s="235">
        <v>48040</v>
      </c>
      <c r="CJ141" s="235" t="s">
        <v>2658</v>
      </c>
    </row>
    <row r="142" spans="1:88" s="235" customFormat="1" ht="20.100000000000001" customHeight="1" x14ac:dyDescent="0.15">
      <c r="A142" s="255" t="s">
        <v>2954</v>
      </c>
      <c r="B142" s="255" t="s">
        <v>1157</v>
      </c>
      <c r="C142" s="230" t="s">
        <v>556</v>
      </c>
      <c r="D142" s="233">
        <v>1</v>
      </c>
      <c r="E142" s="231">
        <f t="shared" si="45"/>
        <v>542670</v>
      </c>
      <c r="F142" s="256">
        <f t="shared" si="45"/>
        <v>542670</v>
      </c>
      <c r="G142" s="257">
        <v>71024</v>
      </c>
      <c r="H142" s="256">
        <f t="shared" si="52"/>
        <v>71024</v>
      </c>
      <c r="I142" s="257">
        <v>380751</v>
      </c>
      <c r="J142" s="256">
        <f t="shared" si="53"/>
        <v>380751</v>
      </c>
      <c r="K142" s="257">
        <v>90895</v>
      </c>
      <c r="L142" s="256">
        <f t="shared" si="54"/>
        <v>90895</v>
      </c>
      <c r="M142" s="256"/>
      <c r="N142" s="256"/>
      <c r="O142" s="272">
        <f t="shared" si="46"/>
        <v>0</v>
      </c>
      <c r="P142" s="256"/>
      <c r="Q142" s="256">
        <f t="shared" si="47"/>
        <v>0</v>
      </c>
      <c r="R142" s="272">
        <f t="shared" si="48"/>
        <v>0</v>
      </c>
      <c r="S142" s="233">
        <f t="shared" si="42"/>
        <v>0</v>
      </c>
      <c r="T142" s="233">
        <f t="shared" si="43"/>
        <v>0</v>
      </c>
      <c r="U142" s="233">
        <f t="shared" si="44"/>
        <v>0</v>
      </c>
      <c r="V142" s="256">
        <f t="shared" si="49"/>
        <v>0</v>
      </c>
      <c r="W142" s="256">
        <f t="shared" si="50"/>
        <v>0</v>
      </c>
      <c r="X142" s="272">
        <f t="shared" si="51"/>
        <v>0</v>
      </c>
      <c r="Y142" s="234"/>
      <c r="Z142" s="383"/>
      <c r="AA142" s="252" t="e">
        <f>E142-#REF!</f>
        <v>#REF!</v>
      </c>
      <c r="AC142" s="235" t="s">
        <v>562</v>
      </c>
      <c r="AD142" s="235" t="s">
        <v>2856</v>
      </c>
      <c r="AE142" s="235" t="s">
        <v>1415</v>
      </c>
      <c r="AG142" s="235" t="s">
        <v>1778</v>
      </c>
      <c r="BV142" s="236" t="str">
        <f>HYPERLINK("#일위대가목록!A86","HP033 →")</f>
        <v>HP033 →</v>
      </c>
      <c r="CB142" s="235">
        <v>631487</v>
      </c>
      <c r="CC142" s="235">
        <v>631487</v>
      </c>
      <c r="CD142" s="235">
        <v>82649</v>
      </c>
      <c r="CE142" s="235">
        <v>82649</v>
      </c>
      <c r="CF142" s="235">
        <v>443066</v>
      </c>
      <c r="CG142" s="235">
        <v>443066</v>
      </c>
      <c r="CH142" s="235">
        <v>105772</v>
      </c>
      <c r="CI142" s="235">
        <v>105772</v>
      </c>
      <c r="CJ142" s="235" t="s">
        <v>2489</v>
      </c>
    </row>
    <row r="143" spans="1:88" s="235" customFormat="1" ht="20.100000000000001" customHeight="1" x14ac:dyDescent="0.15">
      <c r="A143" s="229" t="s">
        <v>2954</v>
      </c>
      <c r="B143" s="229" t="s">
        <v>21</v>
      </c>
      <c r="C143" s="230" t="s">
        <v>556</v>
      </c>
      <c r="D143" s="233">
        <v>0</v>
      </c>
      <c r="E143" s="231">
        <f t="shared" si="45"/>
        <v>738806</v>
      </c>
      <c r="F143" s="256">
        <f t="shared" si="45"/>
        <v>0</v>
      </c>
      <c r="G143" s="257">
        <v>91523</v>
      </c>
      <c r="H143" s="256">
        <f t="shared" si="52"/>
        <v>0</v>
      </c>
      <c r="I143" s="257">
        <v>514015</v>
      </c>
      <c r="J143" s="256">
        <f t="shared" si="53"/>
        <v>0</v>
      </c>
      <c r="K143" s="257">
        <v>133268</v>
      </c>
      <c r="L143" s="256">
        <f t="shared" si="54"/>
        <v>0</v>
      </c>
      <c r="M143" s="256"/>
      <c r="N143" s="256"/>
      <c r="O143" s="272">
        <f t="shared" si="46"/>
        <v>0</v>
      </c>
      <c r="P143" s="256"/>
      <c r="Q143" s="256">
        <f t="shared" si="47"/>
        <v>0</v>
      </c>
      <c r="R143" s="272">
        <f t="shared" si="48"/>
        <v>0</v>
      </c>
      <c r="S143" s="233">
        <f t="shared" si="42"/>
        <v>0</v>
      </c>
      <c r="T143" s="233">
        <f t="shared" si="43"/>
        <v>0</v>
      </c>
      <c r="U143" s="233">
        <f t="shared" si="44"/>
        <v>0</v>
      </c>
      <c r="V143" s="256">
        <f t="shared" si="49"/>
        <v>0</v>
      </c>
      <c r="W143" s="256">
        <f t="shared" si="50"/>
        <v>0</v>
      </c>
      <c r="X143" s="272">
        <f t="shared" si="51"/>
        <v>0</v>
      </c>
      <c r="Y143" s="234"/>
      <c r="Z143" s="383"/>
      <c r="AA143" s="252" t="e">
        <f>E143-#REF!</f>
        <v>#REF!</v>
      </c>
      <c r="AC143" s="235" t="s">
        <v>1272</v>
      </c>
      <c r="AD143" s="235" t="s">
        <v>2856</v>
      </c>
      <c r="AE143" s="235" t="s">
        <v>2469</v>
      </c>
      <c r="AG143" s="235" t="s">
        <v>1778</v>
      </c>
      <c r="BV143" s="236" t="str">
        <f>HYPERLINK("#일위대가목록!A87","HP034 →")</f>
        <v>HP034 →</v>
      </c>
      <c r="CB143" s="235">
        <v>859723</v>
      </c>
      <c r="CC143" s="235">
        <v>4298615</v>
      </c>
      <c r="CD143" s="235">
        <v>106503</v>
      </c>
      <c r="CE143" s="235">
        <v>532515</v>
      </c>
      <c r="CF143" s="235">
        <v>598140</v>
      </c>
      <c r="CG143" s="235">
        <v>2990700</v>
      </c>
      <c r="CH143" s="235">
        <v>155080</v>
      </c>
      <c r="CI143" s="235">
        <v>775400</v>
      </c>
      <c r="CJ143" s="235" t="s">
        <v>810</v>
      </c>
    </row>
    <row r="144" spans="1:88" s="235" customFormat="1" ht="20.100000000000001" customHeight="1" x14ac:dyDescent="0.15">
      <c r="A144" s="229" t="s">
        <v>2954</v>
      </c>
      <c r="B144" s="229" t="s">
        <v>1599</v>
      </c>
      <c r="C144" s="230" t="s">
        <v>556</v>
      </c>
      <c r="D144" s="233">
        <v>1</v>
      </c>
      <c r="E144" s="231">
        <f t="shared" si="45"/>
        <v>1040468</v>
      </c>
      <c r="F144" s="256">
        <f t="shared" si="45"/>
        <v>1040468</v>
      </c>
      <c r="G144" s="257">
        <v>124557</v>
      </c>
      <c r="H144" s="256">
        <f t="shared" si="52"/>
        <v>124557</v>
      </c>
      <c r="I144" s="257">
        <v>674645</v>
      </c>
      <c r="J144" s="256">
        <f t="shared" si="53"/>
        <v>674645</v>
      </c>
      <c r="K144" s="257">
        <v>241266</v>
      </c>
      <c r="L144" s="256">
        <f t="shared" si="54"/>
        <v>241266</v>
      </c>
      <c r="M144" s="256"/>
      <c r="N144" s="256"/>
      <c r="O144" s="272">
        <f t="shared" si="46"/>
        <v>0</v>
      </c>
      <c r="P144" s="256"/>
      <c r="Q144" s="256">
        <f t="shared" si="47"/>
        <v>0</v>
      </c>
      <c r="R144" s="272">
        <f t="shared" si="48"/>
        <v>0</v>
      </c>
      <c r="S144" s="233">
        <f t="shared" si="42"/>
        <v>0</v>
      </c>
      <c r="T144" s="233">
        <f t="shared" si="43"/>
        <v>0</v>
      </c>
      <c r="U144" s="233">
        <f t="shared" si="44"/>
        <v>0</v>
      </c>
      <c r="V144" s="256">
        <f t="shared" si="49"/>
        <v>0</v>
      </c>
      <c r="W144" s="256">
        <f t="shared" si="50"/>
        <v>0</v>
      </c>
      <c r="X144" s="272">
        <f t="shared" si="51"/>
        <v>0</v>
      </c>
      <c r="Y144" s="234"/>
      <c r="Z144" s="383"/>
      <c r="AA144" s="252" t="e">
        <f>E144-#REF!</f>
        <v>#REF!</v>
      </c>
      <c r="AC144" s="235" t="s">
        <v>2027</v>
      </c>
      <c r="AD144" s="235" t="s">
        <v>2856</v>
      </c>
      <c r="AE144" s="235" t="s">
        <v>828</v>
      </c>
      <c r="AG144" s="235" t="s">
        <v>1778</v>
      </c>
      <c r="BV144" s="236" t="str">
        <f>HYPERLINK("#일위대가목록!A88","HP035 →")</f>
        <v>HP035 →</v>
      </c>
      <c r="CB144" s="235">
        <v>1210755</v>
      </c>
      <c r="CC144" s="235">
        <v>1210755</v>
      </c>
      <c r="CD144" s="235">
        <v>144943</v>
      </c>
      <c r="CE144" s="235">
        <v>144943</v>
      </c>
      <c r="CF144" s="235">
        <v>785059</v>
      </c>
      <c r="CG144" s="235">
        <v>785059</v>
      </c>
      <c r="CH144" s="235">
        <v>280753</v>
      </c>
      <c r="CI144" s="235">
        <v>280753</v>
      </c>
      <c r="CJ144" s="235" t="s">
        <v>374</v>
      </c>
    </row>
    <row r="145" spans="1:88" s="235" customFormat="1" ht="20.100000000000001" customHeight="1" x14ac:dyDescent="0.15">
      <c r="A145" s="229" t="s">
        <v>2954</v>
      </c>
      <c r="B145" s="229" t="s">
        <v>1558</v>
      </c>
      <c r="C145" s="230" t="s">
        <v>556</v>
      </c>
      <c r="D145" s="233">
        <v>1</v>
      </c>
      <c r="E145" s="231">
        <f t="shared" si="45"/>
        <v>533505</v>
      </c>
      <c r="F145" s="256">
        <f t="shared" si="45"/>
        <v>533505</v>
      </c>
      <c r="G145" s="257">
        <v>61859</v>
      </c>
      <c r="H145" s="256">
        <f t="shared" si="52"/>
        <v>61859</v>
      </c>
      <c r="I145" s="257">
        <v>380751</v>
      </c>
      <c r="J145" s="256">
        <f t="shared" si="53"/>
        <v>380751</v>
      </c>
      <c r="K145" s="257">
        <v>90895</v>
      </c>
      <c r="L145" s="256">
        <f t="shared" si="54"/>
        <v>90895</v>
      </c>
      <c r="M145" s="256"/>
      <c r="N145" s="256"/>
      <c r="O145" s="272">
        <f t="shared" si="46"/>
        <v>0</v>
      </c>
      <c r="P145" s="256"/>
      <c r="Q145" s="256">
        <f t="shared" si="47"/>
        <v>0</v>
      </c>
      <c r="R145" s="272">
        <f t="shared" si="48"/>
        <v>0</v>
      </c>
      <c r="S145" s="233">
        <f t="shared" si="42"/>
        <v>0</v>
      </c>
      <c r="T145" s="233">
        <f t="shared" si="43"/>
        <v>0</v>
      </c>
      <c r="U145" s="233">
        <f t="shared" si="44"/>
        <v>0</v>
      </c>
      <c r="V145" s="256">
        <f t="shared" si="49"/>
        <v>0</v>
      </c>
      <c r="W145" s="256">
        <f t="shared" si="50"/>
        <v>0</v>
      </c>
      <c r="X145" s="272">
        <f t="shared" si="51"/>
        <v>0</v>
      </c>
      <c r="Y145" s="234"/>
      <c r="Z145" s="383"/>
      <c r="AA145" s="252" t="e">
        <f>E145-#REF!</f>
        <v>#REF!</v>
      </c>
      <c r="AC145" s="235" t="s">
        <v>2725</v>
      </c>
      <c r="AD145" s="235" t="s">
        <v>2856</v>
      </c>
      <c r="AE145" s="235" t="s">
        <v>2692</v>
      </c>
      <c r="AG145" s="235" t="s">
        <v>1778</v>
      </c>
      <c r="BV145" s="236" t="str">
        <f>HYPERLINK("#일위대가목록!A89","HP036 →")</f>
        <v>HP036 →</v>
      </c>
      <c r="CB145" s="235">
        <v>620822</v>
      </c>
      <c r="CC145" s="235">
        <v>6208220</v>
      </c>
      <c r="CD145" s="235">
        <v>71984</v>
      </c>
      <c r="CE145" s="235">
        <v>719840</v>
      </c>
      <c r="CF145" s="235">
        <v>443066</v>
      </c>
      <c r="CG145" s="235">
        <v>4430660</v>
      </c>
      <c r="CH145" s="235">
        <v>105772</v>
      </c>
      <c r="CI145" s="235">
        <v>1057720</v>
      </c>
      <c r="CJ145" s="235" t="s">
        <v>2021</v>
      </c>
    </row>
    <row r="146" spans="1:88" s="235" customFormat="1" ht="20.100000000000001" customHeight="1" x14ac:dyDescent="0.15">
      <c r="A146" s="229" t="s">
        <v>2954</v>
      </c>
      <c r="B146" s="229" t="s">
        <v>693</v>
      </c>
      <c r="C146" s="230" t="s">
        <v>556</v>
      </c>
      <c r="D146" s="233">
        <v>0</v>
      </c>
      <c r="E146" s="231">
        <f t="shared" si="45"/>
        <v>533505</v>
      </c>
      <c r="F146" s="256">
        <f t="shared" si="45"/>
        <v>0</v>
      </c>
      <c r="G146" s="257">
        <v>61859</v>
      </c>
      <c r="H146" s="256">
        <f t="shared" si="52"/>
        <v>0</v>
      </c>
      <c r="I146" s="257">
        <v>380751</v>
      </c>
      <c r="J146" s="256">
        <f t="shared" si="53"/>
        <v>0</v>
      </c>
      <c r="K146" s="257">
        <v>90895</v>
      </c>
      <c r="L146" s="256">
        <f t="shared" si="54"/>
        <v>0</v>
      </c>
      <c r="M146" s="256"/>
      <c r="N146" s="256"/>
      <c r="O146" s="272">
        <f t="shared" si="46"/>
        <v>0</v>
      </c>
      <c r="P146" s="256"/>
      <c r="Q146" s="256">
        <f t="shared" si="47"/>
        <v>0</v>
      </c>
      <c r="R146" s="272">
        <f t="shared" si="48"/>
        <v>0</v>
      </c>
      <c r="S146" s="233">
        <f t="shared" si="42"/>
        <v>0</v>
      </c>
      <c r="T146" s="233">
        <f t="shared" si="43"/>
        <v>0</v>
      </c>
      <c r="U146" s="233">
        <f t="shared" si="44"/>
        <v>0</v>
      </c>
      <c r="V146" s="256">
        <f t="shared" si="49"/>
        <v>0</v>
      </c>
      <c r="W146" s="256">
        <f t="shared" si="50"/>
        <v>0</v>
      </c>
      <c r="X146" s="272">
        <f t="shared" si="51"/>
        <v>0</v>
      </c>
      <c r="Y146" s="234"/>
      <c r="Z146" s="383"/>
      <c r="AA146" s="252" t="e">
        <f>E146-#REF!</f>
        <v>#REF!</v>
      </c>
      <c r="AC146" s="235" t="s">
        <v>600</v>
      </c>
      <c r="AD146" s="235" t="s">
        <v>2856</v>
      </c>
      <c r="AE146" s="235" t="s">
        <v>1159</v>
      </c>
      <c r="AG146" s="235" t="s">
        <v>1778</v>
      </c>
      <c r="BV146" s="236" t="str">
        <f>HYPERLINK("#일위대가목록!A90","HP037 →")</f>
        <v>HP037 →</v>
      </c>
      <c r="CB146" s="235">
        <v>620822</v>
      </c>
      <c r="CC146" s="235">
        <v>1241644</v>
      </c>
      <c r="CD146" s="235">
        <v>71984</v>
      </c>
      <c r="CE146" s="235">
        <v>143968</v>
      </c>
      <c r="CF146" s="235">
        <v>443066</v>
      </c>
      <c r="CG146" s="235">
        <v>886132</v>
      </c>
      <c r="CH146" s="235">
        <v>105772</v>
      </c>
      <c r="CI146" s="235">
        <v>211544</v>
      </c>
      <c r="CJ146" s="235" t="s">
        <v>158</v>
      </c>
    </row>
    <row r="147" spans="1:88" s="235" customFormat="1" ht="20.100000000000001" customHeight="1" x14ac:dyDescent="0.15">
      <c r="A147" s="229" t="s">
        <v>2954</v>
      </c>
      <c r="B147" s="229" t="s">
        <v>1567</v>
      </c>
      <c r="C147" s="230" t="s">
        <v>556</v>
      </c>
      <c r="D147" s="233">
        <v>0</v>
      </c>
      <c r="E147" s="231">
        <f t="shared" si="45"/>
        <v>262422</v>
      </c>
      <c r="F147" s="256">
        <f t="shared" si="45"/>
        <v>0</v>
      </c>
      <c r="G147" s="257">
        <v>38610</v>
      </c>
      <c r="H147" s="256">
        <f t="shared" si="52"/>
        <v>0</v>
      </c>
      <c r="I147" s="257">
        <v>203171</v>
      </c>
      <c r="J147" s="256">
        <f t="shared" si="53"/>
        <v>0</v>
      </c>
      <c r="K147" s="257">
        <v>20641</v>
      </c>
      <c r="L147" s="256">
        <f t="shared" si="54"/>
        <v>0</v>
      </c>
      <c r="M147" s="256"/>
      <c r="N147" s="256"/>
      <c r="O147" s="272">
        <f t="shared" si="46"/>
        <v>0</v>
      </c>
      <c r="P147" s="256"/>
      <c r="Q147" s="256">
        <f t="shared" si="47"/>
        <v>0</v>
      </c>
      <c r="R147" s="272">
        <f t="shared" si="48"/>
        <v>0</v>
      </c>
      <c r="S147" s="233">
        <f t="shared" si="42"/>
        <v>0</v>
      </c>
      <c r="T147" s="233">
        <f t="shared" si="43"/>
        <v>0</v>
      </c>
      <c r="U147" s="233">
        <f t="shared" si="44"/>
        <v>0</v>
      </c>
      <c r="V147" s="256">
        <f t="shared" si="49"/>
        <v>0</v>
      </c>
      <c r="W147" s="256">
        <f t="shared" si="50"/>
        <v>0</v>
      </c>
      <c r="X147" s="272">
        <f t="shared" si="51"/>
        <v>0</v>
      </c>
      <c r="Y147" s="234"/>
      <c r="Z147" s="383"/>
      <c r="AA147" s="252" t="e">
        <f>E147-#REF!</f>
        <v>#REF!</v>
      </c>
      <c r="AC147" s="235" t="s">
        <v>1321</v>
      </c>
      <c r="AD147" s="235" t="s">
        <v>2856</v>
      </c>
      <c r="AE147" s="235" t="s">
        <v>2752</v>
      </c>
      <c r="AG147" s="235" t="s">
        <v>1778</v>
      </c>
      <c r="BV147" s="236" t="str">
        <f>HYPERLINK("#일위대가목록!A91","HP038 →")</f>
        <v>HP038 →</v>
      </c>
      <c r="CB147" s="235">
        <v>305373</v>
      </c>
      <c r="CC147" s="235">
        <v>610746</v>
      </c>
      <c r="CD147" s="235">
        <v>44930</v>
      </c>
      <c r="CE147" s="235">
        <v>89860</v>
      </c>
      <c r="CF147" s="235">
        <v>236423</v>
      </c>
      <c r="CG147" s="235">
        <v>472846</v>
      </c>
      <c r="CH147" s="235">
        <v>24020</v>
      </c>
      <c r="CI147" s="235">
        <v>48040</v>
      </c>
      <c r="CJ147" s="235" t="s">
        <v>1690</v>
      </c>
    </row>
    <row r="148" spans="1:88" s="235" customFormat="1" ht="20.100000000000001" customHeight="1" x14ac:dyDescent="0.15">
      <c r="A148" s="229" t="s">
        <v>2954</v>
      </c>
      <c r="B148" s="229" t="s">
        <v>494</v>
      </c>
      <c r="C148" s="230" t="s">
        <v>556</v>
      </c>
      <c r="D148" s="233">
        <v>0</v>
      </c>
      <c r="E148" s="231">
        <f t="shared" si="45"/>
        <v>217132</v>
      </c>
      <c r="F148" s="256">
        <f t="shared" si="45"/>
        <v>0</v>
      </c>
      <c r="G148" s="257">
        <v>34013</v>
      </c>
      <c r="H148" s="256">
        <f t="shared" si="52"/>
        <v>0</v>
      </c>
      <c r="I148" s="257">
        <v>166231</v>
      </c>
      <c r="J148" s="256">
        <f t="shared" si="53"/>
        <v>0</v>
      </c>
      <c r="K148" s="257">
        <v>16888</v>
      </c>
      <c r="L148" s="256">
        <f t="shared" si="54"/>
        <v>0</v>
      </c>
      <c r="M148" s="256"/>
      <c r="N148" s="256"/>
      <c r="O148" s="272">
        <f t="shared" si="46"/>
        <v>0</v>
      </c>
      <c r="P148" s="256"/>
      <c r="Q148" s="256">
        <f t="shared" si="47"/>
        <v>0</v>
      </c>
      <c r="R148" s="272">
        <f t="shared" si="48"/>
        <v>0</v>
      </c>
      <c r="S148" s="233">
        <f t="shared" si="42"/>
        <v>0</v>
      </c>
      <c r="T148" s="233">
        <f t="shared" si="43"/>
        <v>0</v>
      </c>
      <c r="U148" s="233">
        <f t="shared" si="44"/>
        <v>0</v>
      </c>
      <c r="V148" s="256">
        <f t="shared" si="49"/>
        <v>0</v>
      </c>
      <c r="W148" s="256">
        <f t="shared" si="50"/>
        <v>0</v>
      </c>
      <c r="X148" s="272">
        <f t="shared" si="51"/>
        <v>0</v>
      </c>
      <c r="Y148" s="234"/>
      <c r="Z148" s="383"/>
      <c r="AA148" s="252" t="e">
        <f>E148-#REF!</f>
        <v>#REF!</v>
      </c>
      <c r="AC148" s="235" t="s">
        <v>2774</v>
      </c>
      <c r="AD148" s="235" t="s">
        <v>2856</v>
      </c>
      <c r="AE148" s="235" t="s">
        <v>1097</v>
      </c>
      <c r="AG148" s="235" t="s">
        <v>1778</v>
      </c>
      <c r="BV148" s="236" t="str">
        <f>HYPERLINK("#일위대가목록!A92","HP039 →")</f>
        <v>HP039 →</v>
      </c>
      <c r="CB148" s="235">
        <v>252669</v>
      </c>
      <c r="CC148" s="235">
        <v>505338</v>
      </c>
      <c r="CD148" s="235">
        <v>39580</v>
      </c>
      <c r="CE148" s="235">
        <v>79160</v>
      </c>
      <c r="CF148" s="235">
        <v>193437</v>
      </c>
      <c r="CG148" s="235">
        <v>386874</v>
      </c>
      <c r="CH148" s="235">
        <v>19652</v>
      </c>
      <c r="CI148" s="235">
        <v>39304</v>
      </c>
      <c r="CJ148" s="235" t="s">
        <v>644</v>
      </c>
    </row>
    <row r="149" spans="1:88" s="235" customFormat="1" ht="20.100000000000001" customHeight="1" x14ac:dyDescent="0.15">
      <c r="A149" s="229" t="s">
        <v>2954</v>
      </c>
      <c r="B149" s="229" t="s">
        <v>2244</v>
      </c>
      <c r="C149" s="230" t="s">
        <v>556</v>
      </c>
      <c r="D149" s="233">
        <v>10</v>
      </c>
      <c r="E149" s="231">
        <f t="shared" ref="E149:F201" si="56">G149+I149+K149</f>
        <v>217376</v>
      </c>
      <c r="F149" s="256">
        <f t="shared" si="56"/>
        <v>2173760</v>
      </c>
      <c r="G149" s="257">
        <v>34257</v>
      </c>
      <c r="H149" s="256">
        <f t="shared" si="52"/>
        <v>342570</v>
      </c>
      <c r="I149" s="257">
        <v>166231</v>
      </c>
      <c r="J149" s="256">
        <f t="shared" si="53"/>
        <v>1662310</v>
      </c>
      <c r="K149" s="257">
        <v>16888</v>
      </c>
      <c r="L149" s="256">
        <f t="shared" si="54"/>
        <v>168880</v>
      </c>
      <c r="M149" s="256"/>
      <c r="N149" s="256"/>
      <c r="O149" s="272">
        <f t="shared" si="46"/>
        <v>0</v>
      </c>
      <c r="P149" s="256"/>
      <c r="Q149" s="256">
        <f t="shared" si="47"/>
        <v>0</v>
      </c>
      <c r="R149" s="272">
        <f t="shared" si="48"/>
        <v>0</v>
      </c>
      <c r="S149" s="233">
        <f t="shared" si="42"/>
        <v>0</v>
      </c>
      <c r="T149" s="233">
        <f t="shared" si="43"/>
        <v>0</v>
      </c>
      <c r="U149" s="233">
        <f t="shared" si="44"/>
        <v>0</v>
      </c>
      <c r="V149" s="256">
        <f t="shared" si="49"/>
        <v>0</v>
      </c>
      <c r="W149" s="256">
        <f t="shared" si="50"/>
        <v>0</v>
      </c>
      <c r="X149" s="272">
        <f t="shared" si="51"/>
        <v>0</v>
      </c>
      <c r="Y149" s="234"/>
      <c r="Z149" s="383"/>
      <c r="AA149" s="252" t="e">
        <f>E149-#REF!</f>
        <v>#REF!</v>
      </c>
      <c r="AC149" s="235" t="s">
        <v>579</v>
      </c>
      <c r="AD149" s="235" t="s">
        <v>2856</v>
      </c>
      <c r="AE149" s="235" t="s">
        <v>37</v>
      </c>
      <c r="AG149" s="235" t="s">
        <v>1778</v>
      </c>
      <c r="BV149" s="236" t="str">
        <f>HYPERLINK("#일위대가목록!A93","HP040 →")</f>
        <v>HP040 →</v>
      </c>
      <c r="CB149" s="235">
        <v>252953</v>
      </c>
      <c r="CC149" s="235">
        <v>3288389</v>
      </c>
      <c r="CD149" s="235">
        <v>39864</v>
      </c>
      <c r="CE149" s="235">
        <v>518232</v>
      </c>
      <c r="CF149" s="235">
        <v>193437</v>
      </c>
      <c r="CG149" s="235">
        <v>2514681</v>
      </c>
      <c r="CH149" s="235">
        <v>19652</v>
      </c>
      <c r="CI149" s="235">
        <v>255476</v>
      </c>
      <c r="CJ149" s="235" t="s">
        <v>1923</v>
      </c>
    </row>
    <row r="150" spans="1:88" s="235" customFormat="1" ht="20.100000000000001" customHeight="1" x14ac:dyDescent="0.15">
      <c r="A150" s="229" t="s">
        <v>2955</v>
      </c>
      <c r="B150" s="229" t="s">
        <v>881</v>
      </c>
      <c r="C150" s="230" t="s">
        <v>556</v>
      </c>
      <c r="D150" s="233">
        <v>2</v>
      </c>
      <c r="E150" s="231">
        <f t="shared" si="56"/>
        <v>533505</v>
      </c>
      <c r="F150" s="256">
        <f t="shared" si="56"/>
        <v>1067010</v>
      </c>
      <c r="G150" s="257">
        <v>61859</v>
      </c>
      <c r="H150" s="256">
        <f t="shared" si="52"/>
        <v>123718</v>
      </c>
      <c r="I150" s="257">
        <v>380751</v>
      </c>
      <c r="J150" s="256">
        <f t="shared" si="53"/>
        <v>761502</v>
      </c>
      <c r="K150" s="257">
        <v>90895</v>
      </c>
      <c r="L150" s="256">
        <f t="shared" si="54"/>
        <v>181790</v>
      </c>
      <c r="M150" s="256"/>
      <c r="N150" s="256"/>
      <c r="O150" s="272">
        <f t="shared" si="46"/>
        <v>0</v>
      </c>
      <c r="P150" s="256"/>
      <c r="Q150" s="256">
        <f t="shared" si="47"/>
        <v>0</v>
      </c>
      <c r="R150" s="272">
        <f t="shared" si="48"/>
        <v>0</v>
      </c>
      <c r="S150" s="233">
        <f t="shared" si="42"/>
        <v>0</v>
      </c>
      <c r="T150" s="233">
        <f t="shared" si="43"/>
        <v>0</v>
      </c>
      <c r="U150" s="233">
        <f t="shared" si="44"/>
        <v>0</v>
      </c>
      <c r="V150" s="256">
        <f t="shared" si="49"/>
        <v>0</v>
      </c>
      <c r="W150" s="256">
        <f t="shared" si="50"/>
        <v>0</v>
      </c>
      <c r="X150" s="272">
        <f t="shared" si="51"/>
        <v>0</v>
      </c>
      <c r="Y150" s="234"/>
      <c r="Z150" s="383"/>
      <c r="AA150" s="252" t="e">
        <f>E150-#REF!</f>
        <v>#REF!</v>
      </c>
      <c r="AC150" s="235" t="s">
        <v>1315</v>
      </c>
      <c r="AD150" s="235" t="s">
        <v>2856</v>
      </c>
      <c r="AE150" s="235" t="s">
        <v>1659</v>
      </c>
      <c r="AG150" s="235" t="s">
        <v>1778</v>
      </c>
      <c r="BV150" s="236" t="str">
        <f>HYPERLINK("#일위대가목록!A94","HP041 →")</f>
        <v>HP041 →</v>
      </c>
      <c r="CB150" s="235">
        <v>620822</v>
      </c>
      <c r="CC150" s="235">
        <v>1241644</v>
      </c>
      <c r="CD150" s="235">
        <v>71984</v>
      </c>
      <c r="CE150" s="235">
        <v>143968</v>
      </c>
      <c r="CF150" s="235">
        <v>443066</v>
      </c>
      <c r="CG150" s="235">
        <v>886132</v>
      </c>
      <c r="CH150" s="235">
        <v>105772</v>
      </c>
      <c r="CI150" s="235">
        <v>211544</v>
      </c>
      <c r="CJ150" s="235" t="s">
        <v>263</v>
      </c>
    </row>
    <row r="151" spans="1:88" s="235" customFormat="1" ht="20.100000000000001" customHeight="1" x14ac:dyDescent="0.15">
      <c r="A151" s="229" t="s">
        <v>2956</v>
      </c>
      <c r="B151" s="229" t="s">
        <v>1567</v>
      </c>
      <c r="C151" s="230" t="s">
        <v>556</v>
      </c>
      <c r="D151" s="233">
        <v>4</v>
      </c>
      <c r="E151" s="231">
        <f t="shared" si="56"/>
        <v>262422</v>
      </c>
      <c r="F151" s="256">
        <f t="shared" si="56"/>
        <v>1049688</v>
      </c>
      <c r="G151" s="257">
        <v>38610</v>
      </c>
      <c r="H151" s="256">
        <f t="shared" si="52"/>
        <v>154440</v>
      </c>
      <c r="I151" s="257">
        <v>203171</v>
      </c>
      <c r="J151" s="256">
        <f t="shared" si="53"/>
        <v>812684</v>
      </c>
      <c r="K151" s="257">
        <v>20641</v>
      </c>
      <c r="L151" s="256">
        <f t="shared" si="54"/>
        <v>82564</v>
      </c>
      <c r="M151" s="256"/>
      <c r="N151" s="256"/>
      <c r="O151" s="272">
        <f t="shared" si="46"/>
        <v>0</v>
      </c>
      <c r="P151" s="256"/>
      <c r="Q151" s="256">
        <f t="shared" si="47"/>
        <v>0</v>
      </c>
      <c r="R151" s="272">
        <f t="shared" si="48"/>
        <v>0</v>
      </c>
      <c r="S151" s="233">
        <f t="shared" si="42"/>
        <v>0</v>
      </c>
      <c r="T151" s="233">
        <f t="shared" si="43"/>
        <v>0</v>
      </c>
      <c r="U151" s="233">
        <f t="shared" si="44"/>
        <v>0</v>
      </c>
      <c r="V151" s="256">
        <f t="shared" si="49"/>
        <v>0</v>
      </c>
      <c r="W151" s="256">
        <f t="shared" si="50"/>
        <v>0</v>
      </c>
      <c r="X151" s="272">
        <f t="shared" si="51"/>
        <v>0</v>
      </c>
      <c r="Y151" s="234"/>
      <c r="Z151" s="383"/>
      <c r="AA151" s="252" t="e">
        <f>E151-#REF!</f>
        <v>#REF!</v>
      </c>
      <c r="AC151" s="235" t="s">
        <v>2033</v>
      </c>
      <c r="AD151" s="235" t="s">
        <v>2856</v>
      </c>
      <c r="AE151" s="235" t="s">
        <v>508</v>
      </c>
      <c r="AG151" s="235" t="s">
        <v>1778</v>
      </c>
      <c r="BV151" s="236" t="str">
        <f>HYPERLINK("#일위대가목록!A95","HP042 →")</f>
        <v>HP042 →</v>
      </c>
      <c r="CB151" s="235">
        <v>305373</v>
      </c>
      <c r="CC151" s="235">
        <v>1221492</v>
      </c>
      <c r="CD151" s="235">
        <v>44930</v>
      </c>
      <c r="CE151" s="235">
        <v>179720</v>
      </c>
      <c r="CF151" s="235">
        <v>236423</v>
      </c>
      <c r="CG151" s="235">
        <v>945692</v>
      </c>
      <c r="CH151" s="235">
        <v>24020</v>
      </c>
      <c r="CI151" s="235">
        <v>96080</v>
      </c>
      <c r="CJ151" s="235" t="s">
        <v>1442</v>
      </c>
    </row>
    <row r="152" spans="1:88" s="235" customFormat="1" ht="20.100000000000001" customHeight="1" x14ac:dyDescent="0.15">
      <c r="A152" s="229" t="s">
        <v>2957</v>
      </c>
      <c r="B152" s="229" t="s">
        <v>1498</v>
      </c>
      <c r="C152" s="230" t="s">
        <v>556</v>
      </c>
      <c r="D152" s="233">
        <v>1</v>
      </c>
      <c r="E152" s="231">
        <f t="shared" si="56"/>
        <v>1513145</v>
      </c>
      <c r="F152" s="256">
        <f t="shared" si="56"/>
        <v>1513145</v>
      </c>
      <c r="G152" s="257">
        <v>206967</v>
      </c>
      <c r="H152" s="256">
        <f t="shared" si="52"/>
        <v>206967</v>
      </c>
      <c r="I152" s="257">
        <v>874539</v>
      </c>
      <c r="J152" s="256">
        <f t="shared" si="53"/>
        <v>874539</v>
      </c>
      <c r="K152" s="257">
        <v>431639</v>
      </c>
      <c r="L152" s="256">
        <f t="shared" si="54"/>
        <v>431639</v>
      </c>
      <c r="M152" s="256"/>
      <c r="N152" s="256"/>
      <c r="O152" s="272">
        <f t="shared" si="46"/>
        <v>0</v>
      </c>
      <c r="P152" s="256"/>
      <c r="Q152" s="256">
        <f t="shared" si="47"/>
        <v>0</v>
      </c>
      <c r="R152" s="272">
        <f t="shared" si="48"/>
        <v>0</v>
      </c>
      <c r="S152" s="233">
        <f t="shared" si="42"/>
        <v>0</v>
      </c>
      <c r="T152" s="233">
        <f t="shared" si="43"/>
        <v>0</v>
      </c>
      <c r="U152" s="233">
        <f t="shared" si="44"/>
        <v>0</v>
      </c>
      <c r="V152" s="256">
        <f t="shared" si="49"/>
        <v>0</v>
      </c>
      <c r="W152" s="256">
        <f t="shared" si="50"/>
        <v>0</v>
      </c>
      <c r="X152" s="272">
        <f t="shared" si="51"/>
        <v>0</v>
      </c>
      <c r="Y152" s="234"/>
      <c r="Z152" s="383"/>
      <c r="AA152" s="252" t="e">
        <f>E152-#REF!</f>
        <v>#REF!</v>
      </c>
      <c r="AC152" s="235" t="s">
        <v>2766</v>
      </c>
      <c r="AD152" s="235" t="s">
        <v>2856</v>
      </c>
      <c r="AE152" s="235" t="s">
        <v>2075</v>
      </c>
      <c r="AG152" s="235" t="s">
        <v>1778</v>
      </c>
      <c r="BV152" s="236" t="str">
        <f>HYPERLINK("#일위대가목록!A96","HP043 →")</f>
        <v>HP043 →</v>
      </c>
      <c r="CB152" s="235">
        <v>1760791</v>
      </c>
      <c r="CC152" s="235">
        <v>1760791</v>
      </c>
      <c r="CD152" s="235">
        <v>240840</v>
      </c>
      <c r="CE152" s="235">
        <v>240840</v>
      </c>
      <c r="CF152" s="235">
        <v>1017669</v>
      </c>
      <c r="CG152" s="235">
        <v>1017669</v>
      </c>
      <c r="CH152" s="235">
        <v>502282</v>
      </c>
      <c r="CI152" s="235">
        <v>502282</v>
      </c>
      <c r="CJ152" s="235" t="s">
        <v>178</v>
      </c>
    </row>
    <row r="153" spans="1:88" s="235" customFormat="1" ht="20.100000000000001" customHeight="1" x14ac:dyDescent="0.15">
      <c r="A153" s="229" t="s">
        <v>2957</v>
      </c>
      <c r="B153" s="229" t="s">
        <v>2756</v>
      </c>
      <c r="C153" s="230" t="s">
        <v>556</v>
      </c>
      <c r="D153" s="233">
        <v>2</v>
      </c>
      <c r="E153" s="231">
        <f t="shared" si="56"/>
        <v>542670</v>
      </c>
      <c r="F153" s="256">
        <f t="shared" si="56"/>
        <v>1085340</v>
      </c>
      <c r="G153" s="257">
        <v>71024</v>
      </c>
      <c r="H153" s="256">
        <f t="shared" si="52"/>
        <v>142048</v>
      </c>
      <c r="I153" s="257">
        <v>380751</v>
      </c>
      <c r="J153" s="256">
        <f t="shared" si="53"/>
        <v>761502</v>
      </c>
      <c r="K153" s="257">
        <v>90895</v>
      </c>
      <c r="L153" s="256">
        <f t="shared" si="54"/>
        <v>181790</v>
      </c>
      <c r="M153" s="256"/>
      <c r="N153" s="256"/>
      <c r="O153" s="272">
        <f t="shared" si="46"/>
        <v>0</v>
      </c>
      <c r="P153" s="256"/>
      <c r="Q153" s="256">
        <f t="shared" si="47"/>
        <v>0</v>
      </c>
      <c r="R153" s="272">
        <f t="shared" si="48"/>
        <v>0</v>
      </c>
      <c r="S153" s="233">
        <f t="shared" si="42"/>
        <v>0</v>
      </c>
      <c r="T153" s="233">
        <f t="shared" si="43"/>
        <v>0</v>
      </c>
      <c r="U153" s="233">
        <f t="shared" si="44"/>
        <v>0</v>
      </c>
      <c r="V153" s="256">
        <f t="shared" si="49"/>
        <v>0</v>
      </c>
      <c r="W153" s="256">
        <f t="shared" si="50"/>
        <v>0</v>
      </c>
      <c r="X153" s="272">
        <f t="shared" si="51"/>
        <v>0</v>
      </c>
      <c r="Y153" s="234"/>
      <c r="Z153" s="383"/>
      <c r="AA153" s="252" t="e">
        <f>E153-#REF!</f>
        <v>#REF!</v>
      </c>
      <c r="AC153" s="235" t="s">
        <v>514</v>
      </c>
      <c r="AD153" s="235" t="s">
        <v>2856</v>
      </c>
      <c r="AE153" s="235" t="s">
        <v>289</v>
      </c>
      <c r="AG153" s="235" t="s">
        <v>1778</v>
      </c>
      <c r="BV153" s="236" t="str">
        <f>HYPERLINK("#일위대가목록!A97","HP044 →")</f>
        <v>HP044 →</v>
      </c>
      <c r="CB153" s="235">
        <v>631487</v>
      </c>
      <c r="CC153" s="235">
        <v>1262974</v>
      </c>
      <c r="CD153" s="235">
        <v>82649</v>
      </c>
      <c r="CE153" s="235">
        <v>165298</v>
      </c>
      <c r="CF153" s="235">
        <v>443066</v>
      </c>
      <c r="CG153" s="235">
        <v>886132</v>
      </c>
      <c r="CH153" s="235">
        <v>105772</v>
      </c>
      <c r="CI153" s="235">
        <v>211544</v>
      </c>
      <c r="CJ153" s="235" t="s">
        <v>1494</v>
      </c>
    </row>
    <row r="154" spans="1:88" s="235" customFormat="1" ht="20.100000000000001" customHeight="1" x14ac:dyDescent="0.15">
      <c r="A154" s="229" t="s">
        <v>2957</v>
      </c>
      <c r="B154" s="229" t="s">
        <v>2256</v>
      </c>
      <c r="C154" s="230" t="s">
        <v>556</v>
      </c>
      <c r="D154" s="233">
        <v>2</v>
      </c>
      <c r="E154" s="231">
        <f t="shared" si="56"/>
        <v>1040468</v>
      </c>
      <c r="F154" s="256">
        <f t="shared" si="56"/>
        <v>2080936</v>
      </c>
      <c r="G154" s="257">
        <v>124557</v>
      </c>
      <c r="H154" s="256">
        <f t="shared" si="52"/>
        <v>249114</v>
      </c>
      <c r="I154" s="257">
        <v>674645</v>
      </c>
      <c r="J154" s="256">
        <f t="shared" si="53"/>
        <v>1349290</v>
      </c>
      <c r="K154" s="257">
        <v>241266</v>
      </c>
      <c r="L154" s="256">
        <f t="shared" si="54"/>
        <v>482532</v>
      </c>
      <c r="M154" s="256"/>
      <c r="N154" s="256"/>
      <c r="O154" s="272">
        <f t="shared" si="46"/>
        <v>0</v>
      </c>
      <c r="P154" s="256"/>
      <c r="Q154" s="256">
        <f t="shared" si="47"/>
        <v>0</v>
      </c>
      <c r="R154" s="272">
        <f t="shared" si="48"/>
        <v>0</v>
      </c>
      <c r="S154" s="233">
        <f t="shared" si="42"/>
        <v>0</v>
      </c>
      <c r="T154" s="233">
        <f t="shared" si="43"/>
        <v>0</v>
      </c>
      <c r="U154" s="233">
        <f t="shared" si="44"/>
        <v>0</v>
      </c>
      <c r="V154" s="256">
        <f t="shared" si="49"/>
        <v>0</v>
      </c>
      <c r="W154" s="256">
        <f t="shared" si="50"/>
        <v>0</v>
      </c>
      <c r="X154" s="272">
        <f t="shared" si="51"/>
        <v>0</v>
      </c>
      <c r="Y154" s="234"/>
      <c r="Z154" s="383"/>
      <c r="AA154" s="252" t="e">
        <f>E154-#REF!</f>
        <v>#REF!</v>
      </c>
      <c r="AC154" s="235" t="s">
        <v>1260</v>
      </c>
      <c r="AD154" s="235" t="s">
        <v>2856</v>
      </c>
      <c r="AE154" s="235" t="s">
        <v>1563</v>
      </c>
      <c r="AG154" s="235" t="s">
        <v>1778</v>
      </c>
      <c r="BV154" s="236" t="str">
        <f>HYPERLINK("#일위대가목록!A98","HP045 →")</f>
        <v>HP045 →</v>
      </c>
      <c r="CB154" s="235">
        <v>1210755</v>
      </c>
      <c r="CC154" s="235">
        <v>2421510</v>
      </c>
      <c r="CD154" s="235">
        <v>144943</v>
      </c>
      <c r="CE154" s="235">
        <v>289886</v>
      </c>
      <c r="CF154" s="235">
        <v>785059</v>
      </c>
      <c r="CG154" s="235">
        <v>1570118</v>
      </c>
      <c r="CH154" s="235">
        <v>280753</v>
      </c>
      <c r="CI154" s="235">
        <v>561506</v>
      </c>
      <c r="CJ154" s="235" t="s">
        <v>1120</v>
      </c>
    </row>
    <row r="155" spans="1:88" s="235" customFormat="1" ht="20.100000000000001" customHeight="1" x14ac:dyDescent="0.15">
      <c r="A155" s="229" t="s">
        <v>2957</v>
      </c>
      <c r="B155" s="229" t="s">
        <v>1567</v>
      </c>
      <c r="C155" s="230" t="s">
        <v>556</v>
      </c>
      <c r="D155" s="233">
        <v>1</v>
      </c>
      <c r="E155" s="231">
        <f t="shared" si="56"/>
        <v>262422</v>
      </c>
      <c r="F155" s="256">
        <f t="shared" si="56"/>
        <v>262422</v>
      </c>
      <c r="G155" s="257">
        <v>38610</v>
      </c>
      <c r="H155" s="256">
        <f t="shared" si="52"/>
        <v>38610</v>
      </c>
      <c r="I155" s="257">
        <v>203171</v>
      </c>
      <c r="J155" s="256">
        <f t="shared" si="53"/>
        <v>203171</v>
      </c>
      <c r="K155" s="257">
        <v>20641</v>
      </c>
      <c r="L155" s="256">
        <f t="shared" si="54"/>
        <v>20641</v>
      </c>
      <c r="M155" s="256"/>
      <c r="N155" s="256"/>
      <c r="O155" s="272">
        <f t="shared" si="46"/>
        <v>0</v>
      </c>
      <c r="P155" s="256"/>
      <c r="Q155" s="256">
        <f t="shared" si="47"/>
        <v>0</v>
      </c>
      <c r="R155" s="272">
        <f t="shared" si="48"/>
        <v>0</v>
      </c>
      <c r="S155" s="233">
        <f t="shared" si="42"/>
        <v>0</v>
      </c>
      <c r="T155" s="233">
        <f t="shared" si="43"/>
        <v>0</v>
      </c>
      <c r="U155" s="233">
        <f t="shared" si="44"/>
        <v>0</v>
      </c>
      <c r="V155" s="256">
        <f t="shared" si="49"/>
        <v>0</v>
      </c>
      <c r="W155" s="256">
        <f t="shared" si="50"/>
        <v>0</v>
      </c>
      <c r="X155" s="272">
        <f t="shared" si="51"/>
        <v>0</v>
      </c>
      <c r="Y155" s="234"/>
      <c r="Z155" s="383"/>
      <c r="AA155" s="252" t="e">
        <f>E155-#REF!</f>
        <v>#REF!</v>
      </c>
      <c r="AC155" s="235" t="s">
        <v>1983</v>
      </c>
      <c r="AD155" s="235" t="s">
        <v>2856</v>
      </c>
      <c r="AE155" s="235" t="s">
        <v>597</v>
      </c>
      <c r="AG155" s="235" t="s">
        <v>1778</v>
      </c>
      <c r="BV155" s="236" t="str">
        <f>HYPERLINK("#일위대가목록!A99","HP046 →")</f>
        <v>HP046 →</v>
      </c>
      <c r="CB155" s="235">
        <v>305373</v>
      </c>
      <c r="CC155" s="235">
        <v>916119</v>
      </c>
      <c r="CD155" s="235">
        <v>44930</v>
      </c>
      <c r="CE155" s="235">
        <v>134790</v>
      </c>
      <c r="CF155" s="235">
        <v>236423</v>
      </c>
      <c r="CG155" s="235">
        <v>709269</v>
      </c>
      <c r="CH155" s="235">
        <v>24020</v>
      </c>
      <c r="CI155" s="235">
        <v>72060</v>
      </c>
      <c r="CJ155" s="235" t="s">
        <v>2751</v>
      </c>
    </row>
    <row r="156" spans="1:88" s="235" customFormat="1" ht="20.100000000000001" customHeight="1" x14ac:dyDescent="0.15">
      <c r="A156" s="255" t="s">
        <v>2957</v>
      </c>
      <c r="B156" s="255" t="s">
        <v>3200</v>
      </c>
      <c r="C156" s="230" t="s">
        <v>556</v>
      </c>
      <c r="D156" s="233">
        <v>3</v>
      </c>
      <c r="E156" s="231">
        <f t="shared" si="56"/>
        <v>1064751</v>
      </c>
      <c r="F156" s="256">
        <f t="shared" si="56"/>
        <v>3194253</v>
      </c>
      <c r="G156" s="257">
        <v>106536</v>
      </c>
      <c r="H156" s="256">
        <f t="shared" si="52"/>
        <v>319608</v>
      </c>
      <c r="I156" s="257">
        <v>773548</v>
      </c>
      <c r="J156" s="256">
        <f t="shared" si="53"/>
        <v>2320644</v>
      </c>
      <c r="K156" s="257">
        <v>184667</v>
      </c>
      <c r="L156" s="256">
        <f t="shared" si="54"/>
        <v>554001</v>
      </c>
      <c r="M156" s="256"/>
      <c r="N156" s="256"/>
      <c r="O156" s="272">
        <f t="shared" si="46"/>
        <v>0</v>
      </c>
      <c r="P156" s="256">
        <v>2</v>
      </c>
      <c r="Q156" s="256">
        <f t="shared" si="47"/>
        <v>2129502</v>
      </c>
      <c r="R156" s="272">
        <f t="shared" si="48"/>
        <v>0.66666666666666663</v>
      </c>
      <c r="S156" s="233">
        <f t="shared" si="42"/>
        <v>213072</v>
      </c>
      <c r="T156" s="233">
        <f t="shared" si="43"/>
        <v>1547096</v>
      </c>
      <c r="U156" s="233">
        <f t="shared" si="44"/>
        <v>369334</v>
      </c>
      <c r="V156" s="256">
        <f t="shared" si="49"/>
        <v>2</v>
      </c>
      <c r="W156" s="256">
        <f t="shared" si="50"/>
        <v>2129502</v>
      </c>
      <c r="X156" s="272">
        <f t="shared" si="51"/>
        <v>0.66666666666666663</v>
      </c>
      <c r="Y156" s="234"/>
      <c r="Z156" s="383"/>
      <c r="AA156" s="252" t="e">
        <f>E156-#REF!</f>
        <v>#REF!</v>
      </c>
      <c r="AC156" s="235" t="s">
        <v>2725</v>
      </c>
      <c r="AD156" s="235" t="s">
        <v>2856</v>
      </c>
      <c r="AE156" s="235" t="s">
        <v>2692</v>
      </c>
      <c r="AG156" s="235" t="s">
        <v>1778</v>
      </c>
      <c r="BV156" s="236" t="str">
        <f>HYPERLINK("#일위대가목록!A89","HP036 →")</f>
        <v>HP036 →</v>
      </c>
      <c r="CB156" s="235">
        <v>620822</v>
      </c>
      <c r="CC156" s="235">
        <v>6208220</v>
      </c>
      <c r="CD156" s="235">
        <v>71984</v>
      </c>
      <c r="CE156" s="235">
        <v>719840</v>
      </c>
      <c r="CF156" s="235">
        <v>443066</v>
      </c>
      <c r="CG156" s="235">
        <v>4430660</v>
      </c>
      <c r="CH156" s="235">
        <v>105772</v>
      </c>
      <c r="CI156" s="235">
        <v>1057720</v>
      </c>
      <c r="CJ156" s="235" t="s">
        <v>2021</v>
      </c>
    </row>
    <row r="157" spans="1:88" s="235" customFormat="1" ht="20.100000000000001" customHeight="1" x14ac:dyDescent="0.15">
      <c r="A157" s="255" t="s">
        <v>2957</v>
      </c>
      <c r="B157" s="255" t="s">
        <v>3199</v>
      </c>
      <c r="C157" s="230" t="s">
        <v>556</v>
      </c>
      <c r="D157" s="233">
        <v>1</v>
      </c>
      <c r="E157" s="231">
        <f t="shared" si="56"/>
        <v>515421</v>
      </c>
      <c r="F157" s="256">
        <f t="shared" si="56"/>
        <v>515421</v>
      </c>
      <c r="G157" s="257">
        <v>60715</v>
      </c>
      <c r="H157" s="256">
        <f t="shared" si="52"/>
        <v>60715</v>
      </c>
      <c r="I157" s="257">
        <v>412770</v>
      </c>
      <c r="J157" s="256">
        <f t="shared" si="53"/>
        <v>412770</v>
      </c>
      <c r="K157" s="257">
        <v>41936</v>
      </c>
      <c r="L157" s="256">
        <f t="shared" si="54"/>
        <v>41936</v>
      </c>
      <c r="M157" s="256"/>
      <c r="N157" s="256"/>
      <c r="O157" s="272">
        <f t="shared" si="46"/>
        <v>0</v>
      </c>
      <c r="P157" s="256">
        <v>1</v>
      </c>
      <c r="Q157" s="256">
        <f t="shared" si="47"/>
        <v>515421</v>
      </c>
      <c r="R157" s="272">
        <f t="shared" si="48"/>
        <v>1</v>
      </c>
      <c r="S157" s="233">
        <f t="shared" si="42"/>
        <v>60715</v>
      </c>
      <c r="T157" s="233">
        <f t="shared" si="43"/>
        <v>412770</v>
      </c>
      <c r="U157" s="233">
        <f t="shared" si="44"/>
        <v>41936</v>
      </c>
      <c r="V157" s="256">
        <f t="shared" si="49"/>
        <v>1</v>
      </c>
      <c r="W157" s="256">
        <f t="shared" si="50"/>
        <v>515421</v>
      </c>
      <c r="X157" s="272">
        <f t="shared" si="51"/>
        <v>1</v>
      </c>
      <c r="Y157" s="234"/>
      <c r="Z157" s="383"/>
      <c r="AA157" s="252" t="e">
        <f>E157-#REF!</f>
        <v>#REF!</v>
      </c>
      <c r="AC157" s="235" t="s">
        <v>1450</v>
      </c>
      <c r="AD157" s="235" t="s">
        <v>2856</v>
      </c>
      <c r="AE157" s="235" t="s">
        <v>110</v>
      </c>
      <c r="AG157" s="235" t="s">
        <v>1778</v>
      </c>
      <c r="BV157" s="236" t="str">
        <f>HYPERLINK("#일위대가목록!A78","HP025 →")</f>
        <v>HP025 →</v>
      </c>
      <c r="CB157" s="235">
        <v>305373</v>
      </c>
      <c r="CC157" s="235">
        <v>610746</v>
      </c>
      <c r="CD157" s="235">
        <v>44930</v>
      </c>
      <c r="CE157" s="235">
        <v>89860</v>
      </c>
      <c r="CF157" s="235">
        <v>236423</v>
      </c>
      <c r="CG157" s="235">
        <v>472846</v>
      </c>
      <c r="CH157" s="235">
        <v>24020</v>
      </c>
      <c r="CI157" s="235">
        <v>48040</v>
      </c>
      <c r="CJ157" s="235" t="s">
        <v>2658</v>
      </c>
    </row>
    <row r="158" spans="1:88" s="235" customFormat="1" ht="20.100000000000001" customHeight="1" x14ac:dyDescent="0.15">
      <c r="A158" s="229" t="s">
        <v>2958</v>
      </c>
      <c r="B158" s="229" t="s">
        <v>494</v>
      </c>
      <c r="C158" s="230" t="s">
        <v>556</v>
      </c>
      <c r="D158" s="233">
        <v>5</v>
      </c>
      <c r="E158" s="231">
        <f t="shared" si="56"/>
        <v>217132</v>
      </c>
      <c r="F158" s="256">
        <f t="shared" si="56"/>
        <v>1085660</v>
      </c>
      <c r="G158" s="257">
        <v>34013</v>
      </c>
      <c r="H158" s="256">
        <f t="shared" si="52"/>
        <v>170065</v>
      </c>
      <c r="I158" s="257">
        <v>166231</v>
      </c>
      <c r="J158" s="256">
        <f t="shared" si="53"/>
        <v>831155</v>
      </c>
      <c r="K158" s="257">
        <v>16888</v>
      </c>
      <c r="L158" s="256">
        <f t="shared" si="54"/>
        <v>84440</v>
      </c>
      <c r="M158" s="256"/>
      <c r="N158" s="256"/>
      <c r="O158" s="272">
        <f t="shared" si="46"/>
        <v>0</v>
      </c>
      <c r="P158" s="256">
        <v>5</v>
      </c>
      <c r="Q158" s="256">
        <f t="shared" si="47"/>
        <v>1085660</v>
      </c>
      <c r="R158" s="272">
        <f t="shared" si="48"/>
        <v>1</v>
      </c>
      <c r="S158" s="233">
        <f t="shared" si="42"/>
        <v>170065</v>
      </c>
      <c r="T158" s="233">
        <f t="shared" si="43"/>
        <v>831155</v>
      </c>
      <c r="U158" s="233">
        <f t="shared" si="44"/>
        <v>84440</v>
      </c>
      <c r="V158" s="256">
        <f t="shared" si="49"/>
        <v>5</v>
      </c>
      <c r="W158" s="256">
        <f t="shared" si="50"/>
        <v>1085660</v>
      </c>
      <c r="X158" s="272">
        <f t="shared" si="51"/>
        <v>1</v>
      </c>
      <c r="Y158" s="234"/>
      <c r="Z158" s="383"/>
      <c r="AA158" s="252" t="e">
        <f>E158-#REF!</f>
        <v>#REF!</v>
      </c>
      <c r="AC158" s="235" t="s">
        <v>2716</v>
      </c>
      <c r="AD158" s="235" t="s">
        <v>2856</v>
      </c>
      <c r="AE158" s="235" t="s">
        <v>1792</v>
      </c>
      <c r="AG158" s="235" t="s">
        <v>1778</v>
      </c>
      <c r="BV158" s="236" t="str">
        <f>HYPERLINK("#일위대가목록!A100","HP047 →")</f>
        <v>HP047 →</v>
      </c>
      <c r="CB158" s="235">
        <v>252669</v>
      </c>
      <c r="CC158" s="235">
        <v>3032028</v>
      </c>
      <c r="CD158" s="235">
        <v>39580</v>
      </c>
      <c r="CE158" s="235">
        <v>474960</v>
      </c>
      <c r="CF158" s="235">
        <v>193437</v>
      </c>
      <c r="CG158" s="235">
        <v>2321244</v>
      </c>
      <c r="CH158" s="235">
        <v>19652</v>
      </c>
      <c r="CI158" s="235">
        <v>235824</v>
      </c>
      <c r="CJ158" s="235" t="s">
        <v>892</v>
      </c>
    </row>
    <row r="159" spans="1:88" s="235" customFormat="1" ht="20.100000000000001" customHeight="1" x14ac:dyDescent="0.15">
      <c r="A159" s="229" t="s">
        <v>2958</v>
      </c>
      <c r="B159" s="229" t="s">
        <v>3185</v>
      </c>
      <c r="C159" s="230" t="s">
        <v>556</v>
      </c>
      <c r="D159" s="233">
        <v>1</v>
      </c>
      <c r="E159" s="231">
        <f t="shared" ref="E159:F162" si="57">G159+I159+K159</f>
        <v>738806</v>
      </c>
      <c r="F159" s="256">
        <f t="shared" si="57"/>
        <v>738806</v>
      </c>
      <c r="G159" s="257">
        <v>91523</v>
      </c>
      <c r="H159" s="256">
        <f t="shared" si="52"/>
        <v>91523</v>
      </c>
      <c r="I159" s="257">
        <v>514015</v>
      </c>
      <c r="J159" s="256">
        <f t="shared" si="53"/>
        <v>514015</v>
      </c>
      <c r="K159" s="257">
        <v>133268</v>
      </c>
      <c r="L159" s="256">
        <f t="shared" si="54"/>
        <v>133268</v>
      </c>
      <c r="M159" s="256"/>
      <c r="N159" s="256"/>
      <c r="O159" s="272">
        <f t="shared" si="46"/>
        <v>0</v>
      </c>
      <c r="P159" s="256">
        <v>1</v>
      </c>
      <c r="Q159" s="256">
        <f t="shared" si="47"/>
        <v>738806</v>
      </c>
      <c r="R159" s="272">
        <f t="shared" si="48"/>
        <v>1</v>
      </c>
      <c r="S159" s="233">
        <f t="shared" si="42"/>
        <v>91523</v>
      </c>
      <c r="T159" s="233">
        <f t="shared" si="43"/>
        <v>514015</v>
      </c>
      <c r="U159" s="233">
        <f t="shared" si="44"/>
        <v>133268</v>
      </c>
      <c r="V159" s="256">
        <f t="shared" si="49"/>
        <v>1</v>
      </c>
      <c r="W159" s="256">
        <f t="shared" si="50"/>
        <v>738806</v>
      </c>
      <c r="X159" s="272">
        <f t="shared" si="51"/>
        <v>1</v>
      </c>
      <c r="Y159" s="234"/>
      <c r="Z159" s="383"/>
      <c r="AA159" s="252" t="e">
        <f>E159-#REF!</f>
        <v>#REF!</v>
      </c>
      <c r="AC159" s="235" t="s">
        <v>2716</v>
      </c>
      <c r="AD159" s="235" t="s">
        <v>2856</v>
      </c>
      <c r="AE159" s="235" t="s">
        <v>1792</v>
      </c>
      <c r="AG159" s="235" t="s">
        <v>1778</v>
      </c>
      <c r="BV159" s="236" t="str">
        <f>HYPERLINK("#일위대가목록!A100","HP047 →")</f>
        <v>HP047 →</v>
      </c>
      <c r="CB159" s="235">
        <v>252669</v>
      </c>
      <c r="CC159" s="235">
        <v>3032028</v>
      </c>
      <c r="CD159" s="235">
        <v>39580</v>
      </c>
      <c r="CE159" s="235">
        <v>474960</v>
      </c>
      <c r="CF159" s="235">
        <v>193437</v>
      </c>
      <c r="CG159" s="235">
        <v>2321244</v>
      </c>
      <c r="CH159" s="235">
        <v>19652</v>
      </c>
      <c r="CI159" s="235">
        <v>235824</v>
      </c>
      <c r="CJ159" s="235" t="s">
        <v>892</v>
      </c>
    </row>
    <row r="160" spans="1:88" s="235" customFormat="1" ht="20.100000000000001" customHeight="1" x14ac:dyDescent="0.15">
      <c r="A160" s="229" t="s">
        <v>2958</v>
      </c>
      <c r="B160" s="229" t="s">
        <v>3186</v>
      </c>
      <c r="C160" s="230" t="s">
        <v>556</v>
      </c>
      <c r="D160" s="233">
        <v>3</v>
      </c>
      <c r="E160" s="231">
        <f t="shared" si="57"/>
        <v>533505</v>
      </c>
      <c r="F160" s="256">
        <f t="shared" si="57"/>
        <v>1600515</v>
      </c>
      <c r="G160" s="257">
        <v>61859</v>
      </c>
      <c r="H160" s="256">
        <f t="shared" si="52"/>
        <v>185577</v>
      </c>
      <c r="I160" s="257">
        <v>380751</v>
      </c>
      <c r="J160" s="256">
        <f t="shared" si="53"/>
        <v>1142253</v>
      </c>
      <c r="K160" s="257">
        <v>90895</v>
      </c>
      <c r="L160" s="256">
        <f t="shared" si="54"/>
        <v>272685</v>
      </c>
      <c r="M160" s="256"/>
      <c r="N160" s="256"/>
      <c r="O160" s="272">
        <f t="shared" si="46"/>
        <v>0</v>
      </c>
      <c r="P160" s="256">
        <v>3</v>
      </c>
      <c r="Q160" s="256">
        <f t="shared" si="47"/>
        <v>1600515</v>
      </c>
      <c r="R160" s="272">
        <f t="shared" si="48"/>
        <v>1</v>
      </c>
      <c r="S160" s="233">
        <f t="shared" si="42"/>
        <v>185577</v>
      </c>
      <c r="T160" s="233">
        <f t="shared" si="43"/>
        <v>1142253</v>
      </c>
      <c r="U160" s="233">
        <f t="shared" si="44"/>
        <v>272685</v>
      </c>
      <c r="V160" s="256">
        <f t="shared" si="49"/>
        <v>3</v>
      </c>
      <c r="W160" s="256">
        <f t="shared" si="50"/>
        <v>1600515</v>
      </c>
      <c r="X160" s="272">
        <f t="shared" si="51"/>
        <v>1</v>
      </c>
      <c r="Y160" s="234"/>
      <c r="Z160" s="383"/>
      <c r="AA160" s="252" t="e">
        <f>E160-#REF!</f>
        <v>#REF!</v>
      </c>
      <c r="AC160" s="235" t="s">
        <v>2716</v>
      </c>
      <c r="AD160" s="235" t="s">
        <v>2856</v>
      </c>
      <c r="AE160" s="235" t="s">
        <v>1792</v>
      </c>
      <c r="AG160" s="235" t="s">
        <v>1778</v>
      </c>
      <c r="BV160" s="236" t="str">
        <f>HYPERLINK("#일위대가목록!A100","HP047 →")</f>
        <v>HP047 →</v>
      </c>
      <c r="CB160" s="235">
        <v>252669</v>
      </c>
      <c r="CC160" s="235">
        <v>3032028</v>
      </c>
      <c r="CD160" s="235">
        <v>39580</v>
      </c>
      <c r="CE160" s="235">
        <v>474960</v>
      </c>
      <c r="CF160" s="235">
        <v>193437</v>
      </c>
      <c r="CG160" s="235">
        <v>2321244</v>
      </c>
      <c r="CH160" s="235">
        <v>19652</v>
      </c>
      <c r="CI160" s="235">
        <v>235824</v>
      </c>
      <c r="CJ160" s="235" t="s">
        <v>892</v>
      </c>
    </row>
    <row r="161" spans="1:88" s="235" customFormat="1" ht="20.100000000000001" customHeight="1" x14ac:dyDescent="0.15">
      <c r="A161" s="229" t="s">
        <v>2958</v>
      </c>
      <c r="B161" s="229" t="s">
        <v>3188</v>
      </c>
      <c r="C161" s="230" t="s">
        <v>556</v>
      </c>
      <c r="D161" s="233">
        <v>3</v>
      </c>
      <c r="E161" s="231">
        <f t="shared" si="57"/>
        <v>118077</v>
      </c>
      <c r="F161" s="256">
        <f t="shared" si="57"/>
        <v>354231</v>
      </c>
      <c r="G161" s="257">
        <v>39359</v>
      </c>
      <c r="H161" s="256">
        <f t="shared" si="52"/>
        <v>118077</v>
      </c>
      <c r="I161" s="257">
        <v>39359</v>
      </c>
      <c r="J161" s="256">
        <f t="shared" si="53"/>
        <v>118077</v>
      </c>
      <c r="K161" s="257">
        <v>39359</v>
      </c>
      <c r="L161" s="256">
        <f t="shared" si="54"/>
        <v>118077</v>
      </c>
      <c r="M161" s="256"/>
      <c r="N161" s="256"/>
      <c r="O161" s="272">
        <f t="shared" si="46"/>
        <v>0</v>
      </c>
      <c r="P161" s="256">
        <v>3</v>
      </c>
      <c r="Q161" s="256">
        <f t="shared" si="47"/>
        <v>354231</v>
      </c>
      <c r="R161" s="272">
        <f t="shared" si="48"/>
        <v>1</v>
      </c>
      <c r="S161" s="233">
        <f t="shared" si="42"/>
        <v>118077</v>
      </c>
      <c r="T161" s="233">
        <f t="shared" si="43"/>
        <v>118077</v>
      </c>
      <c r="U161" s="233">
        <f t="shared" si="44"/>
        <v>118077</v>
      </c>
      <c r="V161" s="256">
        <f t="shared" si="49"/>
        <v>3</v>
      </c>
      <c r="W161" s="256">
        <f t="shared" si="50"/>
        <v>354231</v>
      </c>
      <c r="X161" s="272">
        <f t="shared" si="51"/>
        <v>1</v>
      </c>
      <c r="Y161" s="234"/>
      <c r="Z161" s="383"/>
      <c r="AA161" s="252" t="e">
        <f>E161-#REF!</f>
        <v>#REF!</v>
      </c>
      <c r="AC161" s="235" t="s">
        <v>2716</v>
      </c>
      <c r="AD161" s="235" t="s">
        <v>2856</v>
      </c>
      <c r="AE161" s="235" t="s">
        <v>1792</v>
      </c>
      <c r="AG161" s="235" t="s">
        <v>1778</v>
      </c>
      <c r="BV161" s="236" t="str">
        <f>HYPERLINK("#일위대가목록!A100","HP047 →")</f>
        <v>HP047 →</v>
      </c>
      <c r="CB161" s="235">
        <v>252669</v>
      </c>
      <c r="CC161" s="235">
        <v>3032028</v>
      </c>
      <c r="CD161" s="235">
        <v>39580</v>
      </c>
      <c r="CE161" s="235">
        <v>474960</v>
      </c>
      <c r="CF161" s="235">
        <v>193437</v>
      </c>
      <c r="CG161" s="235">
        <v>2321244</v>
      </c>
      <c r="CH161" s="235">
        <v>19652</v>
      </c>
      <c r="CI161" s="235">
        <v>235824</v>
      </c>
      <c r="CJ161" s="235" t="s">
        <v>892</v>
      </c>
    </row>
    <row r="162" spans="1:88" s="235" customFormat="1" ht="20.100000000000001" customHeight="1" x14ac:dyDescent="0.15">
      <c r="A162" s="229" t="s">
        <v>2958</v>
      </c>
      <c r="B162" s="229" t="s">
        <v>3187</v>
      </c>
      <c r="C162" s="230" t="s">
        <v>556</v>
      </c>
      <c r="D162" s="233">
        <v>7</v>
      </c>
      <c r="E162" s="231">
        <f t="shared" si="57"/>
        <v>262422</v>
      </c>
      <c r="F162" s="256">
        <f t="shared" si="57"/>
        <v>1836954</v>
      </c>
      <c r="G162" s="257">
        <v>38610</v>
      </c>
      <c r="H162" s="256">
        <f t="shared" si="52"/>
        <v>270270</v>
      </c>
      <c r="I162" s="257">
        <v>203171</v>
      </c>
      <c r="J162" s="256">
        <f t="shared" si="53"/>
        <v>1422197</v>
      </c>
      <c r="K162" s="257">
        <v>20641</v>
      </c>
      <c r="L162" s="256">
        <f t="shared" si="54"/>
        <v>144487</v>
      </c>
      <c r="M162" s="256"/>
      <c r="N162" s="256"/>
      <c r="O162" s="272">
        <f t="shared" si="46"/>
        <v>0</v>
      </c>
      <c r="P162" s="256">
        <v>7</v>
      </c>
      <c r="Q162" s="256">
        <f t="shared" si="47"/>
        <v>1836954</v>
      </c>
      <c r="R162" s="272">
        <f t="shared" si="48"/>
        <v>1</v>
      </c>
      <c r="S162" s="233">
        <f t="shared" si="42"/>
        <v>270270</v>
      </c>
      <c r="T162" s="233">
        <f t="shared" si="43"/>
        <v>1422197</v>
      </c>
      <c r="U162" s="233">
        <f t="shared" si="44"/>
        <v>144487</v>
      </c>
      <c r="V162" s="256">
        <f t="shared" si="49"/>
        <v>7</v>
      </c>
      <c r="W162" s="256">
        <f t="shared" si="50"/>
        <v>1836954</v>
      </c>
      <c r="X162" s="272">
        <f t="shared" si="51"/>
        <v>1</v>
      </c>
      <c r="Y162" s="234"/>
      <c r="Z162" s="383"/>
      <c r="AA162" s="252" t="e">
        <f>E162-#REF!</f>
        <v>#REF!</v>
      </c>
      <c r="AC162" s="235" t="s">
        <v>2716</v>
      </c>
      <c r="AD162" s="235" t="s">
        <v>2856</v>
      </c>
      <c r="AE162" s="235" t="s">
        <v>1792</v>
      </c>
      <c r="AG162" s="235" t="s">
        <v>1778</v>
      </c>
      <c r="BV162" s="236" t="str">
        <f>HYPERLINK("#일위대가목록!A100","HP047 →")</f>
        <v>HP047 →</v>
      </c>
      <c r="CB162" s="235">
        <v>252669</v>
      </c>
      <c r="CC162" s="235">
        <v>3032028</v>
      </c>
      <c r="CD162" s="235">
        <v>39580</v>
      </c>
      <c r="CE162" s="235">
        <v>474960</v>
      </c>
      <c r="CF162" s="235">
        <v>193437</v>
      </c>
      <c r="CG162" s="235">
        <v>2321244</v>
      </c>
      <c r="CH162" s="235">
        <v>19652</v>
      </c>
      <c r="CI162" s="235">
        <v>235824</v>
      </c>
      <c r="CJ162" s="235" t="s">
        <v>892</v>
      </c>
    </row>
    <row r="163" spans="1:88" s="235" customFormat="1" ht="20.100000000000001" customHeight="1" x14ac:dyDescent="0.15">
      <c r="A163" s="229" t="s">
        <v>2959</v>
      </c>
      <c r="B163" s="229" t="s">
        <v>2159</v>
      </c>
      <c r="C163" s="230" t="s">
        <v>556</v>
      </c>
      <c r="D163" s="233">
        <v>4</v>
      </c>
      <c r="E163" s="231">
        <f t="shared" si="56"/>
        <v>533505</v>
      </c>
      <c r="F163" s="256">
        <f t="shared" si="56"/>
        <v>2134020</v>
      </c>
      <c r="G163" s="257">
        <v>61859</v>
      </c>
      <c r="H163" s="256">
        <f t="shared" si="52"/>
        <v>247436</v>
      </c>
      <c r="I163" s="257">
        <v>380751</v>
      </c>
      <c r="J163" s="256">
        <f t="shared" si="53"/>
        <v>1523004</v>
      </c>
      <c r="K163" s="257">
        <v>90895</v>
      </c>
      <c r="L163" s="256">
        <f t="shared" si="54"/>
        <v>363580</v>
      </c>
      <c r="M163" s="256"/>
      <c r="N163" s="256"/>
      <c r="O163" s="272">
        <f t="shared" si="46"/>
        <v>0</v>
      </c>
      <c r="P163" s="256">
        <v>4</v>
      </c>
      <c r="Q163" s="256">
        <f t="shared" si="47"/>
        <v>2134020</v>
      </c>
      <c r="R163" s="272">
        <f t="shared" si="48"/>
        <v>1</v>
      </c>
      <c r="S163" s="233">
        <f t="shared" si="42"/>
        <v>247436</v>
      </c>
      <c r="T163" s="233">
        <f t="shared" si="43"/>
        <v>1523004</v>
      </c>
      <c r="U163" s="233">
        <f t="shared" si="44"/>
        <v>363580</v>
      </c>
      <c r="V163" s="256">
        <f t="shared" si="49"/>
        <v>4</v>
      </c>
      <c r="W163" s="256">
        <f t="shared" si="50"/>
        <v>2134020</v>
      </c>
      <c r="X163" s="272">
        <f t="shared" si="51"/>
        <v>1</v>
      </c>
      <c r="Y163" s="234"/>
      <c r="Z163" s="383"/>
      <c r="AA163" s="252" t="e">
        <f>E163-#REF!</f>
        <v>#REF!</v>
      </c>
      <c r="AC163" s="235" t="s">
        <v>659</v>
      </c>
      <c r="AD163" s="235" t="s">
        <v>2856</v>
      </c>
      <c r="AE163" s="235" t="s">
        <v>534</v>
      </c>
      <c r="AG163" s="235" t="s">
        <v>1778</v>
      </c>
      <c r="BV163" s="236" t="str">
        <f>HYPERLINK("#일위대가목록!A101","HP048 →")</f>
        <v>HP048 →</v>
      </c>
      <c r="CB163" s="235">
        <v>620822</v>
      </c>
      <c r="CC163" s="235">
        <v>620822</v>
      </c>
      <c r="CD163" s="235">
        <v>71984</v>
      </c>
      <c r="CE163" s="235">
        <v>71984</v>
      </c>
      <c r="CF163" s="235">
        <v>443066</v>
      </c>
      <c r="CG163" s="235">
        <v>443066</v>
      </c>
      <c r="CH163" s="235">
        <v>105772</v>
      </c>
      <c r="CI163" s="235">
        <v>105772</v>
      </c>
      <c r="CJ163" s="235" t="s">
        <v>2430</v>
      </c>
    </row>
    <row r="164" spans="1:88" s="235" customFormat="1" ht="20.100000000000001" customHeight="1" x14ac:dyDescent="0.15">
      <c r="A164" s="229" t="s">
        <v>2959</v>
      </c>
      <c r="B164" s="229" t="s">
        <v>523</v>
      </c>
      <c r="C164" s="230" t="s">
        <v>556</v>
      </c>
      <c r="D164" s="233">
        <v>2</v>
      </c>
      <c r="E164" s="231">
        <f t="shared" si="56"/>
        <v>263171</v>
      </c>
      <c r="F164" s="256">
        <f t="shared" si="56"/>
        <v>526342</v>
      </c>
      <c r="G164" s="257">
        <v>39359</v>
      </c>
      <c r="H164" s="256">
        <f t="shared" si="52"/>
        <v>78718</v>
      </c>
      <c r="I164" s="257">
        <v>203171</v>
      </c>
      <c r="J164" s="256">
        <f t="shared" si="53"/>
        <v>406342</v>
      </c>
      <c r="K164" s="257">
        <v>20641</v>
      </c>
      <c r="L164" s="256">
        <f t="shared" si="54"/>
        <v>41282</v>
      </c>
      <c r="M164" s="256"/>
      <c r="N164" s="256"/>
      <c r="O164" s="272">
        <f t="shared" si="46"/>
        <v>0</v>
      </c>
      <c r="P164" s="256">
        <v>2</v>
      </c>
      <c r="Q164" s="256">
        <f t="shared" si="47"/>
        <v>526342</v>
      </c>
      <c r="R164" s="272">
        <f t="shared" si="48"/>
        <v>1</v>
      </c>
      <c r="S164" s="233">
        <f t="shared" si="42"/>
        <v>78718</v>
      </c>
      <c r="T164" s="233">
        <f t="shared" si="43"/>
        <v>406342</v>
      </c>
      <c r="U164" s="233">
        <f t="shared" si="44"/>
        <v>41282</v>
      </c>
      <c r="V164" s="256">
        <f t="shared" si="49"/>
        <v>2</v>
      </c>
      <c r="W164" s="256">
        <f t="shared" si="50"/>
        <v>526342</v>
      </c>
      <c r="X164" s="272">
        <f t="shared" si="51"/>
        <v>1</v>
      </c>
      <c r="Y164" s="234"/>
      <c r="Z164" s="383"/>
      <c r="AA164" s="252" t="e">
        <f>E164-#REF!</f>
        <v>#REF!</v>
      </c>
      <c r="AC164" s="235" t="s">
        <v>1398</v>
      </c>
      <c r="AD164" s="235" t="s">
        <v>2856</v>
      </c>
      <c r="AE164" s="235" t="s">
        <v>1867</v>
      </c>
      <c r="AG164" s="235" t="s">
        <v>1778</v>
      </c>
      <c r="BV164" s="236" t="str">
        <f>HYPERLINK("#일위대가목록!A102","HP049 →")</f>
        <v>HP049 →</v>
      </c>
      <c r="CB164" s="235">
        <v>306244</v>
      </c>
      <c r="CC164" s="235">
        <v>612488</v>
      </c>
      <c r="CD164" s="235">
        <v>45801</v>
      </c>
      <c r="CE164" s="235">
        <v>91602</v>
      </c>
      <c r="CF164" s="235">
        <v>236423</v>
      </c>
      <c r="CG164" s="235">
        <v>472846</v>
      </c>
      <c r="CH164" s="235">
        <v>24020</v>
      </c>
      <c r="CI164" s="235">
        <v>48040</v>
      </c>
      <c r="CJ164" s="235" t="s">
        <v>1364</v>
      </c>
    </row>
    <row r="165" spans="1:88" s="235" customFormat="1" ht="20.100000000000001" customHeight="1" x14ac:dyDescent="0.15">
      <c r="A165" s="229" t="s">
        <v>2959</v>
      </c>
      <c r="B165" s="229" t="s">
        <v>1567</v>
      </c>
      <c r="C165" s="230" t="s">
        <v>556</v>
      </c>
      <c r="D165" s="233">
        <v>2</v>
      </c>
      <c r="E165" s="231">
        <f t="shared" si="56"/>
        <v>262422</v>
      </c>
      <c r="F165" s="256">
        <f t="shared" si="56"/>
        <v>524844</v>
      </c>
      <c r="G165" s="257">
        <v>38610</v>
      </c>
      <c r="H165" s="256">
        <f t="shared" si="52"/>
        <v>77220</v>
      </c>
      <c r="I165" s="257">
        <v>203171</v>
      </c>
      <c r="J165" s="256">
        <f t="shared" si="53"/>
        <v>406342</v>
      </c>
      <c r="K165" s="257">
        <v>20641</v>
      </c>
      <c r="L165" s="256">
        <f t="shared" si="54"/>
        <v>41282</v>
      </c>
      <c r="M165" s="256"/>
      <c r="N165" s="256"/>
      <c r="O165" s="272">
        <f t="shared" si="46"/>
        <v>0</v>
      </c>
      <c r="P165" s="256">
        <v>1</v>
      </c>
      <c r="Q165" s="256">
        <f t="shared" si="47"/>
        <v>262422</v>
      </c>
      <c r="R165" s="272">
        <f t="shared" si="48"/>
        <v>0.5</v>
      </c>
      <c r="S165" s="233">
        <f t="shared" si="42"/>
        <v>38610</v>
      </c>
      <c r="T165" s="233">
        <f t="shared" si="43"/>
        <v>203171</v>
      </c>
      <c r="U165" s="233">
        <f t="shared" si="44"/>
        <v>20641</v>
      </c>
      <c r="V165" s="256">
        <f t="shared" si="49"/>
        <v>1</v>
      </c>
      <c r="W165" s="256">
        <f t="shared" si="50"/>
        <v>262422</v>
      </c>
      <c r="X165" s="272">
        <f t="shared" si="51"/>
        <v>0.5</v>
      </c>
      <c r="Y165" s="234"/>
      <c r="Z165" s="383"/>
      <c r="AA165" s="252" t="e">
        <f>E165-#REF!</f>
        <v>#REF!</v>
      </c>
      <c r="AC165" s="235" t="s">
        <v>43</v>
      </c>
      <c r="AD165" s="235" t="s">
        <v>2856</v>
      </c>
      <c r="AE165" s="235" t="s">
        <v>724</v>
      </c>
      <c r="AG165" s="235" t="s">
        <v>1778</v>
      </c>
      <c r="BV165" s="236" t="str">
        <f>HYPERLINK("#일위대가목록!A103","HP050 →")</f>
        <v>HP050 →</v>
      </c>
      <c r="CB165" s="235">
        <v>305373</v>
      </c>
      <c r="CC165" s="235">
        <v>5496714</v>
      </c>
      <c r="CD165" s="235">
        <v>44930</v>
      </c>
      <c r="CE165" s="235">
        <v>808740</v>
      </c>
      <c r="CF165" s="235">
        <v>236423</v>
      </c>
      <c r="CG165" s="235">
        <v>4255614</v>
      </c>
      <c r="CH165" s="235">
        <v>24020</v>
      </c>
      <c r="CI165" s="235">
        <v>432360</v>
      </c>
      <c r="CJ165" s="235" t="s">
        <v>2639</v>
      </c>
    </row>
    <row r="166" spans="1:88" s="235" customFormat="1" ht="20.100000000000001" customHeight="1" x14ac:dyDescent="0.15">
      <c r="A166" s="229" t="s">
        <v>2959</v>
      </c>
      <c r="B166" s="229" t="s">
        <v>494</v>
      </c>
      <c r="C166" s="230" t="s">
        <v>556</v>
      </c>
      <c r="D166" s="233">
        <v>2</v>
      </c>
      <c r="E166" s="231">
        <f t="shared" si="56"/>
        <v>217132</v>
      </c>
      <c r="F166" s="256">
        <f t="shared" si="56"/>
        <v>434264</v>
      </c>
      <c r="G166" s="257">
        <v>34013</v>
      </c>
      <c r="H166" s="256">
        <f t="shared" ref="H166:H197" si="58">TRUNC(G166*D166,0)</f>
        <v>68026</v>
      </c>
      <c r="I166" s="257">
        <v>166231</v>
      </c>
      <c r="J166" s="256">
        <f t="shared" ref="J166:J197" si="59">TRUNC(I166*D166,0)</f>
        <v>332462</v>
      </c>
      <c r="K166" s="257">
        <v>16888</v>
      </c>
      <c r="L166" s="256">
        <f t="shared" ref="L166:L197" si="60">TRUNC(K166*D166,0)</f>
        <v>33776</v>
      </c>
      <c r="M166" s="256"/>
      <c r="N166" s="256"/>
      <c r="O166" s="272">
        <f t="shared" si="46"/>
        <v>0</v>
      </c>
      <c r="P166" s="256">
        <v>2</v>
      </c>
      <c r="Q166" s="256">
        <f t="shared" si="47"/>
        <v>434264</v>
      </c>
      <c r="R166" s="272">
        <f t="shared" si="48"/>
        <v>1</v>
      </c>
      <c r="S166" s="233">
        <f t="shared" ref="S166:S205" si="61">TRUNC(G166*$P166,0)</f>
        <v>68026</v>
      </c>
      <c r="T166" s="233">
        <f t="shared" ref="T166:T205" si="62">TRUNC(I166*$P166,0)</f>
        <v>332462</v>
      </c>
      <c r="U166" s="233">
        <f t="shared" ref="U166:U205" si="63">TRUNC(K166*$P166,0)</f>
        <v>33776</v>
      </c>
      <c r="V166" s="256">
        <f t="shared" si="49"/>
        <v>2</v>
      </c>
      <c r="W166" s="256">
        <f t="shared" si="50"/>
        <v>434264</v>
      </c>
      <c r="X166" s="272">
        <f t="shared" si="51"/>
        <v>1</v>
      </c>
      <c r="Y166" s="234"/>
      <c r="Z166" s="383"/>
      <c r="AA166" s="252" t="e">
        <f>E166-#REF!</f>
        <v>#REF!</v>
      </c>
      <c r="AC166" s="235" t="s">
        <v>2774</v>
      </c>
      <c r="AD166" s="235" t="s">
        <v>2856</v>
      </c>
      <c r="AE166" s="235" t="s">
        <v>1097</v>
      </c>
      <c r="AG166" s="235" t="s">
        <v>1778</v>
      </c>
      <c r="BV166" s="236" t="str">
        <f>HYPERLINK("#일위대가목록!A92","HP039 →")</f>
        <v>HP039 →</v>
      </c>
      <c r="CB166" s="235">
        <v>252669</v>
      </c>
      <c r="CC166" s="235">
        <v>505338</v>
      </c>
      <c r="CD166" s="235">
        <v>39580</v>
      </c>
      <c r="CE166" s="235">
        <v>79160</v>
      </c>
      <c r="CF166" s="235">
        <v>193437</v>
      </c>
      <c r="CG166" s="235">
        <v>386874</v>
      </c>
      <c r="CH166" s="235">
        <v>19652</v>
      </c>
      <c r="CI166" s="235">
        <v>39304</v>
      </c>
      <c r="CJ166" s="235" t="s">
        <v>644</v>
      </c>
    </row>
    <row r="167" spans="1:88" s="235" customFormat="1" ht="20.100000000000001" customHeight="1" x14ac:dyDescent="0.15">
      <c r="A167" s="255" t="s">
        <v>2959</v>
      </c>
      <c r="B167" s="255" t="s">
        <v>3201</v>
      </c>
      <c r="C167" s="230" t="s">
        <v>556</v>
      </c>
      <c r="D167" s="233">
        <v>2</v>
      </c>
      <c r="E167" s="231">
        <f t="shared" ref="E167:F169" si="64">G167+I167+K167</f>
        <v>1064751</v>
      </c>
      <c r="F167" s="256">
        <f t="shared" si="64"/>
        <v>2129502</v>
      </c>
      <c r="G167" s="257">
        <v>106536</v>
      </c>
      <c r="H167" s="256">
        <f t="shared" si="58"/>
        <v>213072</v>
      </c>
      <c r="I167" s="257">
        <v>773548</v>
      </c>
      <c r="J167" s="256">
        <f t="shared" si="59"/>
        <v>1547096</v>
      </c>
      <c r="K167" s="257">
        <v>184667</v>
      </c>
      <c r="L167" s="256">
        <f t="shared" si="60"/>
        <v>369334</v>
      </c>
      <c r="M167" s="256"/>
      <c r="N167" s="256"/>
      <c r="O167" s="272">
        <f t="shared" si="46"/>
        <v>0</v>
      </c>
      <c r="P167" s="256">
        <v>1</v>
      </c>
      <c r="Q167" s="256">
        <f t="shared" si="47"/>
        <v>1064751</v>
      </c>
      <c r="R167" s="272">
        <f t="shared" si="48"/>
        <v>0.5</v>
      </c>
      <c r="S167" s="233">
        <f t="shared" si="61"/>
        <v>106536</v>
      </c>
      <c r="T167" s="233">
        <f t="shared" si="62"/>
        <v>773548</v>
      </c>
      <c r="U167" s="233">
        <f t="shared" si="63"/>
        <v>184667</v>
      </c>
      <c r="V167" s="256">
        <f t="shared" si="49"/>
        <v>1</v>
      </c>
      <c r="W167" s="256">
        <f t="shared" si="50"/>
        <v>1064751</v>
      </c>
      <c r="X167" s="272">
        <f t="shared" si="51"/>
        <v>0.5</v>
      </c>
      <c r="Y167" s="234"/>
      <c r="Z167" s="383"/>
      <c r="AA167" s="252" t="e">
        <f>E167-#REF!</f>
        <v>#REF!</v>
      </c>
      <c r="AC167" s="235" t="s">
        <v>659</v>
      </c>
      <c r="AD167" s="235" t="s">
        <v>2856</v>
      </c>
      <c r="AE167" s="235" t="s">
        <v>534</v>
      </c>
      <c r="AG167" s="235" t="s">
        <v>1778</v>
      </c>
      <c r="BV167" s="236" t="str">
        <f>HYPERLINK("#일위대가목록!A101","HP048 →")</f>
        <v>HP048 →</v>
      </c>
      <c r="CB167" s="235">
        <v>620822</v>
      </c>
      <c r="CC167" s="235">
        <v>620822</v>
      </c>
      <c r="CD167" s="235">
        <v>71984</v>
      </c>
      <c r="CE167" s="235">
        <v>71984</v>
      </c>
      <c r="CF167" s="235">
        <v>443066</v>
      </c>
      <c r="CG167" s="235">
        <v>443066</v>
      </c>
      <c r="CH167" s="235">
        <v>105772</v>
      </c>
      <c r="CI167" s="235">
        <v>105772</v>
      </c>
      <c r="CJ167" s="235" t="s">
        <v>2430</v>
      </c>
    </row>
    <row r="168" spans="1:88" s="235" customFormat="1" ht="20.100000000000001" customHeight="1" x14ac:dyDescent="0.15">
      <c r="A168" s="255" t="s">
        <v>2959</v>
      </c>
      <c r="B168" s="255" t="s">
        <v>3199</v>
      </c>
      <c r="C168" s="230" t="s">
        <v>556</v>
      </c>
      <c r="D168" s="233">
        <v>3</v>
      </c>
      <c r="E168" s="231">
        <f t="shared" si="64"/>
        <v>515421</v>
      </c>
      <c r="F168" s="256">
        <f t="shared" si="64"/>
        <v>1546263</v>
      </c>
      <c r="G168" s="257">
        <v>60715</v>
      </c>
      <c r="H168" s="256">
        <f t="shared" si="58"/>
        <v>182145</v>
      </c>
      <c r="I168" s="257">
        <v>412770</v>
      </c>
      <c r="J168" s="256">
        <f t="shared" si="59"/>
        <v>1238310</v>
      </c>
      <c r="K168" s="257">
        <v>41936</v>
      </c>
      <c r="L168" s="256">
        <f t="shared" si="60"/>
        <v>125808</v>
      </c>
      <c r="M168" s="256"/>
      <c r="N168" s="256"/>
      <c r="O168" s="272">
        <f t="shared" si="46"/>
        <v>0</v>
      </c>
      <c r="P168" s="256">
        <v>2</v>
      </c>
      <c r="Q168" s="256">
        <f t="shared" si="47"/>
        <v>1030842</v>
      </c>
      <c r="R168" s="272">
        <f t="shared" si="48"/>
        <v>0.66666666666666663</v>
      </c>
      <c r="S168" s="233">
        <f t="shared" si="61"/>
        <v>121430</v>
      </c>
      <c r="T168" s="233">
        <f t="shared" si="62"/>
        <v>825540</v>
      </c>
      <c r="U168" s="233">
        <f t="shared" si="63"/>
        <v>83872</v>
      </c>
      <c r="V168" s="256">
        <f t="shared" si="49"/>
        <v>2</v>
      </c>
      <c r="W168" s="256">
        <f t="shared" si="50"/>
        <v>1030842</v>
      </c>
      <c r="X168" s="272">
        <f t="shared" si="51"/>
        <v>0.66666666666666663</v>
      </c>
      <c r="Y168" s="234"/>
      <c r="Z168" s="383"/>
      <c r="AA168" s="252" t="e">
        <f>E168-#REF!</f>
        <v>#REF!</v>
      </c>
      <c r="AC168" s="235" t="s">
        <v>1450</v>
      </c>
      <c r="AD168" s="235" t="s">
        <v>2856</v>
      </c>
      <c r="AE168" s="235" t="s">
        <v>110</v>
      </c>
      <c r="AG168" s="235" t="s">
        <v>1778</v>
      </c>
      <c r="BV168" s="236" t="str">
        <f>HYPERLINK("#일위대가목록!A78","HP025 →")</f>
        <v>HP025 →</v>
      </c>
      <c r="CB168" s="235">
        <v>305373</v>
      </c>
      <c r="CC168" s="235">
        <v>610746</v>
      </c>
      <c r="CD168" s="235">
        <v>44930</v>
      </c>
      <c r="CE168" s="235">
        <v>89860</v>
      </c>
      <c r="CF168" s="235">
        <v>236423</v>
      </c>
      <c r="CG168" s="235">
        <v>472846</v>
      </c>
      <c r="CH168" s="235">
        <v>24020</v>
      </c>
      <c r="CI168" s="235">
        <v>48040</v>
      </c>
      <c r="CJ168" s="235" t="s">
        <v>2658</v>
      </c>
    </row>
    <row r="169" spans="1:88" s="235" customFormat="1" ht="20.100000000000001" customHeight="1" x14ac:dyDescent="0.15">
      <c r="A169" s="255" t="s">
        <v>2959</v>
      </c>
      <c r="B169" s="255" t="s">
        <v>3198</v>
      </c>
      <c r="C169" s="230" t="s">
        <v>3193</v>
      </c>
      <c r="D169" s="233">
        <v>1</v>
      </c>
      <c r="E169" s="231">
        <f t="shared" si="64"/>
        <v>1464617</v>
      </c>
      <c r="F169" s="256">
        <f t="shared" si="64"/>
        <v>1464617</v>
      </c>
      <c r="G169" s="257">
        <v>149571</v>
      </c>
      <c r="H169" s="256">
        <f t="shared" si="58"/>
        <v>149571</v>
      </c>
      <c r="I169" s="257">
        <v>1044292</v>
      </c>
      <c r="J169" s="256">
        <f t="shared" si="59"/>
        <v>1044292</v>
      </c>
      <c r="K169" s="257">
        <v>270754</v>
      </c>
      <c r="L169" s="256">
        <f t="shared" si="60"/>
        <v>270754</v>
      </c>
      <c r="M169" s="256"/>
      <c r="N169" s="256"/>
      <c r="O169" s="272">
        <f t="shared" si="46"/>
        <v>0</v>
      </c>
      <c r="P169" s="256"/>
      <c r="Q169" s="256">
        <f t="shared" si="47"/>
        <v>0</v>
      </c>
      <c r="R169" s="272">
        <f t="shared" si="48"/>
        <v>0</v>
      </c>
      <c r="S169" s="233">
        <f t="shared" si="61"/>
        <v>0</v>
      </c>
      <c r="T169" s="233">
        <f t="shared" si="62"/>
        <v>0</v>
      </c>
      <c r="U169" s="233">
        <f t="shared" si="63"/>
        <v>0</v>
      </c>
      <c r="V169" s="256">
        <f t="shared" si="49"/>
        <v>0</v>
      </c>
      <c r="W169" s="256">
        <f t="shared" si="50"/>
        <v>0</v>
      </c>
      <c r="X169" s="272">
        <f t="shared" si="51"/>
        <v>0</v>
      </c>
      <c r="Y169" s="234"/>
      <c r="Z169" s="383"/>
      <c r="AA169" s="252" t="e">
        <f>E169-#REF!</f>
        <v>#REF!</v>
      </c>
      <c r="AC169" s="235" t="s">
        <v>2309</v>
      </c>
      <c r="AD169" s="235" t="s">
        <v>2856</v>
      </c>
      <c r="AE169" s="235" t="s">
        <v>2194</v>
      </c>
      <c r="AG169" s="235" t="s">
        <v>1778</v>
      </c>
      <c r="BV169" s="236" t="str">
        <f>HYPERLINK("#일위대가목록!A83","HP030 →")</f>
        <v>HP030 →</v>
      </c>
      <c r="CB169" s="235">
        <v>856463</v>
      </c>
      <c r="CC169" s="235">
        <v>11134019</v>
      </c>
      <c r="CD169" s="235">
        <v>103243</v>
      </c>
      <c r="CE169" s="235">
        <v>1342159</v>
      </c>
      <c r="CF169" s="235">
        <v>598140</v>
      </c>
      <c r="CG169" s="235">
        <v>7775820</v>
      </c>
      <c r="CH169" s="235">
        <v>155080</v>
      </c>
      <c r="CI169" s="235">
        <v>2016040</v>
      </c>
      <c r="CJ169" s="235" t="s">
        <v>1107</v>
      </c>
    </row>
    <row r="170" spans="1:88" s="235" customFormat="1" ht="20.100000000000001" customHeight="1" x14ac:dyDescent="0.15">
      <c r="A170" s="255" t="s">
        <v>2960</v>
      </c>
      <c r="B170" s="255" t="s">
        <v>1187</v>
      </c>
      <c r="C170" s="230" t="s">
        <v>556</v>
      </c>
      <c r="D170" s="233">
        <v>1</v>
      </c>
      <c r="E170" s="231">
        <f t="shared" si="56"/>
        <v>1040468</v>
      </c>
      <c r="F170" s="256">
        <f t="shared" si="56"/>
        <v>1040468</v>
      </c>
      <c r="G170" s="257">
        <v>124557</v>
      </c>
      <c r="H170" s="256">
        <f t="shared" si="58"/>
        <v>124557</v>
      </c>
      <c r="I170" s="257">
        <v>674645</v>
      </c>
      <c r="J170" s="256">
        <f t="shared" si="59"/>
        <v>674645</v>
      </c>
      <c r="K170" s="257">
        <v>241266</v>
      </c>
      <c r="L170" s="256">
        <f t="shared" si="60"/>
        <v>241266</v>
      </c>
      <c r="M170" s="256"/>
      <c r="N170" s="256"/>
      <c r="O170" s="272">
        <f t="shared" si="46"/>
        <v>0</v>
      </c>
      <c r="P170" s="256"/>
      <c r="Q170" s="256">
        <f t="shared" si="47"/>
        <v>0</v>
      </c>
      <c r="R170" s="272">
        <f t="shared" si="48"/>
        <v>0</v>
      </c>
      <c r="S170" s="233">
        <f t="shared" si="61"/>
        <v>0</v>
      </c>
      <c r="T170" s="233">
        <f t="shared" si="62"/>
        <v>0</v>
      </c>
      <c r="U170" s="233">
        <f t="shared" si="63"/>
        <v>0</v>
      </c>
      <c r="V170" s="256">
        <f t="shared" si="49"/>
        <v>0</v>
      </c>
      <c r="W170" s="256">
        <f t="shared" si="50"/>
        <v>0</v>
      </c>
      <c r="X170" s="272">
        <f t="shared" si="51"/>
        <v>0</v>
      </c>
      <c r="Y170" s="234"/>
      <c r="Z170" s="383"/>
      <c r="AA170" s="252" t="e">
        <f>E170-#REF!</f>
        <v>#REF!</v>
      </c>
      <c r="AC170" s="235" t="s">
        <v>737</v>
      </c>
      <c r="AD170" s="235" t="s">
        <v>2856</v>
      </c>
      <c r="AE170" s="235" t="s">
        <v>2367</v>
      </c>
      <c r="AG170" s="235" t="s">
        <v>1778</v>
      </c>
      <c r="BV170" s="236" t="str">
        <f>HYPERLINK("#일위대가목록!A104","HP051 →")</f>
        <v>HP051 →</v>
      </c>
      <c r="CB170" s="235">
        <v>1210755</v>
      </c>
      <c r="CC170" s="235">
        <v>1210755</v>
      </c>
      <c r="CD170" s="235">
        <v>144943</v>
      </c>
      <c r="CE170" s="235">
        <v>144943</v>
      </c>
      <c r="CF170" s="235">
        <v>785059</v>
      </c>
      <c r="CG170" s="235">
        <v>785059</v>
      </c>
      <c r="CH170" s="235">
        <v>280753</v>
      </c>
      <c r="CI170" s="235">
        <v>280753</v>
      </c>
      <c r="CJ170" s="235" t="s">
        <v>974</v>
      </c>
    </row>
    <row r="171" spans="1:88" s="235" customFormat="1" ht="20.100000000000001" customHeight="1" x14ac:dyDescent="0.15">
      <c r="A171" s="255" t="s">
        <v>2960</v>
      </c>
      <c r="B171" s="255" t="s">
        <v>2322</v>
      </c>
      <c r="C171" s="230" t="s">
        <v>556</v>
      </c>
      <c r="D171" s="233">
        <v>7</v>
      </c>
      <c r="E171" s="231">
        <f t="shared" si="56"/>
        <v>217132</v>
      </c>
      <c r="F171" s="256">
        <f t="shared" si="56"/>
        <v>1519924</v>
      </c>
      <c r="G171" s="257">
        <v>34013</v>
      </c>
      <c r="H171" s="256">
        <f t="shared" si="58"/>
        <v>238091</v>
      </c>
      <c r="I171" s="257">
        <v>166231</v>
      </c>
      <c r="J171" s="256">
        <f t="shared" si="59"/>
        <v>1163617</v>
      </c>
      <c r="K171" s="257">
        <v>16888</v>
      </c>
      <c r="L171" s="256">
        <f t="shared" si="60"/>
        <v>118216</v>
      </c>
      <c r="M171" s="256"/>
      <c r="N171" s="256"/>
      <c r="O171" s="272">
        <f t="shared" si="46"/>
        <v>0</v>
      </c>
      <c r="P171" s="256"/>
      <c r="Q171" s="256">
        <f t="shared" si="47"/>
        <v>0</v>
      </c>
      <c r="R171" s="272">
        <f t="shared" si="48"/>
        <v>0</v>
      </c>
      <c r="S171" s="233">
        <f t="shared" si="61"/>
        <v>0</v>
      </c>
      <c r="T171" s="233">
        <f t="shared" si="62"/>
        <v>0</v>
      </c>
      <c r="U171" s="233">
        <f t="shared" si="63"/>
        <v>0</v>
      </c>
      <c r="V171" s="256">
        <f t="shared" si="49"/>
        <v>0</v>
      </c>
      <c r="W171" s="256">
        <f t="shared" si="50"/>
        <v>0</v>
      </c>
      <c r="X171" s="272">
        <f t="shared" si="51"/>
        <v>0</v>
      </c>
      <c r="Y171" s="234"/>
      <c r="Z171" s="383"/>
      <c r="AA171" s="252" t="e">
        <f>E171-#REF!</f>
        <v>#REF!</v>
      </c>
      <c r="AC171" s="235" t="s">
        <v>1444</v>
      </c>
      <c r="AD171" s="235" t="s">
        <v>2856</v>
      </c>
      <c r="AE171" s="235" t="s">
        <v>1235</v>
      </c>
      <c r="AG171" s="235" t="s">
        <v>1778</v>
      </c>
      <c r="BV171" s="236" t="str">
        <f>HYPERLINK("#일위대가목록!A105","HP052 →")</f>
        <v>HP052 →</v>
      </c>
      <c r="CB171" s="235">
        <v>252669</v>
      </c>
      <c r="CC171" s="235">
        <v>1768683</v>
      </c>
      <c r="CD171" s="235">
        <v>39580</v>
      </c>
      <c r="CE171" s="235">
        <v>277060</v>
      </c>
      <c r="CF171" s="235">
        <v>193437</v>
      </c>
      <c r="CG171" s="235">
        <v>1354059</v>
      </c>
      <c r="CH171" s="235">
        <v>19652</v>
      </c>
      <c r="CI171" s="235">
        <v>137564</v>
      </c>
      <c r="CJ171" s="235" t="s">
        <v>2150</v>
      </c>
    </row>
    <row r="172" spans="1:88" s="235" customFormat="1" ht="20.100000000000001" customHeight="1" x14ac:dyDescent="0.15">
      <c r="A172" s="229" t="s">
        <v>2961</v>
      </c>
      <c r="B172" s="229" t="s">
        <v>2499</v>
      </c>
      <c r="C172" s="230" t="s">
        <v>556</v>
      </c>
      <c r="D172" s="233">
        <v>1</v>
      </c>
      <c r="E172" s="231">
        <f t="shared" si="56"/>
        <v>1040468</v>
      </c>
      <c r="F172" s="256">
        <f t="shared" si="56"/>
        <v>1040468</v>
      </c>
      <c r="G172" s="257">
        <v>124557</v>
      </c>
      <c r="H172" s="256">
        <f t="shared" si="58"/>
        <v>124557</v>
      </c>
      <c r="I172" s="257">
        <v>674645</v>
      </c>
      <c r="J172" s="256">
        <f t="shared" si="59"/>
        <v>674645</v>
      </c>
      <c r="K172" s="257">
        <v>241266</v>
      </c>
      <c r="L172" s="256">
        <f t="shared" si="60"/>
        <v>241266</v>
      </c>
      <c r="M172" s="256"/>
      <c r="N172" s="256"/>
      <c r="O172" s="272">
        <f t="shared" si="46"/>
        <v>0</v>
      </c>
      <c r="P172" s="256"/>
      <c r="Q172" s="256">
        <f t="shared" si="47"/>
        <v>0</v>
      </c>
      <c r="R172" s="272">
        <f t="shared" si="48"/>
        <v>0</v>
      </c>
      <c r="S172" s="233">
        <f t="shared" si="61"/>
        <v>0</v>
      </c>
      <c r="T172" s="233">
        <f t="shared" si="62"/>
        <v>0</v>
      </c>
      <c r="U172" s="233">
        <f t="shared" si="63"/>
        <v>0</v>
      </c>
      <c r="V172" s="256">
        <f t="shared" si="49"/>
        <v>0</v>
      </c>
      <c r="W172" s="256">
        <f t="shared" si="50"/>
        <v>0</v>
      </c>
      <c r="X172" s="272">
        <f t="shared" si="51"/>
        <v>0</v>
      </c>
      <c r="Y172" s="234"/>
      <c r="Z172" s="383"/>
      <c r="AA172" s="252" t="e">
        <f>E172-#REF!</f>
        <v>#REF!</v>
      </c>
      <c r="AC172" s="235" t="s">
        <v>2155</v>
      </c>
      <c r="AD172" s="235" t="s">
        <v>2856</v>
      </c>
      <c r="AE172" s="235" t="s">
        <v>2773</v>
      </c>
      <c r="AG172" s="235" t="s">
        <v>1778</v>
      </c>
      <c r="BV172" s="236" t="str">
        <f>HYPERLINK("#일위대가목록!A106","HP053 →")</f>
        <v>HP053 →</v>
      </c>
      <c r="CB172" s="235">
        <v>1210755</v>
      </c>
      <c r="CC172" s="235">
        <v>1210755</v>
      </c>
      <c r="CD172" s="235">
        <v>144943</v>
      </c>
      <c r="CE172" s="235">
        <v>144943</v>
      </c>
      <c r="CF172" s="235">
        <v>785059</v>
      </c>
      <c r="CG172" s="235">
        <v>785059</v>
      </c>
      <c r="CH172" s="235">
        <v>280753</v>
      </c>
      <c r="CI172" s="235">
        <v>280753</v>
      </c>
      <c r="CJ172" s="235" t="s">
        <v>914</v>
      </c>
    </row>
    <row r="173" spans="1:88" s="235" customFormat="1" ht="20.100000000000001" customHeight="1" x14ac:dyDescent="0.15">
      <c r="A173" s="229" t="s">
        <v>2961</v>
      </c>
      <c r="B173" s="229" t="s">
        <v>290</v>
      </c>
      <c r="C173" s="230" t="s">
        <v>556</v>
      </c>
      <c r="D173" s="233">
        <v>0</v>
      </c>
      <c r="E173" s="231">
        <f t="shared" si="56"/>
        <v>736005</v>
      </c>
      <c r="F173" s="256">
        <f t="shared" si="56"/>
        <v>0</v>
      </c>
      <c r="G173" s="257">
        <v>88722</v>
      </c>
      <c r="H173" s="256">
        <f t="shared" si="58"/>
        <v>0</v>
      </c>
      <c r="I173" s="257">
        <v>514015</v>
      </c>
      <c r="J173" s="256">
        <f t="shared" si="59"/>
        <v>0</v>
      </c>
      <c r="K173" s="257">
        <v>133268</v>
      </c>
      <c r="L173" s="256">
        <f t="shared" si="60"/>
        <v>0</v>
      </c>
      <c r="M173" s="256"/>
      <c r="N173" s="256"/>
      <c r="O173" s="272">
        <f t="shared" si="46"/>
        <v>0</v>
      </c>
      <c r="P173" s="256"/>
      <c r="Q173" s="256">
        <f t="shared" si="47"/>
        <v>0</v>
      </c>
      <c r="R173" s="272">
        <f t="shared" si="48"/>
        <v>0</v>
      </c>
      <c r="S173" s="233">
        <f t="shared" si="61"/>
        <v>0</v>
      </c>
      <c r="T173" s="233">
        <f t="shared" si="62"/>
        <v>0</v>
      </c>
      <c r="U173" s="233">
        <f t="shared" si="63"/>
        <v>0</v>
      </c>
      <c r="V173" s="256">
        <f t="shared" si="49"/>
        <v>0</v>
      </c>
      <c r="W173" s="256">
        <f t="shared" si="50"/>
        <v>0</v>
      </c>
      <c r="X173" s="272">
        <f t="shared" si="51"/>
        <v>0</v>
      </c>
      <c r="Y173" s="234"/>
      <c r="Z173" s="383"/>
      <c r="AA173" s="252" t="e">
        <f>E173-#REF!</f>
        <v>#REF!</v>
      </c>
      <c r="AC173" s="235" t="s">
        <v>76</v>
      </c>
      <c r="AD173" s="235" t="s">
        <v>2856</v>
      </c>
      <c r="AE173" s="235" t="s">
        <v>1034</v>
      </c>
      <c r="AG173" s="235" t="s">
        <v>1778</v>
      </c>
      <c r="BV173" s="236" t="str">
        <f>HYPERLINK("#일위대가목록!A107","HP054 →")</f>
        <v>HP054 →</v>
      </c>
      <c r="CB173" s="235">
        <v>856463</v>
      </c>
      <c r="CC173" s="235">
        <v>856463</v>
      </c>
      <c r="CD173" s="235">
        <v>103243</v>
      </c>
      <c r="CE173" s="235">
        <v>103243</v>
      </c>
      <c r="CF173" s="235">
        <v>598140</v>
      </c>
      <c r="CG173" s="235">
        <v>598140</v>
      </c>
      <c r="CH173" s="235">
        <v>155080</v>
      </c>
      <c r="CI173" s="235">
        <v>155080</v>
      </c>
      <c r="CJ173" s="235" t="s">
        <v>2230</v>
      </c>
    </row>
    <row r="174" spans="1:88" s="235" customFormat="1" ht="20.100000000000001" customHeight="1" x14ac:dyDescent="0.15">
      <c r="A174" s="229" t="s">
        <v>2961</v>
      </c>
      <c r="B174" s="229" t="s">
        <v>648</v>
      </c>
      <c r="C174" s="230" t="s">
        <v>556</v>
      </c>
      <c r="D174" s="233">
        <v>0</v>
      </c>
      <c r="E174" s="231">
        <f t="shared" si="56"/>
        <v>738806</v>
      </c>
      <c r="F174" s="256">
        <f t="shared" si="56"/>
        <v>0</v>
      </c>
      <c r="G174" s="257">
        <v>91523</v>
      </c>
      <c r="H174" s="256">
        <f t="shared" si="58"/>
        <v>0</v>
      </c>
      <c r="I174" s="257">
        <v>514015</v>
      </c>
      <c r="J174" s="256">
        <f t="shared" si="59"/>
        <v>0</v>
      </c>
      <c r="K174" s="257">
        <v>133268</v>
      </c>
      <c r="L174" s="256">
        <f t="shared" si="60"/>
        <v>0</v>
      </c>
      <c r="M174" s="256"/>
      <c r="N174" s="256"/>
      <c r="O174" s="272">
        <f t="shared" si="46"/>
        <v>0</v>
      </c>
      <c r="P174" s="256"/>
      <c r="Q174" s="256">
        <f t="shared" si="47"/>
        <v>0</v>
      </c>
      <c r="R174" s="272">
        <f t="shared" si="48"/>
        <v>0</v>
      </c>
      <c r="S174" s="233">
        <f t="shared" si="61"/>
        <v>0</v>
      </c>
      <c r="T174" s="233">
        <f t="shared" si="62"/>
        <v>0</v>
      </c>
      <c r="U174" s="233">
        <f t="shared" si="63"/>
        <v>0</v>
      </c>
      <c r="V174" s="256">
        <f t="shared" si="49"/>
        <v>0</v>
      </c>
      <c r="W174" s="256">
        <f t="shared" si="50"/>
        <v>0</v>
      </c>
      <c r="X174" s="272">
        <f t="shared" si="51"/>
        <v>0</v>
      </c>
      <c r="Y174" s="234"/>
      <c r="Z174" s="383"/>
      <c r="AA174" s="252" t="e">
        <f>E174-#REF!</f>
        <v>#REF!</v>
      </c>
      <c r="AC174" s="235" t="s">
        <v>776</v>
      </c>
      <c r="AD174" s="235" t="s">
        <v>2856</v>
      </c>
      <c r="AE174" s="235" t="s">
        <v>2297</v>
      </c>
      <c r="AG174" s="235" t="s">
        <v>1778</v>
      </c>
      <c r="BV174" s="236" t="str">
        <f>HYPERLINK("#일위대가목록!A108","HP055 →")</f>
        <v>HP055 →</v>
      </c>
      <c r="CB174" s="235">
        <v>859723</v>
      </c>
      <c r="CC174" s="235">
        <v>859723</v>
      </c>
      <c r="CD174" s="235">
        <v>106503</v>
      </c>
      <c r="CE174" s="235">
        <v>106503</v>
      </c>
      <c r="CF174" s="235">
        <v>598140</v>
      </c>
      <c r="CG174" s="235">
        <v>598140</v>
      </c>
      <c r="CH174" s="235">
        <v>155080</v>
      </c>
      <c r="CI174" s="235">
        <v>155080</v>
      </c>
      <c r="CJ174" s="235" t="s">
        <v>445</v>
      </c>
    </row>
    <row r="175" spans="1:88" s="235" customFormat="1" ht="20.100000000000001" customHeight="1" x14ac:dyDescent="0.15">
      <c r="A175" s="229" t="s">
        <v>2961</v>
      </c>
      <c r="B175" s="229" t="s">
        <v>2577</v>
      </c>
      <c r="C175" s="230" t="s">
        <v>556</v>
      </c>
      <c r="D175" s="233">
        <v>3</v>
      </c>
      <c r="E175" s="231">
        <f t="shared" si="56"/>
        <v>534966</v>
      </c>
      <c r="F175" s="256">
        <f t="shared" si="56"/>
        <v>1604898</v>
      </c>
      <c r="G175" s="257">
        <v>63320</v>
      </c>
      <c r="H175" s="256">
        <f t="shared" si="58"/>
        <v>189960</v>
      </c>
      <c r="I175" s="257">
        <v>380751</v>
      </c>
      <c r="J175" s="256">
        <f t="shared" si="59"/>
        <v>1142253</v>
      </c>
      <c r="K175" s="257">
        <v>90895</v>
      </c>
      <c r="L175" s="256">
        <f t="shared" si="60"/>
        <v>272685</v>
      </c>
      <c r="M175" s="256"/>
      <c r="N175" s="256"/>
      <c r="O175" s="272">
        <f t="shared" si="46"/>
        <v>0</v>
      </c>
      <c r="P175" s="256"/>
      <c r="Q175" s="256">
        <f t="shared" si="47"/>
        <v>0</v>
      </c>
      <c r="R175" s="272">
        <f t="shared" si="48"/>
        <v>0</v>
      </c>
      <c r="S175" s="233">
        <f t="shared" si="61"/>
        <v>0</v>
      </c>
      <c r="T175" s="233">
        <f t="shared" si="62"/>
        <v>0</v>
      </c>
      <c r="U175" s="233">
        <f t="shared" si="63"/>
        <v>0</v>
      </c>
      <c r="V175" s="256">
        <f t="shared" si="49"/>
        <v>0</v>
      </c>
      <c r="W175" s="256">
        <f t="shared" si="50"/>
        <v>0</v>
      </c>
      <c r="X175" s="272">
        <f t="shared" si="51"/>
        <v>0</v>
      </c>
      <c r="Y175" s="234"/>
      <c r="Z175" s="383"/>
      <c r="AA175" s="252" t="e">
        <f>E175-#REF!</f>
        <v>#REF!</v>
      </c>
      <c r="AC175" s="235" t="s">
        <v>1480</v>
      </c>
      <c r="AD175" s="235" t="s">
        <v>2856</v>
      </c>
      <c r="AE175" s="235" t="s">
        <v>1336</v>
      </c>
      <c r="AG175" s="235" t="s">
        <v>1778</v>
      </c>
      <c r="BV175" s="236" t="str">
        <f>HYPERLINK("#일위대가목록!A109","HP056 →")</f>
        <v>HP056 →</v>
      </c>
      <c r="CB175" s="235">
        <v>622522</v>
      </c>
      <c r="CC175" s="235">
        <v>622522</v>
      </c>
      <c r="CD175" s="235">
        <v>73684</v>
      </c>
      <c r="CE175" s="235">
        <v>73684</v>
      </c>
      <c r="CF175" s="235">
        <v>443066</v>
      </c>
      <c r="CG175" s="235">
        <v>443066</v>
      </c>
      <c r="CH175" s="235">
        <v>105772</v>
      </c>
      <c r="CI175" s="235">
        <v>105772</v>
      </c>
      <c r="CJ175" s="235" t="s">
        <v>2144</v>
      </c>
    </row>
    <row r="176" spans="1:88" s="235" customFormat="1" ht="20.100000000000001" customHeight="1" x14ac:dyDescent="0.15">
      <c r="A176" s="229" t="s">
        <v>2961</v>
      </c>
      <c r="B176" s="229" t="s">
        <v>109</v>
      </c>
      <c r="C176" s="230" t="s">
        <v>556</v>
      </c>
      <c r="D176" s="233">
        <v>1</v>
      </c>
      <c r="E176" s="231">
        <f t="shared" si="56"/>
        <v>736005</v>
      </c>
      <c r="F176" s="256">
        <f t="shared" si="56"/>
        <v>736005</v>
      </c>
      <c r="G176" s="257">
        <v>88722</v>
      </c>
      <c r="H176" s="256">
        <f t="shared" si="58"/>
        <v>88722</v>
      </c>
      <c r="I176" s="257">
        <v>514015</v>
      </c>
      <c r="J176" s="256">
        <f t="shared" si="59"/>
        <v>514015</v>
      </c>
      <c r="K176" s="257">
        <v>133268</v>
      </c>
      <c r="L176" s="256">
        <f t="shared" si="60"/>
        <v>133268</v>
      </c>
      <c r="M176" s="256"/>
      <c r="N176" s="256"/>
      <c r="O176" s="272">
        <f t="shared" si="46"/>
        <v>0</v>
      </c>
      <c r="P176" s="256"/>
      <c r="Q176" s="256">
        <f t="shared" si="47"/>
        <v>0</v>
      </c>
      <c r="R176" s="272">
        <f t="shared" si="48"/>
        <v>0</v>
      </c>
      <c r="S176" s="233">
        <f t="shared" si="61"/>
        <v>0</v>
      </c>
      <c r="T176" s="233">
        <f t="shared" si="62"/>
        <v>0</v>
      </c>
      <c r="U176" s="233">
        <f t="shared" si="63"/>
        <v>0</v>
      </c>
      <c r="V176" s="256">
        <f t="shared" si="49"/>
        <v>0</v>
      </c>
      <c r="W176" s="256">
        <f t="shared" si="50"/>
        <v>0</v>
      </c>
      <c r="X176" s="272">
        <f t="shared" si="51"/>
        <v>0</v>
      </c>
      <c r="Y176" s="234"/>
      <c r="Z176" s="383"/>
      <c r="AA176" s="252" t="e">
        <f>E176-#REF!</f>
        <v>#REF!</v>
      </c>
      <c r="AC176" s="235" t="s">
        <v>2187</v>
      </c>
      <c r="AD176" s="235" t="s">
        <v>2856</v>
      </c>
      <c r="AE176" s="235" t="s">
        <v>1543</v>
      </c>
      <c r="AG176" s="235" t="s">
        <v>1778</v>
      </c>
      <c r="BV176" s="236" t="str">
        <f>HYPERLINK("#일위대가목록!A110","HP056-1 →")</f>
        <v>HP056-1 →</v>
      </c>
      <c r="CB176" s="235">
        <v>856463</v>
      </c>
      <c r="CC176" s="235">
        <v>3425852</v>
      </c>
      <c r="CD176" s="235">
        <v>103243</v>
      </c>
      <c r="CE176" s="235">
        <v>412972</v>
      </c>
      <c r="CF176" s="235">
        <v>598140</v>
      </c>
      <c r="CG176" s="235">
        <v>2392560</v>
      </c>
      <c r="CH176" s="235">
        <v>155080</v>
      </c>
      <c r="CI176" s="235">
        <v>620320</v>
      </c>
      <c r="CJ176" s="235" t="s">
        <v>64</v>
      </c>
    </row>
    <row r="177" spans="1:88" s="235" customFormat="1" ht="20.100000000000001" customHeight="1" x14ac:dyDescent="0.15">
      <c r="A177" s="229" t="s">
        <v>2961</v>
      </c>
      <c r="B177" s="229" t="s">
        <v>2659</v>
      </c>
      <c r="C177" s="230" t="s">
        <v>556</v>
      </c>
      <c r="D177" s="233">
        <v>0</v>
      </c>
      <c r="E177" s="231">
        <f t="shared" si="56"/>
        <v>262422</v>
      </c>
      <c r="F177" s="256">
        <f t="shared" si="56"/>
        <v>0</v>
      </c>
      <c r="G177" s="257">
        <v>38610</v>
      </c>
      <c r="H177" s="256">
        <f t="shared" si="58"/>
        <v>0</v>
      </c>
      <c r="I177" s="257">
        <v>203171</v>
      </c>
      <c r="J177" s="256">
        <f t="shared" si="59"/>
        <v>0</v>
      </c>
      <c r="K177" s="257">
        <v>20641</v>
      </c>
      <c r="L177" s="256">
        <f t="shared" si="60"/>
        <v>0</v>
      </c>
      <c r="M177" s="256"/>
      <c r="N177" s="256"/>
      <c r="O177" s="272">
        <f t="shared" si="46"/>
        <v>0</v>
      </c>
      <c r="P177" s="256"/>
      <c r="Q177" s="256">
        <f t="shared" si="47"/>
        <v>0</v>
      </c>
      <c r="R177" s="272">
        <f t="shared" si="48"/>
        <v>0</v>
      </c>
      <c r="S177" s="233">
        <f t="shared" si="61"/>
        <v>0</v>
      </c>
      <c r="T177" s="233">
        <f t="shared" si="62"/>
        <v>0</v>
      </c>
      <c r="U177" s="233">
        <f t="shared" si="63"/>
        <v>0</v>
      </c>
      <c r="V177" s="256">
        <f t="shared" si="49"/>
        <v>0</v>
      </c>
      <c r="W177" s="256">
        <f t="shared" si="50"/>
        <v>0</v>
      </c>
      <c r="X177" s="272">
        <f t="shared" si="51"/>
        <v>0</v>
      </c>
      <c r="Y177" s="234"/>
      <c r="Z177" s="383"/>
      <c r="AA177" s="252" t="e">
        <f>E177-#REF!</f>
        <v>#REF!</v>
      </c>
      <c r="AC177" s="235" t="s">
        <v>116</v>
      </c>
      <c r="AD177" s="235" t="s">
        <v>2856</v>
      </c>
      <c r="AE177" s="235" t="s">
        <v>515</v>
      </c>
      <c r="AG177" s="235" t="s">
        <v>1778</v>
      </c>
      <c r="BV177" s="236" t="str">
        <f>HYPERLINK("#일위대가목록!A111","HP056-2 →")</f>
        <v>HP056-2 →</v>
      </c>
      <c r="CB177" s="235">
        <v>305373</v>
      </c>
      <c r="CC177" s="235">
        <v>916119</v>
      </c>
      <c r="CD177" s="235">
        <v>44930</v>
      </c>
      <c r="CE177" s="235">
        <v>134790</v>
      </c>
      <c r="CF177" s="235">
        <v>236423</v>
      </c>
      <c r="CG177" s="235">
        <v>709269</v>
      </c>
      <c r="CH177" s="235">
        <v>24020</v>
      </c>
      <c r="CI177" s="235">
        <v>72060</v>
      </c>
      <c r="CJ177" s="235" t="s">
        <v>1639</v>
      </c>
    </row>
    <row r="178" spans="1:88" s="235" customFormat="1" ht="20.100000000000001" customHeight="1" x14ac:dyDescent="0.15">
      <c r="A178" s="229" t="s">
        <v>2961</v>
      </c>
      <c r="B178" s="229" t="s">
        <v>2169</v>
      </c>
      <c r="C178" s="230" t="s">
        <v>556</v>
      </c>
      <c r="D178" s="233">
        <v>0</v>
      </c>
      <c r="E178" s="231">
        <f t="shared" si="56"/>
        <v>534966</v>
      </c>
      <c r="F178" s="256">
        <f t="shared" si="56"/>
        <v>0</v>
      </c>
      <c r="G178" s="257">
        <v>63320</v>
      </c>
      <c r="H178" s="256">
        <f t="shared" si="58"/>
        <v>0</v>
      </c>
      <c r="I178" s="257">
        <v>380751</v>
      </c>
      <c r="J178" s="256">
        <f t="shared" si="59"/>
        <v>0</v>
      </c>
      <c r="K178" s="257">
        <v>90895</v>
      </c>
      <c r="L178" s="256">
        <f t="shared" si="60"/>
        <v>0</v>
      </c>
      <c r="M178" s="256"/>
      <c r="N178" s="256"/>
      <c r="O178" s="272">
        <f t="shared" si="46"/>
        <v>0</v>
      </c>
      <c r="P178" s="256"/>
      <c r="Q178" s="256">
        <f t="shared" si="47"/>
        <v>0</v>
      </c>
      <c r="R178" s="272">
        <f t="shared" si="48"/>
        <v>0</v>
      </c>
      <c r="S178" s="233">
        <f t="shared" si="61"/>
        <v>0</v>
      </c>
      <c r="T178" s="233">
        <f t="shared" si="62"/>
        <v>0</v>
      </c>
      <c r="U178" s="233">
        <f t="shared" si="63"/>
        <v>0</v>
      </c>
      <c r="V178" s="256">
        <f t="shared" si="49"/>
        <v>0</v>
      </c>
      <c r="W178" s="256">
        <f t="shared" si="50"/>
        <v>0</v>
      </c>
      <c r="X178" s="272">
        <f t="shared" si="51"/>
        <v>0</v>
      </c>
      <c r="Y178" s="234"/>
      <c r="Z178" s="383"/>
      <c r="AA178" s="252" t="e">
        <f>E178-#REF!</f>
        <v>#REF!</v>
      </c>
      <c r="AC178" s="235" t="s">
        <v>815</v>
      </c>
      <c r="AD178" s="235" t="s">
        <v>2856</v>
      </c>
      <c r="AE178" s="235" t="s">
        <v>1853</v>
      </c>
      <c r="AG178" s="235" t="s">
        <v>1778</v>
      </c>
      <c r="BV178" s="236" t="str">
        <f>HYPERLINK("#일위대가목록!A112","HP056-3 →")</f>
        <v>HP056-3 →</v>
      </c>
      <c r="CB178" s="235">
        <v>622522</v>
      </c>
      <c r="CC178" s="235">
        <v>1867566</v>
      </c>
      <c r="CD178" s="235">
        <v>73684</v>
      </c>
      <c r="CE178" s="235">
        <v>221052</v>
      </c>
      <c r="CF178" s="235">
        <v>443066</v>
      </c>
      <c r="CG178" s="235">
        <v>1329198</v>
      </c>
      <c r="CH178" s="235">
        <v>105772</v>
      </c>
      <c r="CI178" s="235">
        <v>317316</v>
      </c>
      <c r="CJ178" s="235" t="s">
        <v>516</v>
      </c>
    </row>
    <row r="179" spans="1:88" s="235" customFormat="1" ht="20.100000000000001" customHeight="1" x14ac:dyDescent="0.15">
      <c r="A179" s="229" t="s">
        <v>2961</v>
      </c>
      <c r="B179" s="229" t="s">
        <v>459</v>
      </c>
      <c r="C179" s="230" t="s">
        <v>556</v>
      </c>
      <c r="D179" s="233">
        <v>0</v>
      </c>
      <c r="E179" s="231">
        <f t="shared" si="56"/>
        <v>263171</v>
      </c>
      <c r="F179" s="256">
        <f t="shared" si="56"/>
        <v>0</v>
      </c>
      <c r="G179" s="257">
        <v>39359</v>
      </c>
      <c r="H179" s="256">
        <f t="shared" si="58"/>
        <v>0</v>
      </c>
      <c r="I179" s="257">
        <v>203171</v>
      </c>
      <c r="J179" s="256">
        <f t="shared" si="59"/>
        <v>0</v>
      </c>
      <c r="K179" s="257">
        <v>20641</v>
      </c>
      <c r="L179" s="256">
        <f t="shared" si="60"/>
        <v>0</v>
      </c>
      <c r="M179" s="256"/>
      <c r="N179" s="256"/>
      <c r="O179" s="272">
        <f t="shared" si="46"/>
        <v>0</v>
      </c>
      <c r="P179" s="256"/>
      <c r="Q179" s="256">
        <f t="shared" si="47"/>
        <v>0</v>
      </c>
      <c r="R179" s="272">
        <f t="shared" si="48"/>
        <v>0</v>
      </c>
      <c r="S179" s="233">
        <f t="shared" si="61"/>
        <v>0</v>
      </c>
      <c r="T179" s="233">
        <f t="shared" si="62"/>
        <v>0</v>
      </c>
      <c r="U179" s="233">
        <f t="shared" si="63"/>
        <v>0</v>
      </c>
      <c r="V179" s="256">
        <f t="shared" si="49"/>
        <v>0</v>
      </c>
      <c r="W179" s="256">
        <f t="shared" si="50"/>
        <v>0</v>
      </c>
      <c r="X179" s="272">
        <f t="shared" si="51"/>
        <v>0</v>
      </c>
      <c r="Y179" s="234"/>
      <c r="Z179" s="383"/>
      <c r="AA179" s="252" t="e">
        <f>E179-#REF!</f>
        <v>#REF!</v>
      </c>
      <c r="AC179" s="235" t="s">
        <v>1028</v>
      </c>
      <c r="AD179" s="235" t="s">
        <v>2856</v>
      </c>
      <c r="AE179" s="235" t="s">
        <v>2517</v>
      </c>
      <c r="AG179" s="235" t="s">
        <v>1778</v>
      </c>
      <c r="BV179" s="236" t="str">
        <f>HYPERLINK("#일위대가목록!A113","HP057 →")</f>
        <v>HP057 →</v>
      </c>
      <c r="CB179" s="235">
        <v>306244</v>
      </c>
      <c r="CC179" s="235">
        <v>918732</v>
      </c>
      <c r="CD179" s="235">
        <v>45801</v>
      </c>
      <c r="CE179" s="235">
        <v>137403</v>
      </c>
      <c r="CF179" s="235">
        <v>236423</v>
      </c>
      <c r="CG179" s="235">
        <v>709269</v>
      </c>
      <c r="CH179" s="235">
        <v>24020</v>
      </c>
      <c r="CI179" s="235">
        <v>72060</v>
      </c>
      <c r="CJ179" s="235" t="s">
        <v>1862</v>
      </c>
    </row>
    <row r="180" spans="1:88" s="235" customFormat="1" ht="20.100000000000001" customHeight="1" x14ac:dyDescent="0.15">
      <c r="A180" s="229" t="s">
        <v>2961</v>
      </c>
      <c r="B180" s="229" t="s">
        <v>1133</v>
      </c>
      <c r="C180" s="230" t="s">
        <v>556</v>
      </c>
      <c r="D180" s="233">
        <v>0</v>
      </c>
      <c r="E180" s="231">
        <f t="shared" si="56"/>
        <v>741651</v>
      </c>
      <c r="F180" s="256">
        <f t="shared" si="56"/>
        <v>0</v>
      </c>
      <c r="G180" s="257">
        <v>94368</v>
      </c>
      <c r="H180" s="256">
        <f t="shared" si="58"/>
        <v>0</v>
      </c>
      <c r="I180" s="257">
        <v>514015</v>
      </c>
      <c r="J180" s="256">
        <f t="shared" si="59"/>
        <v>0</v>
      </c>
      <c r="K180" s="257">
        <v>133268</v>
      </c>
      <c r="L180" s="256">
        <f t="shared" si="60"/>
        <v>0</v>
      </c>
      <c r="M180" s="256"/>
      <c r="N180" s="256"/>
      <c r="O180" s="272">
        <f t="shared" si="46"/>
        <v>0</v>
      </c>
      <c r="P180" s="256"/>
      <c r="Q180" s="256">
        <f t="shared" si="47"/>
        <v>0</v>
      </c>
      <c r="R180" s="272">
        <f t="shared" si="48"/>
        <v>0</v>
      </c>
      <c r="S180" s="233">
        <f t="shared" si="61"/>
        <v>0</v>
      </c>
      <c r="T180" s="233">
        <f t="shared" si="62"/>
        <v>0</v>
      </c>
      <c r="U180" s="233">
        <f t="shared" si="63"/>
        <v>0</v>
      </c>
      <c r="V180" s="256">
        <f t="shared" si="49"/>
        <v>0</v>
      </c>
      <c r="W180" s="256">
        <f t="shared" si="50"/>
        <v>0</v>
      </c>
      <c r="X180" s="272">
        <f t="shared" si="51"/>
        <v>0</v>
      </c>
      <c r="Y180" s="234"/>
      <c r="Z180" s="383"/>
      <c r="AA180" s="252" t="e">
        <f>E180-#REF!</f>
        <v>#REF!</v>
      </c>
      <c r="AC180" s="235" t="s">
        <v>295</v>
      </c>
      <c r="AD180" s="235" t="s">
        <v>2856</v>
      </c>
      <c r="AE180" s="235" t="s">
        <v>1256</v>
      </c>
      <c r="AG180" s="235" t="s">
        <v>1778</v>
      </c>
      <c r="BV180" s="236" t="str">
        <f>HYPERLINK("#일위대가목록!A114","HP058 →")</f>
        <v>HP058 →</v>
      </c>
      <c r="CB180" s="235">
        <v>863033</v>
      </c>
      <c r="CC180" s="235">
        <v>863033</v>
      </c>
      <c r="CD180" s="235">
        <v>109813</v>
      </c>
      <c r="CE180" s="235">
        <v>109813</v>
      </c>
      <c r="CF180" s="235">
        <v>598140</v>
      </c>
      <c r="CG180" s="235">
        <v>598140</v>
      </c>
      <c r="CH180" s="235">
        <v>155080</v>
      </c>
      <c r="CI180" s="235">
        <v>155080</v>
      </c>
      <c r="CJ180" s="235" t="s">
        <v>304</v>
      </c>
    </row>
    <row r="181" spans="1:88" s="235" customFormat="1" ht="20.100000000000001" customHeight="1" x14ac:dyDescent="0.15">
      <c r="A181" s="229" t="s">
        <v>2961</v>
      </c>
      <c r="B181" s="229" t="s">
        <v>376</v>
      </c>
      <c r="C181" s="230" t="s">
        <v>556</v>
      </c>
      <c r="D181" s="233">
        <v>0</v>
      </c>
      <c r="E181" s="231">
        <f t="shared" si="56"/>
        <v>541799</v>
      </c>
      <c r="F181" s="256">
        <f t="shared" si="56"/>
        <v>0</v>
      </c>
      <c r="G181" s="257">
        <v>70153</v>
      </c>
      <c r="H181" s="256">
        <f t="shared" si="58"/>
        <v>0</v>
      </c>
      <c r="I181" s="257">
        <v>380751</v>
      </c>
      <c r="J181" s="256">
        <f t="shared" si="59"/>
        <v>0</v>
      </c>
      <c r="K181" s="257">
        <v>90895</v>
      </c>
      <c r="L181" s="256">
        <f t="shared" si="60"/>
        <v>0</v>
      </c>
      <c r="M181" s="256"/>
      <c r="N181" s="256"/>
      <c r="O181" s="272">
        <f t="shared" si="46"/>
        <v>0</v>
      </c>
      <c r="P181" s="256"/>
      <c r="Q181" s="256">
        <f t="shared" si="47"/>
        <v>0</v>
      </c>
      <c r="R181" s="272">
        <f t="shared" si="48"/>
        <v>0</v>
      </c>
      <c r="S181" s="233">
        <f t="shared" si="61"/>
        <v>0</v>
      </c>
      <c r="T181" s="233">
        <f t="shared" si="62"/>
        <v>0</v>
      </c>
      <c r="U181" s="233">
        <f t="shared" si="63"/>
        <v>0</v>
      </c>
      <c r="V181" s="256">
        <f t="shared" si="49"/>
        <v>0</v>
      </c>
      <c r="W181" s="256">
        <f t="shared" si="50"/>
        <v>0</v>
      </c>
      <c r="X181" s="272">
        <f t="shared" si="51"/>
        <v>0</v>
      </c>
      <c r="Y181" s="234"/>
      <c r="Z181" s="383"/>
      <c r="AA181" s="252" t="e">
        <f>E181-#REF!</f>
        <v>#REF!</v>
      </c>
      <c r="AC181" s="235" t="s">
        <v>2410</v>
      </c>
      <c r="AD181" s="235" t="s">
        <v>2856</v>
      </c>
      <c r="AE181" s="235" t="s">
        <v>2576</v>
      </c>
      <c r="AG181" s="235" t="s">
        <v>1778</v>
      </c>
      <c r="BV181" s="236" t="str">
        <f>HYPERLINK("#일위대가목록!A115","HP059 →")</f>
        <v>HP059 →</v>
      </c>
      <c r="CB181" s="235">
        <v>630473</v>
      </c>
      <c r="CC181" s="235">
        <v>9457095</v>
      </c>
      <c r="CD181" s="235">
        <v>81635</v>
      </c>
      <c r="CE181" s="235">
        <v>1224525</v>
      </c>
      <c r="CF181" s="235">
        <v>443066</v>
      </c>
      <c r="CG181" s="235">
        <v>6645990</v>
      </c>
      <c r="CH181" s="235">
        <v>105772</v>
      </c>
      <c r="CI181" s="235">
        <v>1586580</v>
      </c>
      <c r="CJ181" s="235" t="s">
        <v>1538</v>
      </c>
    </row>
    <row r="182" spans="1:88" s="235" customFormat="1" ht="20.100000000000001" customHeight="1" x14ac:dyDescent="0.15">
      <c r="A182" s="229" t="s">
        <v>2961</v>
      </c>
      <c r="B182" s="229" t="s">
        <v>1868</v>
      </c>
      <c r="C182" s="230" t="s">
        <v>556</v>
      </c>
      <c r="D182" s="233">
        <v>0</v>
      </c>
      <c r="E182" s="231">
        <f t="shared" si="56"/>
        <v>534207</v>
      </c>
      <c r="F182" s="256">
        <f t="shared" si="56"/>
        <v>0</v>
      </c>
      <c r="G182" s="257">
        <v>62561</v>
      </c>
      <c r="H182" s="256">
        <f t="shared" si="58"/>
        <v>0</v>
      </c>
      <c r="I182" s="257">
        <v>380751</v>
      </c>
      <c r="J182" s="256">
        <f t="shared" si="59"/>
        <v>0</v>
      </c>
      <c r="K182" s="257">
        <v>90895</v>
      </c>
      <c r="L182" s="256">
        <f t="shared" si="60"/>
        <v>0</v>
      </c>
      <c r="M182" s="256"/>
      <c r="N182" s="256"/>
      <c r="O182" s="272">
        <f t="shared" si="46"/>
        <v>0</v>
      </c>
      <c r="P182" s="256"/>
      <c r="Q182" s="256">
        <f t="shared" si="47"/>
        <v>0</v>
      </c>
      <c r="R182" s="272">
        <f t="shared" si="48"/>
        <v>0</v>
      </c>
      <c r="S182" s="233">
        <f t="shared" si="61"/>
        <v>0</v>
      </c>
      <c r="T182" s="233">
        <f t="shared" si="62"/>
        <v>0</v>
      </c>
      <c r="U182" s="233">
        <f t="shared" si="63"/>
        <v>0</v>
      </c>
      <c r="V182" s="256">
        <f t="shared" si="49"/>
        <v>0</v>
      </c>
      <c r="W182" s="256">
        <f t="shared" si="50"/>
        <v>0</v>
      </c>
      <c r="X182" s="272">
        <f t="shared" si="51"/>
        <v>0</v>
      </c>
      <c r="Y182" s="234"/>
      <c r="Z182" s="383"/>
      <c r="AA182" s="252" t="e">
        <f>E182-#REF!</f>
        <v>#REF!</v>
      </c>
      <c r="AC182" s="235" t="s">
        <v>1700</v>
      </c>
      <c r="AD182" s="235" t="s">
        <v>2856</v>
      </c>
      <c r="AE182" s="235" t="s">
        <v>1438</v>
      </c>
      <c r="AG182" s="235" t="s">
        <v>1778</v>
      </c>
      <c r="BV182" s="236" t="str">
        <f>HYPERLINK("#일위대가목록!A116","HP060 →")</f>
        <v>HP060 →</v>
      </c>
      <c r="CB182" s="235">
        <v>621638</v>
      </c>
      <c r="CC182" s="235">
        <v>3108190</v>
      </c>
      <c r="CD182" s="235">
        <v>72800</v>
      </c>
      <c r="CE182" s="235">
        <v>364000</v>
      </c>
      <c r="CF182" s="235">
        <v>443066</v>
      </c>
      <c r="CG182" s="235">
        <v>2215330</v>
      </c>
      <c r="CH182" s="235">
        <v>105772</v>
      </c>
      <c r="CI182" s="235">
        <v>528860</v>
      </c>
      <c r="CJ182" s="235" t="s">
        <v>294</v>
      </c>
    </row>
    <row r="183" spans="1:88" s="235" customFormat="1" ht="20.100000000000001" customHeight="1" x14ac:dyDescent="0.15">
      <c r="A183" s="229" t="s">
        <v>2961</v>
      </c>
      <c r="B183" s="229" t="s">
        <v>2228</v>
      </c>
      <c r="C183" s="230" t="s">
        <v>556</v>
      </c>
      <c r="D183" s="233">
        <v>0</v>
      </c>
      <c r="E183" s="231">
        <f t="shared" si="56"/>
        <v>262422</v>
      </c>
      <c r="F183" s="256">
        <f t="shared" si="56"/>
        <v>0</v>
      </c>
      <c r="G183" s="257">
        <v>38610</v>
      </c>
      <c r="H183" s="256">
        <f t="shared" si="58"/>
        <v>0</v>
      </c>
      <c r="I183" s="257">
        <v>203171</v>
      </c>
      <c r="J183" s="256">
        <f t="shared" si="59"/>
        <v>0</v>
      </c>
      <c r="K183" s="257">
        <v>20641</v>
      </c>
      <c r="L183" s="256">
        <f t="shared" si="60"/>
        <v>0</v>
      </c>
      <c r="M183" s="256"/>
      <c r="N183" s="256"/>
      <c r="O183" s="272">
        <f t="shared" si="46"/>
        <v>0</v>
      </c>
      <c r="P183" s="256"/>
      <c r="Q183" s="256">
        <f t="shared" si="47"/>
        <v>0</v>
      </c>
      <c r="R183" s="272">
        <f t="shared" si="48"/>
        <v>0</v>
      </c>
      <c r="S183" s="233">
        <f t="shared" si="61"/>
        <v>0</v>
      </c>
      <c r="T183" s="233">
        <f t="shared" si="62"/>
        <v>0</v>
      </c>
      <c r="U183" s="233">
        <f t="shared" si="63"/>
        <v>0</v>
      </c>
      <c r="V183" s="256">
        <f t="shared" si="49"/>
        <v>0</v>
      </c>
      <c r="W183" s="256">
        <f t="shared" si="50"/>
        <v>0</v>
      </c>
      <c r="X183" s="272">
        <f t="shared" si="51"/>
        <v>0</v>
      </c>
      <c r="Y183" s="234"/>
      <c r="Z183" s="383"/>
      <c r="AA183" s="252" t="e">
        <f>E183-#REF!</f>
        <v>#REF!</v>
      </c>
      <c r="AC183" s="235" t="s">
        <v>1075</v>
      </c>
      <c r="AD183" s="235" t="s">
        <v>2856</v>
      </c>
      <c r="AE183" s="235" t="s">
        <v>264</v>
      </c>
      <c r="AG183" s="235" t="s">
        <v>1778</v>
      </c>
      <c r="BV183" s="236" t="str">
        <f>HYPERLINK("#일위대가목록!A117","HP061 →")</f>
        <v>HP061 →</v>
      </c>
      <c r="CB183" s="235">
        <v>305373</v>
      </c>
      <c r="CC183" s="235">
        <v>1832238</v>
      </c>
      <c r="CD183" s="235">
        <v>44930</v>
      </c>
      <c r="CE183" s="235">
        <v>269580</v>
      </c>
      <c r="CF183" s="235">
        <v>236423</v>
      </c>
      <c r="CG183" s="235">
        <v>1418538</v>
      </c>
      <c r="CH183" s="235">
        <v>24020</v>
      </c>
      <c r="CI183" s="235">
        <v>144120</v>
      </c>
      <c r="CJ183" s="235" t="s">
        <v>1570</v>
      </c>
    </row>
    <row r="184" spans="1:88" s="235" customFormat="1" ht="20.100000000000001" customHeight="1" x14ac:dyDescent="0.15">
      <c r="A184" s="255" t="s">
        <v>2961</v>
      </c>
      <c r="B184" s="255" t="s">
        <v>3198</v>
      </c>
      <c r="C184" s="230" t="s">
        <v>3193</v>
      </c>
      <c r="D184" s="233">
        <v>1</v>
      </c>
      <c r="E184" s="231">
        <f t="shared" si="56"/>
        <v>1464617</v>
      </c>
      <c r="F184" s="256">
        <f t="shared" si="56"/>
        <v>1464617</v>
      </c>
      <c r="G184" s="257">
        <v>149571</v>
      </c>
      <c r="H184" s="256">
        <f t="shared" si="58"/>
        <v>149571</v>
      </c>
      <c r="I184" s="257">
        <v>1044292</v>
      </c>
      <c r="J184" s="256">
        <f t="shared" si="59"/>
        <v>1044292</v>
      </c>
      <c r="K184" s="257">
        <v>270754</v>
      </c>
      <c r="L184" s="256">
        <f t="shared" si="60"/>
        <v>270754</v>
      </c>
      <c r="M184" s="256"/>
      <c r="N184" s="256"/>
      <c r="O184" s="272">
        <f t="shared" si="46"/>
        <v>0</v>
      </c>
      <c r="P184" s="256"/>
      <c r="Q184" s="256">
        <f t="shared" si="47"/>
        <v>0</v>
      </c>
      <c r="R184" s="272">
        <f t="shared" si="48"/>
        <v>0</v>
      </c>
      <c r="S184" s="233">
        <f t="shared" si="61"/>
        <v>0</v>
      </c>
      <c r="T184" s="233">
        <f t="shared" si="62"/>
        <v>0</v>
      </c>
      <c r="U184" s="233">
        <f t="shared" si="63"/>
        <v>0</v>
      </c>
      <c r="V184" s="256">
        <f t="shared" si="49"/>
        <v>0</v>
      </c>
      <c r="W184" s="256">
        <f t="shared" si="50"/>
        <v>0</v>
      </c>
      <c r="X184" s="272">
        <f t="shared" si="51"/>
        <v>0</v>
      </c>
      <c r="Y184" s="234"/>
      <c r="Z184" s="383"/>
      <c r="AA184" s="252" t="e">
        <f>E184-#REF!</f>
        <v>#REF!</v>
      </c>
      <c r="AC184" s="235" t="s">
        <v>2309</v>
      </c>
      <c r="AD184" s="235" t="s">
        <v>2856</v>
      </c>
      <c r="AE184" s="235" t="s">
        <v>2194</v>
      </c>
      <c r="AG184" s="235" t="s">
        <v>1778</v>
      </c>
      <c r="BV184" s="236" t="str">
        <f>HYPERLINK("#일위대가목록!A83","HP030 →")</f>
        <v>HP030 →</v>
      </c>
      <c r="CB184" s="235">
        <v>856463</v>
      </c>
      <c r="CC184" s="235">
        <v>11134019</v>
      </c>
      <c r="CD184" s="235">
        <v>103243</v>
      </c>
      <c r="CE184" s="235">
        <v>1342159</v>
      </c>
      <c r="CF184" s="235">
        <v>598140</v>
      </c>
      <c r="CG184" s="235">
        <v>7775820</v>
      </c>
      <c r="CH184" s="235">
        <v>155080</v>
      </c>
      <c r="CI184" s="235">
        <v>2016040</v>
      </c>
      <c r="CJ184" s="235" t="s">
        <v>1107</v>
      </c>
    </row>
    <row r="185" spans="1:88" s="235" customFormat="1" ht="20.100000000000001" customHeight="1" x14ac:dyDescent="0.15">
      <c r="A185" s="229" t="s">
        <v>2962</v>
      </c>
      <c r="B185" s="229" t="s">
        <v>2228</v>
      </c>
      <c r="C185" s="230" t="s">
        <v>556</v>
      </c>
      <c r="D185" s="233">
        <v>1</v>
      </c>
      <c r="E185" s="231">
        <f t="shared" si="56"/>
        <v>262422</v>
      </c>
      <c r="F185" s="256">
        <f t="shared" si="56"/>
        <v>262422</v>
      </c>
      <c r="G185" s="257">
        <v>38610</v>
      </c>
      <c r="H185" s="256">
        <f t="shared" si="58"/>
        <v>38610</v>
      </c>
      <c r="I185" s="257">
        <v>203171</v>
      </c>
      <c r="J185" s="256">
        <f t="shared" si="59"/>
        <v>203171</v>
      </c>
      <c r="K185" s="257">
        <v>20641</v>
      </c>
      <c r="L185" s="256">
        <f t="shared" si="60"/>
        <v>20641</v>
      </c>
      <c r="M185" s="256"/>
      <c r="N185" s="256"/>
      <c r="O185" s="272">
        <f t="shared" si="46"/>
        <v>0</v>
      </c>
      <c r="P185" s="256">
        <v>1</v>
      </c>
      <c r="Q185" s="256">
        <f t="shared" si="47"/>
        <v>262422</v>
      </c>
      <c r="R185" s="272">
        <f t="shared" si="48"/>
        <v>1</v>
      </c>
      <c r="S185" s="233">
        <f t="shared" si="61"/>
        <v>38610</v>
      </c>
      <c r="T185" s="233">
        <f t="shared" si="62"/>
        <v>203171</v>
      </c>
      <c r="U185" s="233">
        <f t="shared" si="63"/>
        <v>20641</v>
      </c>
      <c r="V185" s="256">
        <f t="shared" si="49"/>
        <v>1</v>
      </c>
      <c r="W185" s="256">
        <f t="shared" si="50"/>
        <v>262422</v>
      </c>
      <c r="X185" s="272">
        <f t="shared" si="51"/>
        <v>1</v>
      </c>
      <c r="Y185" s="234"/>
      <c r="Z185" s="383"/>
      <c r="AA185" s="252" t="e">
        <f>E185-#REF!</f>
        <v>#REF!</v>
      </c>
      <c r="AC185" s="235" t="s">
        <v>346</v>
      </c>
      <c r="AD185" s="235" t="s">
        <v>2856</v>
      </c>
      <c r="AE185" s="235" t="s">
        <v>1924</v>
      </c>
      <c r="AG185" s="235" t="s">
        <v>1778</v>
      </c>
      <c r="BV185" s="236" t="str">
        <f>HYPERLINK("#일위대가목록!A118","HP062 →")</f>
        <v>HP062 →</v>
      </c>
      <c r="CB185" s="235">
        <v>305373</v>
      </c>
      <c r="CC185" s="235">
        <v>3359103</v>
      </c>
      <c r="CD185" s="235">
        <v>44930</v>
      </c>
      <c r="CE185" s="235">
        <v>494230</v>
      </c>
      <c r="CF185" s="235">
        <v>236423</v>
      </c>
      <c r="CG185" s="235">
        <v>2600653</v>
      </c>
      <c r="CH185" s="235">
        <v>24020</v>
      </c>
      <c r="CI185" s="235">
        <v>264220</v>
      </c>
      <c r="CJ185" s="235" t="s">
        <v>1179</v>
      </c>
    </row>
    <row r="186" spans="1:88" s="235" customFormat="1" ht="20.100000000000001" customHeight="1" x14ac:dyDescent="0.15">
      <c r="A186" s="229" t="s">
        <v>2962</v>
      </c>
      <c r="B186" s="229" t="s">
        <v>1125</v>
      </c>
      <c r="C186" s="230" t="s">
        <v>556</v>
      </c>
      <c r="D186" s="233">
        <v>0</v>
      </c>
      <c r="E186" s="231">
        <f t="shared" si="56"/>
        <v>217132</v>
      </c>
      <c r="F186" s="256">
        <f t="shared" si="56"/>
        <v>0</v>
      </c>
      <c r="G186" s="257">
        <v>34013</v>
      </c>
      <c r="H186" s="256">
        <f t="shared" si="58"/>
        <v>0</v>
      </c>
      <c r="I186" s="257">
        <v>166231</v>
      </c>
      <c r="J186" s="256">
        <f t="shared" si="59"/>
        <v>0</v>
      </c>
      <c r="K186" s="257">
        <v>16888</v>
      </c>
      <c r="L186" s="256">
        <f t="shared" si="60"/>
        <v>0</v>
      </c>
      <c r="M186" s="256"/>
      <c r="N186" s="256"/>
      <c r="O186" s="272">
        <f t="shared" si="46"/>
        <v>0</v>
      </c>
      <c r="P186" s="256"/>
      <c r="Q186" s="256">
        <f t="shared" si="47"/>
        <v>0</v>
      </c>
      <c r="R186" s="272">
        <f t="shared" si="48"/>
        <v>0</v>
      </c>
      <c r="S186" s="233">
        <f t="shared" si="61"/>
        <v>0</v>
      </c>
      <c r="T186" s="233">
        <f t="shared" si="62"/>
        <v>0</v>
      </c>
      <c r="U186" s="233">
        <f t="shared" si="63"/>
        <v>0</v>
      </c>
      <c r="V186" s="256">
        <f t="shared" si="49"/>
        <v>0</v>
      </c>
      <c r="W186" s="256">
        <f t="shared" si="50"/>
        <v>0</v>
      </c>
      <c r="X186" s="272">
        <f t="shared" si="51"/>
        <v>0</v>
      </c>
      <c r="Y186" s="234"/>
      <c r="Z186" s="383"/>
      <c r="AA186" s="252" t="e">
        <f>E186-#REF!</f>
        <v>#REF!</v>
      </c>
      <c r="AC186" s="235" t="s">
        <v>2456</v>
      </c>
      <c r="AD186" s="235" t="s">
        <v>2856</v>
      </c>
      <c r="AE186" s="235" t="s">
        <v>639</v>
      </c>
      <c r="AG186" s="235" t="s">
        <v>1778</v>
      </c>
      <c r="BV186" s="236" t="str">
        <f>HYPERLINK("#일위대가목록!A119","HP063 →")</f>
        <v>HP063 →</v>
      </c>
      <c r="CB186" s="235">
        <v>252669</v>
      </c>
      <c r="CC186" s="235">
        <v>505338</v>
      </c>
      <c r="CD186" s="235">
        <v>39580</v>
      </c>
      <c r="CE186" s="235">
        <v>79160</v>
      </c>
      <c r="CF186" s="235">
        <v>193437</v>
      </c>
      <c r="CG186" s="235">
        <v>386874</v>
      </c>
      <c r="CH186" s="235">
        <v>19652</v>
      </c>
      <c r="CI186" s="235">
        <v>39304</v>
      </c>
      <c r="CJ186" s="235" t="s">
        <v>2844</v>
      </c>
    </row>
    <row r="187" spans="1:88" s="235" customFormat="1" ht="20.100000000000001" customHeight="1" x14ac:dyDescent="0.15">
      <c r="A187" s="229" t="s">
        <v>2962</v>
      </c>
      <c r="B187" s="229" t="s">
        <v>1816</v>
      </c>
      <c r="C187" s="230" t="s">
        <v>556</v>
      </c>
      <c r="D187" s="233">
        <v>3</v>
      </c>
      <c r="E187" s="231">
        <f t="shared" ref="E187:F190" si="65">G187+I187+K187</f>
        <v>533505</v>
      </c>
      <c r="F187" s="256">
        <f t="shared" si="65"/>
        <v>1600515</v>
      </c>
      <c r="G187" s="257">
        <v>61859</v>
      </c>
      <c r="H187" s="256">
        <f t="shared" si="58"/>
        <v>185577</v>
      </c>
      <c r="I187" s="257">
        <v>380751</v>
      </c>
      <c r="J187" s="256">
        <f t="shared" si="59"/>
        <v>1142253</v>
      </c>
      <c r="K187" s="257">
        <v>90895</v>
      </c>
      <c r="L187" s="256">
        <f t="shared" si="60"/>
        <v>272685</v>
      </c>
      <c r="M187" s="256"/>
      <c r="N187" s="256"/>
      <c r="O187" s="272">
        <f t="shared" si="46"/>
        <v>0</v>
      </c>
      <c r="P187" s="256">
        <v>3</v>
      </c>
      <c r="Q187" s="256">
        <f t="shared" si="47"/>
        <v>1600515</v>
      </c>
      <c r="R187" s="272">
        <f t="shared" si="48"/>
        <v>1</v>
      </c>
      <c r="S187" s="233">
        <f t="shared" si="61"/>
        <v>185577</v>
      </c>
      <c r="T187" s="233">
        <f t="shared" si="62"/>
        <v>1142253</v>
      </c>
      <c r="U187" s="233">
        <f t="shared" si="63"/>
        <v>272685</v>
      </c>
      <c r="V187" s="256">
        <f t="shared" si="49"/>
        <v>3</v>
      </c>
      <c r="W187" s="256">
        <f t="shared" si="50"/>
        <v>1600515</v>
      </c>
      <c r="X187" s="272">
        <f t="shared" si="51"/>
        <v>1</v>
      </c>
      <c r="Y187" s="234"/>
      <c r="Z187" s="383"/>
      <c r="AA187" s="252" t="e">
        <f>E187-#REF!</f>
        <v>#REF!</v>
      </c>
      <c r="AC187" s="235" t="s">
        <v>480</v>
      </c>
      <c r="AD187" s="235" t="s">
        <v>2856</v>
      </c>
      <c r="AE187" s="235" t="s">
        <v>2011</v>
      </c>
      <c r="AG187" s="235" t="s">
        <v>1778</v>
      </c>
      <c r="BV187" s="236" t="str">
        <f>HYPERLINK("#일위대가목록!A124","HP068 →")</f>
        <v>HP068 →</v>
      </c>
      <c r="CB187" s="235">
        <v>620822</v>
      </c>
      <c r="CC187" s="235">
        <v>1862466</v>
      </c>
      <c r="CD187" s="235">
        <v>71984</v>
      </c>
      <c r="CE187" s="235">
        <v>215952</v>
      </c>
      <c r="CF187" s="235">
        <v>443066</v>
      </c>
      <c r="CG187" s="235">
        <v>1329198</v>
      </c>
      <c r="CH187" s="235">
        <v>105772</v>
      </c>
      <c r="CI187" s="235">
        <v>317316</v>
      </c>
      <c r="CJ187" s="235" t="s">
        <v>1059</v>
      </c>
    </row>
    <row r="188" spans="1:88" s="235" customFormat="1" ht="20.100000000000001" customHeight="1" x14ac:dyDescent="0.15">
      <c r="A188" s="229" t="s">
        <v>2962</v>
      </c>
      <c r="B188" s="229" t="s">
        <v>1868</v>
      </c>
      <c r="C188" s="230" t="s">
        <v>556</v>
      </c>
      <c r="D188" s="233">
        <v>1</v>
      </c>
      <c r="E188" s="231">
        <f t="shared" si="65"/>
        <v>534207</v>
      </c>
      <c r="F188" s="256">
        <f t="shared" si="65"/>
        <v>534207</v>
      </c>
      <c r="G188" s="257">
        <v>62561</v>
      </c>
      <c r="H188" s="256">
        <f t="shared" si="58"/>
        <v>62561</v>
      </c>
      <c r="I188" s="257">
        <v>380751</v>
      </c>
      <c r="J188" s="256">
        <f t="shared" si="59"/>
        <v>380751</v>
      </c>
      <c r="K188" s="257">
        <v>90895</v>
      </c>
      <c r="L188" s="256">
        <f t="shared" si="60"/>
        <v>90895</v>
      </c>
      <c r="M188" s="256"/>
      <c r="N188" s="256"/>
      <c r="O188" s="272">
        <f t="shared" si="46"/>
        <v>0</v>
      </c>
      <c r="P188" s="256">
        <v>1</v>
      </c>
      <c r="Q188" s="256">
        <f t="shared" si="47"/>
        <v>534207</v>
      </c>
      <c r="R188" s="272">
        <f t="shared" si="48"/>
        <v>1</v>
      </c>
      <c r="S188" s="233">
        <f t="shared" si="61"/>
        <v>62561</v>
      </c>
      <c r="T188" s="233">
        <f t="shared" si="62"/>
        <v>380751</v>
      </c>
      <c r="U188" s="233">
        <f t="shared" si="63"/>
        <v>90895</v>
      </c>
      <c r="V188" s="256">
        <f t="shared" si="49"/>
        <v>1</v>
      </c>
      <c r="W188" s="256">
        <f t="shared" si="50"/>
        <v>534207</v>
      </c>
      <c r="X188" s="272">
        <f t="shared" si="51"/>
        <v>1</v>
      </c>
      <c r="Y188" s="234"/>
      <c r="Z188" s="383"/>
      <c r="AA188" s="252" t="e">
        <f>E188-#REF!</f>
        <v>#REF!</v>
      </c>
      <c r="AC188" s="235" t="s">
        <v>1700</v>
      </c>
      <c r="AD188" s="235" t="s">
        <v>2856</v>
      </c>
      <c r="AE188" s="235" t="s">
        <v>1438</v>
      </c>
      <c r="AG188" s="235" t="s">
        <v>1778</v>
      </c>
      <c r="BV188" s="236" t="str">
        <f>HYPERLINK("#일위대가목록!A116","HP060 →")</f>
        <v>HP060 →</v>
      </c>
      <c r="CB188" s="235">
        <v>621638</v>
      </c>
      <c r="CC188" s="235">
        <v>3108190</v>
      </c>
      <c r="CD188" s="235">
        <v>72800</v>
      </c>
      <c r="CE188" s="235">
        <v>364000</v>
      </c>
      <c r="CF188" s="235">
        <v>443066</v>
      </c>
      <c r="CG188" s="235">
        <v>2215330</v>
      </c>
      <c r="CH188" s="235">
        <v>105772</v>
      </c>
      <c r="CI188" s="235">
        <v>528860</v>
      </c>
      <c r="CJ188" s="235" t="s">
        <v>294</v>
      </c>
    </row>
    <row r="189" spans="1:88" s="235" customFormat="1" ht="20.100000000000001" customHeight="1" x14ac:dyDescent="0.15">
      <c r="A189" s="229" t="s">
        <v>2962</v>
      </c>
      <c r="B189" s="229" t="s">
        <v>3185</v>
      </c>
      <c r="C189" s="230" t="s">
        <v>556</v>
      </c>
      <c r="D189" s="233">
        <v>1</v>
      </c>
      <c r="E189" s="231">
        <f t="shared" si="65"/>
        <v>738806</v>
      </c>
      <c r="F189" s="256">
        <f t="shared" si="65"/>
        <v>738806</v>
      </c>
      <c r="G189" s="257">
        <v>91523</v>
      </c>
      <c r="H189" s="256">
        <f t="shared" si="58"/>
        <v>91523</v>
      </c>
      <c r="I189" s="257">
        <v>514015</v>
      </c>
      <c r="J189" s="256">
        <f t="shared" si="59"/>
        <v>514015</v>
      </c>
      <c r="K189" s="257">
        <v>133268</v>
      </c>
      <c r="L189" s="256">
        <f t="shared" si="60"/>
        <v>133268</v>
      </c>
      <c r="M189" s="256"/>
      <c r="N189" s="256"/>
      <c r="O189" s="272">
        <f t="shared" si="46"/>
        <v>0</v>
      </c>
      <c r="P189" s="256">
        <v>1</v>
      </c>
      <c r="Q189" s="256">
        <f t="shared" si="47"/>
        <v>738806</v>
      </c>
      <c r="R189" s="272">
        <f t="shared" si="48"/>
        <v>1</v>
      </c>
      <c r="S189" s="233">
        <f t="shared" si="61"/>
        <v>91523</v>
      </c>
      <c r="T189" s="233">
        <f t="shared" si="62"/>
        <v>514015</v>
      </c>
      <c r="U189" s="233">
        <f t="shared" si="63"/>
        <v>133268</v>
      </c>
      <c r="V189" s="256">
        <f t="shared" si="49"/>
        <v>1</v>
      </c>
      <c r="W189" s="256">
        <f t="shared" si="50"/>
        <v>738806</v>
      </c>
      <c r="X189" s="272">
        <f t="shared" si="51"/>
        <v>1</v>
      </c>
      <c r="Y189" s="234"/>
      <c r="Z189" s="383"/>
      <c r="AA189" s="252" t="e">
        <f>E189-#REF!</f>
        <v>#REF!</v>
      </c>
      <c r="AC189" s="235" t="s">
        <v>2716</v>
      </c>
      <c r="AD189" s="235" t="s">
        <v>2856</v>
      </c>
      <c r="AE189" s="235" t="s">
        <v>1792</v>
      </c>
      <c r="AG189" s="235" t="s">
        <v>1778</v>
      </c>
      <c r="BV189" s="236" t="str">
        <f>HYPERLINK("#일위대가목록!A100","HP047 →")</f>
        <v>HP047 →</v>
      </c>
      <c r="CB189" s="235">
        <v>252669</v>
      </c>
      <c r="CC189" s="235">
        <v>3032028</v>
      </c>
      <c r="CD189" s="235">
        <v>39580</v>
      </c>
      <c r="CE189" s="235">
        <v>474960</v>
      </c>
      <c r="CF189" s="235">
        <v>193437</v>
      </c>
      <c r="CG189" s="235">
        <v>2321244</v>
      </c>
      <c r="CH189" s="235">
        <v>19652</v>
      </c>
      <c r="CI189" s="235">
        <v>235824</v>
      </c>
      <c r="CJ189" s="235" t="s">
        <v>892</v>
      </c>
    </row>
    <row r="190" spans="1:88" s="235" customFormat="1" ht="20.100000000000001" customHeight="1" x14ac:dyDescent="0.15">
      <c r="A190" s="255" t="s">
        <v>2962</v>
      </c>
      <c r="B190" s="255" t="s">
        <v>3202</v>
      </c>
      <c r="C190" s="230" t="s">
        <v>556</v>
      </c>
      <c r="D190" s="233">
        <v>2</v>
      </c>
      <c r="E190" s="231">
        <f t="shared" si="65"/>
        <v>1064751</v>
      </c>
      <c r="F190" s="256">
        <f t="shared" si="65"/>
        <v>2129502</v>
      </c>
      <c r="G190" s="257">
        <v>106536</v>
      </c>
      <c r="H190" s="256">
        <f t="shared" si="58"/>
        <v>213072</v>
      </c>
      <c r="I190" s="257">
        <v>773548</v>
      </c>
      <c r="J190" s="256">
        <f t="shared" si="59"/>
        <v>1547096</v>
      </c>
      <c r="K190" s="257">
        <v>184667</v>
      </c>
      <c r="L190" s="256">
        <f t="shared" si="60"/>
        <v>369334</v>
      </c>
      <c r="M190" s="256"/>
      <c r="N190" s="256"/>
      <c r="O190" s="272">
        <f t="shared" si="46"/>
        <v>0</v>
      </c>
      <c r="P190" s="256">
        <v>1</v>
      </c>
      <c r="Q190" s="256">
        <f t="shared" si="47"/>
        <v>1064751</v>
      </c>
      <c r="R190" s="272">
        <f t="shared" si="48"/>
        <v>0.5</v>
      </c>
      <c r="S190" s="233">
        <f t="shared" si="61"/>
        <v>106536</v>
      </c>
      <c r="T190" s="233">
        <f t="shared" si="62"/>
        <v>773548</v>
      </c>
      <c r="U190" s="233">
        <f t="shared" si="63"/>
        <v>184667</v>
      </c>
      <c r="V190" s="256">
        <f t="shared" si="49"/>
        <v>1</v>
      </c>
      <c r="W190" s="256">
        <f t="shared" si="50"/>
        <v>1064751</v>
      </c>
      <c r="X190" s="272">
        <f t="shared" si="51"/>
        <v>0.5</v>
      </c>
      <c r="Y190" s="234"/>
      <c r="Z190" s="383"/>
      <c r="AA190" s="252" t="e">
        <f>E190-#REF!</f>
        <v>#REF!</v>
      </c>
      <c r="AC190" s="235" t="s">
        <v>480</v>
      </c>
      <c r="AD190" s="235" t="s">
        <v>2856</v>
      </c>
      <c r="AE190" s="235" t="s">
        <v>2011</v>
      </c>
      <c r="AG190" s="235" t="s">
        <v>1778</v>
      </c>
      <c r="BV190" s="236" t="str">
        <f>HYPERLINK("#일위대가목록!A124","HP068 →")</f>
        <v>HP068 →</v>
      </c>
      <c r="CB190" s="235">
        <v>620822</v>
      </c>
      <c r="CC190" s="235">
        <v>1862466</v>
      </c>
      <c r="CD190" s="235">
        <v>71984</v>
      </c>
      <c r="CE190" s="235">
        <v>215952</v>
      </c>
      <c r="CF190" s="235">
        <v>443066</v>
      </c>
      <c r="CG190" s="235">
        <v>1329198</v>
      </c>
      <c r="CH190" s="235">
        <v>105772</v>
      </c>
      <c r="CI190" s="235">
        <v>317316</v>
      </c>
      <c r="CJ190" s="235" t="s">
        <v>1059</v>
      </c>
    </row>
    <row r="191" spans="1:88" s="235" customFormat="1" ht="20.100000000000001" customHeight="1" x14ac:dyDescent="0.15">
      <c r="A191" s="255" t="s">
        <v>2963</v>
      </c>
      <c r="B191" s="255" t="s">
        <v>2461</v>
      </c>
      <c r="C191" s="230" t="s">
        <v>556</v>
      </c>
      <c r="D191" s="233">
        <v>3</v>
      </c>
      <c r="E191" s="231">
        <f t="shared" si="56"/>
        <v>534966</v>
      </c>
      <c r="F191" s="256">
        <f t="shared" si="56"/>
        <v>1604898</v>
      </c>
      <c r="G191" s="257">
        <v>63320</v>
      </c>
      <c r="H191" s="256">
        <f t="shared" si="58"/>
        <v>189960</v>
      </c>
      <c r="I191" s="257">
        <v>380751</v>
      </c>
      <c r="J191" s="256">
        <f t="shared" si="59"/>
        <v>1142253</v>
      </c>
      <c r="K191" s="257">
        <v>90895</v>
      </c>
      <c r="L191" s="256">
        <f t="shared" si="60"/>
        <v>272685</v>
      </c>
      <c r="M191" s="256"/>
      <c r="N191" s="256"/>
      <c r="O191" s="272">
        <f t="shared" si="46"/>
        <v>0</v>
      </c>
      <c r="P191" s="256">
        <v>3</v>
      </c>
      <c r="Q191" s="256">
        <f t="shared" si="47"/>
        <v>1604898</v>
      </c>
      <c r="R191" s="272">
        <f t="shared" si="48"/>
        <v>1</v>
      </c>
      <c r="S191" s="233">
        <f t="shared" si="61"/>
        <v>189960</v>
      </c>
      <c r="T191" s="233">
        <f t="shared" si="62"/>
        <v>1142253</v>
      </c>
      <c r="U191" s="233">
        <f t="shared" si="63"/>
        <v>272685</v>
      </c>
      <c r="V191" s="256">
        <f t="shared" si="49"/>
        <v>3</v>
      </c>
      <c r="W191" s="256">
        <f t="shared" si="50"/>
        <v>1604898</v>
      </c>
      <c r="X191" s="272">
        <f t="shared" si="51"/>
        <v>1</v>
      </c>
      <c r="Y191" s="234"/>
      <c r="Z191" s="383"/>
      <c r="AA191" s="252" t="e">
        <f>E191-#REF!</f>
        <v>#REF!</v>
      </c>
      <c r="AC191" s="235" t="s">
        <v>1745</v>
      </c>
      <c r="AD191" s="235" t="s">
        <v>2856</v>
      </c>
      <c r="AE191" s="235" t="s">
        <v>1688</v>
      </c>
      <c r="AG191" s="235" t="s">
        <v>1778</v>
      </c>
      <c r="BV191" s="236" t="str">
        <f>HYPERLINK("#일위대가목록!A120","HP064 →")</f>
        <v>HP064 →</v>
      </c>
      <c r="CB191" s="235">
        <v>622522</v>
      </c>
      <c r="CC191" s="235">
        <v>4357654</v>
      </c>
      <c r="CD191" s="235">
        <v>73684</v>
      </c>
      <c r="CE191" s="235">
        <v>515788</v>
      </c>
      <c r="CF191" s="235">
        <v>443066</v>
      </c>
      <c r="CG191" s="235">
        <v>3101462</v>
      </c>
      <c r="CH191" s="235">
        <v>105772</v>
      </c>
      <c r="CI191" s="235">
        <v>740404</v>
      </c>
      <c r="CJ191" s="235" t="s">
        <v>764</v>
      </c>
    </row>
    <row r="192" spans="1:88" s="235" customFormat="1" ht="20.100000000000001" customHeight="1" x14ac:dyDescent="0.15">
      <c r="A192" s="255" t="s">
        <v>2963</v>
      </c>
      <c r="B192" s="255" t="s">
        <v>1125</v>
      </c>
      <c r="C192" s="230" t="s">
        <v>556</v>
      </c>
      <c r="D192" s="233">
        <v>0</v>
      </c>
      <c r="E192" s="231">
        <f t="shared" si="56"/>
        <v>217132</v>
      </c>
      <c r="F192" s="256">
        <f t="shared" si="56"/>
        <v>0</v>
      </c>
      <c r="G192" s="257">
        <v>34013</v>
      </c>
      <c r="H192" s="256">
        <f t="shared" si="58"/>
        <v>0</v>
      </c>
      <c r="I192" s="257">
        <v>166231</v>
      </c>
      <c r="J192" s="256">
        <f t="shared" si="59"/>
        <v>0</v>
      </c>
      <c r="K192" s="257">
        <v>16888</v>
      </c>
      <c r="L192" s="256">
        <f t="shared" si="60"/>
        <v>0</v>
      </c>
      <c r="M192" s="256"/>
      <c r="N192" s="256"/>
      <c r="O192" s="272">
        <f t="shared" si="46"/>
        <v>0</v>
      </c>
      <c r="P192" s="256"/>
      <c r="Q192" s="256">
        <f t="shared" si="47"/>
        <v>0</v>
      </c>
      <c r="R192" s="272">
        <f t="shared" si="48"/>
        <v>0</v>
      </c>
      <c r="S192" s="233">
        <f t="shared" si="61"/>
        <v>0</v>
      </c>
      <c r="T192" s="233">
        <f t="shared" si="62"/>
        <v>0</v>
      </c>
      <c r="U192" s="233">
        <f t="shared" si="63"/>
        <v>0</v>
      </c>
      <c r="V192" s="256">
        <f t="shared" si="49"/>
        <v>0</v>
      </c>
      <c r="W192" s="256">
        <f t="shared" si="50"/>
        <v>0</v>
      </c>
      <c r="X192" s="272">
        <f t="shared" si="51"/>
        <v>0</v>
      </c>
      <c r="Y192" s="234"/>
      <c r="Z192" s="383"/>
      <c r="AA192" s="252" t="e">
        <f>E192-#REF!</f>
        <v>#REF!</v>
      </c>
      <c r="AC192" s="235" t="s">
        <v>933</v>
      </c>
      <c r="AD192" s="235" t="s">
        <v>2856</v>
      </c>
      <c r="AE192" s="235" t="s">
        <v>161</v>
      </c>
      <c r="AG192" s="235" t="s">
        <v>1778</v>
      </c>
      <c r="BV192" s="236" t="str">
        <f>HYPERLINK("#일위대가목록!A121","HP065 →")</f>
        <v>HP065 →</v>
      </c>
      <c r="CB192" s="235">
        <v>252669</v>
      </c>
      <c r="CC192" s="235">
        <v>4800711</v>
      </c>
      <c r="CD192" s="235">
        <v>39580</v>
      </c>
      <c r="CE192" s="235">
        <v>752020</v>
      </c>
      <c r="CF192" s="235">
        <v>193437</v>
      </c>
      <c r="CG192" s="235">
        <v>3675303</v>
      </c>
      <c r="CH192" s="235">
        <v>19652</v>
      </c>
      <c r="CI192" s="235">
        <v>373388</v>
      </c>
      <c r="CJ192" s="235" t="s">
        <v>2349</v>
      </c>
    </row>
    <row r="193" spans="1:88" s="235" customFormat="1" ht="20.100000000000001" customHeight="1" x14ac:dyDescent="0.15">
      <c r="A193" s="255" t="s">
        <v>2963</v>
      </c>
      <c r="B193" s="255" t="s">
        <v>1816</v>
      </c>
      <c r="C193" s="230" t="s">
        <v>556</v>
      </c>
      <c r="D193" s="233">
        <v>1</v>
      </c>
      <c r="E193" s="231">
        <f t="shared" si="56"/>
        <v>533505</v>
      </c>
      <c r="F193" s="256">
        <f t="shared" si="56"/>
        <v>533505</v>
      </c>
      <c r="G193" s="257">
        <v>61859</v>
      </c>
      <c r="H193" s="256">
        <f t="shared" si="58"/>
        <v>61859</v>
      </c>
      <c r="I193" s="257">
        <v>380751</v>
      </c>
      <c r="J193" s="256">
        <f t="shared" si="59"/>
        <v>380751</v>
      </c>
      <c r="K193" s="257">
        <v>90895</v>
      </c>
      <c r="L193" s="256">
        <f t="shared" si="60"/>
        <v>90895</v>
      </c>
      <c r="M193" s="256"/>
      <c r="N193" s="256"/>
      <c r="O193" s="272">
        <f t="shared" si="46"/>
        <v>0</v>
      </c>
      <c r="P193" s="256">
        <v>1</v>
      </c>
      <c r="Q193" s="256">
        <f t="shared" si="47"/>
        <v>533505</v>
      </c>
      <c r="R193" s="272">
        <f t="shared" si="48"/>
        <v>1</v>
      </c>
      <c r="S193" s="233">
        <f t="shared" si="61"/>
        <v>61859</v>
      </c>
      <c r="T193" s="233">
        <f t="shared" si="62"/>
        <v>380751</v>
      </c>
      <c r="U193" s="233">
        <f t="shared" si="63"/>
        <v>90895</v>
      </c>
      <c r="V193" s="256">
        <f t="shared" si="49"/>
        <v>1</v>
      </c>
      <c r="W193" s="256">
        <f t="shared" si="50"/>
        <v>533505</v>
      </c>
      <c r="X193" s="272">
        <f t="shared" si="51"/>
        <v>1</v>
      </c>
      <c r="Y193" s="234"/>
      <c r="Z193" s="383"/>
      <c r="AA193" s="252" t="e">
        <f>E193-#REF!</f>
        <v>#REF!</v>
      </c>
      <c r="AC193" s="235" t="s">
        <v>480</v>
      </c>
      <c r="AD193" s="235" t="s">
        <v>2856</v>
      </c>
      <c r="AE193" s="235" t="s">
        <v>2011</v>
      </c>
      <c r="AG193" s="235" t="s">
        <v>1778</v>
      </c>
      <c r="BV193" s="236" t="str">
        <f>HYPERLINK("#일위대가목록!A124","HP068 →")</f>
        <v>HP068 →</v>
      </c>
      <c r="CB193" s="235">
        <v>620822</v>
      </c>
      <c r="CC193" s="235">
        <v>1862466</v>
      </c>
      <c r="CD193" s="235">
        <v>71984</v>
      </c>
      <c r="CE193" s="235">
        <v>215952</v>
      </c>
      <c r="CF193" s="235">
        <v>443066</v>
      </c>
      <c r="CG193" s="235">
        <v>1329198</v>
      </c>
      <c r="CH193" s="235">
        <v>105772</v>
      </c>
      <c r="CI193" s="235">
        <v>317316</v>
      </c>
      <c r="CJ193" s="235" t="s">
        <v>1059</v>
      </c>
    </row>
    <row r="194" spans="1:88" s="235" customFormat="1" ht="20.100000000000001" customHeight="1" x14ac:dyDescent="0.15">
      <c r="A194" s="255" t="s">
        <v>2963</v>
      </c>
      <c r="B194" s="255" t="s">
        <v>3189</v>
      </c>
      <c r="C194" s="230" t="s">
        <v>556</v>
      </c>
      <c r="D194" s="233">
        <v>3</v>
      </c>
      <c r="E194" s="231">
        <f t="shared" ref="E194:F198" si="66">G194+I194+K194</f>
        <v>542670</v>
      </c>
      <c r="F194" s="256">
        <f t="shared" si="66"/>
        <v>1628010</v>
      </c>
      <c r="G194" s="257">
        <v>71024</v>
      </c>
      <c r="H194" s="256">
        <f t="shared" si="58"/>
        <v>213072</v>
      </c>
      <c r="I194" s="257">
        <v>380751</v>
      </c>
      <c r="J194" s="256">
        <f t="shared" si="59"/>
        <v>1142253</v>
      </c>
      <c r="K194" s="257">
        <v>90895</v>
      </c>
      <c r="L194" s="256">
        <f t="shared" si="60"/>
        <v>272685</v>
      </c>
      <c r="M194" s="256"/>
      <c r="N194" s="256"/>
      <c r="O194" s="272">
        <f t="shared" si="46"/>
        <v>0</v>
      </c>
      <c r="P194" s="256">
        <v>3</v>
      </c>
      <c r="Q194" s="256">
        <f t="shared" si="47"/>
        <v>1628010</v>
      </c>
      <c r="R194" s="272">
        <f t="shared" si="48"/>
        <v>1</v>
      </c>
      <c r="S194" s="233">
        <f t="shared" si="61"/>
        <v>213072</v>
      </c>
      <c r="T194" s="233">
        <f t="shared" si="62"/>
        <v>1142253</v>
      </c>
      <c r="U194" s="233">
        <f t="shared" si="63"/>
        <v>272685</v>
      </c>
      <c r="V194" s="256">
        <f t="shared" si="49"/>
        <v>3</v>
      </c>
      <c r="W194" s="256">
        <f t="shared" si="50"/>
        <v>1628010</v>
      </c>
      <c r="X194" s="272">
        <f t="shared" si="51"/>
        <v>1</v>
      </c>
      <c r="Y194" s="234"/>
      <c r="Z194" s="383"/>
      <c r="AA194" s="252" t="e">
        <f>E194-#REF!</f>
        <v>#REF!</v>
      </c>
      <c r="AC194" s="235" t="s">
        <v>514</v>
      </c>
      <c r="AD194" s="235" t="s">
        <v>2856</v>
      </c>
      <c r="AE194" s="235" t="s">
        <v>289</v>
      </c>
      <c r="AG194" s="235" t="s">
        <v>1778</v>
      </c>
      <c r="BV194" s="236" t="str">
        <f>HYPERLINK("#일위대가목록!A97","HP044 →")</f>
        <v>HP044 →</v>
      </c>
      <c r="CB194" s="235">
        <v>631487</v>
      </c>
      <c r="CC194" s="235">
        <v>1262974</v>
      </c>
      <c r="CD194" s="235">
        <v>82649</v>
      </c>
      <c r="CE194" s="235">
        <v>165298</v>
      </c>
      <c r="CF194" s="235">
        <v>443066</v>
      </c>
      <c r="CG194" s="235">
        <v>886132</v>
      </c>
      <c r="CH194" s="235">
        <v>105772</v>
      </c>
      <c r="CI194" s="235">
        <v>211544</v>
      </c>
      <c r="CJ194" s="235" t="s">
        <v>1494</v>
      </c>
    </row>
    <row r="195" spans="1:88" s="235" customFormat="1" ht="20.100000000000001" customHeight="1" x14ac:dyDescent="0.15">
      <c r="A195" s="255" t="s">
        <v>2963</v>
      </c>
      <c r="B195" s="255" t="s">
        <v>3190</v>
      </c>
      <c r="C195" s="230" t="s">
        <v>556</v>
      </c>
      <c r="D195" s="233">
        <v>0</v>
      </c>
      <c r="E195" s="231">
        <f t="shared" si="66"/>
        <v>736005</v>
      </c>
      <c r="F195" s="256">
        <f t="shared" si="66"/>
        <v>0</v>
      </c>
      <c r="G195" s="257">
        <v>88722</v>
      </c>
      <c r="H195" s="256">
        <f t="shared" si="58"/>
        <v>0</v>
      </c>
      <c r="I195" s="257">
        <v>514015</v>
      </c>
      <c r="J195" s="256">
        <f t="shared" si="59"/>
        <v>0</v>
      </c>
      <c r="K195" s="257">
        <v>133268</v>
      </c>
      <c r="L195" s="256">
        <f t="shared" si="60"/>
        <v>0</v>
      </c>
      <c r="M195" s="256"/>
      <c r="N195" s="256"/>
      <c r="O195" s="272">
        <f t="shared" si="46"/>
        <v>0</v>
      </c>
      <c r="P195" s="256"/>
      <c r="Q195" s="256">
        <f t="shared" si="47"/>
        <v>0</v>
      </c>
      <c r="R195" s="272">
        <f t="shared" si="48"/>
        <v>0</v>
      </c>
      <c r="S195" s="233">
        <f t="shared" si="61"/>
        <v>0</v>
      </c>
      <c r="T195" s="233">
        <f t="shared" si="62"/>
        <v>0</v>
      </c>
      <c r="U195" s="233">
        <f t="shared" si="63"/>
        <v>0</v>
      </c>
      <c r="V195" s="256">
        <f t="shared" si="49"/>
        <v>0</v>
      </c>
      <c r="W195" s="256">
        <f t="shared" si="50"/>
        <v>0</v>
      </c>
      <c r="X195" s="272">
        <f t="shared" si="51"/>
        <v>0</v>
      </c>
      <c r="Y195" s="234"/>
      <c r="Z195" s="383"/>
      <c r="AA195" s="252" t="e">
        <f>E195-#REF!</f>
        <v>#REF!</v>
      </c>
      <c r="AC195" s="235" t="s">
        <v>217</v>
      </c>
      <c r="AD195" s="235" t="s">
        <v>2856</v>
      </c>
      <c r="AE195" s="235" t="s">
        <v>2014</v>
      </c>
      <c r="AG195" s="235" t="s">
        <v>1778</v>
      </c>
      <c r="BV195" s="236" t="str">
        <f>HYPERLINK("#일위대가목록!A122","HP066 →")</f>
        <v>HP066 →</v>
      </c>
      <c r="CB195" s="235">
        <v>856463</v>
      </c>
      <c r="CC195" s="235">
        <v>1712926</v>
      </c>
      <c r="CD195" s="235">
        <v>103243</v>
      </c>
      <c r="CE195" s="235">
        <v>206486</v>
      </c>
      <c r="CF195" s="235">
        <v>598140</v>
      </c>
      <c r="CG195" s="235">
        <v>1196280</v>
      </c>
      <c r="CH195" s="235">
        <v>155080</v>
      </c>
      <c r="CI195" s="235">
        <v>310160</v>
      </c>
      <c r="CJ195" s="235" t="s">
        <v>1267</v>
      </c>
    </row>
    <row r="196" spans="1:88" s="235" customFormat="1" ht="20.100000000000001" customHeight="1" x14ac:dyDescent="0.15">
      <c r="A196" s="255" t="s">
        <v>2963</v>
      </c>
      <c r="B196" s="255" t="s">
        <v>3191</v>
      </c>
      <c r="C196" s="230" t="s">
        <v>556</v>
      </c>
      <c r="D196" s="233">
        <v>1</v>
      </c>
      <c r="E196" s="231">
        <f t="shared" si="66"/>
        <v>738806</v>
      </c>
      <c r="F196" s="256">
        <f t="shared" si="66"/>
        <v>738806</v>
      </c>
      <c r="G196" s="257">
        <v>91523</v>
      </c>
      <c r="H196" s="256">
        <f t="shared" si="58"/>
        <v>91523</v>
      </c>
      <c r="I196" s="257">
        <v>514015</v>
      </c>
      <c r="J196" s="256">
        <f t="shared" si="59"/>
        <v>514015</v>
      </c>
      <c r="K196" s="257">
        <v>133268</v>
      </c>
      <c r="L196" s="256">
        <f t="shared" si="60"/>
        <v>133268</v>
      </c>
      <c r="M196" s="256"/>
      <c r="N196" s="256"/>
      <c r="O196" s="272">
        <f t="shared" si="46"/>
        <v>0</v>
      </c>
      <c r="P196" s="256">
        <v>1</v>
      </c>
      <c r="Q196" s="256">
        <f t="shared" si="47"/>
        <v>738806</v>
      </c>
      <c r="R196" s="272">
        <f t="shared" si="48"/>
        <v>1</v>
      </c>
      <c r="S196" s="233">
        <f t="shared" si="61"/>
        <v>91523</v>
      </c>
      <c r="T196" s="233">
        <f t="shared" si="62"/>
        <v>514015</v>
      </c>
      <c r="U196" s="233">
        <f t="shared" si="63"/>
        <v>133268</v>
      </c>
      <c r="V196" s="256">
        <f t="shared" si="49"/>
        <v>1</v>
      </c>
      <c r="W196" s="256">
        <f t="shared" si="50"/>
        <v>738806</v>
      </c>
      <c r="X196" s="272">
        <f t="shared" si="51"/>
        <v>1</v>
      </c>
      <c r="Y196" s="234"/>
      <c r="Z196" s="383"/>
      <c r="AA196" s="252" t="e">
        <f>E196-#REF!</f>
        <v>#REF!</v>
      </c>
      <c r="AC196" s="235" t="s">
        <v>1575</v>
      </c>
      <c r="AD196" s="235" t="s">
        <v>2856</v>
      </c>
      <c r="AE196" s="235" t="s">
        <v>358</v>
      </c>
      <c r="AG196" s="235" t="s">
        <v>1778</v>
      </c>
      <c r="BV196" s="236" t="str">
        <f>HYPERLINK("#일위대가목록!A82","HP029 →")</f>
        <v>HP029 →</v>
      </c>
      <c r="CB196" s="235">
        <v>859723</v>
      </c>
      <c r="CC196" s="235">
        <v>2579169</v>
      </c>
      <c r="CD196" s="235">
        <v>106503</v>
      </c>
      <c r="CE196" s="235">
        <v>319509</v>
      </c>
      <c r="CF196" s="235">
        <v>598140</v>
      </c>
      <c r="CG196" s="235">
        <v>1794420</v>
      </c>
      <c r="CH196" s="235">
        <v>155080</v>
      </c>
      <c r="CI196" s="235">
        <v>465240</v>
      </c>
      <c r="CJ196" s="235" t="s">
        <v>2726</v>
      </c>
    </row>
    <row r="197" spans="1:88" s="235" customFormat="1" ht="20.100000000000001" customHeight="1" x14ac:dyDescent="0.15">
      <c r="A197" s="255" t="s">
        <v>2963</v>
      </c>
      <c r="B197" s="255" t="s">
        <v>3202</v>
      </c>
      <c r="C197" s="230" t="s">
        <v>556</v>
      </c>
      <c r="D197" s="233">
        <v>6</v>
      </c>
      <c r="E197" s="231">
        <f t="shared" si="66"/>
        <v>1064751</v>
      </c>
      <c r="F197" s="256">
        <f t="shared" si="66"/>
        <v>6388506</v>
      </c>
      <c r="G197" s="257">
        <v>106536</v>
      </c>
      <c r="H197" s="256">
        <f t="shared" si="58"/>
        <v>639216</v>
      </c>
      <c r="I197" s="257">
        <v>773548</v>
      </c>
      <c r="J197" s="256">
        <f t="shared" si="59"/>
        <v>4641288</v>
      </c>
      <c r="K197" s="257">
        <v>184667</v>
      </c>
      <c r="L197" s="256">
        <f t="shared" si="60"/>
        <v>1108002</v>
      </c>
      <c r="M197" s="256"/>
      <c r="N197" s="256"/>
      <c r="O197" s="272">
        <f t="shared" ref="O197:O260" si="67">IFERROR(N197/$F197,0)</f>
        <v>0</v>
      </c>
      <c r="P197" s="256">
        <v>3</v>
      </c>
      <c r="Q197" s="256">
        <f t="shared" ref="Q197:Q260" si="68">SUM(S197:U197)</f>
        <v>3194253</v>
      </c>
      <c r="R197" s="272">
        <f t="shared" ref="R197:R260" si="69">IFERROR(Q197/$F197,0)</f>
        <v>0.5</v>
      </c>
      <c r="S197" s="233">
        <f t="shared" si="61"/>
        <v>319608</v>
      </c>
      <c r="T197" s="233">
        <f t="shared" si="62"/>
        <v>2320644</v>
      </c>
      <c r="U197" s="233">
        <f t="shared" si="63"/>
        <v>554001</v>
      </c>
      <c r="V197" s="256">
        <f t="shared" ref="V197:V260" si="70">M197+P197</f>
        <v>3</v>
      </c>
      <c r="W197" s="256">
        <f t="shared" ref="W197:W260" si="71">N197+Q197</f>
        <v>3194253</v>
      </c>
      <c r="X197" s="272">
        <f t="shared" ref="X197:X260" si="72">IFERROR(W197/$F197,0)</f>
        <v>0.5</v>
      </c>
      <c r="Y197" s="234"/>
      <c r="Z197" s="383"/>
      <c r="AA197" s="252" t="e">
        <f>E197-#REF!</f>
        <v>#REF!</v>
      </c>
      <c r="AC197" s="235" t="s">
        <v>480</v>
      </c>
      <c r="AD197" s="235" t="s">
        <v>2856</v>
      </c>
      <c r="AE197" s="235" t="s">
        <v>2011</v>
      </c>
      <c r="AG197" s="235" t="s">
        <v>1778</v>
      </c>
      <c r="BV197" s="236" t="str">
        <f>HYPERLINK("#일위대가목록!A124","HP068 →")</f>
        <v>HP068 →</v>
      </c>
      <c r="CB197" s="235">
        <v>620822</v>
      </c>
      <c r="CC197" s="235">
        <v>1862466</v>
      </c>
      <c r="CD197" s="235">
        <v>71984</v>
      </c>
      <c r="CE197" s="235">
        <v>215952</v>
      </c>
      <c r="CF197" s="235">
        <v>443066</v>
      </c>
      <c r="CG197" s="235">
        <v>1329198</v>
      </c>
      <c r="CH197" s="235">
        <v>105772</v>
      </c>
      <c r="CI197" s="235">
        <v>317316</v>
      </c>
      <c r="CJ197" s="235" t="s">
        <v>1059</v>
      </c>
    </row>
    <row r="198" spans="1:88" s="235" customFormat="1" ht="20.100000000000001" customHeight="1" x14ac:dyDescent="0.15">
      <c r="A198" s="255" t="s">
        <v>2963</v>
      </c>
      <c r="B198" s="255" t="s">
        <v>3203</v>
      </c>
      <c r="C198" s="230" t="s">
        <v>3193</v>
      </c>
      <c r="D198" s="233">
        <v>1</v>
      </c>
      <c r="E198" s="231">
        <f t="shared" si="66"/>
        <v>1464617</v>
      </c>
      <c r="F198" s="256">
        <f t="shared" si="66"/>
        <v>1464617</v>
      </c>
      <c r="G198" s="257">
        <v>149571</v>
      </c>
      <c r="H198" s="256">
        <f t="shared" ref="H198:H205" si="73">TRUNC(G198*D198,0)</f>
        <v>149571</v>
      </c>
      <c r="I198" s="257">
        <v>1044292</v>
      </c>
      <c r="J198" s="256">
        <f t="shared" ref="J198:J205" si="74">TRUNC(I198*D198,0)</f>
        <v>1044292</v>
      </c>
      <c r="K198" s="257">
        <v>270754</v>
      </c>
      <c r="L198" s="256">
        <f t="shared" ref="L198:L205" si="75">TRUNC(K198*D198,0)</f>
        <v>270754</v>
      </c>
      <c r="M198" s="256"/>
      <c r="N198" s="256"/>
      <c r="O198" s="272">
        <f t="shared" si="67"/>
        <v>0</v>
      </c>
      <c r="P198" s="256">
        <v>1</v>
      </c>
      <c r="Q198" s="256">
        <f t="shared" si="68"/>
        <v>1464617</v>
      </c>
      <c r="R198" s="272">
        <f t="shared" si="69"/>
        <v>1</v>
      </c>
      <c r="S198" s="233">
        <f t="shared" si="61"/>
        <v>149571</v>
      </c>
      <c r="T198" s="233">
        <f t="shared" si="62"/>
        <v>1044292</v>
      </c>
      <c r="U198" s="233">
        <f t="shared" si="63"/>
        <v>270754</v>
      </c>
      <c r="V198" s="256">
        <f t="shared" si="70"/>
        <v>1</v>
      </c>
      <c r="W198" s="256">
        <f t="shared" si="71"/>
        <v>1464617</v>
      </c>
      <c r="X198" s="272">
        <f t="shared" si="72"/>
        <v>1</v>
      </c>
      <c r="Y198" s="234"/>
      <c r="Z198" s="383"/>
      <c r="AA198" s="252" t="e">
        <f>E198-#REF!</f>
        <v>#REF!</v>
      </c>
      <c r="AC198" s="235" t="s">
        <v>2309</v>
      </c>
      <c r="AD198" s="235" t="s">
        <v>2856</v>
      </c>
      <c r="AE198" s="235" t="s">
        <v>2194</v>
      </c>
      <c r="AG198" s="235" t="s">
        <v>1778</v>
      </c>
      <c r="BV198" s="236" t="str">
        <f>HYPERLINK("#일위대가목록!A83","HP030 →")</f>
        <v>HP030 →</v>
      </c>
      <c r="CB198" s="235">
        <v>856463</v>
      </c>
      <c r="CC198" s="235">
        <v>11134019</v>
      </c>
      <c r="CD198" s="235">
        <v>103243</v>
      </c>
      <c r="CE198" s="235">
        <v>1342159</v>
      </c>
      <c r="CF198" s="235">
        <v>598140</v>
      </c>
      <c r="CG198" s="235">
        <v>7775820</v>
      </c>
      <c r="CH198" s="235">
        <v>155080</v>
      </c>
      <c r="CI198" s="235">
        <v>2016040</v>
      </c>
      <c r="CJ198" s="235" t="s">
        <v>1107</v>
      </c>
    </row>
    <row r="199" spans="1:88" s="235" customFormat="1" ht="20.100000000000001" customHeight="1" x14ac:dyDescent="0.15">
      <c r="A199" s="255" t="s">
        <v>2964</v>
      </c>
      <c r="B199" s="255" t="s">
        <v>2264</v>
      </c>
      <c r="C199" s="230" t="s">
        <v>556</v>
      </c>
      <c r="D199" s="233">
        <v>2</v>
      </c>
      <c r="E199" s="231">
        <f t="shared" si="56"/>
        <v>736005</v>
      </c>
      <c r="F199" s="256">
        <f t="shared" si="56"/>
        <v>1472010</v>
      </c>
      <c r="G199" s="257">
        <v>88722</v>
      </c>
      <c r="H199" s="256">
        <f t="shared" si="73"/>
        <v>177444</v>
      </c>
      <c r="I199" s="257">
        <v>514015</v>
      </c>
      <c r="J199" s="256">
        <f t="shared" si="74"/>
        <v>1028030</v>
      </c>
      <c r="K199" s="257">
        <v>133268</v>
      </c>
      <c r="L199" s="256">
        <f t="shared" si="75"/>
        <v>266536</v>
      </c>
      <c r="M199" s="256"/>
      <c r="N199" s="256"/>
      <c r="O199" s="272">
        <f t="shared" si="67"/>
        <v>0</v>
      </c>
      <c r="P199" s="256"/>
      <c r="Q199" s="256">
        <f t="shared" si="68"/>
        <v>0</v>
      </c>
      <c r="R199" s="272">
        <f t="shared" si="69"/>
        <v>0</v>
      </c>
      <c r="S199" s="233">
        <f t="shared" si="61"/>
        <v>0</v>
      </c>
      <c r="T199" s="233">
        <f t="shared" si="62"/>
        <v>0</v>
      </c>
      <c r="U199" s="233">
        <f t="shared" si="63"/>
        <v>0</v>
      </c>
      <c r="V199" s="256">
        <f t="shared" si="70"/>
        <v>0</v>
      </c>
      <c r="W199" s="256">
        <f t="shared" si="71"/>
        <v>0</v>
      </c>
      <c r="X199" s="272">
        <f t="shared" si="72"/>
        <v>0</v>
      </c>
      <c r="Y199" s="234"/>
      <c r="Z199" s="383"/>
      <c r="AA199" s="252" t="e">
        <f>E199-#REF!</f>
        <v>#REF!</v>
      </c>
      <c r="AC199" s="235" t="s">
        <v>217</v>
      </c>
      <c r="AD199" s="235" t="s">
        <v>2856</v>
      </c>
      <c r="AE199" s="235" t="s">
        <v>2014</v>
      </c>
      <c r="AG199" s="235" t="s">
        <v>1778</v>
      </c>
      <c r="BV199" s="236" t="str">
        <f>HYPERLINK("#일위대가목록!A122","HP066 →")</f>
        <v>HP066 →</v>
      </c>
      <c r="CB199" s="235">
        <v>856463</v>
      </c>
      <c r="CC199" s="235">
        <v>1712926</v>
      </c>
      <c r="CD199" s="235">
        <v>103243</v>
      </c>
      <c r="CE199" s="235">
        <v>206486</v>
      </c>
      <c r="CF199" s="235">
        <v>598140</v>
      </c>
      <c r="CG199" s="235">
        <v>1196280</v>
      </c>
      <c r="CH199" s="235">
        <v>155080</v>
      </c>
      <c r="CI199" s="235">
        <v>310160</v>
      </c>
      <c r="CJ199" s="235" t="s">
        <v>1267</v>
      </c>
    </row>
    <row r="200" spans="1:88" s="235" customFormat="1" ht="20.100000000000001" customHeight="1" x14ac:dyDescent="0.15">
      <c r="A200" s="255" t="s">
        <v>2965</v>
      </c>
      <c r="B200" s="255" t="s">
        <v>2244</v>
      </c>
      <c r="C200" s="230" t="s">
        <v>556</v>
      </c>
      <c r="D200" s="233">
        <v>0</v>
      </c>
      <c r="E200" s="231">
        <f t="shared" si="56"/>
        <v>217376</v>
      </c>
      <c r="F200" s="256">
        <f t="shared" si="56"/>
        <v>0</v>
      </c>
      <c r="G200" s="257">
        <v>34257</v>
      </c>
      <c r="H200" s="256">
        <f t="shared" si="73"/>
        <v>0</v>
      </c>
      <c r="I200" s="257">
        <v>166231</v>
      </c>
      <c r="J200" s="256">
        <f t="shared" si="74"/>
        <v>0</v>
      </c>
      <c r="K200" s="257">
        <v>16888</v>
      </c>
      <c r="L200" s="256">
        <f t="shared" si="75"/>
        <v>0</v>
      </c>
      <c r="M200" s="256"/>
      <c r="N200" s="256"/>
      <c r="O200" s="272">
        <f t="shared" si="67"/>
        <v>0</v>
      </c>
      <c r="P200" s="256"/>
      <c r="Q200" s="256">
        <f t="shared" si="68"/>
        <v>0</v>
      </c>
      <c r="R200" s="272">
        <f t="shared" si="69"/>
        <v>0</v>
      </c>
      <c r="S200" s="233">
        <f t="shared" si="61"/>
        <v>0</v>
      </c>
      <c r="T200" s="233">
        <f t="shared" si="62"/>
        <v>0</v>
      </c>
      <c r="U200" s="233">
        <f t="shared" si="63"/>
        <v>0</v>
      </c>
      <c r="V200" s="256">
        <f t="shared" si="70"/>
        <v>0</v>
      </c>
      <c r="W200" s="256">
        <f t="shared" si="71"/>
        <v>0</v>
      </c>
      <c r="X200" s="272">
        <f t="shared" si="72"/>
        <v>0</v>
      </c>
      <c r="Y200" s="234"/>
      <c r="Z200" s="383"/>
      <c r="AA200" s="252" t="e">
        <f>E200-#REF!</f>
        <v>#REF!</v>
      </c>
      <c r="AC200" s="235" t="s">
        <v>1224</v>
      </c>
      <c r="AD200" s="235" t="s">
        <v>2856</v>
      </c>
      <c r="AE200" s="235" t="s">
        <v>372</v>
      </c>
      <c r="AG200" s="235" t="s">
        <v>1778</v>
      </c>
      <c r="BV200" s="236" t="str">
        <f>HYPERLINK("#일위대가목록!A123","HP067 →")</f>
        <v>HP067 →</v>
      </c>
      <c r="CB200" s="235">
        <v>252953</v>
      </c>
      <c r="CC200" s="235">
        <v>1264765</v>
      </c>
      <c r="CD200" s="235">
        <v>39864</v>
      </c>
      <c r="CE200" s="235">
        <v>199320</v>
      </c>
      <c r="CF200" s="235">
        <v>193437</v>
      </c>
      <c r="CG200" s="235">
        <v>967185</v>
      </c>
      <c r="CH200" s="235">
        <v>19652</v>
      </c>
      <c r="CI200" s="235">
        <v>98260</v>
      </c>
      <c r="CJ200" s="235" t="s">
        <v>2583</v>
      </c>
    </row>
    <row r="201" spans="1:88" s="235" customFormat="1" ht="20.100000000000001" customHeight="1" x14ac:dyDescent="0.15">
      <c r="A201" s="255" t="s">
        <v>2966</v>
      </c>
      <c r="B201" s="255" t="s">
        <v>1816</v>
      </c>
      <c r="C201" s="230" t="s">
        <v>556</v>
      </c>
      <c r="D201" s="233">
        <v>1</v>
      </c>
      <c r="E201" s="231">
        <f t="shared" si="56"/>
        <v>533505</v>
      </c>
      <c r="F201" s="256">
        <f t="shared" si="56"/>
        <v>533505</v>
      </c>
      <c r="G201" s="257">
        <v>61859</v>
      </c>
      <c r="H201" s="256">
        <f t="shared" si="73"/>
        <v>61859</v>
      </c>
      <c r="I201" s="257">
        <v>380751</v>
      </c>
      <c r="J201" s="256">
        <f t="shared" si="74"/>
        <v>380751</v>
      </c>
      <c r="K201" s="257">
        <v>90895</v>
      </c>
      <c r="L201" s="256">
        <f t="shared" si="75"/>
        <v>90895</v>
      </c>
      <c r="M201" s="256"/>
      <c r="N201" s="256"/>
      <c r="O201" s="272">
        <f t="shared" si="67"/>
        <v>0</v>
      </c>
      <c r="P201" s="256">
        <v>1</v>
      </c>
      <c r="Q201" s="256">
        <f t="shared" si="68"/>
        <v>533505</v>
      </c>
      <c r="R201" s="272">
        <f t="shared" si="69"/>
        <v>1</v>
      </c>
      <c r="S201" s="233">
        <f t="shared" si="61"/>
        <v>61859</v>
      </c>
      <c r="T201" s="233">
        <f t="shared" si="62"/>
        <v>380751</v>
      </c>
      <c r="U201" s="233">
        <f t="shared" si="63"/>
        <v>90895</v>
      </c>
      <c r="V201" s="256">
        <f t="shared" si="70"/>
        <v>1</v>
      </c>
      <c r="W201" s="256">
        <f t="shared" si="71"/>
        <v>533505</v>
      </c>
      <c r="X201" s="272">
        <f t="shared" si="72"/>
        <v>1</v>
      </c>
      <c r="Y201" s="234"/>
      <c r="Z201" s="383"/>
      <c r="AA201" s="252" t="e">
        <f>E201-#REF!</f>
        <v>#REF!</v>
      </c>
      <c r="AC201" s="235" t="s">
        <v>480</v>
      </c>
      <c r="AD201" s="235" t="s">
        <v>2856</v>
      </c>
      <c r="AE201" s="235" t="s">
        <v>2011</v>
      </c>
      <c r="AG201" s="235" t="s">
        <v>1778</v>
      </c>
      <c r="BV201" s="236" t="str">
        <f>HYPERLINK("#일위대가목록!A124","HP068 →")</f>
        <v>HP068 →</v>
      </c>
      <c r="CB201" s="235">
        <v>620822</v>
      </c>
      <c r="CC201" s="235">
        <v>1862466</v>
      </c>
      <c r="CD201" s="235">
        <v>71984</v>
      </c>
      <c r="CE201" s="235">
        <v>215952</v>
      </c>
      <c r="CF201" s="235">
        <v>443066</v>
      </c>
      <c r="CG201" s="235">
        <v>1329198</v>
      </c>
      <c r="CH201" s="235">
        <v>105772</v>
      </c>
      <c r="CI201" s="235">
        <v>317316</v>
      </c>
      <c r="CJ201" s="235" t="s">
        <v>1059</v>
      </c>
    </row>
    <row r="202" spans="1:88" s="235" customFormat="1" ht="20.100000000000001" customHeight="1" x14ac:dyDescent="0.15">
      <c r="A202" s="255" t="s">
        <v>2966</v>
      </c>
      <c r="B202" s="255" t="s">
        <v>2019</v>
      </c>
      <c r="C202" s="230" t="s">
        <v>556</v>
      </c>
      <c r="D202" s="233">
        <v>0</v>
      </c>
      <c r="E202" s="231">
        <f t="shared" ref="E202:F236" si="76">G202+I202+K202</f>
        <v>217132</v>
      </c>
      <c r="F202" s="256">
        <f t="shared" si="76"/>
        <v>0</v>
      </c>
      <c r="G202" s="257">
        <v>34013</v>
      </c>
      <c r="H202" s="256">
        <f t="shared" si="73"/>
        <v>0</v>
      </c>
      <c r="I202" s="257">
        <v>166231</v>
      </c>
      <c r="J202" s="256">
        <f t="shared" si="74"/>
        <v>0</v>
      </c>
      <c r="K202" s="257">
        <v>16888</v>
      </c>
      <c r="L202" s="256">
        <f t="shared" si="75"/>
        <v>0</v>
      </c>
      <c r="M202" s="256"/>
      <c r="N202" s="256"/>
      <c r="O202" s="272">
        <f t="shared" si="67"/>
        <v>0</v>
      </c>
      <c r="P202" s="256"/>
      <c r="Q202" s="256">
        <f t="shared" si="68"/>
        <v>0</v>
      </c>
      <c r="R202" s="272">
        <f t="shared" si="69"/>
        <v>0</v>
      </c>
      <c r="S202" s="233">
        <f t="shared" si="61"/>
        <v>0</v>
      </c>
      <c r="T202" s="233">
        <f t="shared" si="62"/>
        <v>0</v>
      </c>
      <c r="U202" s="233">
        <f t="shared" si="63"/>
        <v>0</v>
      </c>
      <c r="V202" s="256">
        <f t="shared" si="70"/>
        <v>0</v>
      </c>
      <c r="W202" s="256">
        <f t="shared" si="71"/>
        <v>0</v>
      </c>
      <c r="X202" s="272">
        <f t="shared" si="72"/>
        <v>0</v>
      </c>
      <c r="Y202" s="234"/>
      <c r="Z202" s="383"/>
      <c r="AA202" s="252" t="e">
        <f>E202-#REF!</f>
        <v>#REF!</v>
      </c>
      <c r="AC202" s="235" t="s">
        <v>2672</v>
      </c>
      <c r="AD202" s="235" t="s">
        <v>2856</v>
      </c>
      <c r="AE202" s="235" t="s">
        <v>411</v>
      </c>
      <c r="AG202" s="235" t="s">
        <v>1778</v>
      </c>
      <c r="BV202" s="236" t="str">
        <f>HYPERLINK("#일위대가목록!A125","HP069 →")</f>
        <v>HP069 →</v>
      </c>
      <c r="CB202" s="235">
        <v>252669</v>
      </c>
      <c r="CC202" s="235">
        <v>758007</v>
      </c>
      <c r="CD202" s="235">
        <v>39580</v>
      </c>
      <c r="CE202" s="235">
        <v>118740</v>
      </c>
      <c r="CF202" s="235">
        <v>193437</v>
      </c>
      <c r="CG202" s="235">
        <v>580311</v>
      </c>
      <c r="CH202" s="235">
        <v>19652</v>
      </c>
      <c r="CI202" s="235">
        <v>58956</v>
      </c>
      <c r="CJ202" s="235" t="s">
        <v>2266</v>
      </c>
    </row>
    <row r="203" spans="1:88" s="235" customFormat="1" ht="20.100000000000001" customHeight="1" x14ac:dyDescent="0.15">
      <c r="A203" s="255" t="s">
        <v>2966</v>
      </c>
      <c r="B203" s="255" t="s">
        <v>1868</v>
      </c>
      <c r="C203" s="230" t="s">
        <v>556</v>
      </c>
      <c r="D203" s="233">
        <v>2</v>
      </c>
      <c r="E203" s="231">
        <f t="shared" si="76"/>
        <v>534207</v>
      </c>
      <c r="F203" s="256">
        <f t="shared" si="76"/>
        <v>1068414</v>
      </c>
      <c r="G203" s="257">
        <v>62561</v>
      </c>
      <c r="H203" s="256">
        <f t="shared" si="73"/>
        <v>125122</v>
      </c>
      <c r="I203" s="257">
        <v>380751</v>
      </c>
      <c r="J203" s="256">
        <f t="shared" si="74"/>
        <v>761502</v>
      </c>
      <c r="K203" s="257">
        <v>90895</v>
      </c>
      <c r="L203" s="256">
        <f t="shared" si="75"/>
        <v>181790</v>
      </c>
      <c r="M203" s="256"/>
      <c r="N203" s="256"/>
      <c r="O203" s="272">
        <f t="shared" si="67"/>
        <v>0</v>
      </c>
      <c r="P203" s="256">
        <v>2</v>
      </c>
      <c r="Q203" s="256">
        <f t="shared" si="68"/>
        <v>1068414</v>
      </c>
      <c r="R203" s="272">
        <f t="shared" si="69"/>
        <v>1</v>
      </c>
      <c r="S203" s="233">
        <f t="shared" si="61"/>
        <v>125122</v>
      </c>
      <c r="T203" s="233">
        <f t="shared" si="62"/>
        <v>761502</v>
      </c>
      <c r="U203" s="233">
        <f t="shared" si="63"/>
        <v>181790</v>
      </c>
      <c r="V203" s="256">
        <f t="shared" si="70"/>
        <v>2</v>
      </c>
      <c r="W203" s="256">
        <f t="shared" si="71"/>
        <v>1068414</v>
      </c>
      <c r="X203" s="272">
        <f t="shared" si="72"/>
        <v>1</v>
      </c>
      <c r="Y203" s="234"/>
      <c r="Z203" s="383"/>
      <c r="AA203" s="252" t="e">
        <f>E203-#REF!</f>
        <v>#REF!</v>
      </c>
      <c r="AC203" s="235" t="s">
        <v>1700</v>
      </c>
      <c r="AD203" s="235" t="s">
        <v>2856</v>
      </c>
      <c r="AE203" s="235" t="s">
        <v>1438</v>
      </c>
      <c r="AG203" s="235" t="s">
        <v>1778</v>
      </c>
      <c r="BV203" s="236" t="str">
        <f>HYPERLINK("#일위대가목록!A116","HP060 →")</f>
        <v>HP060 →</v>
      </c>
      <c r="CB203" s="235">
        <v>621638</v>
      </c>
      <c r="CC203" s="235">
        <v>3108190</v>
      </c>
      <c r="CD203" s="235">
        <v>72800</v>
      </c>
      <c r="CE203" s="235">
        <v>364000</v>
      </c>
      <c r="CF203" s="235">
        <v>443066</v>
      </c>
      <c r="CG203" s="235">
        <v>2215330</v>
      </c>
      <c r="CH203" s="235">
        <v>105772</v>
      </c>
      <c r="CI203" s="235">
        <v>528860</v>
      </c>
      <c r="CJ203" s="235" t="s">
        <v>294</v>
      </c>
    </row>
    <row r="204" spans="1:88" s="235" customFormat="1" ht="20.100000000000001" customHeight="1" x14ac:dyDescent="0.15">
      <c r="A204" s="255" t="s">
        <v>2966</v>
      </c>
      <c r="B204" s="255" t="s">
        <v>109</v>
      </c>
      <c r="C204" s="230" t="s">
        <v>556</v>
      </c>
      <c r="D204" s="233">
        <v>1</v>
      </c>
      <c r="E204" s="231">
        <f>G204+I204+K204</f>
        <v>736005</v>
      </c>
      <c r="F204" s="232">
        <f>H204+J204+L204</f>
        <v>736005</v>
      </c>
      <c r="G204" s="231">
        <v>88722</v>
      </c>
      <c r="H204" s="232">
        <f t="shared" si="73"/>
        <v>88722</v>
      </c>
      <c r="I204" s="231">
        <v>514015</v>
      </c>
      <c r="J204" s="232">
        <f t="shared" si="74"/>
        <v>514015</v>
      </c>
      <c r="K204" s="231">
        <v>133268</v>
      </c>
      <c r="L204" s="232">
        <f t="shared" si="75"/>
        <v>133268</v>
      </c>
      <c r="M204" s="232"/>
      <c r="N204" s="232"/>
      <c r="O204" s="270">
        <f t="shared" si="67"/>
        <v>0</v>
      </c>
      <c r="P204" s="232">
        <v>1</v>
      </c>
      <c r="Q204" s="232">
        <f t="shared" si="68"/>
        <v>736005</v>
      </c>
      <c r="R204" s="270">
        <f t="shared" si="69"/>
        <v>1</v>
      </c>
      <c r="S204" s="233">
        <f t="shared" si="61"/>
        <v>88722</v>
      </c>
      <c r="T204" s="233">
        <f t="shared" si="62"/>
        <v>514015</v>
      </c>
      <c r="U204" s="233">
        <f t="shared" si="63"/>
        <v>133268</v>
      </c>
      <c r="V204" s="232">
        <f t="shared" si="70"/>
        <v>1</v>
      </c>
      <c r="W204" s="232">
        <f t="shared" si="71"/>
        <v>736005</v>
      </c>
      <c r="X204" s="270">
        <f t="shared" si="72"/>
        <v>1</v>
      </c>
      <c r="Y204" s="234"/>
      <c r="Z204" s="383"/>
      <c r="AA204" s="252" t="e">
        <f>E204-#REF!</f>
        <v>#REF!</v>
      </c>
      <c r="AC204" s="235" t="s">
        <v>2187</v>
      </c>
      <c r="AD204" s="235" t="s">
        <v>2856</v>
      </c>
      <c r="AE204" s="235" t="s">
        <v>1543</v>
      </c>
      <c r="AG204" s="235" t="s">
        <v>1778</v>
      </c>
      <c r="BV204" s="236" t="str">
        <f>HYPERLINK("#일위대가목록!A110","HP056-1 →")</f>
        <v>HP056-1 →</v>
      </c>
      <c r="CB204" s="235">
        <v>856463</v>
      </c>
      <c r="CC204" s="235">
        <v>3425852</v>
      </c>
      <c r="CD204" s="235">
        <v>103243</v>
      </c>
      <c r="CE204" s="235">
        <v>412972</v>
      </c>
      <c r="CF204" s="235">
        <v>598140</v>
      </c>
      <c r="CG204" s="235">
        <v>2392560</v>
      </c>
      <c r="CH204" s="235">
        <v>155080</v>
      </c>
      <c r="CI204" s="235">
        <v>620320</v>
      </c>
      <c r="CJ204" s="235" t="s">
        <v>64</v>
      </c>
    </row>
    <row r="205" spans="1:88" s="235" customFormat="1" ht="20.100000000000001" customHeight="1" x14ac:dyDescent="0.15">
      <c r="A205" s="255" t="s">
        <v>2966</v>
      </c>
      <c r="B205" s="255" t="s">
        <v>3204</v>
      </c>
      <c r="C205" s="230" t="s">
        <v>556</v>
      </c>
      <c r="D205" s="233">
        <v>1</v>
      </c>
      <c r="E205" s="231">
        <f t="shared" si="76"/>
        <v>1464617</v>
      </c>
      <c r="F205" s="232">
        <f t="shared" si="76"/>
        <v>1464617</v>
      </c>
      <c r="G205" s="231">
        <v>149571</v>
      </c>
      <c r="H205" s="232">
        <f t="shared" si="73"/>
        <v>149571</v>
      </c>
      <c r="I205" s="231">
        <v>1044292</v>
      </c>
      <c r="J205" s="232">
        <f t="shared" si="74"/>
        <v>1044292</v>
      </c>
      <c r="K205" s="231">
        <v>270754</v>
      </c>
      <c r="L205" s="232">
        <f t="shared" si="75"/>
        <v>270754</v>
      </c>
      <c r="M205" s="232"/>
      <c r="N205" s="232"/>
      <c r="O205" s="270">
        <f t="shared" si="67"/>
        <v>0</v>
      </c>
      <c r="P205" s="232">
        <v>1</v>
      </c>
      <c r="Q205" s="232">
        <f t="shared" si="68"/>
        <v>1464617</v>
      </c>
      <c r="R205" s="270">
        <f t="shared" si="69"/>
        <v>1</v>
      </c>
      <c r="S205" s="233">
        <f t="shared" si="61"/>
        <v>149571</v>
      </c>
      <c r="T205" s="233">
        <f t="shared" si="62"/>
        <v>1044292</v>
      </c>
      <c r="U205" s="233">
        <f t="shared" si="63"/>
        <v>270754</v>
      </c>
      <c r="V205" s="232">
        <f t="shared" si="70"/>
        <v>1</v>
      </c>
      <c r="W205" s="232">
        <f t="shared" si="71"/>
        <v>1464617</v>
      </c>
      <c r="X205" s="270">
        <f t="shared" si="72"/>
        <v>1</v>
      </c>
      <c r="Y205" s="234"/>
      <c r="Z205" s="383"/>
      <c r="AA205" s="252" t="e">
        <f>E205-#REF!</f>
        <v>#REF!</v>
      </c>
      <c r="AC205" s="235" t="s">
        <v>2187</v>
      </c>
      <c r="AD205" s="235" t="s">
        <v>2856</v>
      </c>
      <c r="AE205" s="235" t="s">
        <v>1543</v>
      </c>
      <c r="AG205" s="235" t="s">
        <v>1778</v>
      </c>
      <c r="BV205" s="236" t="str">
        <f>HYPERLINK("#일위대가목록!A110","HP056-1 →")</f>
        <v>HP056-1 →</v>
      </c>
      <c r="CB205" s="235">
        <v>856463</v>
      </c>
      <c r="CC205" s="235">
        <v>3425852</v>
      </c>
      <c r="CD205" s="235">
        <v>103243</v>
      </c>
      <c r="CE205" s="235">
        <v>412972</v>
      </c>
      <c r="CF205" s="235">
        <v>598140</v>
      </c>
      <c r="CG205" s="235">
        <v>2392560</v>
      </c>
      <c r="CH205" s="235">
        <v>155080</v>
      </c>
      <c r="CI205" s="235">
        <v>620320</v>
      </c>
      <c r="CJ205" s="235" t="s">
        <v>64</v>
      </c>
    </row>
    <row r="206" spans="1:88" s="250" customFormat="1" ht="20.100000000000001" customHeight="1" x14ac:dyDescent="0.15">
      <c r="A206" s="243" t="s">
        <v>2967</v>
      </c>
      <c r="B206" s="243" t="s">
        <v>2856</v>
      </c>
      <c r="C206" s="244" t="s">
        <v>2856</v>
      </c>
      <c r="D206" s="248"/>
      <c r="E206" s="245">
        <f t="shared" si="76"/>
        <v>0</v>
      </c>
      <c r="F206" s="246">
        <f t="shared" si="76"/>
        <v>103280427</v>
      </c>
      <c r="G206" s="247"/>
      <c r="H206" s="246">
        <f>TRUNC(H207+H208+H209+H210+H211+H212+H213+H214+H215+H216+H217+H218+H219,0)</f>
        <v>81347576</v>
      </c>
      <c r="I206" s="247"/>
      <c r="J206" s="246">
        <f>TRUNC(J207+J208+J209+J210+J211+J212+J213+J214+J215+J216+J217+J218+J219,0)</f>
        <v>19790620</v>
      </c>
      <c r="K206" s="247"/>
      <c r="L206" s="246">
        <f>TRUNC(L207+L208+L209+L210+L211+L212+L213+L214+L215+L216+L217+L218+L219,0)</f>
        <v>2142231</v>
      </c>
      <c r="M206" s="246"/>
      <c r="N206" s="246"/>
      <c r="O206" s="271">
        <f t="shared" si="67"/>
        <v>0</v>
      </c>
      <c r="P206" s="246"/>
      <c r="Q206" s="246">
        <f t="shared" si="68"/>
        <v>0</v>
      </c>
      <c r="R206" s="271">
        <f t="shared" si="69"/>
        <v>0</v>
      </c>
      <c r="S206" s="248">
        <f>TRUNC(S207+S208+S209+S210+S211+S212+S213+S214+S215+S216+S217+S218+S219,0)</f>
        <v>0</v>
      </c>
      <c r="T206" s="248">
        <f>TRUNC(T207+T208+T209+T210+T211+T212+T213+T214+T215+T216+T217+T218+T219,0)</f>
        <v>0</v>
      </c>
      <c r="U206" s="248">
        <f>TRUNC(U207+U208+U209+U210+U211+U212+U213+U214+U215+U216+U217+U218+U219,0)</f>
        <v>0</v>
      </c>
      <c r="V206" s="246">
        <f t="shared" si="70"/>
        <v>0</v>
      </c>
      <c r="W206" s="246">
        <f t="shared" si="71"/>
        <v>0</v>
      </c>
      <c r="X206" s="271">
        <f t="shared" si="72"/>
        <v>0</v>
      </c>
      <c r="Y206" s="249"/>
      <c r="Z206" s="385"/>
      <c r="AA206" s="252" t="e">
        <f>E206-#REF!</f>
        <v>#REF!</v>
      </c>
      <c r="AC206" s="250" t="s">
        <v>1771</v>
      </c>
      <c r="AD206" s="250" t="s">
        <v>2856</v>
      </c>
      <c r="AE206" s="250" t="s">
        <v>2856</v>
      </c>
      <c r="CB206" s="250">
        <v>0</v>
      </c>
      <c r="CC206" s="250">
        <v>120183922</v>
      </c>
      <c r="CE206" s="250">
        <v>94661244</v>
      </c>
      <c r="CG206" s="250">
        <v>23029761</v>
      </c>
      <c r="CI206" s="250">
        <v>2492917</v>
      </c>
      <c r="CJ206" s="250" t="s">
        <v>2856</v>
      </c>
    </row>
    <row r="207" spans="1:88" s="235" customFormat="1" ht="20.100000000000001" customHeight="1" x14ac:dyDescent="0.15">
      <c r="A207" s="229" t="s">
        <v>2968</v>
      </c>
      <c r="B207" s="229" t="s">
        <v>664</v>
      </c>
      <c r="C207" s="230" t="s">
        <v>556</v>
      </c>
      <c r="D207" s="233">
        <v>29</v>
      </c>
      <c r="E207" s="231">
        <f t="shared" si="76"/>
        <v>556238</v>
      </c>
      <c r="F207" s="232">
        <f t="shared" si="76"/>
        <v>16130902</v>
      </c>
      <c r="G207" s="231">
        <v>454506</v>
      </c>
      <c r="H207" s="232">
        <f t="shared" ref="H207:H219" si="77">TRUNC(G207*D207,0)</f>
        <v>13180674</v>
      </c>
      <c r="I207" s="231">
        <v>92350</v>
      </c>
      <c r="J207" s="232">
        <f t="shared" ref="J207:J219" si="78">TRUNC(I207*D207,0)</f>
        <v>2678150</v>
      </c>
      <c r="K207" s="231">
        <v>9382</v>
      </c>
      <c r="L207" s="232">
        <f t="shared" ref="L207:L219" si="79">TRUNC(K207*D207,0)</f>
        <v>272078</v>
      </c>
      <c r="M207" s="232"/>
      <c r="N207" s="232"/>
      <c r="O207" s="270">
        <f t="shared" si="67"/>
        <v>0</v>
      </c>
      <c r="P207" s="232"/>
      <c r="Q207" s="232">
        <f t="shared" si="68"/>
        <v>0</v>
      </c>
      <c r="R207" s="270">
        <f t="shared" si="69"/>
        <v>0</v>
      </c>
      <c r="S207" s="233">
        <f t="shared" ref="S207:S219" si="80">TRUNC(G207*$P207,0)</f>
        <v>0</v>
      </c>
      <c r="T207" s="233">
        <f t="shared" ref="T207:T219" si="81">TRUNC(I207*$P207,0)</f>
        <v>0</v>
      </c>
      <c r="U207" s="233">
        <f t="shared" ref="U207:U219" si="82">TRUNC(K207*$P207,0)</f>
        <v>0</v>
      </c>
      <c r="V207" s="232">
        <f t="shared" si="70"/>
        <v>0</v>
      </c>
      <c r="W207" s="232">
        <f t="shared" si="71"/>
        <v>0</v>
      </c>
      <c r="X207" s="270">
        <f t="shared" si="72"/>
        <v>0</v>
      </c>
      <c r="Y207" s="234"/>
      <c r="Z207" s="383"/>
      <c r="AA207" s="252" t="e">
        <f>E207-#REF!</f>
        <v>#REF!</v>
      </c>
      <c r="AC207" s="235" t="s">
        <v>1222</v>
      </c>
      <c r="AD207" s="235" t="s">
        <v>2856</v>
      </c>
      <c r="AE207" s="235" t="s">
        <v>236</v>
      </c>
      <c r="AG207" s="235" t="s">
        <v>1778</v>
      </c>
      <c r="BV207" s="236" t="str">
        <f>HYPERLINK("#일위대가목록!A126","HT050 →")</f>
        <v>HT050 →</v>
      </c>
      <c r="CB207" s="235">
        <v>647275</v>
      </c>
      <c r="CC207" s="235">
        <v>18770975</v>
      </c>
      <c r="CD207" s="235">
        <v>528892</v>
      </c>
      <c r="CE207" s="235">
        <v>15337868</v>
      </c>
      <c r="CF207" s="235">
        <v>107465</v>
      </c>
      <c r="CG207" s="235">
        <v>3116485</v>
      </c>
      <c r="CH207" s="235">
        <v>10918</v>
      </c>
      <c r="CI207" s="235">
        <v>316622</v>
      </c>
      <c r="CJ207" s="235" t="s">
        <v>1026</v>
      </c>
    </row>
    <row r="208" spans="1:88" s="235" customFormat="1" ht="20.100000000000001" customHeight="1" x14ac:dyDescent="0.15">
      <c r="A208" s="229" t="s">
        <v>2969</v>
      </c>
      <c r="B208" s="229" t="s">
        <v>2781</v>
      </c>
      <c r="C208" s="230" t="s">
        <v>556</v>
      </c>
      <c r="D208" s="233">
        <v>36</v>
      </c>
      <c r="E208" s="231">
        <f t="shared" si="76"/>
        <v>181332</v>
      </c>
      <c r="F208" s="232">
        <f t="shared" si="76"/>
        <v>6527952</v>
      </c>
      <c r="G208" s="231">
        <v>111200</v>
      </c>
      <c r="H208" s="232">
        <f t="shared" si="77"/>
        <v>4003200</v>
      </c>
      <c r="I208" s="231">
        <v>70132</v>
      </c>
      <c r="J208" s="232">
        <f t="shared" si="78"/>
        <v>2524752</v>
      </c>
      <c r="K208" s="231">
        <v>0</v>
      </c>
      <c r="L208" s="232">
        <f t="shared" si="79"/>
        <v>0</v>
      </c>
      <c r="M208" s="232"/>
      <c r="N208" s="232"/>
      <c r="O208" s="270">
        <f t="shared" si="67"/>
        <v>0</v>
      </c>
      <c r="P208" s="232"/>
      <c r="Q208" s="232">
        <f t="shared" si="68"/>
        <v>0</v>
      </c>
      <c r="R208" s="270">
        <f t="shared" si="69"/>
        <v>0</v>
      </c>
      <c r="S208" s="233">
        <f t="shared" si="80"/>
        <v>0</v>
      </c>
      <c r="T208" s="233">
        <f t="shared" si="81"/>
        <v>0</v>
      </c>
      <c r="U208" s="233">
        <f t="shared" si="82"/>
        <v>0</v>
      </c>
      <c r="V208" s="232">
        <f t="shared" si="70"/>
        <v>0</v>
      </c>
      <c r="W208" s="232">
        <f t="shared" si="71"/>
        <v>0</v>
      </c>
      <c r="X208" s="270">
        <f t="shared" si="72"/>
        <v>0</v>
      </c>
      <c r="Y208" s="234"/>
      <c r="Z208" s="383"/>
      <c r="AA208" s="252" t="e">
        <f>E208-#REF!</f>
        <v>#REF!</v>
      </c>
      <c r="AC208" s="235" t="s">
        <v>2803</v>
      </c>
      <c r="AD208" s="235" t="s">
        <v>2856</v>
      </c>
      <c r="AE208" s="235" t="s">
        <v>85</v>
      </c>
      <c r="AG208" s="235" t="s">
        <v>1778</v>
      </c>
      <c r="BV208" s="236" t="str">
        <f>HYPERLINK("#일위대가목록!A127","HT2111-R8 →")</f>
        <v>HT2111-R8 →</v>
      </c>
      <c r="CB208" s="235">
        <v>211011</v>
      </c>
      <c r="CC208" s="235">
        <v>7596396</v>
      </c>
      <c r="CD208" s="235">
        <v>129400</v>
      </c>
      <c r="CE208" s="235">
        <v>4658400</v>
      </c>
      <c r="CF208" s="235">
        <v>81611</v>
      </c>
      <c r="CG208" s="235">
        <v>2937996</v>
      </c>
      <c r="CH208" s="235">
        <v>0</v>
      </c>
      <c r="CI208" s="235">
        <v>0</v>
      </c>
      <c r="CJ208" s="235" t="s">
        <v>2278</v>
      </c>
    </row>
    <row r="209" spans="1:88" s="235" customFormat="1" ht="20.100000000000001" customHeight="1" x14ac:dyDescent="0.15">
      <c r="A209" s="229" t="s">
        <v>2970</v>
      </c>
      <c r="B209" s="229" t="s">
        <v>2264</v>
      </c>
      <c r="C209" s="230" t="s">
        <v>556</v>
      </c>
      <c r="D209" s="233">
        <v>3</v>
      </c>
      <c r="E209" s="231">
        <f t="shared" si="76"/>
        <v>2213574</v>
      </c>
      <c r="F209" s="232">
        <f t="shared" si="76"/>
        <v>6640722</v>
      </c>
      <c r="G209" s="231">
        <v>1937714</v>
      </c>
      <c r="H209" s="232">
        <f t="shared" si="77"/>
        <v>5813142</v>
      </c>
      <c r="I209" s="231">
        <v>214172</v>
      </c>
      <c r="J209" s="232">
        <f t="shared" si="78"/>
        <v>642516</v>
      </c>
      <c r="K209" s="231">
        <v>61688</v>
      </c>
      <c r="L209" s="232">
        <f t="shared" si="79"/>
        <v>185064</v>
      </c>
      <c r="M209" s="232"/>
      <c r="N209" s="232"/>
      <c r="O209" s="270">
        <f t="shared" si="67"/>
        <v>0</v>
      </c>
      <c r="P209" s="232"/>
      <c r="Q209" s="232">
        <f t="shared" si="68"/>
        <v>0</v>
      </c>
      <c r="R209" s="270">
        <f t="shared" si="69"/>
        <v>0</v>
      </c>
      <c r="S209" s="233">
        <f t="shared" si="80"/>
        <v>0</v>
      </c>
      <c r="T209" s="233">
        <f t="shared" si="81"/>
        <v>0</v>
      </c>
      <c r="U209" s="233">
        <f t="shared" si="82"/>
        <v>0</v>
      </c>
      <c r="V209" s="232">
        <f t="shared" si="70"/>
        <v>0</v>
      </c>
      <c r="W209" s="232">
        <f t="shared" si="71"/>
        <v>0</v>
      </c>
      <c r="X209" s="270">
        <f t="shared" si="72"/>
        <v>0</v>
      </c>
      <c r="Y209" s="234"/>
      <c r="Z209" s="383"/>
      <c r="AA209" s="252" t="e">
        <f>E209-#REF!</f>
        <v>#REF!</v>
      </c>
      <c r="AC209" s="235" t="s">
        <v>1116</v>
      </c>
      <c r="AD209" s="235" t="s">
        <v>2856</v>
      </c>
      <c r="AE209" s="235" t="s">
        <v>1551</v>
      </c>
      <c r="AG209" s="235" t="s">
        <v>1778</v>
      </c>
      <c r="BV209" s="236" t="str">
        <f>HYPERLINK("#일위대가목록!A128","HT2115-30 →")</f>
        <v>HT2115-30 →</v>
      </c>
      <c r="CB209" s="235">
        <v>2575854</v>
      </c>
      <c r="CC209" s="235">
        <v>7727562</v>
      </c>
      <c r="CD209" s="235">
        <v>2254845</v>
      </c>
      <c r="CE209" s="235">
        <v>6764535</v>
      </c>
      <c r="CF209" s="235">
        <v>249225</v>
      </c>
      <c r="CG209" s="235">
        <v>747675</v>
      </c>
      <c r="CH209" s="235">
        <v>71784</v>
      </c>
      <c r="CI209" s="235">
        <v>215352</v>
      </c>
      <c r="CJ209" s="235" t="s">
        <v>1899</v>
      </c>
    </row>
    <row r="210" spans="1:88" s="235" customFormat="1" ht="20.100000000000001" customHeight="1" x14ac:dyDescent="0.15">
      <c r="A210" s="229" t="s">
        <v>2971</v>
      </c>
      <c r="B210" s="229" t="s">
        <v>28</v>
      </c>
      <c r="C210" s="230" t="s">
        <v>556</v>
      </c>
      <c r="D210" s="233">
        <v>19</v>
      </c>
      <c r="E210" s="231">
        <f t="shared" si="76"/>
        <v>254252</v>
      </c>
      <c r="F210" s="232">
        <f t="shared" si="76"/>
        <v>4830788</v>
      </c>
      <c r="G210" s="231">
        <v>182441</v>
      </c>
      <c r="H210" s="232">
        <f t="shared" si="77"/>
        <v>3466379</v>
      </c>
      <c r="I210" s="231">
        <v>65188</v>
      </c>
      <c r="J210" s="232">
        <f t="shared" si="78"/>
        <v>1238572</v>
      </c>
      <c r="K210" s="231">
        <v>6623</v>
      </c>
      <c r="L210" s="232">
        <f t="shared" si="79"/>
        <v>125837</v>
      </c>
      <c r="M210" s="232"/>
      <c r="N210" s="232"/>
      <c r="O210" s="270">
        <f t="shared" si="67"/>
        <v>0</v>
      </c>
      <c r="P210" s="232"/>
      <c r="Q210" s="232">
        <f t="shared" si="68"/>
        <v>0</v>
      </c>
      <c r="R210" s="270">
        <f t="shared" si="69"/>
        <v>0</v>
      </c>
      <c r="S210" s="233">
        <f t="shared" si="80"/>
        <v>0</v>
      </c>
      <c r="T210" s="233">
        <f t="shared" si="81"/>
        <v>0</v>
      </c>
      <c r="U210" s="233">
        <f t="shared" si="82"/>
        <v>0</v>
      </c>
      <c r="V210" s="232">
        <f t="shared" si="70"/>
        <v>0</v>
      </c>
      <c r="W210" s="232">
        <f t="shared" si="71"/>
        <v>0</v>
      </c>
      <c r="X210" s="270">
        <f t="shared" si="72"/>
        <v>0</v>
      </c>
      <c r="Y210" s="234"/>
      <c r="Z210" s="383"/>
      <c r="AA210" s="252" t="e">
        <f>E210-#REF!</f>
        <v>#REF!</v>
      </c>
      <c r="AC210" s="235" t="s">
        <v>2641</v>
      </c>
      <c r="AD210" s="235" t="s">
        <v>2856</v>
      </c>
      <c r="AE210" s="235" t="s">
        <v>472</v>
      </c>
      <c r="AG210" s="235" t="s">
        <v>1778</v>
      </c>
      <c r="BV210" s="236" t="str">
        <f>HYPERLINK("#일위대가목록!A129","HT2114-R10 →")</f>
        <v>HT2114-R10 →</v>
      </c>
      <c r="CB210" s="235">
        <v>295864</v>
      </c>
      <c r="CC210" s="235">
        <v>5621416</v>
      </c>
      <c r="CD210" s="235">
        <v>212300</v>
      </c>
      <c r="CE210" s="235">
        <v>4033700</v>
      </c>
      <c r="CF210" s="235">
        <v>75857</v>
      </c>
      <c r="CG210" s="235">
        <v>1441283</v>
      </c>
      <c r="CH210" s="235">
        <v>7707</v>
      </c>
      <c r="CI210" s="235">
        <v>146433</v>
      </c>
      <c r="CJ210" s="235" t="s">
        <v>675</v>
      </c>
    </row>
    <row r="211" spans="1:88" s="235" customFormat="1" ht="20.100000000000001" customHeight="1" x14ac:dyDescent="0.15">
      <c r="A211" s="229" t="s">
        <v>2972</v>
      </c>
      <c r="B211" s="229" t="s">
        <v>28</v>
      </c>
      <c r="C211" s="230" t="s">
        <v>556</v>
      </c>
      <c r="D211" s="233">
        <v>6</v>
      </c>
      <c r="E211" s="231">
        <f t="shared" si="76"/>
        <v>229846</v>
      </c>
      <c r="F211" s="232">
        <f t="shared" si="76"/>
        <v>1379076</v>
      </c>
      <c r="G211" s="231">
        <v>158035</v>
      </c>
      <c r="H211" s="232">
        <f t="shared" si="77"/>
        <v>948210</v>
      </c>
      <c r="I211" s="231">
        <v>65188</v>
      </c>
      <c r="J211" s="232">
        <f t="shared" si="78"/>
        <v>391128</v>
      </c>
      <c r="K211" s="231">
        <v>6623</v>
      </c>
      <c r="L211" s="232">
        <f t="shared" si="79"/>
        <v>39738</v>
      </c>
      <c r="M211" s="232"/>
      <c r="N211" s="232"/>
      <c r="O211" s="270">
        <f t="shared" si="67"/>
        <v>0</v>
      </c>
      <c r="P211" s="232"/>
      <c r="Q211" s="232">
        <f t="shared" si="68"/>
        <v>0</v>
      </c>
      <c r="R211" s="270">
        <f t="shared" si="69"/>
        <v>0</v>
      </c>
      <c r="S211" s="233">
        <f t="shared" si="80"/>
        <v>0</v>
      </c>
      <c r="T211" s="233">
        <f t="shared" si="81"/>
        <v>0</v>
      </c>
      <c r="U211" s="233">
        <f t="shared" si="82"/>
        <v>0</v>
      </c>
      <c r="V211" s="232">
        <f t="shared" si="70"/>
        <v>0</v>
      </c>
      <c r="W211" s="232">
        <f t="shared" si="71"/>
        <v>0</v>
      </c>
      <c r="X211" s="270">
        <f t="shared" si="72"/>
        <v>0</v>
      </c>
      <c r="Y211" s="234"/>
      <c r="Z211" s="383"/>
      <c r="AA211" s="252" t="e">
        <f>E211-#REF!</f>
        <v>#REF!</v>
      </c>
      <c r="AC211" s="235" t="s">
        <v>1793</v>
      </c>
      <c r="AD211" s="235" t="s">
        <v>2856</v>
      </c>
      <c r="AE211" s="235" t="s">
        <v>734</v>
      </c>
      <c r="AG211" s="235" t="s">
        <v>1778</v>
      </c>
      <c r="BV211" s="236" t="str">
        <f>HYPERLINK("#일위대가목록!A130","HT2120-R10 →")</f>
        <v>HT2120-R10 →</v>
      </c>
      <c r="CB211" s="235">
        <v>267464</v>
      </c>
      <c r="CC211" s="235">
        <v>1604784</v>
      </c>
      <c r="CD211" s="235">
        <v>183900</v>
      </c>
      <c r="CE211" s="235">
        <v>1103400</v>
      </c>
      <c r="CF211" s="235">
        <v>75857</v>
      </c>
      <c r="CG211" s="235">
        <v>455142</v>
      </c>
      <c r="CH211" s="235">
        <v>7707</v>
      </c>
      <c r="CI211" s="235">
        <v>46242</v>
      </c>
      <c r="CJ211" s="235" t="s">
        <v>1510</v>
      </c>
    </row>
    <row r="212" spans="1:88" s="235" customFormat="1" ht="20.100000000000001" customHeight="1" x14ac:dyDescent="0.15">
      <c r="A212" s="229" t="s">
        <v>2973</v>
      </c>
      <c r="B212" s="229" t="s">
        <v>494</v>
      </c>
      <c r="C212" s="230" t="s">
        <v>556</v>
      </c>
      <c r="D212" s="233">
        <v>41</v>
      </c>
      <c r="E212" s="231">
        <f t="shared" si="76"/>
        <v>421061</v>
      </c>
      <c r="F212" s="232">
        <f t="shared" si="76"/>
        <v>17263501</v>
      </c>
      <c r="G212" s="231">
        <v>319329</v>
      </c>
      <c r="H212" s="232">
        <f t="shared" si="77"/>
        <v>13092489</v>
      </c>
      <c r="I212" s="231">
        <v>92350</v>
      </c>
      <c r="J212" s="232">
        <f t="shared" si="78"/>
        <v>3786350</v>
      </c>
      <c r="K212" s="231">
        <v>9382</v>
      </c>
      <c r="L212" s="232">
        <f t="shared" si="79"/>
        <v>384662</v>
      </c>
      <c r="M212" s="232"/>
      <c r="N212" s="232"/>
      <c r="O212" s="270">
        <f t="shared" si="67"/>
        <v>0</v>
      </c>
      <c r="P212" s="232"/>
      <c r="Q212" s="232">
        <f t="shared" si="68"/>
        <v>0</v>
      </c>
      <c r="R212" s="270">
        <f t="shared" si="69"/>
        <v>0</v>
      </c>
      <c r="S212" s="233">
        <f t="shared" si="80"/>
        <v>0</v>
      </c>
      <c r="T212" s="233">
        <f t="shared" si="81"/>
        <v>0</v>
      </c>
      <c r="U212" s="233">
        <f t="shared" si="82"/>
        <v>0</v>
      </c>
      <c r="V212" s="232">
        <f t="shared" si="70"/>
        <v>0</v>
      </c>
      <c r="W212" s="232">
        <f t="shared" si="71"/>
        <v>0</v>
      </c>
      <c r="X212" s="270">
        <f t="shared" si="72"/>
        <v>0</v>
      </c>
      <c r="Y212" s="234"/>
      <c r="Z212" s="383"/>
      <c r="AA212" s="252" t="e">
        <f>E212-#REF!</f>
        <v>#REF!</v>
      </c>
      <c r="AC212" s="235" t="s">
        <v>66</v>
      </c>
      <c r="AD212" s="235" t="s">
        <v>2856</v>
      </c>
      <c r="AE212" s="235" t="s">
        <v>2082</v>
      </c>
      <c r="AG212" s="235" t="s">
        <v>1778</v>
      </c>
      <c r="BV212" s="236" t="str">
        <f>HYPERLINK("#일위대가목록!A131","HT2139-R12 →")</f>
        <v>HT2139-R12 →</v>
      </c>
      <c r="CB212" s="235">
        <v>489975</v>
      </c>
      <c r="CC212" s="235">
        <v>20088975</v>
      </c>
      <c r="CD212" s="235">
        <v>371592</v>
      </c>
      <c r="CE212" s="235">
        <v>15235272</v>
      </c>
      <c r="CF212" s="235">
        <v>107465</v>
      </c>
      <c r="CG212" s="235">
        <v>4406065</v>
      </c>
      <c r="CH212" s="235">
        <v>10918</v>
      </c>
      <c r="CI212" s="235">
        <v>447638</v>
      </c>
      <c r="CJ212" s="235" t="s">
        <v>194</v>
      </c>
    </row>
    <row r="213" spans="1:88" s="235" customFormat="1" ht="20.100000000000001" customHeight="1" x14ac:dyDescent="0.15">
      <c r="A213" s="229" t="s">
        <v>2974</v>
      </c>
      <c r="B213" s="229" t="s">
        <v>1567</v>
      </c>
      <c r="C213" s="230" t="s">
        <v>556</v>
      </c>
      <c r="D213" s="233">
        <v>17</v>
      </c>
      <c r="E213" s="231">
        <f t="shared" si="76"/>
        <v>599206</v>
      </c>
      <c r="F213" s="232">
        <f t="shared" si="76"/>
        <v>10186502</v>
      </c>
      <c r="G213" s="231">
        <v>497474</v>
      </c>
      <c r="H213" s="232">
        <f t="shared" si="77"/>
        <v>8457058</v>
      </c>
      <c r="I213" s="231">
        <v>92350</v>
      </c>
      <c r="J213" s="232">
        <f t="shared" si="78"/>
        <v>1569950</v>
      </c>
      <c r="K213" s="231">
        <v>9382</v>
      </c>
      <c r="L213" s="232">
        <f t="shared" si="79"/>
        <v>159494</v>
      </c>
      <c r="M213" s="232"/>
      <c r="N213" s="232"/>
      <c r="O213" s="270">
        <f t="shared" si="67"/>
        <v>0</v>
      </c>
      <c r="P213" s="232"/>
      <c r="Q213" s="232">
        <f t="shared" si="68"/>
        <v>0</v>
      </c>
      <c r="R213" s="270">
        <f t="shared" si="69"/>
        <v>0</v>
      </c>
      <c r="S213" s="233">
        <f t="shared" si="80"/>
        <v>0</v>
      </c>
      <c r="T213" s="233">
        <f t="shared" si="81"/>
        <v>0</v>
      </c>
      <c r="U213" s="233">
        <f t="shared" si="82"/>
        <v>0</v>
      </c>
      <c r="V213" s="232">
        <f t="shared" si="70"/>
        <v>0</v>
      </c>
      <c r="W213" s="232">
        <f t="shared" si="71"/>
        <v>0</v>
      </c>
      <c r="X213" s="270">
        <f t="shared" si="72"/>
        <v>0</v>
      </c>
      <c r="Y213" s="234"/>
      <c r="Z213" s="383"/>
      <c r="AA213" s="252" t="e">
        <f>E213-#REF!</f>
        <v>#REF!</v>
      </c>
      <c r="AC213" s="235" t="s">
        <v>1469</v>
      </c>
      <c r="AD213" s="235" t="s">
        <v>2856</v>
      </c>
      <c r="AE213" s="235" t="s">
        <v>1096</v>
      </c>
      <c r="AG213" s="235" t="s">
        <v>1778</v>
      </c>
      <c r="BV213" s="236" t="str">
        <f>HYPERLINK("#일위대가목록!A132","HT2141-R15 →")</f>
        <v>HT2141-R15 →</v>
      </c>
      <c r="CB213" s="235">
        <v>697275</v>
      </c>
      <c r="CC213" s="235">
        <v>11853675</v>
      </c>
      <c r="CD213" s="235">
        <v>578892</v>
      </c>
      <c r="CE213" s="235">
        <v>9841164</v>
      </c>
      <c r="CF213" s="235">
        <v>107465</v>
      </c>
      <c r="CG213" s="235">
        <v>1826905</v>
      </c>
      <c r="CH213" s="235">
        <v>10918</v>
      </c>
      <c r="CI213" s="235">
        <v>185606</v>
      </c>
      <c r="CJ213" s="235" t="s">
        <v>1981</v>
      </c>
    </row>
    <row r="214" spans="1:88" s="235" customFormat="1" ht="20.100000000000001" customHeight="1" x14ac:dyDescent="0.15">
      <c r="A214" s="229" t="s">
        <v>2975</v>
      </c>
      <c r="B214" s="229" t="s">
        <v>1783</v>
      </c>
      <c r="C214" s="230" t="s">
        <v>556</v>
      </c>
      <c r="D214" s="233">
        <v>20</v>
      </c>
      <c r="E214" s="231">
        <f t="shared" si="76"/>
        <v>513270</v>
      </c>
      <c r="F214" s="232">
        <f t="shared" si="76"/>
        <v>10265400</v>
      </c>
      <c r="G214" s="231">
        <v>411538</v>
      </c>
      <c r="H214" s="232">
        <f t="shared" si="77"/>
        <v>8230760</v>
      </c>
      <c r="I214" s="231">
        <v>92350</v>
      </c>
      <c r="J214" s="232">
        <f t="shared" si="78"/>
        <v>1847000</v>
      </c>
      <c r="K214" s="231">
        <v>9382</v>
      </c>
      <c r="L214" s="232">
        <f t="shared" si="79"/>
        <v>187640</v>
      </c>
      <c r="M214" s="232"/>
      <c r="N214" s="232"/>
      <c r="O214" s="270">
        <f t="shared" si="67"/>
        <v>0</v>
      </c>
      <c r="P214" s="232"/>
      <c r="Q214" s="232">
        <f t="shared" si="68"/>
        <v>0</v>
      </c>
      <c r="R214" s="270">
        <f t="shared" si="69"/>
        <v>0</v>
      </c>
      <c r="S214" s="233">
        <f t="shared" si="80"/>
        <v>0</v>
      </c>
      <c r="T214" s="233">
        <f t="shared" si="81"/>
        <v>0</v>
      </c>
      <c r="U214" s="233">
        <f t="shared" si="82"/>
        <v>0</v>
      </c>
      <c r="V214" s="232">
        <f t="shared" si="70"/>
        <v>0</v>
      </c>
      <c r="W214" s="232">
        <f t="shared" si="71"/>
        <v>0</v>
      </c>
      <c r="X214" s="270">
        <f t="shared" si="72"/>
        <v>0</v>
      </c>
      <c r="Y214" s="234"/>
      <c r="Z214" s="383"/>
      <c r="AA214" s="252" t="e">
        <f>E214-#REF!</f>
        <v>#REF!</v>
      </c>
      <c r="AC214" s="235" t="s">
        <v>2206</v>
      </c>
      <c r="AD214" s="235" t="s">
        <v>2856</v>
      </c>
      <c r="AE214" s="235" t="s">
        <v>2214</v>
      </c>
      <c r="AG214" s="235" t="s">
        <v>1778</v>
      </c>
      <c r="BV214" s="236" t="str">
        <f>HYPERLINK("#일위대가목록!A133","HT2152-B12 →")</f>
        <v>HT2152-B12 →</v>
      </c>
      <c r="CB214" s="235">
        <v>597275</v>
      </c>
      <c r="CC214" s="235">
        <v>11945500</v>
      </c>
      <c r="CD214" s="235">
        <v>478892</v>
      </c>
      <c r="CE214" s="235">
        <v>9577840</v>
      </c>
      <c r="CF214" s="235">
        <v>107465</v>
      </c>
      <c r="CG214" s="235">
        <v>2149300</v>
      </c>
      <c r="CH214" s="235">
        <v>10918</v>
      </c>
      <c r="CI214" s="235">
        <v>218360</v>
      </c>
      <c r="CJ214" s="235" t="s">
        <v>388</v>
      </c>
    </row>
    <row r="215" spans="1:88" s="235" customFormat="1" ht="20.100000000000001" customHeight="1" x14ac:dyDescent="0.15">
      <c r="A215" s="229" t="s">
        <v>2976</v>
      </c>
      <c r="B215" s="229" t="s">
        <v>53</v>
      </c>
      <c r="C215" s="230" t="s">
        <v>556</v>
      </c>
      <c r="D215" s="233">
        <v>10</v>
      </c>
      <c r="E215" s="231">
        <f t="shared" si="76"/>
        <v>676067</v>
      </c>
      <c r="F215" s="232">
        <f t="shared" si="76"/>
        <v>6760670</v>
      </c>
      <c r="G215" s="231">
        <v>469723</v>
      </c>
      <c r="H215" s="232">
        <f t="shared" si="77"/>
        <v>4697230</v>
      </c>
      <c r="I215" s="231">
        <v>166578</v>
      </c>
      <c r="J215" s="232">
        <f t="shared" si="78"/>
        <v>1665780</v>
      </c>
      <c r="K215" s="231">
        <v>39766</v>
      </c>
      <c r="L215" s="232">
        <f t="shared" si="79"/>
        <v>397660</v>
      </c>
      <c r="M215" s="232"/>
      <c r="N215" s="232"/>
      <c r="O215" s="270">
        <f t="shared" si="67"/>
        <v>0</v>
      </c>
      <c r="P215" s="232"/>
      <c r="Q215" s="232">
        <f t="shared" si="68"/>
        <v>0</v>
      </c>
      <c r="R215" s="270">
        <f t="shared" si="69"/>
        <v>0</v>
      </c>
      <c r="S215" s="233">
        <f t="shared" si="80"/>
        <v>0</v>
      </c>
      <c r="T215" s="233">
        <f t="shared" si="81"/>
        <v>0</v>
      </c>
      <c r="U215" s="233">
        <f t="shared" si="82"/>
        <v>0</v>
      </c>
      <c r="V215" s="232">
        <f t="shared" si="70"/>
        <v>0</v>
      </c>
      <c r="W215" s="232">
        <f t="shared" si="71"/>
        <v>0</v>
      </c>
      <c r="X215" s="270">
        <f t="shared" si="72"/>
        <v>0</v>
      </c>
      <c r="Y215" s="234"/>
      <c r="Z215" s="383"/>
      <c r="AA215" s="252" t="e">
        <f>E215-#REF!</f>
        <v>#REF!</v>
      </c>
      <c r="AC215" s="235" t="s">
        <v>817</v>
      </c>
      <c r="AD215" s="235" t="s">
        <v>2856</v>
      </c>
      <c r="AE215" s="235" t="s">
        <v>2590</v>
      </c>
      <c r="AG215" s="235" t="s">
        <v>1778</v>
      </c>
      <c r="BV215" s="236" t="str">
        <f>HYPERLINK("#일위대가목록!A134","HT2205-R25 →")</f>
        <v>HT2205-R25 →</v>
      </c>
      <c r="CB215" s="235">
        <v>786716</v>
      </c>
      <c r="CC215" s="235">
        <v>7867160</v>
      </c>
      <c r="CD215" s="235">
        <v>546600</v>
      </c>
      <c r="CE215" s="235">
        <v>5466000</v>
      </c>
      <c r="CF215" s="235">
        <v>193841</v>
      </c>
      <c r="CG215" s="235">
        <v>1938410</v>
      </c>
      <c r="CH215" s="235">
        <v>46275</v>
      </c>
      <c r="CI215" s="235">
        <v>462750</v>
      </c>
      <c r="CJ215" s="235" t="s">
        <v>1759</v>
      </c>
    </row>
    <row r="216" spans="1:88" s="235" customFormat="1" ht="20.100000000000001" customHeight="1" x14ac:dyDescent="0.15">
      <c r="A216" s="229" t="s">
        <v>2977</v>
      </c>
      <c r="B216" s="229" t="s">
        <v>1567</v>
      </c>
      <c r="C216" s="230" t="s">
        <v>556</v>
      </c>
      <c r="D216" s="233">
        <v>20</v>
      </c>
      <c r="E216" s="231">
        <f t="shared" si="76"/>
        <v>556238</v>
      </c>
      <c r="F216" s="232">
        <f t="shared" si="76"/>
        <v>11124760</v>
      </c>
      <c r="G216" s="231">
        <v>454506</v>
      </c>
      <c r="H216" s="232">
        <f t="shared" si="77"/>
        <v>9090120</v>
      </c>
      <c r="I216" s="231">
        <v>92350</v>
      </c>
      <c r="J216" s="232">
        <f t="shared" si="78"/>
        <v>1847000</v>
      </c>
      <c r="K216" s="231">
        <v>9382</v>
      </c>
      <c r="L216" s="232">
        <f t="shared" si="79"/>
        <v>187640</v>
      </c>
      <c r="M216" s="232"/>
      <c r="N216" s="232"/>
      <c r="O216" s="270">
        <f t="shared" si="67"/>
        <v>0</v>
      </c>
      <c r="P216" s="232"/>
      <c r="Q216" s="232">
        <f t="shared" si="68"/>
        <v>0</v>
      </c>
      <c r="R216" s="270">
        <f t="shared" si="69"/>
        <v>0</v>
      </c>
      <c r="S216" s="233">
        <f t="shared" si="80"/>
        <v>0</v>
      </c>
      <c r="T216" s="233">
        <f t="shared" si="81"/>
        <v>0</v>
      </c>
      <c r="U216" s="233">
        <f t="shared" si="82"/>
        <v>0</v>
      </c>
      <c r="V216" s="232">
        <f t="shared" si="70"/>
        <v>0</v>
      </c>
      <c r="W216" s="232">
        <f t="shared" si="71"/>
        <v>0</v>
      </c>
      <c r="X216" s="270">
        <f t="shared" si="72"/>
        <v>0</v>
      </c>
      <c r="Y216" s="234"/>
      <c r="Z216" s="383"/>
      <c r="AA216" s="252" t="e">
        <f>E216-#REF!</f>
        <v>#REF!</v>
      </c>
      <c r="AC216" s="235" t="s">
        <v>26</v>
      </c>
      <c r="AD216" s="235" t="s">
        <v>2856</v>
      </c>
      <c r="AE216" s="235" t="s">
        <v>2842</v>
      </c>
      <c r="AG216" s="235" t="s">
        <v>1778</v>
      </c>
      <c r="BV216" s="236" t="str">
        <f>HYPERLINK("#일위대가목록!A135","HT2210-R15 →")</f>
        <v>HT2210-R15 →</v>
      </c>
      <c r="CB216" s="235">
        <v>647275</v>
      </c>
      <c r="CC216" s="235">
        <v>12945500</v>
      </c>
      <c r="CD216" s="235">
        <v>528892</v>
      </c>
      <c r="CE216" s="235">
        <v>10577840</v>
      </c>
      <c r="CF216" s="235">
        <v>107465</v>
      </c>
      <c r="CG216" s="235">
        <v>2149300</v>
      </c>
      <c r="CH216" s="235">
        <v>10918</v>
      </c>
      <c r="CI216" s="235">
        <v>218360</v>
      </c>
      <c r="CJ216" s="235" t="s">
        <v>92</v>
      </c>
    </row>
    <row r="217" spans="1:88" s="235" customFormat="1" ht="20.100000000000001" customHeight="1" x14ac:dyDescent="0.15">
      <c r="A217" s="229" t="s">
        <v>2978</v>
      </c>
      <c r="B217" s="229" t="s">
        <v>2322</v>
      </c>
      <c r="C217" s="230" t="s">
        <v>556</v>
      </c>
      <c r="D217" s="233">
        <v>10</v>
      </c>
      <c r="E217" s="231">
        <f t="shared" si="76"/>
        <v>464029</v>
      </c>
      <c r="F217" s="232">
        <f t="shared" si="76"/>
        <v>4640290</v>
      </c>
      <c r="G217" s="231">
        <v>362297</v>
      </c>
      <c r="H217" s="232">
        <f t="shared" si="77"/>
        <v>3622970</v>
      </c>
      <c r="I217" s="231">
        <v>92350</v>
      </c>
      <c r="J217" s="232">
        <f t="shared" si="78"/>
        <v>923500</v>
      </c>
      <c r="K217" s="231">
        <v>9382</v>
      </c>
      <c r="L217" s="232">
        <f t="shared" si="79"/>
        <v>93820</v>
      </c>
      <c r="M217" s="232"/>
      <c r="N217" s="232"/>
      <c r="O217" s="270">
        <f t="shared" si="67"/>
        <v>0</v>
      </c>
      <c r="P217" s="232"/>
      <c r="Q217" s="232">
        <f t="shared" si="68"/>
        <v>0</v>
      </c>
      <c r="R217" s="270">
        <f t="shared" si="69"/>
        <v>0</v>
      </c>
      <c r="S217" s="233">
        <f t="shared" si="80"/>
        <v>0</v>
      </c>
      <c r="T217" s="233">
        <f t="shared" si="81"/>
        <v>0</v>
      </c>
      <c r="U217" s="233">
        <f t="shared" si="82"/>
        <v>0</v>
      </c>
      <c r="V217" s="232">
        <f t="shared" si="70"/>
        <v>0</v>
      </c>
      <c r="W217" s="232">
        <f t="shared" si="71"/>
        <v>0</v>
      </c>
      <c r="X217" s="270">
        <f t="shared" si="72"/>
        <v>0</v>
      </c>
      <c r="Y217" s="234"/>
      <c r="Z217" s="383"/>
      <c r="AA217" s="252" t="e">
        <f>E217-#REF!</f>
        <v>#REF!</v>
      </c>
      <c r="AC217" s="235" t="s">
        <v>744</v>
      </c>
      <c r="AD217" s="235" t="s">
        <v>2856</v>
      </c>
      <c r="AE217" s="235" t="s">
        <v>1666</v>
      </c>
      <c r="AG217" s="235" t="s">
        <v>1778</v>
      </c>
      <c r="BV217" s="236" t="str">
        <f>HYPERLINK("#일위대가목록!A136","HT2234-R12 →")</f>
        <v>HT2234-R12 →</v>
      </c>
      <c r="CB217" s="235">
        <v>539975</v>
      </c>
      <c r="CC217" s="235">
        <v>5399750</v>
      </c>
      <c r="CD217" s="235">
        <v>421592</v>
      </c>
      <c r="CE217" s="235">
        <v>4215920</v>
      </c>
      <c r="CF217" s="235">
        <v>107465</v>
      </c>
      <c r="CG217" s="235">
        <v>1074650</v>
      </c>
      <c r="CH217" s="235">
        <v>10918</v>
      </c>
      <c r="CI217" s="235">
        <v>109180</v>
      </c>
      <c r="CJ217" s="235" t="s">
        <v>1699</v>
      </c>
    </row>
    <row r="218" spans="1:88" s="235" customFormat="1" ht="20.100000000000001" customHeight="1" x14ac:dyDescent="0.15">
      <c r="A218" s="229" t="s">
        <v>2979</v>
      </c>
      <c r="B218" s="229" t="s">
        <v>988</v>
      </c>
      <c r="C218" s="230" t="s">
        <v>556</v>
      </c>
      <c r="D218" s="233">
        <v>1</v>
      </c>
      <c r="E218" s="231">
        <f t="shared" si="76"/>
        <v>2600284</v>
      </c>
      <c r="F218" s="232">
        <f t="shared" si="76"/>
        <v>2600284</v>
      </c>
      <c r="G218" s="231">
        <v>2324424</v>
      </c>
      <c r="H218" s="232">
        <f t="shared" si="77"/>
        <v>2324424</v>
      </c>
      <c r="I218" s="231">
        <v>214172</v>
      </c>
      <c r="J218" s="232">
        <f t="shared" si="78"/>
        <v>214172</v>
      </c>
      <c r="K218" s="231">
        <v>61688</v>
      </c>
      <c r="L218" s="232">
        <f t="shared" si="79"/>
        <v>61688</v>
      </c>
      <c r="M218" s="232"/>
      <c r="N218" s="232"/>
      <c r="O218" s="270">
        <f t="shared" si="67"/>
        <v>0</v>
      </c>
      <c r="P218" s="232"/>
      <c r="Q218" s="232">
        <f t="shared" si="68"/>
        <v>0</v>
      </c>
      <c r="R218" s="270">
        <f t="shared" si="69"/>
        <v>0</v>
      </c>
      <c r="S218" s="233">
        <f t="shared" si="80"/>
        <v>0</v>
      </c>
      <c r="T218" s="233">
        <f t="shared" si="81"/>
        <v>0</v>
      </c>
      <c r="U218" s="233">
        <f t="shared" si="82"/>
        <v>0</v>
      </c>
      <c r="V218" s="232">
        <f t="shared" si="70"/>
        <v>0</v>
      </c>
      <c r="W218" s="232">
        <f t="shared" si="71"/>
        <v>0</v>
      </c>
      <c r="X218" s="270">
        <f t="shared" si="72"/>
        <v>0</v>
      </c>
      <c r="Y218" s="234"/>
      <c r="Z218" s="383"/>
      <c r="AA218" s="252" t="e">
        <f>E218-#REF!</f>
        <v>#REF!</v>
      </c>
      <c r="AC218" s="235" t="s">
        <v>2290</v>
      </c>
      <c r="AD218" s="235" t="s">
        <v>2856</v>
      </c>
      <c r="AE218" s="235" t="s">
        <v>2390</v>
      </c>
      <c r="AG218" s="235" t="s">
        <v>1778</v>
      </c>
      <c r="BV218" s="236" t="str">
        <f>HYPERLINK("#일위대가목록!A137","HT2290-30 →")</f>
        <v>HT2290-30 →</v>
      </c>
      <c r="CB218" s="235">
        <v>3025854</v>
      </c>
      <c r="CC218" s="235">
        <v>3025854</v>
      </c>
      <c r="CD218" s="235">
        <v>2704845</v>
      </c>
      <c r="CE218" s="235">
        <v>2704845</v>
      </c>
      <c r="CF218" s="235">
        <v>249225</v>
      </c>
      <c r="CG218" s="235">
        <v>249225</v>
      </c>
      <c r="CH218" s="235">
        <v>71784</v>
      </c>
      <c r="CI218" s="235">
        <v>71784</v>
      </c>
      <c r="CJ218" s="235" t="s">
        <v>168</v>
      </c>
    </row>
    <row r="219" spans="1:88" s="235" customFormat="1" ht="20.100000000000001" customHeight="1" x14ac:dyDescent="0.15">
      <c r="A219" s="229" t="s">
        <v>2979</v>
      </c>
      <c r="B219" s="229" t="s">
        <v>1558</v>
      </c>
      <c r="C219" s="230" t="s">
        <v>556</v>
      </c>
      <c r="D219" s="233">
        <v>5</v>
      </c>
      <c r="E219" s="231">
        <f t="shared" si="76"/>
        <v>985916</v>
      </c>
      <c r="F219" s="232">
        <f t="shared" si="76"/>
        <v>4929580</v>
      </c>
      <c r="G219" s="231">
        <v>884184</v>
      </c>
      <c r="H219" s="232">
        <f t="shared" si="77"/>
        <v>4420920</v>
      </c>
      <c r="I219" s="231">
        <v>92350</v>
      </c>
      <c r="J219" s="232">
        <f t="shared" si="78"/>
        <v>461750</v>
      </c>
      <c r="K219" s="231">
        <v>9382</v>
      </c>
      <c r="L219" s="232">
        <f t="shared" si="79"/>
        <v>46910</v>
      </c>
      <c r="M219" s="232"/>
      <c r="N219" s="232"/>
      <c r="O219" s="270">
        <f t="shared" si="67"/>
        <v>0</v>
      </c>
      <c r="P219" s="232"/>
      <c r="Q219" s="232">
        <f t="shared" si="68"/>
        <v>0</v>
      </c>
      <c r="R219" s="270">
        <f t="shared" si="69"/>
        <v>0</v>
      </c>
      <c r="S219" s="233">
        <f t="shared" si="80"/>
        <v>0</v>
      </c>
      <c r="T219" s="233">
        <f t="shared" si="81"/>
        <v>0</v>
      </c>
      <c r="U219" s="233">
        <f t="shared" si="82"/>
        <v>0</v>
      </c>
      <c r="V219" s="232">
        <f t="shared" si="70"/>
        <v>0</v>
      </c>
      <c r="W219" s="232">
        <f t="shared" si="71"/>
        <v>0</v>
      </c>
      <c r="X219" s="270">
        <f t="shared" si="72"/>
        <v>0</v>
      </c>
      <c r="Y219" s="234"/>
      <c r="Z219" s="383"/>
      <c r="AA219" s="252" t="e">
        <f>E219-#REF!</f>
        <v>#REF!</v>
      </c>
      <c r="AC219" s="235" t="s">
        <v>2505</v>
      </c>
      <c r="AD219" s="235" t="s">
        <v>2856</v>
      </c>
      <c r="AE219" s="235" t="s">
        <v>1669</v>
      </c>
      <c r="AG219" s="235" t="s">
        <v>1778</v>
      </c>
      <c r="BV219" s="236" t="str">
        <f>HYPERLINK("#일위대가목록!A138","HT2290-20 →")</f>
        <v>HT2290-20 →</v>
      </c>
      <c r="CB219" s="235">
        <v>1147275</v>
      </c>
      <c r="CC219" s="235">
        <v>5736375</v>
      </c>
      <c r="CD219" s="235">
        <v>1028892</v>
      </c>
      <c r="CE219" s="235">
        <v>5144460</v>
      </c>
      <c r="CF219" s="235">
        <v>107465</v>
      </c>
      <c r="CG219" s="235">
        <v>537325</v>
      </c>
      <c r="CH219" s="235">
        <v>10918</v>
      </c>
      <c r="CI219" s="235">
        <v>54590</v>
      </c>
      <c r="CJ219" s="235" t="s">
        <v>2626</v>
      </c>
    </row>
    <row r="220" spans="1:88" s="250" customFormat="1" ht="20.100000000000001" customHeight="1" x14ac:dyDescent="0.15">
      <c r="A220" s="243" t="s">
        <v>2980</v>
      </c>
      <c r="B220" s="243" t="s">
        <v>2856</v>
      </c>
      <c r="C220" s="244" t="s">
        <v>2856</v>
      </c>
      <c r="D220" s="248"/>
      <c r="E220" s="245">
        <f t="shared" si="76"/>
        <v>0</v>
      </c>
      <c r="F220" s="246">
        <f t="shared" si="76"/>
        <v>68763020</v>
      </c>
      <c r="G220" s="247"/>
      <c r="H220" s="246">
        <f>TRUNC(H221+H222+H223+H224+H225+H226+H227+H228+H229+H230+H231+H232+H233+H234,0)</f>
        <v>37111320</v>
      </c>
      <c r="I220" s="247"/>
      <c r="J220" s="246">
        <f>TRUNC(J221+J222+J223+J224+J225+J226+J227+J228+J229+J230+J231+J232+J233+J234,0)</f>
        <v>31651700</v>
      </c>
      <c r="K220" s="247"/>
      <c r="L220" s="246">
        <f>TRUNC(L221+L222+L223+L224+L225+L226+L227+L228+L229+L230+L231+L232+L233+L234,0)</f>
        <v>0</v>
      </c>
      <c r="M220" s="246"/>
      <c r="N220" s="246"/>
      <c r="O220" s="271">
        <f t="shared" si="67"/>
        <v>0</v>
      </c>
      <c r="P220" s="246"/>
      <c r="Q220" s="246">
        <f t="shared" si="68"/>
        <v>0</v>
      </c>
      <c r="R220" s="271">
        <f t="shared" si="69"/>
        <v>0</v>
      </c>
      <c r="S220" s="248">
        <f>TRUNC(S221+S222+S223+S224+S225+S226+S227+S228+S229+S230+S231+S232+S233+S234,0)</f>
        <v>0</v>
      </c>
      <c r="T220" s="248">
        <f>TRUNC(T221+T222+T223+T224+T225+T226+T227+T228+T229+T230+T231+T232+T233+T234,0)</f>
        <v>0</v>
      </c>
      <c r="U220" s="248">
        <f>TRUNC(U221+U222+U223+U224+U225+U226+U227+U228+U229+U230+U231+U232+U233+U234,0)</f>
        <v>0</v>
      </c>
      <c r="V220" s="246">
        <f t="shared" si="70"/>
        <v>0</v>
      </c>
      <c r="W220" s="246">
        <f t="shared" si="71"/>
        <v>0</v>
      </c>
      <c r="X220" s="271">
        <f t="shared" si="72"/>
        <v>0</v>
      </c>
      <c r="Y220" s="249"/>
      <c r="Z220" s="385"/>
      <c r="AA220" s="252" t="e">
        <f>E220-#REF!</f>
        <v>#REF!</v>
      </c>
      <c r="AC220" s="250" t="s">
        <v>1423</v>
      </c>
      <c r="AD220" s="250" t="s">
        <v>2856</v>
      </c>
      <c r="AE220" s="250" t="s">
        <v>2856</v>
      </c>
      <c r="CB220" s="250">
        <v>0</v>
      </c>
      <c r="CC220" s="250">
        <v>80032380</v>
      </c>
      <c r="CE220" s="250">
        <v>43193000</v>
      </c>
      <c r="CG220" s="250">
        <v>36839380</v>
      </c>
      <c r="CI220" s="250">
        <v>0</v>
      </c>
      <c r="CJ220" s="250" t="s">
        <v>2856</v>
      </c>
    </row>
    <row r="221" spans="1:88" s="235" customFormat="1" ht="20.100000000000001" customHeight="1" x14ac:dyDescent="0.15">
      <c r="A221" s="229" t="s">
        <v>2981</v>
      </c>
      <c r="B221" s="229" t="s">
        <v>1377</v>
      </c>
      <c r="C221" s="230" t="s">
        <v>556</v>
      </c>
      <c r="D221" s="233">
        <v>400</v>
      </c>
      <c r="E221" s="231">
        <f t="shared" si="76"/>
        <v>9428</v>
      </c>
      <c r="F221" s="232">
        <f t="shared" si="76"/>
        <v>3771200</v>
      </c>
      <c r="G221" s="231">
        <v>5843</v>
      </c>
      <c r="H221" s="232">
        <f t="shared" ref="H221:H234" si="83">TRUNC(G221*D221,0)</f>
        <v>2337200</v>
      </c>
      <c r="I221" s="231">
        <v>3585</v>
      </c>
      <c r="J221" s="232">
        <f t="shared" ref="J221:J234" si="84">TRUNC(I221*D221,0)</f>
        <v>1434000</v>
      </c>
      <c r="K221" s="231">
        <v>0</v>
      </c>
      <c r="L221" s="232">
        <f t="shared" ref="L221:L234" si="85">TRUNC(K221*D221,0)</f>
        <v>0</v>
      </c>
      <c r="M221" s="232"/>
      <c r="N221" s="232"/>
      <c r="O221" s="270">
        <f t="shared" si="67"/>
        <v>0</v>
      </c>
      <c r="P221" s="232"/>
      <c r="Q221" s="232">
        <f t="shared" si="68"/>
        <v>0</v>
      </c>
      <c r="R221" s="270">
        <f t="shared" si="69"/>
        <v>0</v>
      </c>
      <c r="S221" s="233">
        <f t="shared" ref="S221:S234" si="86">TRUNC(G221*$P221,0)</f>
        <v>0</v>
      </c>
      <c r="T221" s="233">
        <f t="shared" ref="T221:T234" si="87">TRUNC(I221*$P221,0)</f>
        <v>0</v>
      </c>
      <c r="U221" s="233">
        <f t="shared" ref="U221:U234" si="88">TRUNC(K221*$P221,0)</f>
        <v>0</v>
      </c>
      <c r="V221" s="232">
        <f t="shared" si="70"/>
        <v>0</v>
      </c>
      <c r="W221" s="232">
        <f t="shared" si="71"/>
        <v>0</v>
      </c>
      <c r="X221" s="270">
        <f t="shared" si="72"/>
        <v>0</v>
      </c>
      <c r="Y221" s="234"/>
      <c r="Z221" s="383"/>
      <c r="AA221" s="252" t="e">
        <f>E221-#REF!</f>
        <v>#REF!</v>
      </c>
      <c r="AC221" s="235" t="s">
        <v>2158</v>
      </c>
      <c r="AD221" s="235" t="s">
        <v>2856</v>
      </c>
      <c r="AE221" s="235" t="s">
        <v>1161</v>
      </c>
      <c r="AG221" s="235" t="s">
        <v>1778</v>
      </c>
      <c r="BV221" s="236" t="str">
        <f>HYPERLINK("#일위대가목록!A139","HT3160 →")</f>
        <v>HT3160 →</v>
      </c>
      <c r="CB221" s="235">
        <v>10972</v>
      </c>
      <c r="CC221" s="235">
        <v>4388800</v>
      </c>
      <c r="CD221" s="235">
        <v>6800</v>
      </c>
      <c r="CE221" s="235">
        <v>2720000</v>
      </c>
      <c r="CF221" s="235">
        <v>4172</v>
      </c>
      <c r="CG221" s="235">
        <v>1668800</v>
      </c>
      <c r="CH221" s="235">
        <v>0</v>
      </c>
      <c r="CI221" s="235">
        <v>0</v>
      </c>
      <c r="CJ221" s="235" t="s">
        <v>1397</v>
      </c>
    </row>
    <row r="222" spans="1:88" s="235" customFormat="1" ht="20.100000000000001" customHeight="1" x14ac:dyDescent="0.15">
      <c r="A222" s="229" t="s">
        <v>2982</v>
      </c>
      <c r="B222" s="229" t="s">
        <v>1407</v>
      </c>
      <c r="C222" s="230" t="s">
        <v>556</v>
      </c>
      <c r="D222" s="233">
        <v>700</v>
      </c>
      <c r="E222" s="231">
        <f t="shared" si="76"/>
        <v>8010</v>
      </c>
      <c r="F222" s="232">
        <f t="shared" si="76"/>
        <v>5607000</v>
      </c>
      <c r="G222" s="231">
        <v>4425</v>
      </c>
      <c r="H222" s="232">
        <f t="shared" si="83"/>
        <v>3097500</v>
      </c>
      <c r="I222" s="231">
        <v>3585</v>
      </c>
      <c r="J222" s="232">
        <f t="shared" si="84"/>
        <v>2509500</v>
      </c>
      <c r="K222" s="231">
        <v>0</v>
      </c>
      <c r="L222" s="232">
        <f t="shared" si="85"/>
        <v>0</v>
      </c>
      <c r="M222" s="232"/>
      <c r="N222" s="232"/>
      <c r="O222" s="270">
        <f t="shared" si="67"/>
        <v>0</v>
      </c>
      <c r="P222" s="232"/>
      <c r="Q222" s="232">
        <f t="shared" si="68"/>
        <v>0</v>
      </c>
      <c r="R222" s="270">
        <f t="shared" si="69"/>
        <v>0</v>
      </c>
      <c r="S222" s="233">
        <f t="shared" si="86"/>
        <v>0</v>
      </c>
      <c r="T222" s="233">
        <f t="shared" si="87"/>
        <v>0</v>
      </c>
      <c r="U222" s="233">
        <f t="shared" si="88"/>
        <v>0</v>
      </c>
      <c r="V222" s="232">
        <f t="shared" si="70"/>
        <v>0</v>
      </c>
      <c r="W222" s="232">
        <f t="shared" si="71"/>
        <v>0</v>
      </c>
      <c r="X222" s="270">
        <f t="shared" si="72"/>
        <v>0</v>
      </c>
      <c r="Y222" s="234"/>
      <c r="Z222" s="383"/>
      <c r="AA222" s="252" t="e">
        <f>E222-#REF!</f>
        <v>#REF!</v>
      </c>
      <c r="AC222" s="235" t="s">
        <v>869</v>
      </c>
      <c r="AD222" s="235" t="s">
        <v>2856</v>
      </c>
      <c r="AE222" s="235" t="s">
        <v>1178</v>
      </c>
      <c r="AG222" s="235" t="s">
        <v>1778</v>
      </c>
      <c r="BV222" s="236" t="str">
        <f>HYPERLINK("#일위대가목록!A140","HT3531 →")</f>
        <v>HT3531 →</v>
      </c>
      <c r="CB222" s="235">
        <v>9322</v>
      </c>
      <c r="CC222" s="235">
        <v>6525400</v>
      </c>
      <c r="CD222" s="235">
        <v>5150</v>
      </c>
      <c r="CE222" s="235">
        <v>3605000</v>
      </c>
      <c r="CF222" s="235">
        <v>4172</v>
      </c>
      <c r="CG222" s="235">
        <v>2920400</v>
      </c>
      <c r="CH222" s="235">
        <v>0</v>
      </c>
      <c r="CI222" s="235">
        <v>0</v>
      </c>
      <c r="CJ222" s="235" t="s">
        <v>2220</v>
      </c>
    </row>
    <row r="223" spans="1:88" s="235" customFormat="1" ht="20.100000000000001" customHeight="1" x14ac:dyDescent="0.15">
      <c r="A223" s="229" t="s">
        <v>2983</v>
      </c>
      <c r="B223" s="229" t="s">
        <v>863</v>
      </c>
      <c r="C223" s="230" t="s">
        <v>556</v>
      </c>
      <c r="D223" s="233">
        <v>700</v>
      </c>
      <c r="E223" s="231">
        <f t="shared" si="76"/>
        <v>5568</v>
      </c>
      <c r="F223" s="232">
        <f t="shared" si="76"/>
        <v>3897600</v>
      </c>
      <c r="G223" s="231">
        <v>3179</v>
      </c>
      <c r="H223" s="232">
        <f t="shared" si="83"/>
        <v>2225300</v>
      </c>
      <c r="I223" s="231">
        <v>2389</v>
      </c>
      <c r="J223" s="232">
        <f t="shared" si="84"/>
        <v>1672300</v>
      </c>
      <c r="K223" s="231">
        <v>0</v>
      </c>
      <c r="L223" s="232">
        <f t="shared" si="85"/>
        <v>0</v>
      </c>
      <c r="M223" s="232"/>
      <c r="N223" s="232"/>
      <c r="O223" s="270">
        <f t="shared" si="67"/>
        <v>0</v>
      </c>
      <c r="P223" s="232"/>
      <c r="Q223" s="232">
        <f t="shared" si="68"/>
        <v>0</v>
      </c>
      <c r="R223" s="270">
        <f t="shared" si="69"/>
        <v>0</v>
      </c>
      <c r="S223" s="233">
        <f t="shared" si="86"/>
        <v>0</v>
      </c>
      <c r="T223" s="233">
        <f t="shared" si="87"/>
        <v>0</v>
      </c>
      <c r="U223" s="233">
        <f t="shared" si="88"/>
        <v>0</v>
      </c>
      <c r="V223" s="232">
        <f t="shared" si="70"/>
        <v>0</v>
      </c>
      <c r="W223" s="232">
        <f t="shared" si="71"/>
        <v>0</v>
      </c>
      <c r="X223" s="270">
        <f t="shared" si="72"/>
        <v>0</v>
      </c>
      <c r="Y223" s="234"/>
      <c r="Z223" s="383"/>
      <c r="AA223" s="252" t="e">
        <f>E223-#REF!</f>
        <v>#REF!</v>
      </c>
      <c r="AC223" s="235" t="s">
        <v>157</v>
      </c>
      <c r="AD223" s="235" t="s">
        <v>2856</v>
      </c>
      <c r="AE223" s="235" t="s">
        <v>245</v>
      </c>
      <c r="AG223" s="235" t="s">
        <v>1778</v>
      </c>
      <c r="BV223" s="236" t="str">
        <f>HYPERLINK("#일위대가목록!A141","HT3480-04 →")</f>
        <v>HT3480-04 →</v>
      </c>
      <c r="CB223" s="235">
        <v>6481</v>
      </c>
      <c r="CC223" s="235">
        <v>4536700</v>
      </c>
      <c r="CD223" s="235">
        <v>3700</v>
      </c>
      <c r="CE223" s="235">
        <v>2590000</v>
      </c>
      <c r="CF223" s="235">
        <v>2781</v>
      </c>
      <c r="CG223" s="235">
        <v>1946700</v>
      </c>
      <c r="CH223" s="235">
        <v>0</v>
      </c>
      <c r="CI223" s="235">
        <v>0</v>
      </c>
      <c r="CJ223" s="235" t="s">
        <v>907</v>
      </c>
    </row>
    <row r="224" spans="1:88" s="235" customFormat="1" ht="20.100000000000001" customHeight="1" x14ac:dyDescent="0.15">
      <c r="A224" s="229" t="s">
        <v>2984</v>
      </c>
      <c r="B224" s="229" t="s">
        <v>2464</v>
      </c>
      <c r="C224" s="230" t="s">
        <v>556</v>
      </c>
      <c r="D224" s="233">
        <v>200</v>
      </c>
      <c r="E224" s="231">
        <f t="shared" si="76"/>
        <v>9858</v>
      </c>
      <c r="F224" s="232">
        <f t="shared" si="76"/>
        <v>1971600</v>
      </c>
      <c r="G224" s="231">
        <v>6273</v>
      </c>
      <c r="H224" s="232">
        <f t="shared" si="83"/>
        <v>1254600</v>
      </c>
      <c r="I224" s="231">
        <v>3585</v>
      </c>
      <c r="J224" s="232">
        <f t="shared" si="84"/>
        <v>717000</v>
      </c>
      <c r="K224" s="231">
        <v>0</v>
      </c>
      <c r="L224" s="232">
        <f t="shared" si="85"/>
        <v>0</v>
      </c>
      <c r="M224" s="232"/>
      <c r="N224" s="232"/>
      <c r="O224" s="270">
        <f t="shared" si="67"/>
        <v>0</v>
      </c>
      <c r="P224" s="232"/>
      <c r="Q224" s="232">
        <f t="shared" si="68"/>
        <v>0</v>
      </c>
      <c r="R224" s="270">
        <f t="shared" si="69"/>
        <v>0</v>
      </c>
      <c r="S224" s="233">
        <f t="shared" si="86"/>
        <v>0</v>
      </c>
      <c r="T224" s="233">
        <f t="shared" si="87"/>
        <v>0</v>
      </c>
      <c r="U224" s="233">
        <f t="shared" si="88"/>
        <v>0</v>
      </c>
      <c r="V224" s="232">
        <f t="shared" si="70"/>
        <v>0</v>
      </c>
      <c r="W224" s="232">
        <f t="shared" si="71"/>
        <v>0</v>
      </c>
      <c r="X224" s="270">
        <f t="shared" si="72"/>
        <v>0</v>
      </c>
      <c r="Y224" s="234"/>
      <c r="Z224" s="383"/>
      <c r="AA224" s="252" t="e">
        <f>E224-#REF!</f>
        <v>#REF!</v>
      </c>
      <c r="AC224" s="235" t="s">
        <v>882</v>
      </c>
      <c r="AD224" s="235" t="s">
        <v>2856</v>
      </c>
      <c r="AE224" s="235" t="s">
        <v>416</v>
      </c>
      <c r="AG224" s="235" t="s">
        <v>1778</v>
      </c>
      <c r="BV224" s="236" t="str">
        <f>HYPERLINK("#일위대가목록!A142","HT3170 →")</f>
        <v>HT3170 →</v>
      </c>
      <c r="CB224" s="235">
        <v>11472</v>
      </c>
      <c r="CC224" s="235">
        <v>2294400</v>
      </c>
      <c r="CD224" s="235">
        <v>7300</v>
      </c>
      <c r="CE224" s="235">
        <v>1460000</v>
      </c>
      <c r="CF224" s="235">
        <v>4172</v>
      </c>
      <c r="CG224" s="235">
        <v>834400</v>
      </c>
      <c r="CH224" s="235">
        <v>0</v>
      </c>
      <c r="CI224" s="235">
        <v>0</v>
      </c>
      <c r="CJ224" s="235" t="s">
        <v>2712</v>
      </c>
    </row>
    <row r="225" spans="1:88" s="235" customFormat="1" ht="20.100000000000001" customHeight="1" x14ac:dyDescent="0.15">
      <c r="A225" s="229" t="s">
        <v>2985</v>
      </c>
      <c r="B225" s="229" t="s">
        <v>1407</v>
      </c>
      <c r="C225" s="230" t="s">
        <v>556</v>
      </c>
      <c r="D225" s="233">
        <v>840</v>
      </c>
      <c r="E225" s="231">
        <f t="shared" si="76"/>
        <v>8053</v>
      </c>
      <c r="F225" s="232">
        <f t="shared" si="76"/>
        <v>6764520</v>
      </c>
      <c r="G225" s="231">
        <v>4468</v>
      </c>
      <c r="H225" s="232">
        <f t="shared" si="83"/>
        <v>3753120</v>
      </c>
      <c r="I225" s="231">
        <v>3585</v>
      </c>
      <c r="J225" s="232">
        <f t="shared" si="84"/>
        <v>3011400</v>
      </c>
      <c r="K225" s="231">
        <v>0</v>
      </c>
      <c r="L225" s="232">
        <f t="shared" si="85"/>
        <v>0</v>
      </c>
      <c r="M225" s="232"/>
      <c r="N225" s="232"/>
      <c r="O225" s="270">
        <f t="shared" si="67"/>
        <v>0</v>
      </c>
      <c r="P225" s="232"/>
      <c r="Q225" s="232">
        <f t="shared" si="68"/>
        <v>0</v>
      </c>
      <c r="R225" s="270">
        <f t="shared" si="69"/>
        <v>0</v>
      </c>
      <c r="S225" s="233">
        <f t="shared" si="86"/>
        <v>0</v>
      </c>
      <c r="T225" s="233">
        <f t="shared" si="87"/>
        <v>0</v>
      </c>
      <c r="U225" s="233">
        <f t="shared" si="88"/>
        <v>0</v>
      </c>
      <c r="V225" s="232">
        <f t="shared" si="70"/>
        <v>0</v>
      </c>
      <c r="W225" s="232">
        <f t="shared" si="71"/>
        <v>0</v>
      </c>
      <c r="X225" s="270">
        <f t="shared" si="72"/>
        <v>0</v>
      </c>
      <c r="Y225" s="234"/>
      <c r="Z225" s="383"/>
      <c r="AA225" s="252" t="e">
        <f>E225-#REF!</f>
        <v>#REF!</v>
      </c>
      <c r="AC225" s="235" t="s">
        <v>533</v>
      </c>
      <c r="AD225" s="235" t="s">
        <v>2856</v>
      </c>
      <c r="AE225" s="235" t="s">
        <v>2608</v>
      </c>
      <c r="AG225" s="235" t="s">
        <v>1778</v>
      </c>
      <c r="BV225" s="236" t="str">
        <f>HYPERLINK("#일위대가목록!A143","HT3180 →")</f>
        <v>HT3180 →</v>
      </c>
      <c r="CB225" s="235">
        <v>9372</v>
      </c>
      <c r="CC225" s="235">
        <v>7872480</v>
      </c>
      <c r="CD225" s="235">
        <v>5200</v>
      </c>
      <c r="CE225" s="235">
        <v>4368000</v>
      </c>
      <c r="CF225" s="235">
        <v>4172</v>
      </c>
      <c r="CG225" s="235">
        <v>3504480</v>
      </c>
      <c r="CH225" s="235">
        <v>0</v>
      </c>
      <c r="CI225" s="235">
        <v>0</v>
      </c>
      <c r="CJ225" s="235" t="s">
        <v>1134</v>
      </c>
    </row>
    <row r="226" spans="1:88" s="235" customFormat="1" ht="20.100000000000001" customHeight="1" x14ac:dyDescent="0.15">
      <c r="A226" s="229" t="s">
        <v>2986</v>
      </c>
      <c r="B226" s="229" t="s">
        <v>863</v>
      </c>
      <c r="C226" s="230" t="s">
        <v>556</v>
      </c>
      <c r="D226" s="233">
        <v>700</v>
      </c>
      <c r="E226" s="231">
        <f t="shared" si="76"/>
        <v>4193</v>
      </c>
      <c r="F226" s="232">
        <f t="shared" si="76"/>
        <v>2935100</v>
      </c>
      <c r="G226" s="231">
        <v>1804</v>
      </c>
      <c r="H226" s="232">
        <f t="shared" si="83"/>
        <v>1262800</v>
      </c>
      <c r="I226" s="231">
        <v>2389</v>
      </c>
      <c r="J226" s="232">
        <f t="shared" si="84"/>
        <v>1672300</v>
      </c>
      <c r="K226" s="231">
        <v>0</v>
      </c>
      <c r="L226" s="232">
        <f t="shared" si="85"/>
        <v>0</v>
      </c>
      <c r="M226" s="232"/>
      <c r="N226" s="232"/>
      <c r="O226" s="270">
        <f t="shared" si="67"/>
        <v>0</v>
      </c>
      <c r="P226" s="232"/>
      <c r="Q226" s="232">
        <f t="shared" si="68"/>
        <v>0</v>
      </c>
      <c r="R226" s="270">
        <f t="shared" si="69"/>
        <v>0</v>
      </c>
      <c r="S226" s="233">
        <f t="shared" si="86"/>
        <v>0</v>
      </c>
      <c r="T226" s="233">
        <f t="shared" si="87"/>
        <v>0</v>
      </c>
      <c r="U226" s="233">
        <f t="shared" si="88"/>
        <v>0</v>
      </c>
      <c r="V226" s="232">
        <f t="shared" si="70"/>
        <v>0</v>
      </c>
      <c r="W226" s="232">
        <f t="shared" si="71"/>
        <v>0</v>
      </c>
      <c r="X226" s="270">
        <f t="shared" si="72"/>
        <v>0</v>
      </c>
      <c r="Y226" s="234"/>
      <c r="Z226" s="383"/>
      <c r="AA226" s="252" t="e">
        <f>E226-#REF!</f>
        <v>#REF!</v>
      </c>
      <c r="AC226" s="235" t="s">
        <v>1257</v>
      </c>
      <c r="AD226" s="235" t="s">
        <v>2856</v>
      </c>
      <c r="AE226" s="235" t="s">
        <v>2440</v>
      </c>
      <c r="AG226" s="235" t="s">
        <v>1778</v>
      </c>
      <c r="BV226" s="236" t="str">
        <f>HYPERLINK("#일위대가목록!A144","HT3210-03 →")</f>
        <v>HT3210-03 →</v>
      </c>
      <c r="CB226" s="235">
        <v>4881</v>
      </c>
      <c r="CC226" s="235">
        <v>3416700</v>
      </c>
      <c r="CD226" s="235">
        <v>2100</v>
      </c>
      <c r="CE226" s="235">
        <v>1470000</v>
      </c>
      <c r="CF226" s="235">
        <v>2781</v>
      </c>
      <c r="CG226" s="235">
        <v>1946700</v>
      </c>
      <c r="CH226" s="235">
        <v>0</v>
      </c>
      <c r="CI226" s="235">
        <v>0</v>
      </c>
      <c r="CJ226" s="235" t="s">
        <v>2488</v>
      </c>
    </row>
    <row r="227" spans="1:88" s="235" customFormat="1" ht="20.100000000000001" customHeight="1" x14ac:dyDescent="0.15">
      <c r="A227" s="229" t="s">
        <v>2987</v>
      </c>
      <c r="B227" s="229" t="s">
        <v>2656</v>
      </c>
      <c r="C227" s="230" t="s">
        <v>556</v>
      </c>
      <c r="D227" s="233">
        <v>1000</v>
      </c>
      <c r="E227" s="231">
        <f t="shared" si="76"/>
        <v>7201</v>
      </c>
      <c r="F227" s="232">
        <f t="shared" si="76"/>
        <v>7201000</v>
      </c>
      <c r="G227" s="231">
        <v>4812</v>
      </c>
      <c r="H227" s="232">
        <f t="shared" si="83"/>
        <v>4812000</v>
      </c>
      <c r="I227" s="231">
        <v>2389</v>
      </c>
      <c r="J227" s="232">
        <f t="shared" si="84"/>
        <v>2389000</v>
      </c>
      <c r="K227" s="231">
        <v>0</v>
      </c>
      <c r="L227" s="232">
        <f t="shared" si="85"/>
        <v>0</v>
      </c>
      <c r="M227" s="232"/>
      <c r="N227" s="232"/>
      <c r="O227" s="270">
        <f t="shared" si="67"/>
        <v>0</v>
      </c>
      <c r="P227" s="232"/>
      <c r="Q227" s="232">
        <f t="shared" si="68"/>
        <v>0</v>
      </c>
      <c r="R227" s="270">
        <f t="shared" si="69"/>
        <v>0</v>
      </c>
      <c r="S227" s="233">
        <f t="shared" si="86"/>
        <v>0</v>
      </c>
      <c r="T227" s="233">
        <f t="shared" si="87"/>
        <v>0</v>
      </c>
      <c r="U227" s="233">
        <f t="shared" si="88"/>
        <v>0</v>
      </c>
      <c r="V227" s="232">
        <f t="shared" si="70"/>
        <v>0</v>
      </c>
      <c r="W227" s="232">
        <f t="shared" si="71"/>
        <v>0</v>
      </c>
      <c r="X227" s="270">
        <f t="shared" si="72"/>
        <v>0</v>
      </c>
      <c r="Y227" s="234"/>
      <c r="Z227" s="383"/>
      <c r="AA227" s="252" t="e">
        <f>E227-#REF!</f>
        <v>#REF!</v>
      </c>
      <c r="AC227" s="235" t="s">
        <v>2013</v>
      </c>
      <c r="AD227" s="235" t="s">
        <v>2856</v>
      </c>
      <c r="AE227" s="235" t="s">
        <v>108</v>
      </c>
      <c r="AG227" s="235" t="s">
        <v>1778</v>
      </c>
      <c r="BV227" s="236" t="str">
        <f>HYPERLINK("#일위대가목록!A145","HT3220-03 →")</f>
        <v>HT3220-03 →</v>
      </c>
      <c r="CB227" s="235">
        <v>8381</v>
      </c>
      <c r="CC227" s="235">
        <v>8381000</v>
      </c>
      <c r="CD227" s="235">
        <v>5600</v>
      </c>
      <c r="CE227" s="235">
        <v>5600000</v>
      </c>
      <c r="CF227" s="235">
        <v>2781</v>
      </c>
      <c r="CG227" s="235">
        <v>2781000</v>
      </c>
      <c r="CH227" s="235">
        <v>0</v>
      </c>
      <c r="CI227" s="235">
        <v>0</v>
      </c>
      <c r="CJ227" s="235" t="s">
        <v>809</v>
      </c>
    </row>
    <row r="228" spans="1:88" s="235" customFormat="1" ht="20.100000000000001" customHeight="1" x14ac:dyDescent="0.15">
      <c r="A228" s="229" t="s">
        <v>2988</v>
      </c>
      <c r="B228" s="229" t="s">
        <v>863</v>
      </c>
      <c r="C228" s="230" t="s">
        <v>556</v>
      </c>
      <c r="D228" s="233">
        <v>1500</v>
      </c>
      <c r="E228" s="231">
        <f t="shared" si="76"/>
        <v>4193</v>
      </c>
      <c r="F228" s="232">
        <f t="shared" si="76"/>
        <v>6289500</v>
      </c>
      <c r="G228" s="231">
        <v>1804</v>
      </c>
      <c r="H228" s="232">
        <f t="shared" si="83"/>
        <v>2706000</v>
      </c>
      <c r="I228" s="231">
        <v>2389</v>
      </c>
      <c r="J228" s="232">
        <f t="shared" si="84"/>
        <v>3583500</v>
      </c>
      <c r="K228" s="231">
        <v>0</v>
      </c>
      <c r="L228" s="232">
        <f t="shared" si="85"/>
        <v>0</v>
      </c>
      <c r="M228" s="232"/>
      <c r="N228" s="232"/>
      <c r="O228" s="270">
        <f t="shared" si="67"/>
        <v>0</v>
      </c>
      <c r="P228" s="232"/>
      <c r="Q228" s="232">
        <f t="shared" si="68"/>
        <v>0</v>
      </c>
      <c r="R228" s="270">
        <f t="shared" si="69"/>
        <v>0</v>
      </c>
      <c r="S228" s="233">
        <f t="shared" si="86"/>
        <v>0</v>
      </c>
      <c r="T228" s="233">
        <f t="shared" si="87"/>
        <v>0</v>
      </c>
      <c r="U228" s="233">
        <f t="shared" si="88"/>
        <v>0</v>
      </c>
      <c r="V228" s="232">
        <f t="shared" si="70"/>
        <v>0</v>
      </c>
      <c r="W228" s="232">
        <f t="shared" si="71"/>
        <v>0</v>
      </c>
      <c r="X228" s="270">
        <f t="shared" si="72"/>
        <v>0</v>
      </c>
      <c r="Y228" s="234"/>
      <c r="Z228" s="383"/>
      <c r="AA228" s="252" t="e">
        <f>E228-#REF!</f>
        <v>#REF!</v>
      </c>
      <c r="AC228" s="235" t="s">
        <v>2706</v>
      </c>
      <c r="AD228" s="235" t="s">
        <v>2856</v>
      </c>
      <c r="AE228" s="235" t="s">
        <v>2080</v>
      </c>
      <c r="AG228" s="235" t="s">
        <v>1778</v>
      </c>
      <c r="BV228" s="236" t="str">
        <f>HYPERLINK("#일위대가목록!A146","HT3230-03 →")</f>
        <v>HT3230-03 →</v>
      </c>
      <c r="CB228" s="235">
        <v>4881</v>
      </c>
      <c r="CC228" s="235">
        <v>7321500</v>
      </c>
      <c r="CD228" s="235">
        <v>2100</v>
      </c>
      <c r="CE228" s="235">
        <v>3150000</v>
      </c>
      <c r="CF228" s="235">
        <v>2781</v>
      </c>
      <c r="CG228" s="235">
        <v>4171500</v>
      </c>
      <c r="CH228" s="235">
        <v>0</v>
      </c>
      <c r="CI228" s="235">
        <v>0</v>
      </c>
      <c r="CJ228" s="235" t="s">
        <v>2413</v>
      </c>
    </row>
    <row r="229" spans="1:88" s="235" customFormat="1" ht="20.100000000000001" customHeight="1" x14ac:dyDescent="0.15">
      <c r="A229" s="229" t="s">
        <v>2989</v>
      </c>
      <c r="B229" s="229" t="s">
        <v>1407</v>
      </c>
      <c r="C229" s="230" t="s">
        <v>556</v>
      </c>
      <c r="D229" s="233">
        <v>600</v>
      </c>
      <c r="E229" s="231">
        <f t="shared" si="76"/>
        <v>15615</v>
      </c>
      <c r="F229" s="232">
        <f t="shared" si="76"/>
        <v>9369000</v>
      </c>
      <c r="G229" s="231">
        <v>12030</v>
      </c>
      <c r="H229" s="232">
        <f t="shared" si="83"/>
        <v>7218000</v>
      </c>
      <c r="I229" s="231">
        <v>3585</v>
      </c>
      <c r="J229" s="232">
        <f t="shared" si="84"/>
        <v>2151000</v>
      </c>
      <c r="K229" s="231">
        <v>0</v>
      </c>
      <c r="L229" s="232">
        <f t="shared" si="85"/>
        <v>0</v>
      </c>
      <c r="M229" s="232"/>
      <c r="N229" s="232"/>
      <c r="O229" s="270">
        <f t="shared" si="67"/>
        <v>0</v>
      </c>
      <c r="P229" s="232"/>
      <c r="Q229" s="232">
        <f t="shared" si="68"/>
        <v>0</v>
      </c>
      <c r="R229" s="270">
        <f t="shared" si="69"/>
        <v>0</v>
      </c>
      <c r="S229" s="233">
        <f t="shared" si="86"/>
        <v>0</v>
      </c>
      <c r="T229" s="233">
        <f t="shared" si="87"/>
        <v>0</v>
      </c>
      <c r="U229" s="233">
        <f t="shared" si="88"/>
        <v>0</v>
      </c>
      <c r="V229" s="232">
        <f t="shared" si="70"/>
        <v>0</v>
      </c>
      <c r="W229" s="232">
        <f t="shared" si="71"/>
        <v>0</v>
      </c>
      <c r="X229" s="270">
        <f t="shared" si="72"/>
        <v>0</v>
      </c>
      <c r="Y229" s="234"/>
      <c r="Z229" s="383"/>
      <c r="AA229" s="252" t="e">
        <f>E229-#REF!</f>
        <v>#REF!</v>
      </c>
      <c r="AC229" s="235" t="s">
        <v>584</v>
      </c>
      <c r="AD229" s="235" t="s">
        <v>2856</v>
      </c>
      <c r="AE229" s="235" t="s">
        <v>1589</v>
      </c>
      <c r="AG229" s="235" t="s">
        <v>1778</v>
      </c>
      <c r="BV229" s="236" t="str">
        <f>HYPERLINK("#일위대가목록!A147","HT3300 →")</f>
        <v>HT3300 →</v>
      </c>
      <c r="CB229" s="235">
        <v>18172</v>
      </c>
      <c r="CC229" s="235">
        <v>10903200</v>
      </c>
      <c r="CD229" s="235">
        <v>14000</v>
      </c>
      <c r="CE229" s="235">
        <v>8400000</v>
      </c>
      <c r="CF229" s="235">
        <v>4172</v>
      </c>
      <c r="CG229" s="235">
        <v>2503200</v>
      </c>
      <c r="CH229" s="235">
        <v>0</v>
      </c>
      <c r="CI229" s="235">
        <v>0</v>
      </c>
      <c r="CJ229" s="235" t="s">
        <v>866</v>
      </c>
    </row>
    <row r="230" spans="1:88" s="235" customFormat="1" ht="20.100000000000001" customHeight="1" x14ac:dyDescent="0.15">
      <c r="A230" s="229" t="s">
        <v>2990</v>
      </c>
      <c r="B230" s="229" t="s">
        <v>2393</v>
      </c>
      <c r="C230" s="230" t="s">
        <v>556</v>
      </c>
      <c r="D230" s="233">
        <v>600</v>
      </c>
      <c r="E230" s="231">
        <f t="shared" si="76"/>
        <v>9418</v>
      </c>
      <c r="F230" s="232">
        <f t="shared" si="76"/>
        <v>5650800</v>
      </c>
      <c r="G230" s="231">
        <v>4296</v>
      </c>
      <c r="H230" s="232">
        <f t="shared" si="83"/>
        <v>2577600</v>
      </c>
      <c r="I230" s="231">
        <v>5122</v>
      </c>
      <c r="J230" s="232">
        <f t="shared" si="84"/>
        <v>3073200</v>
      </c>
      <c r="K230" s="231">
        <v>0</v>
      </c>
      <c r="L230" s="232">
        <f t="shared" si="85"/>
        <v>0</v>
      </c>
      <c r="M230" s="232"/>
      <c r="N230" s="232"/>
      <c r="O230" s="270">
        <f t="shared" si="67"/>
        <v>0</v>
      </c>
      <c r="P230" s="232"/>
      <c r="Q230" s="232">
        <f t="shared" si="68"/>
        <v>0</v>
      </c>
      <c r="R230" s="270">
        <f t="shared" si="69"/>
        <v>0</v>
      </c>
      <c r="S230" s="233">
        <f t="shared" si="86"/>
        <v>0</v>
      </c>
      <c r="T230" s="233">
        <f t="shared" si="87"/>
        <v>0</v>
      </c>
      <c r="U230" s="233">
        <f t="shared" si="88"/>
        <v>0</v>
      </c>
      <c r="V230" s="232">
        <f t="shared" si="70"/>
        <v>0</v>
      </c>
      <c r="W230" s="232">
        <f t="shared" si="71"/>
        <v>0</v>
      </c>
      <c r="X230" s="270">
        <f t="shared" si="72"/>
        <v>0</v>
      </c>
      <c r="Y230" s="234"/>
      <c r="Z230" s="383"/>
      <c r="AA230" s="252" t="e">
        <f>E230-#REF!</f>
        <v>#REF!</v>
      </c>
      <c r="AC230" s="235" t="s">
        <v>1298</v>
      </c>
      <c r="AD230" s="235" t="s">
        <v>2856</v>
      </c>
      <c r="AE230" s="235" t="s">
        <v>1959</v>
      </c>
      <c r="AG230" s="235" t="s">
        <v>1778</v>
      </c>
      <c r="BV230" s="236" t="str">
        <f>HYPERLINK("#일위대가목록!A148","HT3320-03 →")</f>
        <v>HT3320-03 →</v>
      </c>
      <c r="CB230" s="235">
        <v>10961</v>
      </c>
      <c r="CC230" s="235">
        <v>6576600</v>
      </c>
      <c r="CD230" s="235">
        <v>5000</v>
      </c>
      <c r="CE230" s="235">
        <v>3000000</v>
      </c>
      <c r="CF230" s="235">
        <v>5961</v>
      </c>
      <c r="CG230" s="235">
        <v>3576600</v>
      </c>
      <c r="CH230" s="235">
        <v>0</v>
      </c>
      <c r="CI230" s="235">
        <v>0</v>
      </c>
      <c r="CJ230" s="235" t="s">
        <v>484</v>
      </c>
    </row>
    <row r="231" spans="1:88" s="235" customFormat="1" ht="20.100000000000001" customHeight="1" x14ac:dyDescent="0.15">
      <c r="A231" s="229" t="s">
        <v>2991</v>
      </c>
      <c r="B231" s="229" t="s">
        <v>863</v>
      </c>
      <c r="C231" s="230" t="s">
        <v>556</v>
      </c>
      <c r="D231" s="233">
        <v>1000</v>
      </c>
      <c r="E231" s="231">
        <f t="shared" si="76"/>
        <v>4279</v>
      </c>
      <c r="F231" s="232">
        <f t="shared" si="76"/>
        <v>4279000</v>
      </c>
      <c r="G231" s="231">
        <v>1890</v>
      </c>
      <c r="H231" s="232">
        <f t="shared" si="83"/>
        <v>1890000</v>
      </c>
      <c r="I231" s="231">
        <v>2389</v>
      </c>
      <c r="J231" s="232">
        <f t="shared" si="84"/>
        <v>2389000</v>
      </c>
      <c r="K231" s="231">
        <v>0</v>
      </c>
      <c r="L231" s="232">
        <f t="shared" si="85"/>
        <v>0</v>
      </c>
      <c r="M231" s="232"/>
      <c r="N231" s="232"/>
      <c r="O231" s="270">
        <f t="shared" si="67"/>
        <v>0</v>
      </c>
      <c r="P231" s="232"/>
      <c r="Q231" s="232">
        <f t="shared" si="68"/>
        <v>0</v>
      </c>
      <c r="R231" s="270">
        <f t="shared" si="69"/>
        <v>0</v>
      </c>
      <c r="S231" s="233">
        <f t="shared" si="86"/>
        <v>0</v>
      </c>
      <c r="T231" s="233">
        <f t="shared" si="87"/>
        <v>0</v>
      </c>
      <c r="U231" s="233">
        <f t="shared" si="88"/>
        <v>0</v>
      </c>
      <c r="V231" s="232">
        <f t="shared" si="70"/>
        <v>0</v>
      </c>
      <c r="W231" s="232">
        <f t="shared" si="71"/>
        <v>0</v>
      </c>
      <c r="X231" s="270">
        <f t="shared" si="72"/>
        <v>0</v>
      </c>
      <c r="Y231" s="234"/>
      <c r="Z231" s="383"/>
      <c r="AA231" s="252" t="e">
        <f>E231-#REF!</f>
        <v>#REF!</v>
      </c>
      <c r="AC231" s="235" t="s">
        <v>2052</v>
      </c>
      <c r="AD231" s="235" t="s">
        <v>2856</v>
      </c>
      <c r="AE231" s="235" t="s">
        <v>339</v>
      </c>
      <c r="AG231" s="235" t="s">
        <v>1778</v>
      </c>
      <c r="BV231" s="236" t="str">
        <f>HYPERLINK("#일위대가목록!A149","HT3330-03 →")</f>
        <v>HT3330-03 →</v>
      </c>
      <c r="CB231" s="235">
        <v>4981</v>
      </c>
      <c r="CC231" s="235">
        <v>4981000</v>
      </c>
      <c r="CD231" s="235">
        <v>2200</v>
      </c>
      <c r="CE231" s="235">
        <v>2200000</v>
      </c>
      <c r="CF231" s="235">
        <v>2781</v>
      </c>
      <c r="CG231" s="235">
        <v>2781000</v>
      </c>
      <c r="CH231" s="235">
        <v>0</v>
      </c>
      <c r="CI231" s="235">
        <v>0</v>
      </c>
      <c r="CJ231" s="235" t="s">
        <v>2099</v>
      </c>
    </row>
    <row r="232" spans="1:88" s="235" customFormat="1" ht="20.100000000000001" customHeight="1" x14ac:dyDescent="0.15">
      <c r="A232" s="229" t="s">
        <v>2992</v>
      </c>
      <c r="B232" s="229" t="s">
        <v>863</v>
      </c>
      <c r="C232" s="230" t="s">
        <v>556</v>
      </c>
      <c r="D232" s="233">
        <v>1000</v>
      </c>
      <c r="E232" s="231">
        <f t="shared" si="76"/>
        <v>4021</v>
      </c>
      <c r="F232" s="232">
        <f t="shared" si="76"/>
        <v>4021000</v>
      </c>
      <c r="G232" s="231">
        <v>1632</v>
      </c>
      <c r="H232" s="232">
        <f t="shared" si="83"/>
        <v>1632000</v>
      </c>
      <c r="I232" s="231">
        <v>2389</v>
      </c>
      <c r="J232" s="232">
        <f t="shared" si="84"/>
        <v>2389000</v>
      </c>
      <c r="K232" s="231">
        <v>0</v>
      </c>
      <c r="L232" s="232">
        <f t="shared" si="85"/>
        <v>0</v>
      </c>
      <c r="M232" s="232"/>
      <c r="N232" s="232"/>
      <c r="O232" s="270">
        <f t="shared" si="67"/>
        <v>0</v>
      </c>
      <c r="P232" s="232"/>
      <c r="Q232" s="232">
        <f t="shared" si="68"/>
        <v>0</v>
      </c>
      <c r="R232" s="270">
        <f t="shared" si="69"/>
        <v>0</v>
      </c>
      <c r="S232" s="233">
        <f t="shared" si="86"/>
        <v>0</v>
      </c>
      <c r="T232" s="233">
        <f t="shared" si="87"/>
        <v>0</v>
      </c>
      <c r="U232" s="233">
        <f t="shared" si="88"/>
        <v>0</v>
      </c>
      <c r="V232" s="232">
        <f t="shared" si="70"/>
        <v>0</v>
      </c>
      <c r="W232" s="232">
        <f t="shared" si="71"/>
        <v>0</v>
      </c>
      <c r="X232" s="270">
        <f t="shared" si="72"/>
        <v>0</v>
      </c>
      <c r="Y232" s="234"/>
      <c r="Z232" s="383"/>
      <c r="AA232" s="252" t="e">
        <f>E232-#REF!</f>
        <v>#REF!</v>
      </c>
      <c r="AC232" s="235" t="s">
        <v>2753</v>
      </c>
      <c r="AD232" s="235" t="s">
        <v>2856</v>
      </c>
      <c r="AE232" s="235" t="s">
        <v>165</v>
      </c>
      <c r="AG232" s="235" t="s">
        <v>1778</v>
      </c>
      <c r="BV232" s="236" t="str">
        <f>HYPERLINK("#일위대가목록!A150","HT3340-03 →")</f>
        <v>HT3340-03 →</v>
      </c>
      <c r="CB232" s="235">
        <v>4681</v>
      </c>
      <c r="CC232" s="235">
        <v>4681000</v>
      </c>
      <c r="CD232" s="235">
        <v>1900</v>
      </c>
      <c r="CE232" s="235">
        <v>1900000</v>
      </c>
      <c r="CF232" s="235">
        <v>2781</v>
      </c>
      <c r="CG232" s="235">
        <v>2781000</v>
      </c>
      <c r="CH232" s="235">
        <v>0</v>
      </c>
      <c r="CI232" s="235">
        <v>0</v>
      </c>
      <c r="CJ232" s="235" t="s">
        <v>10</v>
      </c>
    </row>
    <row r="233" spans="1:88" s="235" customFormat="1" ht="20.100000000000001" customHeight="1" x14ac:dyDescent="0.15">
      <c r="A233" s="229" t="s">
        <v>2993</v>
      </c>
      <c r="B233" s="229" t="s">
        <v>497</v>
      </c>
      <c r="C233" s="230" t="s">
        <v>556</v>
      </c>
      <c r="D233" s="233">
        <v>700</v>
      </c>
      <c r="E233" s="231">
        <f t="shared" si="76"/>
        <v>5389</v>
      </c>
      <c r="F233" s="232">
        <f t="shared" si="76"/>
        <v>3772300</v>
      </c>
      <c r="G233" s="231">
        <v>1804</v>
      </c>
      <c r="H233" s="232">
        <f t="shared" si="83"/>
        <v>1262800</v>
      </c>
      <c r="I233" s="231">
        <v>3585</v>
      </c>
      <c r="J233" s="232">
        <f t="shared" si="84"/>
        <v>2509500</v>
      </c>
      <c r="K233" s="231">
        <v>0</v>
      </c>
      <c r="L233" s="232">
        <f t="shared" si="85"/>
        <v>0</v>
      </c>
      <c r="M233" s="232"/>
      <c r="N233" s="232"/>
      <c r="O233" s="270">
        <f t="shared" si="67"/>
        <v>0</v>
      </c>
      <c r="P233" s="232"/>
      <c r="Q233" s="232">
        <f t="shared" si="68"/>
        <v>0</v>
      </c>
      <c r="R233" s="270">
        <f t="shared" si="69"/>
        <v>0</v>
      </c>
      <c r="S233" s="233">
        <f t="shared" si="86"/>
        <v>0</v>
      </c>
      <c r="T233" s="233">
        <f t="shared" si="87"/>
        <v>0</v>
      </c>
      <c r="U233" s="233">
        <f t="shared" si="88"/>
        <v>0</v>
      </c>
      <c r="V233" s="232">
        <f t="shared" si="70"/>
        <v>0</v>
      </c>
      <c r="W233" s="232">
        <f t="shared" si="71"/>
        <v>0</v>
      </c>
      <c r="X233" s="270">
        <f t="shared" si="72"/>
        <v>0</v>
      </c>
      <c r="Y233" s="234"/>
      <c r="Z233" s="383"/>
      <c r="AA233" s="252" t="e">
        <f>E233-#REF!</f>
        <v>#REF!</v>
      </c>
      <c r="AC233" s="235" t="s">
        <v>622</v>
      </c>
      <c r="AD233" s="235" t="s">
        <v>2856</v>
      </c>
      <c r="AE233" s="235" t="s">
        <v>607</v>
      </c>
      <c r="AG233" s="235" t="s">
        <v>1778</v>
      </c>
      <c r="BV233" s="236" t="str">
        <f>HYPERLINK("#일위대가목록!A151","HT3350-08 →")</f>
        <v>HT3350-08 →</v>
      </c>
      <c r="CB233" s="235">
        <v>6272</v>
      </c>
      <c r="CC233" s="235">
        <v>4390400</v>
      </c>
      <c r="CD233" s="235">
        <v>2100</v>
      </c>
      <c r="CE233" s="235">
        <v>1470000</v>
      </c>
      <c r="CF233" s="235">
        <v>4172</v>
      </c>
      <c r="CG233" s="235">
        <v>2920400</v>
      </c>
      <c r="CH233" s="235">
        <v>0</v>
      </c>
      <c r="CI233" s="235">
        <v>0</v>
      </c>
      <c r="CJ233" s="235" t="s">
        <v>1671</v>
      </c>
    </row>
    <row r="234" spans="1:88" s="235" customFormat="1" ht="20.100000000000001" customHeight="1" x14ac:dyDescent="0.15">
      <c r="A234" s="229" t="s">
        <v>2994</v>
      </c>
      <c r="B234" s="229" t="s">
        <v>497</v>
      </c>
      <c r="C234" s="230" t="s">
        <v>556</v>
      </c>
      <c r="D234" s="233">
        <v>600</v>
      </c>
      <c r="E234" s="231">
        <f t="shared" si="76"/>
        <v>5389</v>
      </c>
      <c r="F234" s="232">
        <f t="shared" si="76"/>
        <v>3233400</v>
      </c>
      <c r="G234" s="231">
        <v>1804</v>
      </c>
      <c r="H234" s="232">
        <f t="shared" si="83"/>
        <v>1082400</v>
      </c>
      <c r="I234" s="231">
        <v>3585</v>
      </c>
      <c r="J234" s="232">
        <f t="shared" si="84"/>
        <v>2151000</v>
      </c>
      <c r="K234" s="231">
        <v>0</v>
      </c>
      <c r="L234" s="232">
        <f t="shared" si="85"/>
        <v>0</v>
      </c>
      <c r="M234" s="232"/>
      <c r="N234" s="232"/>
      <c r="O234" s="270">
        <f t="shared" si="67"/>
        <v>0</v>
      </c>
      <c r="P234" s="232"/>
      <c r="Q234" s="232">
        <f t="shared" si="68"/>
        <v>0</v>
      </c>
      <c r="R234" s="270">
        <f t="shared" si="69"/>
        <v>0</v>
      </c>
      <c r="S234" s="233">
        <f t="shared" si="86"/>
        <v>0</v>
      </c>
      <c r="T234" s="233">
        <f t="shared" si="87"/>
        <v>0</v>
      </c>
      <c r="U234" s="233">
        <f t="shared" si="88"/>
        <v>0</v>
      </c>
      <c r="V234" s="232">
        <f t="shared" si="70"/>
        <v>0</v>
      </c>
      <c r="W234" s="232">
        <f t="shared" si="71"/>
        <v>0</v>
      </c>
      <c r="X234" s="270">
        <f t="shared" si="72"/>
        <v>0</v>
      </c>
      <c r="Y234" s="234"/>
      <c r="Z234" s="383"/>
      <c r="AA234" s="252" t="e">
        <f>E234-#REF!</f>
        <v>#REF!</v>
      </c>
      <c r="AC234" s="235" t="s">
        <v>1339</v>
      </c>
      <c r="AD234" s="235" t="s">
        <v>2856</v>
      </c>
      <c r="AE234" s="235" t="s">
        <v>2580</v>
      </c>
      <c r="AG234" s="235" t="s">
        <v>1778</v>
      </c>
      <c r="BV234" s="236" t="str">
        <f>HYPERLINK("#일위대가목록!A152","HT3360-08 →")</f>
        <v>HT3360-08 →</v>
      </c>
      <c r="CB234" s="235">
        <v>6272</v>
      </c>
      <c r="CC234" s="235">
        <v>3763200</v>
      </c>
      <c r="CD234" s="235">
        <v>2100</v>
      </c>
      <c r="CE234" s="235">
        <v>1260000</v>
      </c>
      <c r="CF234" s="235">
        <v>4172</v>
      </c>
      <c r="CG234" s="235">
        <v>2503200</v>
      </c>
      <c r="CH234" s="235">
        <v>0</v>
      </c>
      <c r="CI234" s="235">
        <v>0</v>
      </c>
      <c r="CJ234" s="235" t="s">
        <v>574</v>
      </c>
    </row>
    <row r="235" spans="1:88" s="250" customFormat="1" ht="20.100000000000001" customHeight="1" x14ac:dyDescent="0.15">
      <c r="A235" s="243" t="s">
        <v>2995</v>
      </c>
      <c r="B235" s="243" t="s">
        <v>2856</v>
      </c>
      <c r="C235" s="244" t="s">
        <v>2856</v>
      </c>
      <c r="D235" s="248"/>
      <c r="E235" s="245">
        <f t="shared" si="76"/>
        <v>0</v>
      </c>
      <c r="F235" s="246">
        <f t="shared" si="76"/>
        <v>69479360</v>
      </c>
      <c r="G235" s="247"/>
      <c r="H235" s="246">
        <f>TRUNC(H236+H237+H238+H239+H240+H241+H242+H243+H244+H245+H246+H247+H248+H249,0)</f>
        <v>63718260</v>
      </c>
      <c r="I235" s="247"/>
      <c r="J235" s="246">
        <f>TRUNC(J236+J237+J238+J239+J240+J241+J242+J243+J244+J245+J246+J247+J248+J249,0)</f>
        <v>5761100</v>
      </c>
      <c r="K235" s="247"/>
      <c r="L235" s="246">
        <f>TRUNC(L236+L237+L238+L239+L240+L241+L242+L243+L244+L245+L246+L247+L248+L249,0)</f>
        <v>0</v>
      </c>
      <c r="M235" s="246"/>
      <c r="N235" s="246"/>
      <c r="O235" s="271">
        <f t="shared" si="67"/>
        <v>0</v>
      </c>
      <c r="P235" s="246"/>
      <c r="Q235" s="246">
        <f t="shared" si="68"/>
        <v>0</v>
      </c>
      <c r="R235" s="271">
        <f t="shared" si="69"/>
        <v>0</v>
      </c>
      <c r="S235" s="248">
        <f>TRUNC(S236+S237+S238+S239+S240+S241+S242+S243+S244+S245+S246+S247+S248+S249,0)</f>
        <v>0</v>
      </c>
      <c r="T235" s="248">
        <f>TRUNC(T236+T237+T238+T239+T240+T241+T242+T243+T244+T245+T246+T247+T248+T249,0)</f>
        <v>0</v>
      </c>
      <c r="U235" s="248">
        <f>TRUNC(U236+U237+U238+U239+U240+U241+U242+U243+U244+U245+U246+U247+U248+U249,0)</f>
        <v>0</v>
      </c>
      <c r="V235" s="246">
        <f t="shared" si="70"/>
        <v>0</v>
      </c>
      <c r="W235" s="246">
        <f t="shared" si="71"/>
        <v>0</v>
      </c>
      <c r="X235" s="271">
        <f t="shared" si="72"/>
        <v>0</v>
      </c>
      <c r="Y235" s="249"/>
      <c r="Z235" s="385"/>
      <c r="AA235" s="252" t="e">
        <f>E235-#REF!</f>
        <v>#REF!</v>
      </c>
      <c r="AC235" s="250" t="s">
        <v>1170</v>
      </c>
      <c r="AD235" s="250" t="s">
        <v>2856</v>
      </c>
      <c r="AE235" s="250" t="s">
        <v>2856</v>
      </c>
      <c r="CB235" s="250">
        <v>0</v>
      </c>
      <c r="CC235" s="250">
        <v>80877660</v>
      </c>
      <c r="CE235" s="250">
        <v>74160000</v>
      </c>
      <c r="CG235" s="250">
        <v>6717660</v>
      </c>
      <c r="CI235" s="250">
        <v>0</v>
      </c>
      <c r="CJ235" s="250" t="s">
        <v>2856</v>
      </c>
    </row>
    <row r="236" spans="1:88" s="235" customFormat="1" ht="20.100000000000001" customHeight="1" x14ac:dyDescent="0.15">
      <c r="A236" s="229" t="s">
        <v>2996</v>
      </c>
      <c r="B236" s="229" t="s">
        <v>747</v>
      </c>
      <c r="C236" s="230" t="s">
        <v>203</v>
      </c>
      <c r="D236" s="233">
        <v>1900</v>
      </c>
      <c r="E236" s="231">
        <f t="shared" si="76"/>
        <v>4561</v>
      </c>
      <c r="F236" s="232">
        <f t="shared" si="76"/>
        <v>8665900</v>
      </c>
      <c r="G236" s="231">
        <v>4296</v>
      </c>
      <c r="H236" s="232">
        <f t="shared" ref="H236:H249" si="89">TRUNC(G236*D236,0)</f>
        <v>8162400</v>
      </c>
      <c r="I236" s="231">
        <v>265</v>
      </c>
      <c r="J236" s="232">
        <f t="shared" ref="J236:J249" si="90">TRUNC(I236*D236,0)</f>
        <v>503500</v>
      </c>
      <c r="K236" s="231">
        <v>0</v>
      </c>
      <c r="L236" s="232">
        <f t="shared" ref="L236:L249" si="91">TRUNC(K236*D236,0)</f>
        <v>0</v>
      </c>
      <c r="M236" s="232"/>
      <c r="N236" s="232"/>
      <c r="O236" s="270">
        <f t="shared" si="67"/>
        <v>0</v>
      </c>
      <c r="P236" s="232"/>
      <c r="Q236" s="232">
        <f t="shared" si="68"/>
        <v>0</v>
      </c>
      <c r="R236" s="270">
        <f t="shared" si="69"/>
        <v>0</v>
      </c>
      <c r="S236" s="233">
        <f t="shared" ref="S236:S249" si="92">TRUNC(G236*$P236,0)</f>
        <v>0</v>
      </c>
      <c r="T236" s="233">
        <f t="shared" ref="T236:T249" si="93">TRUNC(I236*$P236,0)</f>
        <v>0</v>
      </c>
      <c r="U236" s="233">
        <f t="shared" ref="U236:U249" si="94">TRUNC(K236*$P236,0)</f>
        <v>0</v>
      </c>
      <c r="V236" s="232">
        <f t="shared" si="70"/>
        <v>0</v>
      </c>
      <c r="W236" s="232">
        <f t="shared" si="71"/>
        <v>0</v>
      </c>
      <c r="X236" s="270">
        <f t="shared" si="72"/>
        <v>0</v>
      </c>
      <c r="Y236" s="234"/>
      <c r="Z236" s="383"/>
      <c r="AA236" s="252" t="e">
        <f>E236-#REF!</f>
        <v>#REF!</v>
      </c>
      <c r="AC236" s="235" t="s">
        <v>2613</v>
      </c>
      <c r="AD236" s="235" t="s">
        <v>2856</v>
      </c>
      <c r="AE236" s="235" t="s">
        <v>222</v>
      </c>
      <c r="AG236" s="235" t="s">
        <v>1778</v>
      </c>
      <c r="BV236" s="236" t="str">
        <f>HYPERLINK("#일위대가목록!A153","HT4830 →")</f>
        <v>HT4830 →</v>
      </c>
      <c r="CB236" s="235">
        <v>5309</v>
      </c>
      <c r="CC236" s="235">
        <v>10087100</v>
      </c>
      <c r="CD236" s="235">
        <v>5000</v>
      </c>
      <c r="CE236" s="235">
        <v>9500000</v>
      </c>
      <c r="CF236" s="235">
        <v>309</v>
      </c>
      <c r="CG236" s="235">
        <v>587100</v>
      </c>
      <c r="CH236" s="235">
        <v>0</v>
      </c>
      <c r="CI236" s="235">
        <v>0</v>
      </c>
      <c r="CJ236" s="235" t="s">
        <v>1817</v>
      </c>
    </row>
    <row r="237" spans="1:88" s="235" customFormat="1" ht="20.100000000000001" customHeight="1" x14ac:dyDescent="0.15">
      <c r="A237" s="229" t="s">
        <v>2997</v>
      </c>
      <c r="B237" s="229" t="s">
        <v>1603</v>
      </c>
      <c r="C237" s="230" t="s">
        <v>203</v>
      </c>
      <c r="D237" s="233">
        <v>500</v>
      </c>
      <c r="E237" s="231">
        <f t="shared" ref="E237:F279" si="95">G237+I237+K237</f>
        <v>1554</v>
      </c>
      <c r="F237" s="232">
        <f t="shared" si="95"/>
        <v>777000</v>
      </c>
      <c r="G237" s="231">
        <v>1289</v>
      </c>
      <c r="H237" s="232">
        <f t="shared" si="89"/>
        <v>644500</v>
      </c>
      <c r="I237" s="231">
        <v>265</v>
      </c>
      <c r="J237" s="232">
        <f t="shared" si="90"/>
        <v>132500</v>
      </c>
      <c r="K237" s="231">
        <v>0</v>
      </c>
      <c r="L237" s="232">
        <f t="shared" si="91"/>
        <v>0</v>
      </c>
      <c r="M237" s="232"/>
      <c r="N237" s="232"/>
      <c r="O237" s="270">
        <f t="shared" si="67"/>
        <v>0</v>
      </c>
      <c r="P237" s="232"/>
      <c r="Q237" s="232">
        <f t="shared" si="68"/>
        <v>0</v>
      </c>
      <c r="R237" s="270">
        <f t="shared" si="69"/>
        <v>0</v>
      </c>
      <c r="S237" s="233">
        <f t="shared" si="92"/>
        <v>0</v>
      </c>
      <c r="T237" s="233">
        <f t="shared" si="93"/>
        <v>0</v>
      </c>
      <c r="U237" s="233">
        <f t="shared" si="94"/>
        <v>0</v>
      </c>
      <c r="V237" s="232">
        <f t="shared" si="70"/>
        <v>0</v>
      </c>
      <c r="W237" s="232">
        <f t="shared" si="71"/>
        <v>0</v>
      </c>
      <c r="X237" s="270">
        <f t="shared" si="72"/>
        <v>0</v>
      </c>
      <c r="Y237" s="234"/>
      <c r="Z237" s="383"/>
      <c r="AA237" s="252" t="e">
        <f>E237-#REF!</f>
        <v>#REF!</v>
      </c>
      <c r="AC237" s="235" t="s">
        <v>1900</v>
      </c>
      <c r="AD237" s="235" t="s">
        <v>2856</v>
      </c>
      <c r="AE237" s="235" t="s">
        <v>1972</v>
      </c>
      <c r="AG237" s="235" t="s">
        <v>1778</v>
      </c>
      <c r="BV237" s="236" t="str">
        <f>HYPERLINK("#일위대가목록!A154","HT54905 →")</f>
        <v>HT54905 →</v>
      </c>
      <c r="CB237" s="235">
        <v>1809</v>
      </c>
      <c r="CC237" s="235">
        <v>904500</v>
      </c>
      <c r="CD237" s="235">
        <v>1500</v>
      </c>
      <c r="CE237" s="235">
        <v>750000</v>
      </c>
      <c r="CF237" s="235">
        <v>309</v>
      </c>
      <c r="CG237" s="235">
        <v>154500</v>
      </c>
      <c r="CH237" s="235">
        <v>0</v>
      </c>
      <c r="CI237" s="235">
        <v>0</v>
      </c>
      <c r="CJ237" s="235" t="s">
        <v>275</v>
      </c>
    </row>
    <row r="238" spans="1:88" s="235" customFormat="1" ht="20.100000000000001" customHeight="1" x14ac:dyDescent="0.15">
      <c r="A238" s="229" t="s">
        <v>2998</v>
      </c>
      <c r="B238" s="229" t="s">
        <v>590</v>
      </c>
      <c r="C238" s="230" t="s">
        <v>203</v>
      </c>
      <c r="D238" s="233">
        <v>3500</v>
      </c>
      <c r="E238" s="231">
        <f t="shared" si="95"/>
        <v>3702</v>
      </c>
      <c r="F238" s="232">
        <f t="shared" si="95"/>
        <v>12957000</v>
      </c>
      <c r="G238" s="231">
        <v>3437</v>
      </c>
      <c r="H238" s="232">
        <f t="shared" si="89"/>
        <v>12029500</v>
      </c>
      <c r="I238" s="231">
        <v>265</v>
      </c>
      <c r="J238" s="232">
        <f t="shared" si="90"/>
        <v>927500</v>
      </c>
      <c r="K238" s="231">
        <v>0</v>
      </c>
      <c r="L238" s="232">
        <f t="shared" si="91"/>
        <v>0</v>
      </c>
      <c r="M238" s="232"/>
      <c r="N238" s="232"/>
      <c r="O238" s="270">
        <f t="shared" si="67"/>
        <v>0</v>
      </c>
      <c r="P238" s="232"/>
      <c r="Q238" s="232">
        <f t="shared" si="68"/>
        <v>0</v>
      </c>
      <c r="R238" s="270">
        <f t="shared" si="69"/>
        <v>0</v>
      </c>
      <c r="S238" s="233">
        <f t="shared" si="92"/>
        <v>0</v>
      </c>
      <c r="T238" s="233">
        <f t="shared" si="93"/>
        <v>0</v>
      </c>
      <c r="U238" s="233">
        <f t="shared" si="94"/>
        <v>0</v>
      </c>
      <c r="V238" s="232">
        <f t="shared" si="70"/>
        <v>0</v>
      </c>
      <c r="W238" s="232">
        <f t="shared" si="71"/>
        <v>0</v>
      </c>
      <c r="X238" s="270">
        <f t="shared" si="72"/>
        <v>0</v>
      </c>
      <c r="Y238" s="234"/>
      <c r="Z238" s="383"/>
      <c r="AA238" s="252" t="e">
        <f>E238-#REF!</f>
        <v>#REF!</v>
      </c>
      <c r="AC238" s="235" t="s">
        <v>1220</v>
      </c>
      <c r="AD238" s="235" t="s">
        <v>2856</v>
      </c>
      <c r="AE238" s="235" t="s">
        <v>1412</v>
      </c>
      <c r="AG238" s="235" t="s">
        <v>1778</v>
      </c>
      <c r="BV238" s="236" t="str">
        <f>HYPERLINK("#일위대가목록!A155","HT4981 →")</f>
        <v>HT4981 →</v>
      </c>
      <c r="CB238" s="235">
        <v>4309</v>
      </c>
      <c r="CC238" s="235">
        <v>15081500</v>
      </c>
      <c r="CD238" s="235">
        <v>4000</v>
      </c>
      <c r="CE238" s="235">
        <v>14000000</v>
      </c>
      <c r="CF238" s="235">
        <v>309</v>
      </c>
      <c r="CG238" s="235">
        <v>1081500</v>
      </c>
      <c r="CH238" s="235">
        <v>0</v>
      </c>
      <c r="CI238" s="235">
        <v>0</v>
      </c>
      <c r="CJ238" s="235" t="s">
        <v>1587</v>
      </c>
    </row>
    <row r="239" spans="1:88" s="235" customFormat="1" ht="20.100000000000001" customHeight="1" x14ac:dyDescent="0.15">
      <c r="A239" s="229" t="s">
        <v>2999</v>
      </c>
      <c r="B239" s="229" t="s">
        <v>763</v>
      </c>
      <c r="C239" s="230" t="s">
        <v>203</v>
      </c>
      <c r="D239" s="233">
        <v>1900</v>
      </c>
      <c r="E239" s="231">
        <f t="shared" si="95"/>
        <v>3702</v>
      </c>
      <c r="F239" s="232">
        <f t="shared" si="95"/>
        <v>7033800</v>
      </c>
      <c r="G239" s="231">
        <v>3437</v>
      </c>
      <c r="H239" s="232">
        <f t="shared" si="89"/>
        <v>6530300</v>
      </c>
      <c r="I239" s="231">
        <v>265</v>
      </c>
      <c r="J239" s="232">
        <f t="shared" si="90"/>
        <v>503500</v>
      </c>
      <c r="K239" s="231">
        <v>0</v>
      </c>
      <c r="L239" s="232">
        <f t="shared" si="91"/>
        <v>0</v>
      </c>
      <c r="M239" s="232"/>
      <c r="N239" s="232"/>
      <c r="O239" s="270">
        <f t="shared" si="67"/>
        <v>0</v>
      </c>
      <c r="P239" s="232"/>
      <c r="Q239" s="232">
        <f t="shared" si="68"/>
        <v>0</v>
      </c>
      <c r="R239" s="270">
        <f t="shared" si="69"/>
        <v>0</v>
      </c>
      <c r="S239" s="233">
        <f t="shared" si="92"/>
        <v>0</v>
      </c>
      <c r="T239" s="233">
        <f t="shared" si="93"/>
        <v>0</v>
      </c>
      <c r="U239" s="233">
        <f t="shared" si="94"/>
        <v>0</v>
      </c>
      <c r="V239" s="232">
        <f t="shared" si="70"/>
        <v>0</v>
      </c>
      <c r="W239" s="232">
        <f t="shared" si="71"/>
        <v>0</v>
      </c>
      <c r="X239" s="270">
        <f t="shared" si="72"/>
        <v>0</v>
      </c>
      <c r="Y239" s="234"/>
      <c r="Z239" s="383"/>
      <c r="AA239" s="252" t="e">
        <f>E239-#REF!</f>
        <v>#REF!</v>
      </c>
      <c r="AC239" s="235" t="s">
        <v>2537</v>
      </c>
      <c r="AD239" s="235" t="s">
        <v>2856</v>
      </c>
      <c r="AE239" s="235" t="s">
        <v>927</v>
      </c>
      <c r="AG239" s="235" t="s">
        <v>1778</v>
      </c>
      <c r="BV239" s="236" t="str">
        <f>HYPERLINK("#일위대가목록!A156","HT4983 →")</f>
        <v>HT4983 →</v>
      </c>
      <c r="CB239" s="235">
        <v>4309</v>
      </c>
      <c r="CC239" s="235">
        <v>8187100</v>
      </c>
      <c r="CD239" s="235">
        <v>4000</v>
      </c>
      <c r="CE239" s="235">
        <v>7600000</v>
      </c>
      <c r="CF239" s="235">
        <v>309</v>
      </c>
      <c r="CG239" s="235">
        <v>587100</v>
      </c>
      <c r="CH239" s="235">
        <v>0</v>
      </c>
      <c r="CI239" s="235">
        <v>0</v>
      </c>
      <c r="CJ239" s="235" t="s">
        <v>345</v>
      </c>
    </row>
    <row r="240" spans="1:88" s="235" customFormat="1" ht="20.100000000000001" customHeight="1" x14ac:dyDescent="0.15">
      <c r="A240" s="229" t="s">
        <v>3000</v>
      </c>
      <c r="B240" s="229" t="s">
        <v>2441</v>
      </c>
      <c r="C240" s="230" t="s">
        <v>203</v>
      </c>
      <c r="D240" s="233">
        <v>2140</v>
      </c>
      <c r="E240" s="231">
        <f t="shared" si="95"/>
        <v>694</v>
      </c>
      <c r="F240" s="232">
        <f t="shared" si="95"/>
        <v>1485160</v>
      </c>
      <c r="G240" s="231">
        <v>429</v>
      </c>
      <c r="H240" s="232">
        <f t="shared" si="89"/>
        <v>918060</v>
      </c>
      <c r="I240" s="231">
        <v>265</v>
      </c>
      <c r="J240" s="232">
        <f t="shared" si="90"/>
        <v>567100</v>
      </c>
      <c r="K240" s="231">
        <v>0</v>
      </c>
      <c r="L240" s="232">
        <f t="shared" si="91"/>
        <v>0</v>
      </c>
      <c r="M240" s="232"/>
      <c r="N240" s="232"/>
      <c r="O240" s="270">
        <f t="shared" si="67"/>
        <v>0</v>
      </c>
      <c r="P240" s="232"/>
      <c r="Q240" s="232">
        <f t="shared" si="68"/>
        <v>0</v>
      </c>
      <c r="R240" s="270">
        <f t="shared" si="69"/>
        <v>0</v>
      </c>
      <c r="S240" s="233">
        <f t="shared" si="92"/>
        <v>0</v>
      </c>
      <c r="T240" s="233">
        <f t="shared" si="93"/>
        <v>0</v>
      </c>
      <c r="U240" s="233">
        <f t="shared" si="94"/>
        <v>0</v>
      </c>
      <c r="V240" s="232">
        <f t="shared" si="70"/>
        <v>0</v>
      </c>
      <c r="W240" s="232">
        <f t="shared" si="71"/>
        <v>0</v>
      </c>
      <c r="X240" s="270">
        <f t="shared" si="72"/>
        <v>0</v>
      </c>
      <c r="Y240" s="234"/>
      <c r="Z240" s="383"/>
      <c r="AA240" s="252" t="e">
        <f>E240-#REF!</f>
        <v>#REF!</v>
      </c>
      <c r="AC240" s="235" t="s">
        <v>483</v>
      </c>
      <c r="AD240" s="235" t="s">
        <v>2856</v>
      </c>
      <c r="AE240" s="235" t="s">
        <v>1126</v>
      </c>
      <c r="AG240" s="235" t="s">
        <v>1778</v>
      </c>
      <c r="BV240" s="236" t="str">
        <f>HYPERLINK("#일위대가목록!A157","HT5200 →")</f>
        <v>HT5200 →</v>
      </c>
      <c r="CB240" s="235">
        <v>809</v>
      </c>
      <c r="CC240" s="235">
        <v>1731260</v>
      </c>
      <c r="CD240" s="235">
        <v>500</v>
      </c>
      <c r="CE240" s="235">
        <v>1070000</v>
      </c>
      <c r="CF240" s="235">
        <v>309</v>
      </c>
      <c r="CG240" s="235">
        <v>661260</v>
      </c>
      <c r="CH240" s="235">
        <v>0</v>
      </c>
      <c r="CI240" s="235">
        <v>0</v>
      </c>
      <c r="CJ240" s="235" t="s">
        <v>1537</v>
      </c>
    </row>
    <row r="241" spans="1:88" s="235" customFormat="1" ht="20.100000000000001" customHeight="1" x14ac:dyDescent="0.15">
      <c r="A241" s="229" t="s">
        <v>3001</v>
      </c>
      <c r="B241" s="229" t="s">
        <v>2796</v>
      </c>
      <c r="C241" s="230" t="s">
        <v>203</v>
      </c>
      <c r="D241" s="233">
        <v>600</v>
      </c>
      <c r="E241" s="231">
        <f t="shared" si="95"/>
        <v>4561</v>
      </c>
      <c r="F241" s="232">
        <f t="shared" si="95"/>
        <v>2736600</v>
      </c>
      <c r="G241" s="231">
        <v>4296</v>
      </c>
      <c r="H241" s="232">
        <f t="shared" si="89"/>
        <v>2577600</v>
      </c>
      <c r="I241" s="231">
        <v>265</v>
      </c>
      <c r="J241" s="232">
        <f t="shared" si="90"/>
        <v>159000</v>
      </c>
      <c r="K241" s="231">
        <v>0</v>
      </c>
      <c r="L241" s="232">
        <f t="shared" si="91"/>
        <v>0</v>
      </c>
      <c r="M241" s="232"/>
      <c r="N241" s="232"/>
      <c r="O241" s="270">
        <f t="shared" si="67"/>
        <v>0</v>
      </c>
      <c r="P241" s="232"/>
      <c r="Q241" s="232">
        <f t="shared" si="68"/>
        <v>0</v>
      </c>
      <c r="R241" s="270">
        <f t="shared" si="69"/>
        <v>0</v>
      </c>
      <c r="S241" s="233">
        <f t="shared" si="92"/>
        <v>0</v>
      </c>
      <c r="T241" s="233">
        <f t="shared" si="93"/>
        <v>0</v>
      </c>
      <c r="U241" s="233">
        <f t="shared" si="94"/>
        <v>0</v>
      </c>
      <c r="V241" s="232">
        <f t="shared" si="70"/>
        <v>0</v>
      </c>
      <c r="W241" s="232">
        <f t="shared" si="71"/>
        <v>0</v>
      </c>
      <c r="X241" s="270">
        <f t="shared" si="72"/>
        <v>0</v>
      </c>
      <c r="Y241" s="234"/>
      <c r="Z241" s="383"/>
      <c r="AA241" s="252" t="e">
        <f>E241-#REF!</f>
        <v>#REF!</v>
      </c>
      <c r="AC241" s="235" t="s">
        <v>2667</v>
      </c>
      <c r="AD241" s="235" t="s">
        <v>2856</v>
      </c>
      <c r="AE241" s="235" t="s">
        <v>2358</v>
      </c>
      <c r="AG241" s="235" t="s">
        <v>1778</v>
      </c>
      <c r="BV241" s="236" t="str">
        <f>HYPERLINK("#일위대가목록!A158","HT4840 →")</f>
        <v>HT4840 →</v>
      </c>
      <c r="CB241" s="235">
        <v>5309</v>
      </c>
      <c r="CC241" s="235">
        <v>3185400</v>
      </c>
      <c r="CD241" s="235">
        <v>5000</v>
      </c>
      <c r="CE241" s="235">
        <v>3000000</v>
      </c>
      <c r="CF241" s="235">
        <v>309</v>
      </c>
      <c r="CG241" s="235">
        <v>185400</v>
      </c>
      <c r="CH241" s="235">
        <v>0</v>
      </c>
      <c r="CI241" s="235">
        <v>0</v>
      </c>
      <c r="CJ241" s="235" t="s">
        <v>1215</v>
      </c>
    </row>
    <row r="242" spans="1:88" s="235" customFormat="1" ht="20.100000000000001" customHeight="1" x14ac:dyDescent="0.15">
      <c r="A242" s="229" t="s">
        <v>3002</v>
      </c>
      <c r="B242" s="229" t="s">
        <v>590</v>
      </c>
      <c r="C242" s="230" t="s">
        <v>203</v>
      </c>
      <c r="D242" s="233">
        <v>1000</v>
      </c>
      <c r="E242" s="231">
        <f t="shared" si="95"/>
        <v>2843</v>
      </c>
      <c r="F242" s="232">
        <f t="shared" si="95"/>
        <v>2843000</v>
      </c>
      <c r="G242" s="231">
        <v>2578</v>
      </c>
      <c r="H242" s="232">
        <f t="shared" si="89"/>
        <v>2578000</v>
      </c>
      <c r="I242" s="231">
        <v>265</v>
      </c>
      <c r="J242" s="232">
        <f t="shared" si="90"/>
        <v>265000</v>
      </c>
      <c r="K242" s="231">
        <v>0</v>
      </c>
      <c r="L242" s="232">
        <f t="shared" si="91"/>
        <v>0</v>
      </c>
      <c r="M242" s="232"/>
      <c r="N242" s="232"/>
      <c r="O242" s="270">
        <f t="shared" si="67"/>
        <v>0</v>
      </c>
      <c r="P242" s="232"/>
      <c r="Q242" s="232">
        <f t="shared" si="68"/>
        <v>0</v>
      </c>
      <c r="R242" s="270">
        <f t="shared" si="69"/>
        <v>0</v>
      </c>
      <c r="S242" s="233">
        <f t="shared" si="92"/>
        <v>0</v>
      </c>
      <c r="T242" s="233">
        <f t="shared" si="93"/>
        <v>0</v>
      </c>
      <c r="U242" s="233">
        <f t="shared" si="94"/>
        <v>0</v>
      </c>
      <c r="V242" s="232">
        <f t="shared" si="70"/>
        <v>0</v>
      </c>
      <c r="W242" s="232">
        <f t="shared" si="71"/>
        <v>0</v>
      </c>
      <c r="X242" s="270">
        <f t="shared" si="72"/>
        <v>0</v>
      </c>
      <c r="Y242" s="234"/>
      <c r="Z242" s="383"/>
      <c r="AA242" s="252" t="e">
        <f>E242-#REF!</f>
        <v>#REF!</v>
      </c>
      <c r="AC242" s="235" t="s">
        <v>1100</v>
      </c>
      <c r="AD242" s="235" t="s">
        <v>2856</v>
      </c>
      <c r="AE242" s="235" t="s">
        <v>119</v>
      </c>
      <c r="AG242" s="235" t="s">
        <v>1778</v>
      </c>
      <c r="BV242" s="236" t="str">
        <f>HYPERLINK("#일위대가목록!A159","HT54906 →")</f>
        <v>HT54906 →</v>
      </c>
      <c r="CB242" s="235">
        <v>3309</v>
      </c>
      <c r="CC242" s="235">
        <v>3309000</v>
      </c>
      <c r="CD242" s="235">
        <v>3000</v>
      </c>
      <c r="CE242" s="235">
        <v>3000000</v>
      </c>
      <c r="CF242" s="235">
        <v>309</v>
      </c>
      <c r="CG242" s="235">
        <v>309000</v>
      </c>
      <c r="CH242" s="235">
        <v>0</v>
      </c>
      <c r="CI242" s="235">
        <v>0</v>
      </c>
      <c r="CJ242" s="235" t="s">
        <v>2793</v>
      </c>
    </row>
    <row r="243" spans="1:88" s="235" customFormat="1" ht="20.100000000000001" customHeight="1" x14ac:dyDescent="0.15">
      <c r="A243" s="229" t="s">
        <v>3003</v>
      </c>
      <c r="B243" s="229" t="s">
        <v>1571</v>
      </c>
      <c r="C243" s="230" t="s">
        <v>203</v>
      </c>
      <c r="D243" s="233">
        <v>1000</v>
      </c>
      <c r="E243" s="231">
        <f t="shared" si="95"/>
        <v>1124</v>
      </c>
      <c r="F243" s="232">
        <f t="shared" si="95"/>
        <v>1124000</v>
      </c>
      <c r="G243" s="231">
        <v>859</v>
      </c>
      <c r="H243" s="232">
        <f t="shared" si="89"/>
        <v>859000</v>
      </c>
      <c r="I243" s="231">
        <v>265</v>
      </c>
      <c r="J243" s="232">
        <f t="shared" si="90"/>
        <v>265000</v>
      </c>
      <c r="K243" s="231">
        <v>0</v>
      </c>
      <c r="L243" s="232">
        <f t="shared" si="91"/>
        <v>0</v>
      </c>
      <c r="M243" s="232"/>
      <c r="N243" s="232"/>
      <c r="O243" s="270">
        <f t="shared" si="67"/>
        <v>0</v>
      </c>
      <c r="P243" s="232"/>
      <c r="Q243" s="232">
        <f t="shared" si="68"/>
        <v>0</v>
      </c>
      <c r="R243" s="270">
        <f t="shared" si="69"/>
        <v>0</v>
      </c>
      <c r="S243" s="233">
        <f t="shared" si="92"/>
        <v>0</v>
      </c>
      <c r="T243" s="233">
        <f t="shared" si="93"/>
        <v>0</v>
      </c>
      <c r="U243" s="233">
        <f t="shared" si="94"/>
        <v>0</v>
      </c>
      <c r="V243" s="232">
        <f t="shared" si="70"/>
        <v>0</v>
      </c>
      <c r="W243" s="232">
        <f t="shared" si="71"/>
        <v>0</v>
      </c>
      <c r="X243" s="270">
        <f t="shared" si="72"/>
        <v>0</v>
      </c>
      <c r="Y243" s="234"/>
      <c r="Z243" s="383"/>
      <c r="AA243" s="252" t="e">
        <f>E243-#REF!</f>
        <v>#REF!</v>
      </c>
      <c r="AC243" s="235" t="s">
        <v>1954</v>
      </c>
      <c r="AD243" s="235" t="s">
        <v>2856</v>
      </c>
      <c r="AE243" s="235" t="s">
        <v>2104</v>
      </c>
      <c r="AG243" s="235" t="s">
        <v>1778</v>
      </c>
      <c r="BV243" s="236" t="str">
        <f>HYPERLINK("#일위대가목록!A160","HT5160 →")</f>
        <v>HT5160 →</v>
      </c>
      <c r="CB243" s="235">
        <v>1309</v>
      </c>
      <c r="CC243" s="235">
        <v>1309000</v>
      </c>
      <c r="CD243" s="235">
        <v>1000</v>
      </c>
      <c r="CE243" s="235">
        <v>1000000</v>
      </c>
      <c r="CF243" s="235">
        <v>309</v>
      </c>
      <c r="CG243" s="235">
        <v>309000</v>
      </c>
      <c r="CH243" s="235">
        <v>0</v>
      </c>
      <c r="CI243" s="235">
        <v>0</v>
      </c>
      <c r="CJ243" s="235" t="s">
        <v>700</v>
      </c>
    </row>
    <row r="244" spans="1:88" s="235" customFormat="1" ht="20.100000000000001" customHeight="1" x14ac:dyDescent="0.15">
      <c r="A244" s="229" t="s">
        <v>3004</v>
      </c>
      <c r="B244" s="229" t="s">
        <v>590</v>
      </c>
      <c r="C244" s="230" t="s">
        <v>203</v>
      </c>
      <c r="D244" s="233">
        <v>1200</v>
      </c>
      <c r="E244" s="231">
        <f t="shared" si="95"/>
        <v>1983</v>
      </c>
      <c r="F244" s="232">
        <f t="shared" si="95"/>
        <v>2379600</v>
      </c>
      <c r="G244" s="231">
        <v>1718</v>
      </c>
      <c r="H244" s="232">
        <f t="shared" si="89"/>
        <v>2061600</v>
      </c>
      <c r="I244" s="231">
        <v>265</v>
      </c>
      <c r="J244" s="232">
        <f t="shared" si="90"/>
        <v>318000</v>
      </c>
      <c r="K244" s="231">
        <v>0</v>
      </c>
      <c r="L244" s="232">
        <f t="shared" si="91"/>
        <v>0</v>
      </c>
      <c r="M244" s="232"/>
      <c r="N244" s="232"/>
      <c r="O244" s="270">
        <f t="shared" si="67"/>
        <v>0</v>
      </c>
      <c r="P244" s="232"/>
      <c r="Q244" s="232">
        <f t="shared" si="68"/>
        <v>0</v>
      </c>
      <c r="R244" s="270">
        <f t="shared" si="69"/>
        <v>0</v>
      </c>
      <c r="S244" s="233">
        <f t="shared" si="92"/>
        <v>0</v>
      </c>
      <c r="T244" s="233">
        <f t="shared" si="93"/>
        <v>0</v>
      </c>
      <c r="U244" s="233">
        <f t="shared" si="94"/>
        <v>0</v>
      </c>
      <c r="V244" s="232">
        <f t="shared" si="70"/>
        <v>0</v>
      </c>
      <c r="W244" s="232">
        <f t="shared" si="71"/>
        <v>0</v>
      </c>
      <c r="X244" s="270">
        <f t="shared" si="72"/>
        <v>0</v>
      </c>
      <c r="Y244" s="234"/>
      <c r="Z244" s="383"/>
      <c r="AA244" s="252" t="e">
        <f>E244-#REF!</f>
        <v>#REF!</v>
      </c>
      <c r="AC244" s="235" t="s">
        <v>348</v>
      </c>
      <c r="AD244" s="235" t="s">
        <v>2856</v>
      </c>
      <c r="AE244" s="235" t="s">
        <v>841</v>
      </c>
      <c r="AG244" s="235" t="s">
        <v>1778</v>
      </c>
      <c r="BV244" s="236" t="str">
        <f>HYPERLINK("#일위대가목록!A161","HT5242 →")</f>
        <v>HT5242 →</v>
      </c>
      <c r="CB244" s="235">
        <v>2309</v>
      </c>
      <c r="CC244" s="235">
        <v>2770800</v>
      </c>
      <c r="CD244" s="235">
        <v>2000</v>
      </c>
      <c r="CE244" s="235">
        <v>2400000</v>
      </c>
      <c r="CF244" s="235">
        <v>309</v>
      </c>
      <c r="CG244" s="235">
        <v>370800</v>
      </c>
      <c r="CH244" s="235">
        <v>0</v>
      </c>
      <c r="CI244" s="235">
        <v>0</v>
      </c>
      <c r="CJ244" s="235" t="s">
        <v>2387</v>
      </c>
    </row>
    <row r="245" spans="1:88" s="235" customFormat="1" ht="20.100000000000001" customHeight="1" x14ac:dyDescent="0.15">
      <c r="A245" s="229" t="s">
        <v>3005</v>
      </c>
      <c r="B245" s="229" t="s">
        <v>1811</v>
      </c>
      <c r="C245" s="230" t="s">
        <v>203</v>
      </c>
      <c r="D245" s="233">
        <v>1600</v>
      </c>
      <c r="E245" s="231">
        <f t="shared" si="95"/>
        <v>1983</v>
      </c>
      <c r="F245" s="232">
        <f t="shared" si="95"/>
        <v>3172800</v>
      </c>
      <c r="G245" s="231">
        <v>1718</v>
      </c>
      <c r="H245" s="232">
        <f t="shared" si="89"/>
        <v>2748800</v>
      </c>
      <c r="I245" s="231">
        <v>265</v>
      </c>
      <c r="J245" s="232">
        <f t="shared" si="90"/>
        <v>424000</v>
      </c>
      <c r="K245" s="231">
        <v>0</v>
      </c>
      <c r="L245" s="232">
        <f t="shared" si="91"/>
        <v>0</v>
      </c>
      <c r="M245" s="232"/>
      <c r="N245" s="232"/>
      <c r="O245" s="270">
        <f t="shared" si="67"/>
        <v>0</v>
      </c>
      <c r="P245" s="232"/>
      <c r="Q245" s="232">
        <f t="shared" si="68"/>
        <v>0</v>
      </c>
      <c r="R245" s="270">
        <f t="shared" si="69"/>
        <v>0</v>
      </c>
      <c r="S245" s="233">
        <f t="shared" si="92"/>
        <v>0</v>
      </c>
      <c r="T245" s="233">
        <f t="shared" si="93"/>
        <v>0</v>
      </c>
      <c r="U245" s="233">
        <f t="shared" si="94"/>
        <v>0</v>
      </c>
      <c r="V245" s="232">
        <f t="shared" si="70"/>
        <v>0</v>
      </c>
      <c r="W245" s="232">
        <f t="shared" si="71"/>
        <v>0</v>
      </c>
      <c r="X245" s="270">
        <f t="shared" si="72"/>
        <v>0</v>
      </c>
      <c r="Y245" s="234"/>
      <c r="Z245" s="383"/>
      <c r="AA245" s="252" t="e">
        <f>E245-#REF!</f>
        <v>#REF!</v>
      </c>
      <c r="AC245" s="235" t="s">
        <v>2671</v>
      </c>
      <c r="AD245" s="235" t="s">
        <v>2856</v>
      </c>
      <c r="AE245" s="235" t="s">
        <v>2438</v>
      </c>
      <c r="AG245" s="235" t="s">
        <v>1778</v>
      </c>
      <c r="BV245" s="236" t="str">
        <f>HYPERLINK("#일위대가목록!A162","HT5243 →")</f>
        <v>HT5243 →</v>
      </c>
      <c r="CB245" s="235">
        <v>2309</v>
      </c>
      <c r="CC245" s="235">
        <v>3694400</v>
      </c>
      <c r="CD245" s="235">
        <v>2000</v>
      </c>
      <c r="CE245" s="235">
        <v>3200000</v>
      </c>
      <c r="CF245" s="235">
        <v>309</v>
      </c>
      <c r="CG245" s="235">
        <v>494400</v>
      </c>
      <c r="CH245" s="235">
        <v>0</v>
      </c>
      <c r="CI245" s="235">
        <v>0</v>
      </c>
      <c r="CJ245" s="235" t="s">
        <v>1311</v>
      </c>
    </row>
    <row r="246" spans="1:88" s="235" customFormat="1" ht="20.100000000000001" customHeight="1" x14ac:dyDescent="0.15">
      <c r="A246" s="229" t="s">
        <v>3006</v>
      </c>
      <c r="B246" s="229" t="s">
        <v>2465</v>
      </c>
      <c r="C246" s="230" t="s">
        <v>203</v>
      </c>
      <c r="D246" s="233">
        <v>1700</v>
      </c>
      <c r="E246" s="231">
        <f t="shared" si="95"/>
        <v>1296</v>
      </c>
      <c r="F246" s="232">
        <f t="shared" si="95"/>
        <v>2203200</v>
      </c>
      <c r="G246" s="231">
        <v>1031</v>
      </c>
      <c r="H246" s="232">
        <f t="shared" si="89"/>
        <v>1752700</v>
      </c>
      <c r="I246" s="231">
        <v>265</v>
      </c>
      <c r="J246" s="232">
        <f t="shared" si="90"/>
        <v>450500</v>
      </c>
      <c r="K246" s="231">
        <v>0</v>
      </c>
      <c r="L246" s="232">
        <f t="shared" si="91"/>
        <v>0</v>
      </c>
      <c r="M246" s="232"/>
      <c r="N246" s="232"/>
      <c r="O246" s="270">
        <f t="shared" si="67"/>
        <v>0</v>
      </c>
      <c r="P246" s="232"/>
      <c r="Q246" s="232">
        <f t="shared" si="68"/>
        <v>0</v>
      </c>
      <c r="R246" s="270">
        <f t="shared" si="69"/>
        <v>0</v>
      </c>
      <c r="S246" s="233">
        <f t="shared" si="92"/>
        <v>0</v>
      </c>
      <c r="T246" s="233">
        <f t="shared" si="93"/>
        <v>0</v>
      </c>
      <c r="U246" s="233">
        <f t="shared" si="94"/>
        <v>0</v>
      </c>
      <c r="V246" s="232">
        <f t="shared" si="70"/>
        <v>0</v>
      </c>
      <c r="W246" s="232">
        <f t="shared" si="71"/>
        <v>0</v>
      </c>
      <c r="X246" s="270">
        <f t="shared" si="72"/>
        <v>0</v>
      </c>
      <c r="Y246" s="234"/>
      <c r="Z246" s="383"/>
      <c r="AA246" s="252" t="e">
        <f>E246-#REF!</f>
        <v>#REF!</v>
      </c>
      <c r="AC246" s="235" t="s">
        <v>1934</v>
      </c>
      <c r="AD246" s="235" t="s">
        <v>2856</v>
      </c>
      <c r="AE246" s="235" t="s">
        <v>2533</v>
      </c>
      <c r="AG246" s="235" t="s">
        <v>1778</v>
      </c>
      <c r="BV246" s="236" t="str">
        <f>HYPERLINK("#일위대가목록!A163","HT4780 →")</f>
        <v>HT4780 →</v>
      </c>
      <c r="CB246" s="235">
        <v>1509</v>
      </c>
      <c r="CC246" s="235">
        <v>2565300</v>
      </c>
      <c r="CD246" s="235">
        <v>1200</v>
      </c>
      <c r="CE246" s="235">
        <v>2040000</v>
      </c>
      <c r="CF246" s="235">
        <v>309</v>
      </c>
      <c r="CG246" s="235">
        <v>525300</v>
      </c>
      <c r="CH246" s="235">
        <v>0</v>
      </c>
      <c r="CI246" s="235">
        <v>0</v>
      </c>
      <c r="CJ246" s="235" t="s">
        <v>2543</v>
      </c>
    </row>
    <row r="247" spans="1:88" s="235" customFormat="1" ht="20.100000000000001" customHeight="1" x14ac:dyDescent="0.15">
      <c r="A247" s="229" t="s">
        <v>3007</v>
      </c>
      <c r="B247" s="229" t="s">
        <v>590</v>
      </c>
      <c r="C247" s="230" t="s">
        <v>203</v>
      </c>
      <c r="D247" s="233">
        <v>1700</v>
      </c>
      <c r="E247" s="231">
        <f t="shared" si="95"/>
        <v>7139</v>
      </c>
      <c r="F247" s="232">
        <f t="shared" si="95"/>
        <v>12136300</v>
      </c>
      <c r="G247" s="231">
        <v>6874</v>
      </c>
      <c r="H247" s="232">
        <f t="shared" si="89"/>
        <v>11685800</v>
      </c>
      <c r="I247" s="231">
        <v>265</v>
      </c>
      <c r="J247" s="232">
        <f t="shared" si="90"/>
        <v>450500</v>
      </c>
      <c r="K247" s="231">
        <v>0</v>
      </c>
      <c r="L247" s="232">
        <f t="shared" si="91"/>
        <v>0</v>
      </c>
      <c r="M247" s="232"/>
      <c r="N247" s="232"/>
      <c r="O247" s="270">
        <f t="shared" si="67"/>
        <v>0</v>
      </c>
      <c r="P247" s="232"/>
      <c r="Q247" s="232">
        <f t="shared" si="68"/>
        <v>0</v>
      </c>
      <c r="R247" s="270">
        <f t="shared" si="69"/>
        <v>0</v>
      </c>
      <c r="S247" s="233">
        <f t="shared" si="92"/>
        <v>0</v>
      </c>
      <c r="T247" s="233">
        <f t="shared" si="93"/>
        <v>0</v>
      </c>
      <c r="U247" s="233">
        <f t="shared" si="94"/>
        <v>0</v>
      </c>
      <c r="V247" s="232">
        <f t="shared" si="70"/>
        <v>0</v>
      </c>
      <c r="W247" s="232">
        <f t="shared" si="71"/>
        <v>0</v>
      </c>
      <c r="X247" s="270">
        <f t="shared" si="72"/>
        <v>0</v>
      </c>
      <c r="Y247" s="234"/>
      <c r="Z247" s="383"/>
      <c r="AA247" s="252" t="e">
        <f>E247-#REF!</f>
        <v>#REF!</v>
      </c>
      <c r="AC247" s="235" t="s">
        <v>1088</v>
      </c>
      <c r="AD247" s="235" t="s">
        <v>2856</v>
      </c>
      <c r="AE247" s="235" t="s">
        <v>582</v>
      </c>
      <c r="AG247" s="235" t="s">
        <v>1778</v>
      </c>
      <c r="BV247" s="236" t="str">
        <f>HYPERLINK("#일위대가목록!A164","HT5271 →")</f>
        <v>HT5271 →</v>
      </c>
      <c r="CB247" s="235">
        <v>8309</v>
      </c>
      <c r="CC247" s="235">
        <v>14125300</v>
      </c>
      <c r="CD247" s="235">
        <v>8000</v>
      </c>
      <c r="CE247" s="235">
        <v>13600000</v>
      </c>
      <c r="CF247" s="235">
        <v>309</v>
      </c>
      <c r="CG247" s="235">
        <v>525300</v>
      </c>
      <c r="CH247" s="235">
        <v>0</v>
      </c>
      <c r="CI247" s="235">
        <v>0</v>
      </c>
      <c r="CJ247" s="235" t="s">
        <v>1022</v>
      </c>
    </row>
    <row r="248" spans="1:88" s="235" customFormat="1" ht="20.100000000000001" customHeight="1" x14ac:dyDescent="0.15">
      <c r="A248" s="229" t="s">
        <v>3008</v>
      </c>
      <c r="B248" s="229" t="s">
        <v>590</v>
      </c>
      <c r="C248" s="230" t="s">
        <v>203</v>
      </c>
      <c r="D248" s="233">
        <v>1000</v>
      </c>
      <c r="E248" s="231">
        <f t="shared" si="95"/>
        <v>2843</v>
      </c>
      <c r="F248" s="232">
        <f t="shared" si="95"/>
        <v>2843000</v>
      </c>
      <c r="G248" s="231">
        <v>2578</v>
      </c>
      <c r="H248" s="232">
        <f t="shared" si="89"/>
        <v>2578000</v>
      </c>
      <c r="I248" s="231">
        <v>265</v>
      </c>
      <c r="J248" s="232">
        <f t="shared" si="90"/>
        <v>265000</v>
      </c>
      <c r="K248" s="231">
        <v>0</v>
      </c>
      <c r="L248" s="232">
        <f t="shared" si="91"/>
        <v>0</v>
      </c>
      <c r="M248" s="232"/>
      <c r="N248" s="232"/>
      <c r="O248" s="270">
        <f t="shared" si="67"/>
        <v>0</v>
      </c>
      <c r="P248" s="232"/>
      <c r="Q248" s="232">
        <f t="shared" si="68"/>
        <v>0</v>
      </c>
      <c r="R248" s="270">
        <f t="shared" si="69"/>
        <v>0</v>
      </c>
      <c r="S248" s="233">
        <f t="shared" si="92"/>
        <v>0</v>
      </c>
      <c r="T248" s="233">
        <f t="shared" si="93"/>
        <v>0</v>
      </c>
      <c r="U248" s="233">
        <f t="shared" si="94"/>
        <v>0</v>
      </c>
      <c r="V248" s="232">
        <f t="shared" si="70"/>
        <v>0</v>
      </c>
      <c r="W248" s="232">
        <f t="shared" si="71"/>
        <v>0</v>
      </c>
      <c r="X248" s="270">
        <f t="shared" si="72"/>
        <v>0</v>
      </c>
      <c r="Y248" s="234"/>
      <c r="Z248" s="383"/>
      <c r="AA248" s="252" t="e">
        <f>E248-#REF!</f>
        <v>#REF!</v>
      </c>
      <c r="AC248" s="235" t="s">
        <v>177</v>
      </c>
      <c r="AD248" s="235" t="s">
        <v>2856</v>
      </c>
      <c r="AE248" s="235" t="s">
        <v>1747</v>
      </c>
      <c r="AG248" s="235" t="s">
        <v>1778</v>
      </c>
      <c r="BV248" s="236" t="str">
        <f>HYPERLINK("#일위대가목록!A165","HT54907 →")</f>
        <v>HT54907 →</v>
      </c>
      <c r="CB248" s="235">
        <v>3309</v>
      </c>
      <c r="CC248" s="235">
        <v>3309000</v>
      </c>
      <c r="CD248" s="235">
        <v>3000</v>
      </c>
      <c r="CE248" s="235">
        <v>3000000</v>
      </c>
      <c r="CF248" s="235">
        <v>309</v>
      </c>
      <c r="CG248" s="235">
        <v>309000</v>
      </c>
      <c r="CH248" s="235">
        <v>0</v>
      </c>
      <c r="CI248" s="235">
        <v>0</v>
      </c>
      <c r="CJ248" s="235" t="s">
        <v>2313</v>
      </c>
    </row>
    <row r="249" spans="1:88" s="235" customFormat="1" ht="20.100000000000001" customHeight="1" x14ac:dyDescent="0.15">
      <c r="A249" s="229" t="s">
        <v>3009</v>
      </c>
      <c r="B249" s="229" t="s">
        <v>763</v>
      </c>
      <c r="C249" s="230" t="s">
        <v>203</v>
      </c>
      <c r="D249" s="233">
        <v>2000</v>
      </c>
      <c r="E249" s="231">
        <f t="shared" si="95"/>
        <v>4561</v>
      </c>
      <c r="F249" s="232">
        <f t="shared" si="95"/>
        <v>9122000</v>
      </c>
      <c r="G249" s="231">
        <v>4296</v>
      </c>
      <c r="H249" s="232">
        <f t="shared" si="89"/>
        <v>8592000</v>
      </c>
      <c r="I249" s="231">
        <v>265</v>
      </c>
      <c r="J249" s="232">
        <f t="shared" si="90"/>
        <v>530000</v>
      </c>
      <c r="K249" s="231">
        <v>0</v>
      </c>
      <c r="L249" s="232">
        <f t="shared" si="91"/>
        <v>0</v>
      </c>
      <c r="M249" s="232"/>
      <c r="N249" s="232"/>
      <c r="O249" s="270">
        <f t="shared" si="67"/>
        <v>0</v>
      </c>
      <c r="P249" s="232"/>
      <c r="Q249" s="232">
        <f t="shared" si="68"/>
        <v>0</v>
      </c>
      <c r="R249" s="270">
        <f t="shared" si="69"/>
        <v>0</v>
      </c>
      <c r="S249" s="233">
        <f t="shared" si="92"/>
        <v>0</v>
      </c>
      <c r="T249" s="233">
        <f t="shared" si="93"/>
        <v>0</v>
      </c>
      <c r="U249" s="233">
        <f t="shared" si="94"/>
        <v>0</v>
      </c>
      <c r="V249" s="232">
        <f t="shared" si="70"/>
        <v>0</v>
      </c>
      <c r="W249" s="232">
        <f t="shared" si="71"/>
        <v>0</v>
      </c>
      <c r="X249" s="270">
        <f t="shared" si="72"/>
        <v>0</v>
      </c>
      <c r="Y249" s="234"/>
      <c r="Z249" s="383"/>
      <c r="AA249" s="252" t="e">
        <f>E249-#REF!</f>
        <v>#REF!</v>
      </c>
      <c r="AC249" s="235" t="s">
        <v>1648</v>
      </c>
      <c r="AD249" s="235" t="s">
        <v>2856</v>
      </c>
      <c r="AE249" s="235" t="s">
        <v>1665</v>
      </c>
      <c r="AG249" s="235" t="s">
        <v>1778</v>
      </c>
      <c r="BV249" s="236" t="str">
        <f>HYPERLINK("#일위대가목록!A166","HT4810 →")</f>
        <v>HT4810 →</v>
      </c>
      <c r="CB249" s="235">
        <v>5309</v>
      </c>
      <c r="CC249" s="235">
        <v>10618000</v>
      </c>
      <c r="CD249" s="235">
        <v>5000</v>
      </c>
      <c r="CE249" s="235">
        <v>10000000</v>
      </c>
      <c r="CF249" s="235">
        <v>309</v>
      </c>
      <c r="CG249" s="235">
        <v>618000</v>
      </c>
      <c r="CH249" s="235">
        <v>0</v>
      </c>
      <c r="CI249" s="235">
        <v>0</v>
      </c>
      <c r="CJ249" s="235" t="s">
        <v>1080</v>
      </c>
    </row>
    <row r="250" spans="1:88" s="250" customFormat="1" ht="20.100000000000001" customHeight="1" x14ac:dyDescent="0.15">
      <c r="A250" s="243" t="s">
        <v>3010</v>
      </c>
      <c r="B250" s="243" t="s">
        <v>2856</v>
      </c>
      <c r="C250" s="244" t="s">
        <v>2856</v>
      </c>
      <c r="D250" s="248"/>
      <c r="E250" s="245">
        <f t="shared" si="95"/>
        <v>0</v>
      </c>
      <c r="F250" s="246">
        <f t="shared" si="95"/>
        <v>44229069</v>
      </c>
      <c r="G250" s="247"/>
      <c r="H250" s="246">
        <f>TRUNC(H251+H252+H253+H254,0)</f>
        <v>24387265</v>
      </c>
      <c r="I250" s="247"/>
      <c r="J250" s="246">
        <f>TRUNC(J251+J252+J253+J254,0)</f>
        <v>19841804</v>
      </c>
      <c r="K250" s="247"/>
      <c r="L250" s="246">
        <f>TRUNC(L251+L252+L253+L254,0)</f>
        <v>0</v>
      </c>
      <c r="M250" s="246"/>
      <c r="N250" s="246"/>
      <c r="O250" s="271">
        <f t="shared" si="67"/>
        <v>0</v>
      </c>
      <c r="P250" s="246"/>
      <c r="Q250" s="246">
        <f t="shared" si="68"/>
        <v>1333648</v>
      </c>
      <c r="R250" s="271">
        <f t="shared" si="69"/>
        <v>3.015320082817027E-2</v>
      </c>
      <c r="S250" s="248">
        <f>TRUNC(S251+S252+S253+S254,0)</f>
        <v>1224550</v>
      </c>
      <c r="T250" s="248">
        <f>TRUNC(T251+T252+T253+T254,0)</f>
        <v>109098</v>
      </c>
      <c r="U250" s="248">
        <f>TRUNC(U251+U252+U253+U254,0)</f>
        <v>0</v>
      </c>
      <c r="V250" s="246">
        <f t="shared" si="70"/>
        <v>0</v>
      </c>
      <c r="W250" s="246">
        <f t="shared" si="71"/>
        <v>1333648</v>
      </c>
      <c r="X250" s="271">
        <f t="shared" si="72"/>
        <v>3.015320082817027E-2</v>
      </c>
      <c r="Y250" s="249"/>
      <c r="Z250" s="385"/>
      <c r="AA250" s="252" t="e">
        <f>E250-#REF!</f>
        <v>#REF!</v>
      </c>
      <c r="AC250" s="250" t="s">
        <v>2748</v>
      </c>
      <c r="AD250" s="250" t="s">
        <v>2856</v>
      </c>
      <c r="AE250" s="250" t="s">
        <v>2856</v>
      </c>
      <c r="CB250" s="250">
        <v>0</v>
      </c>
      <c r="CC250" s="250">
        <v>51473980</v>
      </c>
      <c r="CE250" s="250">
        <v>28381000</v>
      </c>
      <c r="CG250" s="250">
        <v>23092980</v>
      </c>
      <c r="CI250" s="250">
        <v>0</v>
      </c>
      <c r="CJ250" s="250" t="s">
        <v>2856</v>
      </c>
    </row>
    <row r="251" spans="1:88" s="235" customFormat="1" ht="20.100000000000001" customHeight="1" x14ac:dyDescent="0.15">
      <c r="A251" s="229" t="s">
        <v>3011</v>
      </c>
      <c r="B251" s="229" t="s">
        <v>1910</v>
      </c>
      <c r="C251" s="230" t="s">
        <v>1202</v>
      </c>
      <c r="D251" s="233">
        <v>3826</v>
      </c>
      <c r="E251" s="231">
        <f t="shared" si="95"/>
        <v>9742</v>
      </c>
      <c r="F251" s="232">
        <f t="shared" si="95"/>
        <v>37272892</v>
      </c>
      <c r="G251" s="231">
        <v>4640</v>
      </c>
      <c r="H251" s="232">
        <f>TRUNC(G251*D251,0)</f>
        <v>17752640</v>
      </c>
      <c r="I251" s="231">
        <v>5102</v>
      </c>
      <c r="J251" s="232">
        <f>TRUNC(I251*D251,0)</f>
        <v>19520252</v>
      </c>
      <c r="K251" s="231">
        <v>0</v>
      </c>
      <c r="L251" s="232">
        <f>TRUNC(K251*D251,0)</f>
        <v>0</v>
      </c>
      <c r="M251" s="232"/>
      <c r="N251" s="232"/>
      <c r="O251" s="270">
        <f t="shared" si="67"/>
        <v>0</v>
      </c>
      <c r="P251" s="232"/>
      <c r="Q251" s="232">
        <f t="shared" si="68"/>
        <v>0</v>
      </c>
      <c r="R251" s="270">
        <f t="shared" si="69"/>
        <v>0</v>
      </c>
      <c r="S251" s="233">
        <f>TRUNC(G251*$P251,0)</f>
        <v>0</v>
      </c>
      <c r="T251" s="233">
        <f>TRUNC(I251*$P251,0)</f>
        <v>0</v>
      </c>
      <c r="U251" s="233">
        <f>TRUNC(K251*$P251,0)</f>
        <v>0</v>
      </c>
      <c r="V251" s="232">
        <f t="shared" si="70"/>
        <v>0</v>
      </c>
      <c r="W251" s="232">
        <f t="shared" si="71"/>
        <v>0</v>
      </c>
      <c r="X251" s="270">
        <f t="shared" si="72"/>
        <v>0</v>
      </c>
      <c r="Y251" s="234"/>
      <c r="Z251" s="383"/>
      <c r="AA251" s="252" t="e">
        <f>E251-#REF!</f>
        <v>#REF!</v>
      </c>
      <c r="AC251" s="235" t="s">
        <v>1040</v>
      </c>
      <c r="AD251" s="235" t="s">
        <v>2856</v>
      </c>
      <c r="AE251" s="235" t="s">
        <v>199</v>
      </c>
      <c r="AG251" s="235" t="s">
        <v>1778</v>
      </c>
      <c r="BV251" s="236" t="str">
        <f>HYPERLINK("#일위대가목록!A167","NT0100 →")</f>
        <v>NT0100 →</v>
      </c>
      <c r="CB251" s="235">
        <v>11338</v>
      </c>
      <c r="CC251" s="235">
        <v>43379188</v>
      </c>
      <c r="CD251" s="235">
        <v>5400</v>
      </c>
      <c r="CE251" s="235">
        <v>20660400</v>
      </c>
      <c r="CF251" s="235">
        <v>5938</v>
      </c>
      <c r="CG251" s="235">
        <v>22718788</v>
      </c>
      <c r="CH251" s="235">
        <v>0</v>
      </c>
      <c r="CI251" s="235">
        <v>0</v>
      </c>
      <c r="CJ251" s="235" t="s">
        <v>2243</v>
      </c>
    </row>
    <row r="252" spans="1:88" s="235" customFormat="1" ht="20.100000000000001" customHeight="1" x14ac:dyDescent="0.15">
      <c r="A252" s="229" t="s">
        <v>3012</v>
      </c>
      <c r="B252" s="229" t="s">
        <v>1732</v>
      </c>
      <c r="C252" s="230" t="s">
        <v>773</v>
      </c>
      <c r="D252" s="233">
        <v>29</v>
      </c>
      <c r="E252" s="231">
        <f t="shared" si="95"/>
        <v>46663</v>
      </c>
      <c r="F252" s="232">
        <f t="shared" si="95"/>
        <v>1353227</v>
      </c>
      <c r="G252" s="231">
        <v>46663</v>
      </c>
      <c r="H252" s="232">
        <f>TRUNC(G252*D252,0)</f>
        <v>1353227</v>
      </c>
      <c r="I252" s="231">
        <v>0</v>
      </c>
      <c r="J252" s="232"/>
      <c r="K252" s="231">
        <v>0</v>
      </c>
      <c r="L252" s="232"/>
      <c r="M252" s="232"/>
      <c r="N252" s="232"/>
      <c r="O252" s="270">
        <f t="shared" si="67"/>
        <v>0</v>
      </c>
      <c r="P252" s="232"/>
      <c r="Q252" s="232">
        <f t="shared" si="68"/>
        <v>0</v>
      </c>
      <c r="R252" s="270">
        <f t="shared" si="69"/>
        <v>0</v>
      </c>
      <c r="S252" s="233">
        <f>TRUNC(G252*$P252,0)</f>
        <v>0</v>
      </c>
      <c r="T252" s="233">
        <f>TRUNC(I252*$P252,0)</f>
        <v>0</v>
      </c>
      <c r="U252" s="233">
        <f>TRUNC(K252*$P252,0)</f>
        <v>0</v>
      </c>
      <c r="V252" s="232">
        <f t="shared" si="70"/>
        <v>0</v>
      </c>
      <c r="W252" s="232">
        <f t="shared" si="71"/>
        <v>0</v>
      </c>
      <c r="X252" s="270">
        <f t="shared" si="72"/>
        <v>0</v>
      </c>
      <c r="Y252" s="234"/>
      <c r="Z252" s="383"/>
      <c r="AA252" s="252" t="e">
        <f>E252-#REF!</f>
        <v>#REF!</v>
      </c>
      <c r="AC252" s="235" t="s">
        <v>1411</v>
      </c>
      <c r="AD252" s="235" t="s">
        <v>2856</v>
      </c>
      <c r="AE252" s="235" t="s">
        <v>783</v>
      </c>
      <c r="BV252" s="236" t="str">
        <f>HYPERLINK("#자재조서!A120","MTH05 →")</f>
        <v>MTH05 →</v>
      </c>
      <c r="CB252" s="235">
        <v>54300</v>
      </c>
      <c r="CC252" s="235">
        <v>1574700</v>
      </c>
      <c r="CD252" s="235">
        <v>54300</v>
      </c>
      <c r="CE252" s="235">
        <v>1574700</v>
      </c>
      <c r="CF252" s="235">
        <v>0</v>
      </c>
      <c r="CH252" s="235">
        <v>0</v>
      </c>
      <c r="CJ252" s="235" t="s">
        <v>783</v>
      </c>
    </row>
    <row r="253" spans="1:88" s="235" customFormat="1" ht="20.100000000000001" customHeight="1" x14ac:dyDescent="0.15">
      <c r="A253" s="229" t="s">
        <v>3013</v>
      </c>
      <c r="B253" s="229" t="s">
        <v>364</v>
      </c>
      <c r="C253" s="230" t="s">
        <v>773</v>
      </c>
      <c r="D253" s="233">
        <v>29</v>
      </c>
      <c r="E253" s="231">
        <f t="shared" si="95"/>
        <v>57662</v>
      </c>
      <c r="F253" s="232">
        <f t="shared" si="95"/>
        <v>1672198</v>
      </c>
      <c r="G253" s="231">
        <v>57662</v>
      </c>
      <c r="H253" s="232">
        <f>TRUNC(G253*D253,0)</f>
        <v>1672198</v>
      </c>
      <c r="I253" s="231">
        <v>0</v>
      </c>
      <c r="J253" s="232"/>
      <c r="K253" s="231">
        <v>0</v>
      </c>
      <c r="L253" s="232"/>
      <c r="M253" s="232"/>
      <c r="N253" s="232"/>
      <c r="O253" s="270">
        <f t="shared" si="67"/>
        <v>0</v>
      </c>
      <c r="P253" s="232"/>
      <c r="Q253" s="232">
        <f t="shared" si="68"/>
        <v>0</v>
      </c>
      <c r="R253" s="270">
        <f t="shared" si="69"/>
        <v>0</v>
      </c>
      <c r="S253" s="233">
        <f>TRUNC(G253*$P253,0)</f>
        <v>0</v>
      </c>
      <c r="T253" s="233">
        <f>TRUNC(I253*$P253,0)</f>
        <v>0</v>
      </c>
      <c r="U253" s="233">
        <f>TRUNC(K253*$P253,0)</f>
        <v>0</v>
      </c>
      <c r="V253" s="232">
        <f t="shared" si="70"/>
        <v>0</v>
      </c>
      <c r="W253" s="232">
        <f t="shared" si="71"/>
        <v>0</v>
      </c>
      <c r="X253" s="270">
        <f t="shared" si="72"/>
        <v>0</v>
      </c>
      <c r="Y253" s="234"/>
      <c r="Z253" s="383"/>
      <c r="AA253" s="252" t="e">
        <f>E253-#REF!</f>
        <v>#REF!</v>
      </c>
      <c r="AC253" s="235" t="s">
        <v>2123</v>
      </c>
      <c r="AD253" s="235" t="s">
        <v>2856</v>
      </c>
      <c r="AE253" s="235" t="s">
        <v>2837</v>
      </c>
      <c r="BV253" s="236" t="str">
        <f>HYPERLINK("#자재조서!A121","MTH06 →")</f>
        <v>MTH06 →</v>
      </c>
      <c r="CB253" s="235">
        <v>67100</v>
      </c>
      <c r="CC253" s="235">
        <v>1945900</v>
      </c>
      <c r="CD253" s="235">
        <v>67100</v>
      </c>
      <c r="CE253" s="235">
        <v>1945900</v>
      </c>
      <c r="CF253" s="235">
        <v>0</v>
      </c>
      <c r="CH253" s="235">
        <v>0</v>
      </c>
      <c r="CJ253" s="235" t="s">
        <v>2837</v>
      </c>
    </row>
    <row r="254" spans="1:88" s="235" customFormat="1" ht="20.100000000000001" customHeight="1" x14ac:dyDescent="0.15">
      <c r="A254" s="229" t="s">
        <v>3014</v>
      </c>
      <c r="B254" s="229" t="s">
        <v>1479</v>
      </c>
      <c r="C254" s="230" t="s">
        <v>1796</v>
      </c>
      <c r="D254" s="233">
        <v>112</v>
      </c>
      <c r="E254" s="231">
        <f t="shared" si="95"/>
        <v>35096</v>
      </c>
      <c r="F254" s="232">
        <f t="shared" si="95"/>
        <v>3930752</v>
      </c>
      <c r="G254" s="231">
        <v>32225</v>
      </c>
      <c r="H254" s="232">
        <f>TRUNC(G254*D254,0)</f>
        <v>3609200</v>
      </c>
      <c r="I254" s="231">
        <v>2871</v>
      </c>
      <c r="J254" s="232">
        <f>TRUNC(I254*D254,0)</f>
        <v>321552</v>
      </c>
      <c r="K254" s="231">
        <v>0</v>
      </c>
      <c r="L254" s="232">
        <f>TRUNC(K254*D254,0)</f>
        <v>0</v>
      </c>
      <c r="M254" s="232"/>
      <c r="N254" s="232"/>
      <c r="O254" s="270">
        <f t="shared" si="67"/>
        <v>0</v>
      </c>
      <c r="P254" s="232">
        <f>SUM(P105,P106,P107,P132,P133,P140,P198,P205,P204)*2</f>
        <v>38</v>
      </c>
      <c r="Q254" s="232">
        <f t="shared" si="68"/>
        <v>1333648</v>
      </c>
      <c r="R254" s="270">
        <f t="shared" si="69"/>
        <v>0.3392857142857143</v>
      </c>
      <c r="S254" s="233">
        <f>TRUNC(G254*$P254,0)</f>
        <v>1224550</v>
      </c>
      <c r="T254" s="233">
        <f>TRUNC(I254*$P254,0)</f>
        <v>109098</v>
      </c>
      <c r="U254" s="233">
        <f>TRUNC(K254*$P254,0)</f>
        <v>0</v>
      </c>
      <c r="V254" s="232">
        <f t="shared" si="70"/>
        <v>38</v>
      </c>
      <c r="W254" s="232">
        <f t="shared" si="71"/>
        <v>1333648</v>
      </c>
      <c r="X254" s="270">
        <f t="shared" si="72"/>
        <v>0.3392857142857143</v>
      </c>
      <c r="Y254" s="234"/>
      <c r="Z254" s="383"/>
      <c r="AA254" s="252" t="e">
        <f>E254-#REF!</f>
        <v>#REF!</v>
      </c>
      <c r="AC254" s="235" t="s">
        <v>2827</v>
      </c>
      <c r="AD254" s="235" t="s">
        <v>2856</v>
      </c>
      <c r="AE254" s="235" t="s">
        <v>1247</v>
      </c>
      <c r="AG254" s="235" t="s">
        <v>1778</v>
      </c>
      <c r="BV254" s="236" t="str">
        <f>HYPERLINK("#일위대가목록!A168","NT9750 →")</f>
        <v>NT9750 →</v>
      </c>
      <c r="CB254" s="235">
        <v>40841</v>
      </c>
      <c r="CC254" s="235">
        <v>4574192</v>
      </c>
      <c r="CD254" s="235">
        <v>37500</v>
      </c>
      <c r="CE254" s="235">
        <v>4200000</v>
      </c>
      <c r="CF254" s="235">
        <v>3341</v>
      </c>
      <c r="CG254" s="235">
        <v>374192</v>
      </c>
      <c r="CH254" s="235">
        <v>0</v>
      </c>
      <c r="CI254" s="235">
        <v>0</v>
      </c>
      <c r="CJ254" s="235" t="s">
        <v>1949</v>
      </c>
    </row>
    <row r="255" spans="1:88" s="235" customFormat="1" ht="20.100000000000001" customHeight="1" x14ac:dyDescent="0.15">
      <c r="A255" s="229" t="s">
        <v>1164</v>
      </c>
      <c r="B255" s="229" t="s">
        <v>2856</v>
      </c>
      <c r="C255" s="230" t="s">
        <v>2856</v>
      </c>
      <c r="D255" s="233"/>
      <c r="E255" s="231">
        <f t="shared" si="95"/>
        <v>0</v>
      </c>
      <c r="F255" s="232">
        <f t="shared" si="95"/>
        <v>0</v>
      </c>
      <c r="G255" s="240"/>
      <c r="H255" s="232">
        <v>0</v>
      </c>
      <c r="I255" s="240"/>
      <c r="J255" s="232">
        <v>0</v>
      </c>
      <c r="K255" s="240"/>
      <c r="L255" s="232">
        <v>0</v>
      </c>
      <c r="M255" s="232"/>
      <c r="N255" s="232"/>
      <c r="O255" s="270">
        <f t="shared" si="67"/>
        <v>0</v>
      </c>
      <c r="P255" s="232"/>
      <c r="Q255" s="232">
        <f t="shared" si="68"/>
        <v>0</v>
      </c>
      <c r="R255" s="270">
        <f t="shared" si="69"/>
        <v>0</v>
      </c>
      <c r="S255" s="233">
        <f>TRUNC(G255*$P255,0)</f>
        <v>0</v>
      </c>
      <c r="T255" s="233">
        <f>TRUNC(I255*$P255,0)</f>
        <v>0</v>
      </c>
      <c r="U255" s="233">
        <f>TRUNC(K255*$P255,0)</f>
        <v>0</v>
      </c>
      <c r="V255" s="232">
        <f t="shared" si="70"/>
        <v>0</v>
      </c>
      <c r="W255" s="232">
        <f t="shared" si="71"/>
        <v>0</v>
      </c>
      <c r="X255" s="270">
        <f t="shared" si="72"/>
        <v>0</v>
      </c>
      <c r="Y255" s="234"/>
      <c r="Z255" s="383"/>
      <c r="AA255" s="252" t="e">
        <f>E255-#REF!</f>
        <v>#REF!</v>
      </c>
      <c r="AC255" s="235" t="s">
        <v>706</v>
      </c>
      <c r="AD255" s="235" t="s">
        <v>650</v>
      </c>
      <c r="AE255" s="235" t="s">
        <v>2856</v>
      </c>
      <c r="CB255" s="235">
        <v>0</v>
      </c>
      <c r="CC255" s="235">
        <v>0</v>
      </c>
      <c r="CE255" s="235">
        <v>0</v>
      </c>
      <c r="CG255" s="235">
        <v>0</v>
      </c>
      <c r="CI255" s="235">
        <v>0</v>
      </c>
      <c r="CJ255" s="235" t="s">
        <v>2856</v>
      </c>
    </row>
    <row r="256" spans="1:88" s="228" customFormat="1" ht="20.100000000000001" customHeight="1" x14ac:dyDescent="0.15">
      <c r="A256" s="241" t="s">
        <v>1413</v>
      </c>
      <c r="B256" s="241" t="s">
        <v>2856</v>
      </c>
      <c r="C256" s="223" t="s">
        <v>2303</v>
      </c>
      <c r="D256" s="226">
        <v>1</v>
      </c>
      <c r="E256" s="242"/>
      <c r="F256" s="225">
        <f t="shared" si="95"/>
        <v>260326801</v>
      </c>
      <c r="G256" s="242"/>
      <c r="H256" s="225">
        <f>TRUNC(H257+H258+H259+H260+H261+H262+H263+H264+H269+H270+H278+H279+H281+H283+H284+H285+H286+H287+H288+H289+H290+H291+H292+H293+H294+H295+H265+H266+H267+H268+H271+H272+H273+H274+H275+H276+H277+H282+H280,0)</f>
        <v>143156701</v>
      </c>
      <c r="I256" s="242"/>
      <c r="J256" s="225">
        <f>TRUNC(J257+J258+J259+J260+J261+J262+J263+J264+J269+J270+J278+J279+J281+J283+J284+J285+J286+J287+J288+J289+J290+J291+J292+J293+J294+J295+J265+J266+J267+J268+J271+J272+J273+J274+J275+J276+J277+J282+J280,0)</f>
        <v>109419239</v>
      </c>
      <c r="K256" s="242"/>
      <c r="L256" s="225">
        <f>TRUNC(L257+L258+L259+L260+L261+L262+L263+L264+L269+L270+L278+L279+L281+L283+L284+L285+L286+L287+L288+L289+L290+L291+L292+L293+L294+L295+L265+L266+L267+L268+L271+L272+L273+L274+L275+L276+L277+L282+L280,0)</f>
        <v>7750861</v>
      </c>
      <c r="M256" s="225"/>
      <c r="N256" s="225"/>
      <c r="O256" s="269">
        <f t="shared" si="67"/>
        <v>0</v>
      </c>
      <c r="P256" s="225"/>
      <c r="Q256" s="225">
        <f t="shared" si="68"/>
        <v>44408082</v>
      </c>
      <c r="R256" s="269">
        <f t="shared" si="69"/>
        <v>0.17058590137248297</v>
      </c>
      <c r="S256" s="226">
        <f>TRUNC(S257+S258+S259+S260+S261+S262+S263+S264+S269+S270+S278+S279+S281+S283+S284+S285+S286+S287+S288+S289+S290+S291+S292+S293+S294+S295+S265+S266+S267+S268+S271+S272+S273+S274+S275+S276+S277+S282+S280,0)</f>
        <v>5693752</v>
      </c>
      <c r="T256" s="226">
        <f>TRUNC(T257+T258+T259+T260+T261+T262+T263+T264+T269+T270+T278+T279+T281+T283+T284+T285+T286+T287+T288+T289+T290+T291+T292+T293+T294+T295+T265+T266+T267+T268+T271+T272+T273+T274+T275+T276+T277+T282+T280,0)</f>
        <v>34382419</v>
      </c>
      <c r="U256" s="226">
        <f>TRUNC(U257+U258+U259+U260+U261+U262+U263+U264+U269+U270+U278+U279+U281+U283+U284+U285+U286+U287+U288+U289+U290+U291+U292+U293+U294+U295+U265+U266+U267+U268+U271+U272+U273+U274+U275+U276+U277+U282+U280,0)</f>
        <v>4331911</v>
      </c>
      <c r="V256" s="225">
        <f t="shared" si="70"/>
        <v>0</v>
      </c>
      <c r="W256" s="225">
        <f t="shared" si="71"/>
        <v>44408082</v>
      </c>
      <c r="X256" s="269">
        <f t="shared" si="72"/>
        <v>0.17058590137248297</v>
      </c>
      <c r="Y256" s="227"/>
      <c r="Z256" s="382"/>
      <c r="AA256" s="252" t="e">
        <f>E256-#REF!</f>
        <v>#REF!</v>
      </c>
      <c r="AB256" s="228" t="s">
        <v>1190</v>
      </c>
      <c r="CC256" s="228">
        <v>267265681</v>
      </c>
      <c r="CE256" s="228">
        <v>167713666</v>
      </c>
      <c r="CG256" s="228">
        <v>94165207</v>
      </c>
      <c r="CI256" s="228">
        <v>5386808</v>
      </c>
      <c r="CJ256" s="228" t="s">
        <v>2856</v>
      </c>
    </row>
    <row r="257" spans="1:88" s="235" customFormat="1" ht="20.100000000000001" customHeight="1" x14ac:dyDescent="0.15">
      <c r="A257" s="229" t="s">
        <v>1044</v>
      </c>
      <c r="B257" s="229" t="s">
        <v>2335</v>
      </c>
      <c r="C257" s="230" t="s">
        <v>1796</v>
      </c>
      <c r="D257" s="233">
        <v>8</v>
      </c>
      <c r="E257" s="231">
        <f t="shared" ref="E257:E270" si="96">G257+I257+K257</f>
        <v>2406196</v>
      </c>
      <c r="F257" s="232">
        <f t="shared" si="95"/>
        <v>19249568</v>
      </c>
      <c r="G257" s="231">
        <v>2406196</v>
      </c>
      <c r="H257" s="232">
        <f t="shared" ref="H257:H295" si="97">TRUNC(G257*D257,0)</f>
        <v>19249568</v>
      </c>
      <c r="I257" s="231">
        <v>0</v>
      </c>
      <c r="J257" s="232"/>
      <c r="K257" s="231">
        <v>0</v>
      </c>
      <c r="L257" s="232"/>
      <c r="M257" s="232"/>
      <c r="N257" s="232"/>
      <c r="O257" s="270">
        <f t="shared" si="67"/>
        <v>0</v>
      </c>
      <c r="P257" s="232"/>
      <c r="Q257" s="232">
        <f t="shared" si="68"/>
        <v>0</v>
      </c>
      <c r="R257" s="270">
        <f t="shared" si="69"/>
        <v>0</v>
      </c>
      <c r="S257" s="233">
        <f t="shared" ref="S257:S296" si="98">TRUNC(G257*$P257,0)</f>
        <v>0</v>
      </c>
      <c r="T257" s="233">
        <f t="shared" ref="T257:T296" si="99">TRUNC(I257*$P257,0)</f>
        <v>0</v>
      </c>
      <c r="U257" s="233">
        <f t="shared" ref="U257:U296" si="100">TRUNC(K257*$P257,0)</f>
        <v>0</v>
      </c>
      <c r="V257" s="232">
        <f t="shared" si="70"/>
        <v>0</v>
      </c>
      <c r="W257" s="232">
        <f t="shared" si="71"/>
        <v>0</v>
      </c>
      <c r="X257" s="270">
        <f t="shared" si="72"/>
        <v>0</v>
      </c>
      <c r="Y257" s="234"/>
      <c r="Z257" s="383"/>
      <c r="AA257" s="252" t="e">
        <f>E257-#REF!</f>
        <v>#REF!</v>
      </c>
      <c r="AC257" s="235" t="s">
        <v>954</v>
      </c>
      <c r="AD257" s="235" t="s">
        <v>2856</v>
      </c>
      <c r="AE257" s="235" t="s">
        <v>2713</v>
      </c>
      <c r="BV257" s="236" t="str">
        <f>HYPERLINK("#자재조서!A103","MS-1002 →")</f>
        <v>MS-1002 →</v>
      </c>
      <c r="CB257" s="235">
        <v>2800000</v>
      </c>
      <c r="CC257" s="235">
        <v>14000000</v>
      </c>
      <c r="CD257" s="235">
        <v>2800000</v>
      </c>
      <c r="CE257" s="235">
        <v>14000000</v>
      </c>
      <c r="CF257" s="235">
        <v>0</v>
      </c>
      <c r="CH257" s="235">
        <v>0</v>
      </c>
      <c r="CJ257" s="235" t="s">
        <v>2713</v>
      </c>
    </row>
    <row r="258" spans="1:88" s="235" customFormat="1" ht="20.100000000000001" customHeight="1" x14ac:dyDescent="0.15">
      <c r="A258" s="229" t="s">
        <v>446</v>
      </c>
      <c r="B258" s="229" t="s">
        <v>1726</v>
      </c>
      <c r="C258" s="230" t="s">
        <v>1796</v>
      </c>
      <c r="D258" s="233">
        <v>2</v>
      </c>
      <c r="E258" s="231">
        <f t="shared" si="96"/>
        <v>10312272</v>
      </c>
      <c r="F258" s="232">
        <f t="shared" si="95"/>
        <v>20624544</v>
      </c>
      <c r="G258" s="231">
        <v>10312272</v>
      </c>
      <c r="H258" s="232">
        <f t="shared" si="97"/>
        <v>20624544</v>
      </c>
      <c r="I258" s="231">
        <v>0</v>
      </c>
      <c r="J258" s="232"/>
      <c r="K258" s="231">
        <v>0</v>
      </c>
      <c r="L258" s="232"/>
      <c r="M258" s="232"/>
      <c r="N258" s="232"/>
      <c r="O258" s="270">
        <f t="shared" si="67"/>
        <v>0</v>
      </c>
      <c r="P258" s="232"/>
      <c r="Q258" s="232">
        <f t="shared" si="68"/>
        <v>0</v>
      </c>
      <c r="R258" s="270">
        <f t="shared" si="69"/>
        <v>0</v>
      </c>
      <c r="S258" s="233">
        <f t="shared" si="98"/>
        <v>0</v>
      </c>
      <c r="T258" s="233">
        <f t="shared" si="99"/>
        <v>0</v>
      </c>
      <c r="U258" s="233">
        <f t="shared" si="100"/>
        <v>0</v>
      </c>
      <c r="V258" s="232">
        <f t="shared" si="70"/>
        <v>0</v>
      </c>
      <c r="W258" s="232">
        <f t="shared" si="71"/>
        <v>0</v>
      </c>
      <c r="X258" s="270">
        <f t="shared" si="72"/>
        <v>0</v>
      </c>
      <c r="Y258" s="234"/>
      <c r="Z258" s="383"/>
      <c r="AA258" s="252" t="e">
        <f>E258-#REF!</f>
        <v>#REF!</v>
      </c>
      <c r="AC258" s="235" t="s">
        <v>2389</v>
      </c>
      <c r="AD258" s="235" t="s">
        <v>2856</v>
      </c>
      <c r="AE258" s="235" t="s">
        <v>2211</v>
      </c>
      <c r="BV258" s="236" t="str">
        <f>HYPERLINK("#자재조서!A104","MS-1004 →")</f>
        <v>MS-1004 →</v>
      </c>
      <c r="CB258" s="235">
        <v>12000000</v>
      </c>
      <c r="CC258" s="235">
        <v>24000000</v>
      </c>
      <c r="CD258" s="235">
        <v>12000000</v>
      </c>
      <c r="CE258" s="235">
        <v>24000000</v>
      </c>
      <c r="CF258" s="235">
        <v>0</v>
      </c>
      <c r="CH258" s="235">
        <v>0</v>
      </c>
      <c r="CJ258" s="235" t="s">
        <v>2211</v>
      </c>
    </row>
    <row r="259" spans="1:88" s="235" customFormat="1" ht="20.100000000000001" customHeight="1" x14ac:dyDescent="0.15">
      <c r="A259" s="229" t="s">
        <v>2780</v>
      </c>
      <c r="B259" s="229" t="s">
        <v>2226</v>
      </c>
      <c r="C259" s="230" t="s">
        <v>1670</v>
      </c>
      <c r="D259" s="233">
        <v>33</v>
      </c>
      <c r="E259" s="231">
        <f t="shared" si="96"/>
        <v>469162</v>
      </c>
      <c r="F259" s="232">
        <f t="shared" si="95"/>
        <v>15482346</v>
      </c>
      <c r="G259" s="231">
        <v>397210</v>
      </c>
      <c r="H259" s="232">
        <f t="shared" si="97"/>
        <v>13107930</v>
      </c>
      <c r="I259" s="231">
        <v>65175</v>
      </c>
      <c r="J259" s="232">
        <f t="shared" ref="J259:J283" si="101">TRUNC(I259*D259,0)</f>
        <v>2150775</v>
      </c>
      <c r="K259" s="231">
        <v>6777</v>
      </c>
      <c r="L259" s="232">
        <f t="shared" ref="L259:L283" si="102">TRUNC(K259*D259,0)</f>
        <v>223641</v>
      </c>
      <c r="M259" s="232"/>
      <c r="N259" s="232"/>
      <c r="O259" s="270">
        <f t="shared" si="67"/>
        <v>0</v>
      </c>
      <c r="P259" s="232"/>
      <c r="Q259" s="232">
        <f t="shared" si="68"/>
        <v>0</v>
      </c>
      <c r="R259" s="270">
        <f t="shared" si="69"/>
        <v>0</v>
      </c>
      <c r="S259" s="233">
        <f t="shared" si="98"/>
        <v>0</v>
      </c>
      <c r="T259" s="233">
        <f t="shared" si="99"/>
        <v>0</v>
      </c>
      <c r="U259" s="233">
        <f t="shared" si="100"/>
        <v>0</v>
      </c>
      <c r="V259" s="232">
        <f t="shared" si="70"/>
        <v>0</v>
      </c>
      <c r="W259" s="232">
        <f t="shared" si="71"/>
        <v>0</v>
      </c>
      <c r="X259" s="270">
        <f t="shared" si="72"/>
        <v>0</v>
      </c>
      <c r="Y259" s="234"/>
      <c r="Z259" s="383"/>
      <c r="AA259" s="252" t="e">
        <f>E259-#REF!</f>
        <v>#REF!</v>
      </c>
      <c r="AC259" s="235" t="s">
        <v>189</v>
      </c>
      <c r="AD259" s="235" t="s">
        <v>2856</v>
      </c>
      <c r="AE259" s="235" t="s">
        <v>1380</v>
      </c>
      <c r="AG259" s="235" t="s">
        <v>1778</v>
      </c>
      <c r="BV259" s="236" t="str">
        <f>HYPERLINK("#일위대가목록!A169","HW0109 →")</f>
        <v>HW0109 →</v>
      </c>
      <c r="CB259" s="235">
        <v>545948</v>
      </c>
      <c r="CC259" s="235">
        <v>18016284</v>
      </c>
      <c r="CD259" s="235">
        <v>462219</v>
      </c>
      <c r="CE259" s="235">
        <v>15253227</v>
      </c>
      <c r="CF259" s="235">
        <v>75842</v>
      </c>
      <c r="CG259" s="235">
        <v>2502786</v>
      </c>
      <c r="CH259" s="235">
        <v>7887</v>
      </c>
      <c r="CI259" s="235">
        <v>260271</v>
      </c>
      <c r="CJ259" s="235" t="s">
        <v>621</v>
      </c>
    </row>
    <row r="260" spans="1:88" s="235" customFormat="1" ht="20.100000000000001" customHeight="1" x14ac:dyDescent="0.15">
      <c r="A260" s="229" t="s">
        <v>1933</v>
      </c>
      <c r="B260" s="229" t="s">
        <v>2856</v>
      </c>
      <c r="C260" s="230" t="s">
        <v>1796</v>
      </c>
      <c r="D260" s="233">
        <v>1</v>
      </c>
      <c r="E260" s="231">
        <f t="shared" si="96"/>
        <v>7410273</v>
      </c>
      <c r="F260" s="232">
        <f t="shared" si="95"/>
        <v>7410273</v>
      </c>
      <c r="G260" s="231">
        <v>1198988</v>
      </c>
      <c r="H260" s="232">
        <f t="shared" si="97"/>
        <v>1198988</v>
      </c>
      <c r="I260" s="231">
        <v>5984959</v>
      </c>
      <c r="J260" s="232">
        <f t="shared" si="101"/>
        <v>5984959</v>
      </c>
      <c r="K260" s="231">
        <v>226326</v>
      </c>
      <c r="L260" s="232">
        <f t="shared" si="102"/>
        <v>226326</v>
      </c>
      <c r="M260" s="232"/>
      <c r="N260" s="232"/>
      <c r="O260" s="270">
        <f t="shared" si="67"/>
        <v>0</v>
      </c>
      <c r="P260" s="370">
        <v>0.3</v>
      </c>
      <c r="Q260" s="232">
        <f t="shared" si="68"/>
        <v>2223080</v>
      </c>
      <c r="R260" s="270">
        <f t="shared" si="69"/>
        <v>0.29999974359918996</v>
      </c>
      <c r="S260" s="233">
        <f t="shared" si="98"/>
        <v>359696</v>
      </c>
      <c r="T260" s="233">
        <f t="shared" si="99"/>
        <v>1795487</v>
      </c>
      <c r="U260" s="233">
        <f t="shared" si="100"/>
        <v>67897</v>
      </c>
      <c r="V260" s="232">
        <f t="shared" si="70"/>
        <v>0.3</v>
      </c>
      <c r="W260" s="232">
        <f t="shared" si="71"/>
        <v>2223080</v>
      </c>
      <c r="X260" s="270">
        <f t="shared" si="72"/>
        <v>0.29999974359918996</v>
      </c>
      <c r="Y260" s="234"/>
      <c r="Z260" s="383"/>
      <c r="AA260" s="252" t="e">
        <f>E260-#REF!</f>
        <v>#REF!</v>
      </c>
      <c r="AC260" s="235" t="s">
        <v>904</v>
      </c>
      <c r="AD260" s="235" t="s">
        <v>2856</v>
      </c>
      <c r="AE260" s="235" t="s">
        <v>1767</v>
      </c>
      <c r="AG260" s="235" t="s">
        <v>1778</v>
      </c>
      <c r="BV260" s="236" t="str">
        <f>HYPERLINK("#일위대가목록!A170","HW0110 →")</f>
        <v>HW0110 →</v>
      </c>
      <c r="CB260" s="235">
        <v>8623055</v>
      </c>
      <c r="CC260" s="235">
        <v>8623055</v>
      </c>
      <c r="CD260" s="235">
        <v>1395217</v>
      </c>
      <c r="CE260" s="235">
        <v>1395217</v>
      </c>
      <c r="CF260" s="235">
        <v>6964470</v>
      </c>
      <c r="CG260" s="235">
        <v>6964470</v>
      </c>
      <c r="CH260" s="235">
        <v>263368</v>
      </c>
      <c r="CI260" s="235">
        <v>263368</v>
      </c>
      <c r="CJ260" s="235" t="s">
        <v>1461</v>
      </c>
    </row>
    <row r="261" spans="1:88" s="235" customFormat="1" ht="20.100000000000001" customHeight="1" x14ac:dyDescent="0.15">
      <c r="A261" s="229" t="s">
        <v>596</v>
      </c>
      <c r="B261" s="229" t="s">
        <v>23</v>
      </c>
      <c r="C261" s="230" t="s">
        <v>1796</v>
      </c>
      <c r="D261" s="233">
        <v>0</v>
      </c>
      <c r="E261" s="231">
        <f t="shared" si="96"/>
        <v>7512940</v>
      </c>
      <c r="F261" s="232">
        <f t="shared" si="95"/>
        <v>0</v>
      </c>
      <c r="G261" s="231">
        <v>2051022</v>
      </c>
      <c r="H261" s="232">
        <f t="shared" si="97"/>
        <v>0</v>
      </c>
      <c r="I261" s="231">
        <v>5371054</v>
      </c>
      <c r="J261" s="232">
        <f t="shared" si="101"/>
        <v>0</v>
      </c>
      <c r="K261" s="231">
        <v>90864</v>
      </c>
      <c r="L261" s="232">
        <f t="shared" si="102"/>
        <v>0</v>
      </c>
      <c r="M261" s="232"/>
      <c r="N261" s="232"/>
      <c r="O261" s="270">
        <f t="shared" ref="O261:O324" si="103">IFERROR(N261/$F261,0)</f>
        <v>0</v>
      </c>
      <c r="P261" s="232"/>
      <c r="Q261" s="232">
        <f t="shared" ref="Q261:Q324" si="104">SUM(S261:U261)</f>
        <v>0</v>
      </c>
      <c r="R261" s="270">
        <f t="shared" ref="R261:R324" si="105">IFERROR(Q261/$F261,0)</f>
        <v>0</v>
      </c>
      <c r="S261" s="233">
        <f t="shared" si="98"/>
        <v>0</v>
      </c>
      <c r="T261" s="233">
        <f t="shared" si="99"/>
        <v>0</v>
      </c>
      <c r="U261" s="233">
        <f t="shared" si="100"/>
        <v>0</v>
      </c>
      <c r="V261" s="232">
        <f t="shared" ref="V261:V324" si="106">M261+P261</f>
        <v>0</v>
      </c>
      <c r="W261" s="232">
        <f t="shared" ref="W261:W324" si="107">N261+Q261</f>
        <v>0</v>
      </c>
      <c r="X261" s="270">
        <f t="shared" ref="X261:X324" si="108">IFERROR(W261/$F261,0)</f>
        <v>0</v>
      </c>
      <c r="Y261" s="234"/>
      <c r="Z261" s="383"/>
      <c r="AA261" s="252" t="e">
        <f>E261-#REF!</f>
        <v>#REF!</v>
      </c>
      <c r="AC261" s="235" t="s">
        <v>2301</v>
      </c>
      <c r="AD261" s="235" t="s">
        <v>2856</v>
      </c>
      <c r="AE261" s="235" t="s">
        <v>90</v>
      </c>
      <c r="AG261" s="235" t="s">
        <v>1778</v>
      </c>
      <c r="BV261" s="236" t="str">
        <f>HYPERLINK("#일위대가목록!A171","HW0111 →")</f>
        <v>HW0111 →</v>
      </c>
      <c r="CB261" s="235">
        <v>8742526</v>
      </c>
      <c r="CC261" s="235">
        <v>8742526</v>
      </c>
      <c r="CD261" s="235">
        <v>2386697</v>
      </c>
      <c r="CE261" s="235">
        <v>2386697</v>
      </c>
      <c r="CF261" s="235">
        <v>6250093</v>
      </c>
      <c r="CG261" s="235">
        <v>6250093</v>
      </c>
      <c r="CH261" s="235">
        <v>105736</v>
      </c>
      <c r="CI261" s="235">
        <v>105736</v>
      </c>
      <c r="CJ261" s="235" t="s">
        <v>237</v>
      </c>
    </row>
    <row r="262" spans="1:88" s="235" customFormat="1" ht="20.100000000000001" customHeight="1" x14ac:dyDescent="0.15">
      <c r="A262" s="229" t="s">
        <v>2750</v>
      </c>
      <c r="B262" s="229" t="s">
        <v>577</v>
      </c>
      <c r="C262" s="230" t="s">
        <v>1796</v>
      </c>
      <c r="D262" s="233">
        <v>0</v>
      </c>
      <c r="E262" s="231">
        <f t="shared" si="96"/>
        <v>4295149</v>
      </c>
      <c r="F262" s="232">
        <f t="shared" si="95"/>
        <v>0</v>
      </c>
      <c r="G262" s="231">
        <v>1194351</v>
      </c>
      <c r="H262" s="232">
        <f t="shared" si="97"/>
        <v>0</v>
      </c>
      <c r="I262" s="231">
        <v>3047237</v>
      </c>
      <c r="J262" s="232">
        <f t="shared" si="101"/>
        <v>0</v>
      </c>
      <c r="K262" s="231">
        <v>53561</v>
      </c>
      <c r="L262" s="232">
        <f t="shared" si="102"/>
        <v>0</v>
      </c>
      <c r="M262" s="232"/>
      <c r="N262" s="232"/>
      <c r="O262" s="270">
        <f t="shared" si="103"/>
        <v>0</v>
      </c>
      <c r="P262" s="232"/>
      <c r="Q262" s="232">
        <f t="shared" si="104"/>
        <v>0</v>
      </c>
      <c r="R262" s="270">
        <f t="shared" si="105"/>
        <v>0</v>
      </c>
      <c r="S262" s="233">
        <f t="shared" si="98"/>
        <v>0</v>
      </c>
      <c r="T262" s="233">
        <f t="shared" si="99"/>
        <v>0</v>
      </c>
      <c r="U262" s="233">
        <f t="shared" si="100"/>
        <v>0</v>
      </c>
      <c r="V262" s="232">
        <f t="shared" si="106"/>
        <v>0</v>
      </c>
      <c r="W262" s="232">
        <f t="shared" si="107"/>
        <v>0</v>
      </c>
      <c r="X262" s="270">
        <f t="shared" si="108"/>
        <v>0</v>
      </c>
      <c r="Y262" s="234"/>
      <c r="Z262" s="383"/>
      <c r="AA262" s="252" t="e">
        <f>E262-#REF!</f>
        <v>#REF!</v>
      </c>
      <c r="AC262" s="235" t="s">
        <v>1588</v>
      </c>
      <c r="AD262" s="235" t="s">
        <v>2856</v>
      </c>
      <c r="AE262" s="235" t="s">
        <v>1994</v>
      </c>
      <c r="AG262" s="235" t="s">
        <v>1778</v>
      </c>
      <c r="BV262" s="236" t="str">
        <f>HYPERLINK("#일위대가목록!A172","HW0112 →")</f>
        <v>HW0112 →</v>
      </c>
      <c r="CB262" s="235">
        <v>4998104</v>
      </c>
      <c r="CC262" s="235">
        <v>4998104</v>
      </c>
      <c r="CD262" s="235">
        <v>1389821</v>
      </c>
      <c r="CE262" s="235">
        <v>1389821</v>
      </c>
      <c r="CF262" s="235">
        <v>3545955</v>
      </c>
      <c r="CG262" s="235">
        <v>3545955</v>
      </c>
      <c r="CH262" s="235">
        <v>62328</v>
      </c>
      <c r="CI262" s="235">
        <v>62328</v>
      </c>
      <c r="CJ262" s="235" t="s">
        <v>2046</v>
      </c>
    </row>
    <row r="263" spans="1:88" s="235" customFormat="1" ht="20.100000000000001" customHeight="1" x14ac:dyDescent="0.15">
      <c r="A263" s="229" t="s">
        <v>2017</v>
      </c>
      <c r="B263" s="229" t="s">
        <v>402</v>
      </c>
      <c r="C263" s="230" t="s">
        <v>1796</v>
      </c>
      <c r="D263" s="233">
        <v>0</v>
      </c>
      <c r="E263" s="231">
        <f t="shared" si="96"/>
        <v>2384092</v>
      </c>
      <c r="F263" s="232">
        <f t="shared" si="95"/>
        <v>0</v>
      </c>
      <c r="G263" s="231">
        <v>653107</v>
      </c>
      <c r="H263" s="232">
        <f t="shared" si="97"/>
        <v>0</v>
      </c>
      <c r="I263" s="231">
        <v>1702032</v>
      </c>
      <c r="J263" s="232">
        <f t="shared" si="101"/>
        <v>0</v>
      </c>
      <c r="K263" s="231">
        <v>28953</v>
      </c>
      <c r="L263" s="232">
        <f t="shared" si="102"/>
        <v>0</v>
      </c>
      <c r="M263" s="232"/>
      <c r="N263" s="232"/>
      <c r="O263" s="270">
        <f t="shared" si="103"/>
        <v>0</v>
      </c>
      <c r="P263" s="232"/>
      <c r="Q263" s="232">
        <f t="shared" si="104"/>
        <v>0</v>
      </c>
      <c r="R263" s="270">
        <f t="shared" si="105"/>
        <v>0</v>
      </c>
      <c r="S263" s="233">
        <f t="shared" si="98"/>
        <v>0</v>
      </c>
      <c r="T263" s="233">
        <f t="shared" si="99"/>
        <v>0</v>
      </c>
      <c r="U263" s="233">
        <f t="shared" si="100"/>
        <v>0</v>
      </c>
      <c r="V263" s="232">
        <f t="shared" si="106"/>
        <v>0</v>
      </c>
      <c r="W263" s="232">
        <f t="shared" si="107"/>
        <v>0</v>
      </c>
      <c r="X263" s="270">
        <f t="shared" si="108"/>
        <v>0</v>
      </c>
      <c r="Y263" s="234"/>
      <c r="Z263" s="383"/>
      <c r="AA263" s="252" t="e">
        <f>E263-#REF!</f>
        <v>#REF!</v>
      </c>
      <c r="AC263" s="235" t="s">
        <v>803</v>
      </c>
      <c r="AD263" s="235" t="s">
        <v>2856</v>
      </c>
      <c r="AE263" s="235" t="s">
        <v>396</v>
      </c>
      <c r="AG263" s="235" t="s">
        <v>1778</v>
      </c>
      <c r="BV263" s="236" t="str">
        <f>HYPERLINK("#일위대가목록!A173","HW0113 →")</f>
        <v>HW0113 →</v>
      </c>
      <c r="CB263" s="235">
        <v>2774279</v>
      </c>
      <c r="CC263" s="235">
        <v>2774279</v>
      </c>
      <c r="CD263" s="235">
        <v>759996</v>
      </c>
      <c r="CE263" s="235">
        <v>759996</v>
      </c>
      <c r="CF263" s="235">
        <v>1980591</v>
      </c>
      <c r="CG263" s="235">
        <v>1980591</v>
      </c>
      <c r="CH263" s="235">
        <v>33692</v>
      </c>
      <c r="CI263" s="235">
        <v>33692</v>
      </c>
      <c r="CJ263" s="235" t="s">
        <v>347</v>
      </c>
    </row>
    <row r="264" spans="1:88" s="235" customFormat="1" ht="20.100000000000001" customHeight="1" x14ac:dyDescent="0.15">
      <c r="A264" s="229" t="s">
        <v>1287</v>
      </c>
      <c r="B264" s="229" t="s">
        <v>897</v>
      </c>
      <c r="C264" s="230" t="s">
        <v>1796</v>
      </c>
      <c r="D264" s="233">
        <v>0</v>
      </c>
      <c r="E264" s="231">
        <f t="shared" si="96"/>
        <v>4770813</v>
      </c>
      <c r="F264" s="232">
        <f t="shared" si="95"/>
        <v>0</v>
      </c>
      <c r="G264" s="231">
        <v>1314201</v>
      </c>
      <c r="H264" s="232">
        <f t="shared" si="97"/>
        <v>0</v>
      </c>
      <c r="I264" s="231">
        <v>3400980</v>
      </c>
      <c r="J264" s="232">
        <f t="shared" si="101"/>
        <v>0</v>
      </c>
      <c r="K264" s="231">
        <v>55632</v>
      </c>
      <c r="L264" s="232">
        <f t="shared" si="102"/>
        <v>0</v>
      </c>
      <c r="M264" s="232"/>
      <c r="N264" s="232"/>
      <c r="O264" s="270">
        <f t="shared" si="103"/>
        <v>0</v>
      </c>
      <c r="P264" s="232"/>
      <c r="Q264" s="232">
        <f t="shared" si="104"/>
        <v>0</v>
      </c>
      <c r="R264" s="270">
        <f t="shared" si="105"/>
        <v>0</v>
      </c>
      <c r="S264" s="233">
        <f t="shared" si="98"/>
        <v>0</v>
      </c>
      <c r="T264" s="233">
        <f t="shared" si="99"/>
        <v>0</v>
      </c>
      <c r="U264" s="233">
        <f t="shared" si="100"/>
        <v>0</v>
      </c>
      <c r="V264" s="232">
        <f t="shared" si="106"/>
        <v>0</v>
      </c>
      <c r="W264" s="232">
        <f t="shared" si="107"/>
        <v>0</v>
      </c>
      <c r="X264" s="270">
        <f t="shared" si="108"/>
        <v>0</v>
      </c>
      <c r="Y264" s="234"/>
      <c r="Z264" s="383"/>
      <c r="AA264" s="252" t="e">
        <f>E264-#REF!</f>
        <v>#REF!</v>
      </c>
      <c r="AC264" s="235" t="s">
        <v>103</v>
      </c>
      <c r="AD264" s="235" t="s">
        <v>2856</v>
      </c>
      <c r="AE264" s="235" t="s">
        <v>1504</v>
      </c>
      <c r="AG264" s="235" t="s">
        <v>1778</v>
      </c>
      <c r="BV264" s="236" t="str">
        <f>HYPERLINK("#일위대가목록!A174","HW0114 →")</f>
        <v>HW0114 →</v>
      </c>
      <c r="CB264" s="235">
        <v>5551616</v>
      </c>
      <c r="CC264" s="235">
        <v>5551616</v>
      </c>
      <c r="CD264" s="235">
        <v>1529286</v>
      </c>
      <c r="CE264" s="235">
        <v>1529286</v>
      </c>
      <c r="CF264" s="235">
        <v>3957592</v>
      </c>
      <c r="CG264" s="235">
        <v>3957592</v>
      </c>
      <c r="CH264" s="235">
        <v>64738</v>
      </c>
      <c r="CI264" s="235">
        <v>64738</v>
      </c>
      <c r="CJ264" s="235" t="s">
        <v>1711</v>
      </c>
    </row>
    <row r="265" spans="1:88" s="235" customFormat="1" ht="20.100000000000001" customHeight="1" x14ac:dyDescent="0.15">
      <c r="A265" s="255" t="s">
        <v>596</v>
      </c>
      <c r="B265" s="255" t="s">
        <v>3048</v>
      </c>
      <c r="C265" s="230" t="s">
        <v>1796</v>
      </c>
      <c r="D265" s="233">
        <v>1</v>
      </c>
      <c r="E265" s="231">
        <f t="shared" si="96"/>
        <v>4739385</v>
      </c>
      <c r="F265" s="232">
        <f>H265+J265+L265</f>
        <v>4739385</v>
      </c>
      <c r="G265" s="231">
        <v>2722078</v>
      </c>
      <c r="H265" s="232">
        <f t="shared" si="97"/>
        <v>2722078</v>
      </c>
      <c r="I265" s="231">
        <v>1453392</v>
      </c>
      <c r="J265" s="232">
        <f t="shared" si="101"/>
        <v>1453392</v>
      </c>
      <c r="K265" s="231">
        <v>563915</v>
      </c>
      <c r="L265" s="232">
        <f t="shared" si="102"/>
        <v>563915</v>
      </c>
      <c r="M265" s="232"/>
      <c r="N265" s="232"/>
      <c r="O265" s="270">
        <f t="shared" si="103"/>
        <v>0</v>
      </c>
      <c r="P265" s="370">
        <v>0.5</v>
      </c>
      <c r="Q265" s="232">
        <f t="shared" si="104"/>
        <v>2369692</v>
      </c>
      <c r="R265" s="270">
        <f t="shared" si="105"/>
        <v>0.49999989450107979</v>
      </c>
      <c r="S265" s="233">
        <f t="shared" si="98"/>
        <v>1361039</v>
      </c>
      <c r="T265" s="233">
        <f t="shared" si="99"/>
        <v>726696</v>
      </c>
      <c r="U265" s="233">
        <f t="shared" si="100"/>
        <v>281957</v>
      </c>
      <c r="V265" s="232">
        <f t="shared" si="106"/>
        <v>0.5</v>
      </c>
      <c r="W265" s="232">
        <f t="shared" si="107"/>
        <v>2369692</v>
      </c>
      <c r="X265" s="270">
        <f t="shared" si="108"/>
        <v>0.49999989450107979</v>
      </c>
      <c r="Y265" s="234"/>
      <c r="Z265" s="383"/>
      <c r="AA265" s="252" t="e">
        <f>E265-#REF!</f>
        <v>#REF!</v>
      </c>
      <c r="BV265" s="236"/>
    </row>
    <row r="266" spans="1:88" s="235" customFormat="1" ht="20.100000000000001" customHeight="1" x14ac:dyDescent="0.15">
      <c r="A266" s="255" t="s">
        <v>2750</v>
      </c>
      <c r="B266" s="255" t="s">
        <v>3049</v>
      </c>
      <c r="C266" s="230" t="s">
        <v>1796</v>
      </c>
      <c r="D266" s="233">
        <v>1</v>
      </c>
      <c r="E266" s="231">
        <f t="shared" si="96"/>
        <v>3303265</v>
      </c>
      <c r="F266" s="232">
        <f>H266+J266+L266</f>
        <v>3303265</v>
      </c>
      <c r="G266" s="231">
        <v>1973780</v>
      </c>
      <c r="H266" s="232">
        <f t="shared" si="97"/>
        <v>1973780</v>
      </c>
      <c r="I266" s="231">
        <v>947197</v>
      </c>
      <c r="J266" s="232">
        <f t="shared" si="101"/>
        <v>947197</v>
      </c>
      <c r="K266" s="231">
        <v>382288</v>
      </c>
      <c r="L266" s="232">
        <f t="shared" si="102"/>
        <v>382288</v>
      </c>
      <c r="M266" s="232"/>
      <c r="N266" s="232"/>
      <c r="O266" s="270">
        <f t="shared" si="103"/>
        <v>0</v>
      </c>
      <c r="P266" s="370">
        <v>0.5</v>
      </c>
      <c r="Q266" s="232">
        <f t="shared" si="104"/>
        <v>1651632</v>
      </c>
      <c r="R266" s="270">
        <f t="shared" si="105"/>
        <v>0.4999998486346085</v>
      </c>
      <c r="S266" s="233">
        <f t="shared" si="98"/>
        <v>986890</v>
      </c>
      <c r="T266" s="233">
        <f t="shared" si="99"/>
        <v>473598</v>
      </c>
      <c r="U266" s="233">
        <f t="shared" si="100"/>
        <v>191144</v>
      </c>
      <c r="V266" s="232">
        <f t="shared" si="106"/>
        <v>0.5</v>
      </c>
      <c r="W266" s="232">
        <f t="shared" si="107"/>
        <v>1651632</v>
      </c>
      <c r="X266" s="270">
        <f t="shared" si="108"/>
        <v>0.4999998486346085</v>
      </c>
      <c r="Y266" s="234"/>
      <c r="Z266" s="383"/>
      <c r="AA266" s="252" t="e">
        <f>E266-#REF!</f>
        <v>#REF!</v>
      </c>
      <c r="BV266" s="236"/>
    </row>
    <row r="267" spans="1:88" s="235" customFormat="1" ht="20.100000000000001" customHeight="1" x14ac:dyDescent="0.15">
      <c r="A267" s="255" t="s">
        <v>2017</v>
      </c>
      <c r="B267" s="255" t="s">
        <v>3050</v>
      </c>
      <c r="C267" s="230" t="s">
        <v>1796</v>
      </c>
      <c r="D267" s="233">
        <v>1</v>
      </c>
      <c r="E267" s="231">
        <f t="shared" si="96"/>
        <v>794042</v>
      </c>
      <c r="F267" s="232">
        <f>H267+J267+L267</f>
        <v>794042</v>
      </c>
      <c r="G267" s="231">
        <v>537284</v>
      </c>
      <c r="H267" s="232">
        <f t="shared" si="97"/>
        <v>537284</v>
      </c>
      <c r="I267" s="231">
        <v>166988</v>
      </c>
      <c r="J267" s="232">
        <f t="shared" si="101"/>
        <v>166988</v>
      </c>
      <c r="K267" s="231">
        <v>89770</v>
      </c>
      <c r="L267" s="232">
        <f t="shared" si="102"/>
        <v>89770</v>
      </c>
      <c r="M267" s="232"/>
      <c r="N267" s="232"/>
      <c r="O267" s="270">
        <f t="shared" si="103"/>
        <v>0</v>
      </c>
      <c r="P267" s="232"/>
      <c r="Q267" s="232">
        <f t="shared" si="104"/>
        <v>0</v>
      </c>
      <c r="R267" s="270">
        <f t="shared" si="105"/>
        <v>0</v>
      </c>
      <c r="S267" s="233">
        <f t="shared" si="98"/>
        <v>0</v>
      </c>
      <c r="T267" s="233">
        <f t="shared" si="99"/>
        <v>0</v>
      </c>
      <c r="U267" s="233">
        <f t="shared" si="100"/>
        <v>0</v>
      </c>
      <c r="V267" s="232">
        <f t="shared" si="106"/>
        <v>0</v>
      </c>
      <c r="W267" s="232">
        <f t="shared" si="107"/>
        <v>0</v>
      </c>
      <c r="X267" s="270">
        <f t="shared" si="108"/>
        <v>0</v>
      </c>
      <c r="Y267" s="234"/>
      <c r="Z267" s="383"/>
      <c r="AA267" s="252" t="e">
        <f>E267-#REF!</f>
        <v>#REF!</v>
      </c>
      <c r="BV267" s="236"/>
    </row>
    <row r="268" spans="1:88" s="235" customFormat="1" ht="20.100000000000001" customHeight="1" x14ac:dyDescent="0.15">
      <c r="A268" s="255" t="s">
        <v>1287</v>
      </c>
      <c r="B268" s="255" t="s">
        <v>3051</v>
      </c>
      <c r="C268" s="230" t="s">
        <v>1796</v>
      </c>
      <c r="D268" s="233">
        <v>1</v>
      </c>
      <c r="E268" s="231">
        <f t="shared" si="96"/>
        <v>2580524</v>
      </c>
      <c r="F268" s="232">
        <f>H268+J268+L268</f>
        <v>2580524</v>
      </c>
      <c r="G268" s="231">
        <v>1579247</v>
      </c>
      <c r="H268" s="232">
        <f t="shared" si="97"/>
        <v>1579247</v>
      </c>
      <c r="I268" s="231">
        <v>700634</v>
      </c>
      <c r="J268" s="232">
        <f t="shared" si="101"/>
        <v>700634</v>
      </c>
      <c r="K268" s="231">
        <v>300643</v>
      </c>
      <c r="L268" s="232">
        <f t="shared" si="102"/>
        <v>300643</v>
      </c>
      <c r="M268" s="232"/>
      <c r="N268" s="232"/>
      <c r="O268" s="270">
        <f t="shared" si="103"/>
        <v>0</v>
      </c>
      <c r="P268" s="232"/>
      <c r="Q268" s="232">
        <f t="shared" si="104"/>
        <v>0</v>
      </c>
      <c r="R268" s="270">
        <f t="shared" si="105"/>
        <v>0</v>
      </c>
      <c r="S268" s="233">
        <f t="shared" si="98"/>
        <v>0</v>
      </c>
      <c r="T268" s="233">
        <f t="shared" si="99"/>
        <v>0</v>
      </c>
      <c r="U268" s="233">
        <f t="shared" si="100"/>
        <v>0</v>
      </c>
      <c r="V268" s="232">
        <f t="shared" si="106"/>
        <v>0</v>
      </c>
      <c r="W268" s="232">
        <f t="shared" si="107"/>
        <v>0</v>
      </c>
      <c r="X268" s="270">
        <f t="shared" si="108"/>
        <v>0</v>
      </c>
      <c r="Y268" s="234"/>
      <c r="Z268" s="383"/>
      <c r="AA268" s="252" t="e">
        <f>E268-#REF!</f>
        <v>#REF!</v>
      </c>
      <c r="BV268" s="236"/>
    </row>
    <row r="269" spans="1:88" s="235" customFormat="1" ht="20.100000000000001" customHeight="1" x14ac:dyDescent="0.15">
      <c r="A269" s="255" t="s">
        <v>2690</v>
      </c>
      <c r="B269" s="255" t="s">
        <v>171</v>
      </c>
      <c r="C269" s="230" t="s">
        <v>760</v>
      </c>
      <c r="D269" s="233">
        <v>0</v>
      </c>
      <c r="E269" s="231">
        <f t="shared" si="96"/>
        <v>336374</v>
      </c>
      <c r="F269" s="232">
        <f t="shared" si="95"/>
        <v>0</v>
      </c>
      <c r="G269" s="231">
        <v>240793</v>
      </c>
      <c r="H269" s="232">
        <f t="shared" si="97"/>
        <v>0</v>
      </c>
      <c r="I269" s="231">
        <v>95538</v>
      </c>
      <c r="J269" s="232">
        <f t="shared" si="101"/>
        <v>0</v>
      </c>
      <c r="K269" s="231">
        <v>43</v>
      </c>
      <c r="L269" s="232">
        <f t="shared" si="102"/>
        <v>0</v>
      </c>
      <c r="M269" s="232"/>
      <c r="N269" s="232"/>
      <c r="O269" s="270">
        <f t="shared" si="103"/>
        <v>0</v>
      </c>
      <c r="P269" s="232"/>
      <c r="Q269" s="232">
        <f t="shared" si="104"/>
        <v>0</v>
      </c>
      <c r="R269" s="270">
        <f t="shared" si="105"/>
        <v>0</v>
      </c>
      <c r="S269" s="233">
        <f t="shared" si="98"/>
        <v>0</v>
      </c>
      <c r="T269" s="233">
        <f t="shared" si="99"/>
        <v>0</v>
      </c>
      <c r="U269" s="233">
        <f t="shared" si="100"/>
        <v>0</v>
      </c>
      <c r="V269" s="232">
        <f t="shared" si="106"/>
        <v>0</v>
      </c>
      <c r="W269" s="232">
        <f t="shared" si="107"/>
        <v>0</v>
      </c>
      <c r="X269" s="270">
        <f t="shared" si="108"/>
        <v>0</v>
      </c>
      <c r="Y269" s="234"/>
      <c r="Z269" s="383"/>
      <c r="AA269" s="252" t="e">
        <f>E269-#REF!</f>
        <v>#REF!</v>
      </c>
      <c r="AC269" s="235" t="s">
        <v>766</v>
      </c>
      <c r="AD269" s="235" t="s">
        <v>2856</v>
      </c>
      <c r="AE269" s="235" t="s">
        <v>843</v>
      </c>
      <c r="AG269" s="235" t="s">
        <v>1778</v>
      </c>
      <c r="BV269" s="236" t="str">
        <f>HYPERLINK("#일위대가목록!A175","HW0009 →")</f>
        <v>HW0009 →</v>
      </c>
      <c r="CB269" s="235">
        <v>391427</v>
      </c>
      <c r="CC269" s="235">
        <v>11351383</v>
      </c>
      <c r="CD269" s="235">
        <v>280202</v>
      </c>
      <c r="CE269" s="235">
        <v>8125858</v>
      </c>
      <c r="CF269" s="235">
        <v>111174</v>
      </c>
      <c r="CG269" s="235">
        <v>3224046</v>
      </c>
      <c r="CH269" s="235">
        <v>51</v>
      </c>
      <c r="CI269" s="235">
        <v>1479</v>
      </c>
      <c r="CJ269" s="235" t="s">
        <v>135</v>
      </c>
    </row>
    <row r="270" spans="1:88" s="235" customFormat="1" ht="20.100000000000001" customHeight="1" x14ac:dyDescent="0.15">
      <c r="A270" s="255" t="s">
        <v>539</v>
      </c>
      <c r="B270" s="255" t="s">
        <v>1937</v>
      </c>
      <c r="C270" s="230" t="s">
        <v>760</v>
      </c>
      <c r="D270" s="233">
        <v>0</v>
      </c>
      <c r="E270" s="231">
        <f t="shared" si="96"/>
        <v>253920</v>
      </c>
      <c r="F270" s="232">
        <f t="shared" si="95"/>
        <v>0</v>
      </c>
      <c r="G270" s="231">
        <v>181945</v>
      </c>
      <c r="H270" s="232">
        <f t="shared" si="97"/>
        <v>0</v>
      </c>
      <c r="I270" s="231">
        <v>71932</v>
      </c>
      <c r="J270" s="232">
        <f t="shared" si="101"/>
        <v>0</v>
      </c>
      <c r="K270" s="231">
        <v>43</v>
      </c>
      <c r="L270" s="232">
        <f t="shared" si="102"/>
        <v>0</v>
      </c>
      <c r="M270" s="232"/>
      <c r="N270" s="232"/>
      <c r="O270" s="270">
        <f t="shared" si="103"/>
        <v>0</v>
      </c>
      <c r="P270" s="232"/>
      <c r="Q270" s="232">
        <f t="shared" si="104"/>
        <v>0</v>
      </c>
      <c r="R270" s="270">
        <f t="shared" si="105"/>
        <v>0</v>
      </c>
      <c r="S270" s="233">
        <f t="shared" si="98"/>
        <v>0</v>
      </c>
      <c r="T270" s="233">
        <f t="shared" si="99"/>
        <v>0</v>
      </c>
      <c r="U270" s="233">
        <f t="shared" si="100"/>
        <v>0</v>
      </c>
      <c r="V270" s="232">
        <f t="shared" si="106"/>
        <v>0</v>
      </c>
      <c r="W270" s="232">
        <f t="shared" si="107"/>
        <v>0</v>
      </c>
      <c r="X270" s="270">
        <f t="shared" si="108"/>
        <v>0</v>
      </c>
      <c r="Y270" s="234"/>
      <c r="Z270" s="383"/>
      <c r="AA270" s="252" t="e">
        <f>E270-#REF!</f>
        <v>#REF!</v>
      </c>
      <c r="AC270" s="235" t="s">
        <v>46</v>
      </c>
      <c r="AD270" s="235" t="s">
        <v>2856</v>
      </c>
      <c r="AE270" s="235" t="s">
        <v>1892</v>
      </c>
      <c r="AG270" s="235" t="s">
        <v>1778</v>
      </c>
      <c r="BV270" s="236" t="str">
        <f>HYPERLINK("#일위대가목록!A176","HW0010 →")</f>
        <v>HW0010 →</v>
      </c>
      <c r="CB270" s="235">
        <v>295479</v>
      </c>
      <c r="CC270" s="235">
        <v>4727664</v>
      </c>
      <c r="CD270" s="235">
        <v>211723</v>
      </c>
      <c r="CE270" s="235">
        <v>3387568</v>
      </c>
      <c r="CF270" s="235">
        <v>83705</v>
      </c>
      <c r="CG270" s="235">
        <v>1339280</v>
      </c>
      <c r="CH270" s="235">
        <v>51</v>
      </c>
      <c r="CI270" s="235">
        <v>816</v>
      </c>
      <c r="CJ270" s="235" t="s">
        <v>1751</v>
      </c>
    </row>
    <row r="271" spans="1:88" s="235" customFormat="1" ht="20.100000000000001" customHeight="1" x14ac:dyDescent="0.15">
      <c r="A271" s="255" t="s">
        <v>3140</v>
      </c>
      <c r="B271" s="255" t="s">
        <v>171</v>
      </c>
      <c r="C271" s="230" t="s">
        <v>3052</v>
      </c>
      <c r="D271" s="233">
        <v>1</v>
      </c>
      <c r="E271" s="231">
        <f t="shared" ref="E271:E277" si="109">G271+I271+K271</f>
        <v>4696103</v>
      </c>
      <c r="F271" s="232">
        <f t="shared" ref="F271:F277" si="110">H271+J271+L271</f>
        <v>4696103</v>
      </c>
      <c r="G271" s="231">
        <v>1063923</v>
      </c>
      <c r="H271" s="232">
        <f t="shared" si="97"/>
        <v>1063923</v>
      </c>
      <c r="I271" s="231">
        <v>3568926</v>
      </c>
      <c r="J271" s="232">
        <f t="shared" si="101"/>
        <v>3568926</v>
      </c>
      <c r="K271" s="231">
        <v>63254</v>
      </c>
      <c r="L271" s="232">
        <f t="shared" si="102"/>
        <v>63254</v>
      </c>
      <c r="M271" s="232"/>
      <c r="N271" s="232"/>
      <c r="O271" s="270">
        <f t="shared" si="103"/>
        <v>0</v>
      </c>
      <c r="P271" s="232"/>
      <c r="Q271" s="232">
        <f t="shared" si="104"/>
        <v>0</v>
      </c>
      <c r="R271" s="270">
        <f t="shared" si="105"/>
        <v>0</v>
      </c>
      <c r="S271" s="233">
        <f t="shared" si="98"/>
        <v>0</v>
      </c>
      <c r="T271" s="233">
        <f t="shared" si="99"/>
        <v>0</v>
      </c>
      <c r="U271" s="233">
        <f t="shared" si="100"/>
        <v>0</v>
      </c>
      <c r="V271" s="232">
        <f t="shared" si="106"/>
        <v>0</v>
      </c>
      <c r="W271" s="232">
        <f t="shared" si="107"/>
        <v>0</v>
      </c>
      <c r="X271" s="270">
        <f t="shared" si="108"/>
        <v>0</v>
      </c>
      <c r="Y271" s="234"/>
      <c r="Z271" s="383"/>
      <c r="AA271" s="252" t="e">
        <f>E271-#REF!</f>
        <v>#REF!</v>
      </c>
      <c r="BV271" s="236"/>
    </row>
    <row r="272" spans="1:88" s="235" customFormat="1" ht="20.100000000000001" customHeight="1" x14ac:dyDescent="0.15">
      <c r="A272" s="255" t="s">
        <v>3141</v>
      </c>
      <c r="B272" s="255" t="s">
        <v>1937</v>
      </c>
      <c r="C272" s="230" t="s">
        <v>3052</v>
      </c>
      <c r="D272" s="233">
        <v>1</v>
      </c>
      <c r="E272" s="231">
        <f t="shared" si="109"/>
        <v>3974105</v>
      </c>
      <c r="F272" s="232">
        <f t="shared" si="110"/>
        <v>3974105</v>
      </c>
      <c r="G272" s="231">
        <v>924406</v>
      </c>
      <c r="H272" s="232">
        <f t="shared" si="97"/>
        <v>924406</v>
      </c>
      <c r="I272" s="231">
        <v>2993321</v>
      </c>
      <c r="J272" s="232">
        <f t="shared" si="101"/>
        <v>2993321</v>
      </c>
      <c r="K272" s="231">
        <v>56378</v>
      </c>
      <c r="L272" s="232">
        <f t="shared" si="102"/>
        <v>56378</v>
      </c>
      <c r="M272" s="232"/>
      <c r="N272" s="232"/>
      <c r="O272" s="270">
        <f t="shared" si="103"/>
        <v>0</v>
      </c>
      <c r="P272" s="232"/>
      <c r="Q272" s="232">
        <f t="shared" si="104"/>
        <v>0</v>
      </c>
      <c r="R272" s="270">
        <f t="shared" si="105"/>
        <v>0</v>
      </c>
      <c r="S272" s="233">
        <f t="shared" si="98"/>
        <v>0</v>
      </c>
      <c r="T272" s="233">
        <f t="shared" si="99"/>
        <v>0</v>
      </c>
      <c r="U272" s="233">
        <f t="shared" si="100"/>
        <v>0</v>
      </c>
      <c r="V272" s="232">
        <f t="shared" si="106"/>
        <v>0</v>
      </c>
      <c r="W272" s="232">
        <f t="shared" si="107"/>
        <v>0</v>
      </c>
      <c r="X272" s="270">
        <f t="shared" si="108"/>
        <v>0</v>
      </c>
      <c r="Y272" s="234"/>
      <c r="Z272" s="383"/>
      <c r="AA272" s="252" t="e">
        <f>E272-#REF!</f>
        <v>#REF!</v>
      </c>
      <c r="BV272" s="236"/>
    </row>
    <row r="273" spans="1:88" s="235" customFormat="1" ht="20.100000000000001" customHeight="1" x14ac:dyDescent="0.15">
      <c r="A273" s="255" t="s">
        <v>3142</v>
      </c>
      <c r="B273" s="255" t="s">
        <v>171</v>
      </c>
      <c r="C273" s="230" t="s">
        <v>3052</v>
      </c>
      <c r="D273" s="233">
        <v>1</v>
      </c>
      <c r="E273" s="231">
        <f t="shared" si="109"/>
        <v>5353024</v>
      </c>
      <c r="F273" s="232">
        <f t="shared" si="110"/>
        <v>5353024</v>
      </c>
      <c r="G273" s="231">
        <v>1218027</v>
      </c>
      <c r="H273" s="232">
        <f t="shared" si="97"/>
        <v>1218027</v>
      </c>
      <c r="I273" s="231">
        <v>4062402</v>
      </c>
      <c r="J273" s="232">
        <f t="shared" si="101"/>
        <v>4062402</v>
      </c>
      <c r="K273" s="231">
        <v>72595</v>
      </c>
      <c r="L273" s="232">
        <f t="shared" si="102"/>
        <v>72595</v>
      </c>
      <c r="M273" s="232"/>
      <c r="N273" s="232"/>
      <c r="O273" s="270">
        <f t="shared" si="103"/>
        <v>0</v>
      </c>
      <c r="P273" s="232"/>
      <c r="Q273" s="232">
        <f t="shared" si="104"/>
        <v>0</v>
      </c>
      <c r="R273" s="270">
        <f t="shared" si="105"/>
        <v>0</v>
      </c>
      <c r="S273" s="233">
        <f t="shared" si="98"/>
        <v>0</v>
      </c>
      <c r="T273" s="233">
        <f t="shared" si="99"/>
        <v>0</v>
      </c>
      <c r="U273" s="233">
        <f t="shared" si="100"/>
        <v>0</v>
      </c>
      <c r="V273" s="232">
        <f t="shared" si="106"/>
        <v>0</v>
      </c>
      <c r="W273" s="232">
        <f t="shared" si="107"/>
        <v>0</v>
      </c>
      <c r="X273" s="270">
        <f t="shared" si="108"/>
        <v>0</v>
      </c>
      <c r="Y273" s="234"/>
      <c r="Z273" s="383"/>
      <c r="AA273" s="252" t="e">
        <f>E273-#REF!</f>
        <v>#REF!</v>
      </c>
      <c r="BV273" s="236"/>
    </row>
    <row r="274" spans="1:88" s="235" customFormat="1" ht="20.100000000000001" customHeight="1" x14ac:dyDescent="0.15">
      <c r="A274" s="255" t="s">
        <v>3143</v>
      </c>
      <c r="B274" s="255" t="s">
        <v>1937</v>
      </c>
      <c r="C274" s="230" t="s">
        <v>3052</v>
      </c>
      <c r="D274" s="233">
        <v>1</v>
      </c>
      <c r="E274" s="231">
        <f t="shared" si="109"/>
        <v>1882365</v>
      </c>
      <c r="F274" s="232">
        <f t="shared" si="110"/>
        <v>1882365</v>
      </c>
      <c r="G274" s="231">
        <v>420915</v>
      </c>
      <c r="H274" s="232">
        <f t="shared" si="97"/>
        <v>420915</v>
      </c>
      <c r="I274" s="231">
        <v>1435396</v>
      </c>
      <c r="J274" s="232">
        <f t="shared" si="101"/>
        <v>1435396</v>
      </c>
      <c r="K274" s="231">
        <v>26054</v>
      </c>
      <c r="L274" s="232">
        <f t="shared" si="102"/>
        <v>26054</v>
      </c>
      <c r="M274" s="232"/>
      <c r="N274" s="232"/>
      <c r="O274" s="270">
        <f t="shared" si="103"/>
        <v>0</v>
      </c>
      <c r="P274" s="232"/>
      <c r="Q274" s="232">
        <f t="shared" si="104"/>
        <v>0</v>
      </c>
      <c r="R274" s="270">
        <f t="shared" si="105"/>
        <v>0</v>
      </c>
      <c r="S274" s="233">
        <f t="shared" si="98"/>
        <v>0</v>
      </c>
      <c r="T274" s="233">
        <f t="shared" si="99"/>
        <v>0</v>
      </c>
      <c r="U274" s="233">
        <f t="shared" si="100"/>
        <v>0</v>
      </c>
      <c r="V274" s="232">
        <f t="shared" si="106"/>
        <v>0</v>
      </c>
      <c r="W274" s="232">
        <f t="shared" si="107"/>
        <v>0</v>
      </c>
      <c r="X274" s="270">
        <f t="shared" si="108"/>
        <v>0</v>
      </c>
      <c r="Y274" s="234"/>
      <c r="Z274" s="383"/>
      <c r="AA274" s="252" t="e">
        <f>E274-#REF!</f>
        <v>#REF!</v>
      </c>
      <c r="BV274" s="236"/>
    </row>
    <row r="275" spans="1:88" s="235" customFormat="1" ht="20.100000000000001" customHeight="1" x14ac:dyDescent="0.15">
      <c r="A275" s="255" t="s">
        <v>3144</v>
      </c>
      <c r="B275" s="255" t="s">
        <v>171</v>
      </c>
      <c r="C275" s="230" t="s">
        <v>3052</v>
      </c>
      <c r="D275" s="233">
        <v>1</v>
      </c>
      <c r="E275" s="231">
        <f t="shared" si="109"/>
        <v>1277327</v>
      </c>
      <c r="F275" s="232">
        <f t="shared" si="110"/>
        <v>1277327</v>
      </c>
      <c r="G275" s="231">
        <v>288117</v>
      </c>
      <c r="H275" s="232">
        <f t="shared" si="97"/>
        <v>288117</v>
      </c>
      <c r="I275" s="231">
        <v>971207</v>
      </c>
      <c r="J275" s="232">
        <f t="shared" si="101"/>
        <v>971207</v>
      </c>
      <c r="K275" s="231">
        <v>18003</v>
      </c>
      <c r="L275" s="232">
        <f t="shared" si="102"/>
        <v>18003</v>
      </c>
      <c r="M275" s="232"/>
      <c r="N275" s="232"/>
      <c r="O275" s="270">
        <f t="shared" si="103"/>
        <v>0</v>
      </c>
      <c r="P275" s="232"/>
      <c r="Q275" s="232">
        <f t="shared" si="104"/>
        <v>0</v>
      </c>
      <c r="R275" s="270">
        <f t="shared" si="105"/>
        <v>0</v>
      </c>
      <c r="S275" s="233">
        <f t="shared" si="98"/>
        <v>0</v>
      </c>
      <c r="T275" s="233">
        <f t="shared" si="99"/>
        <v>0</v>
      </c>
      <c r="U275" s="233">
        <f t="shared" si="100"/>
        <v>0</v>
      </c>
      <c r="V275" s="232">
        <f t="shared" si="106"/>
        <v>0</v>
      </c>
      <c r="W275" s="232">
        <f t="shared" si="107"/>
        <v>0</v>
      </c>
      <c r="X275" s="270">
        <f t="shared" si="108"/>
        <v>0</v>
      </c>
      <c r="Y275" s="234"/>
      <c r="Z275" s="383"/>
      <c r="AA275" s="252" t="e">
        <f>E275-#REF!</f>
        <v>#REF!</v>
      </c>
      <c r="BV275" s="236"/>
    </row>
    <row r="276" spans="1:88" s="235" customFormat="1" ht="20.100000000000001" customHeight="1" x14ac:dyDescent="0.15">
      <c r="A276" s="255" t="s">
        <v>3145</v>
      </c>
      <c r="B276" s="255" t="s">
        <v>1937</v>
      </c>
      <c r="C276" s="230" t="s">
        <v>3052</v>
      </c>
      <c r="D276" s="233">
        <v>1</v>
      </c>
      <c r="E276" s="231">
        <f t="shared" si="109"/>
        <v>3743363</v>
      </c>
      <c r="F276" s="232">
        <f t="shared" si="110"/>
        <v>3743363</v>
      </c>
      <c r="G276" s="231">
        <v>861699</v>
      </c>
      <c r="H276" s="232">
        <f t="shared" si="97"/>
        <v>861699</v>
      </c>
      <c r="I276" s="231">
        <v>2827748</v>
      </c>
      <c r="J276" s="232">
        <f t="shared" si="101"/>
        <v>2827748</v>
      </c>
      <c r="K276" s="231">
        <v>53916</v>
      </c>
      <c r="L276" s="232">
        <f t="shared" si="102"/>
        <v>53916</v>
      </c>
      <c r="M276" s="232"/>
      <c r="N276" s="232"/>
      <c r="O276" s="270">
        <f t="shared" si="103"/>
        <v>0</v>
      </c>
      <c r="P276" s="232"/>
      <c r="Q276" s="232">
        <f t="shared" si="104"/>
        <v>0</v>
      </c>
      <c r="R276" s="270">
        <f t="shared" si="105"/>
        <v>0</v>
      </c>
      <c r="S276" s="233">
        <f t="shared" si="98"/>
        <v>0</v>
      </c>
      <c r="T276" s="233">
        <f t="shared" si="99"/>
        <v>0</v>
      </c>
      <c r="U276" s="233">
        <f t="shared" si="100"/>
        <v>0</v>
      </c>
      <c r="V276" s="232">
        <f t="shared" si="106"/>
        <v>0</v>
      </c>
      <c r="W276" s="232">
        <f t="shared" si="107"/>
        <v>0</v>
      </c>
      <c r="X276" s="270">
        <f t="shared" si="108"/>
        <v>0</v>
      </c>
      <c r="Y276" s="234"/>
      <c r="Z276" s="383"/>
      <c r="AA276" s="252" t="e">
        <f>E276-#REF!</f>
        <v>#REF!</v>
      </c>
      <c r="BV276" s="236"/>
    </row>
    <row r="277" spans="1:88" s="235" customFormat="1" ht="20.100000000000001" customHeight="1" x14ac:dyDescent="0.15">
      <c r="A277" s="255" t="s">
        <v>3146</v>
      </c>
      <c r="B277" s="255" t="s">
        <v>1937</v>
      </c>
      <c r="C277" s="230" t="s">
        <v>3052</v>
      </c>
      <c r="D277" s="233">
        <v>1</v>
      </c>
      <c r="E277" s="231">
        <f t="shared" si="109"/>
        <v>688199</v>
      </c>
      <c r="F277" s="232">
        <f t="shared" si="110"/>
        <v>688199</v>
      </c>
      <c r="G277" s="231">
        <v>161440</v>
      </c>
      <c r="H277" s="232">
        <f t="shared" si="97"/>
        <v>161440</v>
      </c>
      <c r="I277" s="231">
        <v>516324</v>
      </c>
      <c r="J277" s="232">
        <f t="shared" si="101"/>
        <v>516324</v>
      </c>
      <c r="K277" s="231">
        <v>10435</v>
      </c>
      <c r="L277" s="232">
        <f t="shared" si="102"/>
        <v>10435</v>
      </c>
      <c r="M277" s="232"/>
      <c r="N277" s="232"/>
      <c r="O277" s="270">
        <f t="shared" si="103"/>
        <v>0</v>
      </c>
      <c r="P277" s="232"/>
      <c r="Q277" s="232">
        <f t="shared" si="104"/>
        <v>0</v>
      </c>
      <c r="R277" s="270">
        <f t="shared" si="105"/>
        <v>0</v>
      </c>
      <c r="S277" s="233">
        <f t="shared" si="98"/>
        <v>0</v>
      </c>
      <c r="T277" s="233">
        <f t="shared" si="99"/>
        <v>0</v>
      </c>
      <c r="U277" s="233">
        <f t="shared" si="100"/>
        <v>0</v>
      </c>
      <c r="V277" s="232">
        <f t="shared" si="106"/>
        <v>0</v>
      </c>
      <c r="W277" s="232">
        <f t="shared" si="107"/>
        <v>0</v>
      </c>
      <c r="X277" s="270">
        <f t="shared" si="108"/>
        <v>0</v>
      </c>
      <c r="Y277" s="234"/>
      <c r="Z277" s="383"/>
      <c r="AA277" s="252" t="e">
        <f>E277-#REF!</f>
        <v>#REF!</v>
      </c>
      <c r="BV277" s="236"/>
    </row>
    <row r="278" spans="1:88" s="235" customFormat="1" ht="20.100000000000001" customHeight="1" x14ac:dyDescent="0.15">
      <c r="A278" s="229" t="s">
        <v>2236</v>
      </c>
      <c r="B278" s="229" t="s">
        <v>2047</v>
      </c>
      <c r="C278" s="230" t="s">
        <v>2303</v>
      </c>
      <c r="D278" s="233">
        <v>0</v>
      </c>
      <c r="E278" s="231">
        <f t="shared" ref="E278:E296" si="111">G278+I278+K278</f>
        <v>23511728</v>
      </c>
      <c r="F278" s="232">
        <f t="shared" si="95"/>
        <v>0</v>
      </c>
      <c r="G278" s="231">
        <v>4140973</v>
      </c>
      <c r="H278" s="232">
        <f t="shared" si="97"/>
        <v>0</v>
      </c>
      <c r="I278" s="231">
        <v>16823786</v>
      </c>
      <c r="J278" s="232">
        <f t="shared" si="101"/>
        <v>0</v>
      </c>
      <c r="K278" s="231">
        <v>2546969</v>
      </c>
      <c r="L278" s="232">
        <f t="shared" si="102"/>
        <v>0</v>
      </c>
      <c r="M278" s="232"/>
      <c r="N278" s="232"/>
      <c r="O278" s="270">
        <f t="shared" si="103"/>
        <v>0</v>
      </c>
      <c r="P278" s="232"/>
      <c r="Q278" s="232">
        <f t="shared" si="104"/>
        <v>0</v>
      </c>
      <c r="R278" s="270">
        <f t="shared" si="105"/>
        <v>0</v>
      </c>
      <c r="S278" s="233">
        <f t="shared" si="98"/>
        <v>0</v>
      </c>
      <c r="T278" s="233">
        <f t="shared" si="99"/>
        <v>0</v>
      </c>
      <c r="U278" s="233">
        <f t="shared" si="100"/>
        <v>0</v>
      </c>
      <c r="V278" s="232">
        <f t="shared" si="106"/>
        <v>0</v>
      </c>
      <c r="W278" s="232">
        <f t="shared" si="107"/>
        <v>0</v>
      </c>
      <c r="X278" s="270">
        <f t="shared" si="108"/>
        <v>0</v>
      </c>
      <c r="Y278" s="234"/>
      <c r="Z278" s="383"/>
      <c r="AA278" s="252" t="e">
        <f>E278-#REF!</f>
        <v>#REF!</v>
      </c>
      <c r="AC278" s="235" t="s">
        <v>762</v>
      </c>
      <c r="AD278" s="235" t="s">
        <v>2856</v>
      </c>
      <c r="AE278" s="235" t="s">
        <v>663</v>
      </c>
      <c r="AG278" s="235" t="s">
        <v>1778</v>
      </c>
      <c r="BV278" s="236" t="str">
        <f>HYPERLINK("#일위대가목록!A177","HW0117 →")</f>
        <v>HW0117 →</v>
      </c>
      <c r="CB278" s="235">
        <v>27359708</v>
      </c>
      <c r="CC278" s="235">
        <v>27359708</v>
      </c>
      <c r="CD278" s="235">
        <v>4818694</v>
      </c>
      <c r="CE278" s="235">
        <v>4818694</v>
      </c>
      <c r="CF278" s="235">
        <v>19577202</v>
      </c>
      <c r="CG278" s="235">
        <v>19577202</v>
      </c>
      <c r="CH278" s="235">
        <v>2963812</v>
      </c>
      <c r="CI278" s="235">
        <v>2963812</v>
      </c>
      <c r="CJ278" s="235" t="s">
        <v>122</v>
      </c>
    </row>
    <row r="279" spans="1:88" s="235" customFormat="1" ht="20.100000000000001" customHeight="1" x14ac:dyDescent="0.15">
      <c r="A279" s="229" t="s">
        <v>5</v>
      </c>
      <c r="B279" s="229" t="s">
        <v>2196</v>
      </c>
      <c r="C279" s="230" t="s">
        <v>1796</v>
      </c>
      <c r="D279" s="233">
        <v>0</v>
      </c>
      <c r="E279" s="231">
        <f t="shared" si="111"/>
        <v>6075206</v>
      </c>
      <c r="F279" s="232">
        <f t="shared" si="95"/>
        <v>0</v>
      </c>
      <c r="G279" s="231">
        <v>1410436</v>
      </c>
      <c r="H279" s="232">
        <f t="shared" si="97"/>
        <v>0</v>
      </c>
      <c r="I279" s="231">
        <v>4609496</v>
      </c>
      <c r="J279" s="232">
        <f t="shared" si="101"/>
        <v>0</v>
      </c>
      <c r="K279" s="231">
        <v>55274</v>
      </c>
      <c r="L279" s="232">
        <f t="shared" si="102"/>
        <v>0</v>
      </c>
      <c r="M279" s="232"/>
      <c r="N279" s="232"/>
      <c r="O279" s="270">
        <f t="shared" si="103"/>
        <v>0</v>
      </c>
      <c r="P279" s="232"/>
      <c r="Q279" s="232">
        <f t="shared" si="104"/>
        <v>0</v>
      </c>
      <c r="R279" s="270">
        <f t="shared" si="105"/>
        <v>0</v>
      </c>
      <c r="S279" s="233">
        <f t="shared" si="98"/>
        <v>0</v>
      </c>
      <c r="T279" s="233">
        <f t="shared" si="99"/>
        <v>0</v>
      </c>
      <c r="U279" s="233">
        <f t="shared" si="100"/>
        <v>0</v>
      </c>
      <c r="V279" s="232">
        <f t="shared" si="106"/>
        <v>0</v>
      </c>
      <c r="W279" s="232">
        <f t="shared" si="107"/>
        <v>0</v>
      </c>
      <c r="X279" s="270">
        <f t="shared" si="108"/>
        <v>0</v>
      </c>
      <c r="Y279" s="234"/>
      <c r="Z279" s="383"/>
      <c r="AA279" s="252" t="e">
        <f>E279-#REF!</f>
        <v>#REF!</v>
      </c>
      <c r="AC279" s="235" t="s">
        <v>60</v>
      </c>
      <c r="AD279" s="235" t="s">
        <v>2856</v>
      </c>
      <c r="AE279" s="235" t="s">
        <v>1547</v>
      </c>
      <c r="AG279" s="235" t="s">
        <v>1778</v>
      </c>
      <c r="BV279" s="236" t="str">
        <f>HYPERLINK("#일위대가목록!A178","HW0131 →")</f>
        <v>HW0131 →</v>
      </c>
      <c r="CB279" s="235">
        <v>7069489</v>
      </c>
      <c r="CC279" s="235">
        <v>7069489</v>
      </c>
      <c r="CD279" s="235">
        <v>1641272</v>
      </c>
      <c r="CE279" s="235">
        <v>1641272</v>
      </c>
      <c r="CF279" s="235">
        <v>5363896</v>
      </c>
      <c r="CG279" s="235">
        <v>5363896</v>
      </c>
      <c r="CH279" s="235">
        <v>64321</v>
      </c>
      <c r="CI279" s="235">
        <v>64321</v>
      </c>
      <c r="CJ279" s="235" t="s">
        <v>2661</v>
      </c>
    </row>
    <row r="280" spans="1:88" s="235" customFormat="1" ht="20.100000000000001" customHeight="1" x14ac:dyDescent="0.15">
      <c r="A280" s="255" t="s">
        <v>3111</v>
      </c>
      <c r="B280" s="255" t="s">
        <v>3110</v>
      </c>
      <c r="C280" s="230"/>
      <c r="D280" s="233">
        <v>1</v>
      </c>
      <c r="E280" s="231">
        <f t="shared" si="111"/>
        <v>5934631</v>
      </c>
      <c r="F280" s="232">
        <f t="shared" ref="F280:F296" si="112">H280+J280+L280</f>
        <v>5934631</v>
      </c>
      <c r="G280" s="231">
        <v>1463486</v>
      </c>
      <c r="H280" s="232">
        <f t="shared" si="97"/>
        <v>1463486</v>
      </c>
      <c r="I280" s="231">
        <v>4400688</v>
      </c>
      <c r="J280" s="232">
        <f t="shared" si="101"/>
        <v>4400688</v>
      </c>
      <c r="K280" s="231">
        <v>70457</v>
      </c>
      <c r="L280" s="232">
        <f t="shared" si="102"/>
        <v>70457</v>
      </c>
      <c r="M280" s="232"/>
      <c r="N280" s="232"/>
      <c r="O280" s="270">
        <f t="shared" si="103"/>
        <v>0</v>
      </c>
      <c r="P280" s="232"/>
      <c r="Q280" s="232">
        <f t="shared" si="104"/>
        <v>0</v>
      </c>
      <c r="R280" s="270">
        <f t="shared" si="105"/>
        <v>0</v>
      </c>
      <c r="S280" s="233">
        <f t="shared" si="98"/>
        <v>0</v>
      </c>
      <c r="T280" s="233">
        <f t="shared" si="99"/>
        <v>0</v>
      </c>
      <c r="U280" s="233">
        <f t="shared" si="100"/>
        <v>0</v>
      </c>
      <c r="V280" s="232">
        <f t="shared" si="106"/>
        <v>0</v>
      </c>
      <c r="W280" s="232">
        <f t="shared" si="107"/>
        <v>0</v>
      </c>
      <c r="X280" s="270">
        <f t="shared" si="108"/>
        <v>0</v>
      </c>
      <c r="Y280" s="234"/>
      <c r="Z280" s="383"/>
      <c r="AA280" s="252" t="e">
        <f>E280-#REF!</f>
        <v>#REF!</v>
      </c>
      <c r="BV280" s="236"/>
    </row>
    <row r="281" spans="1:88" s="235" customFormat="1" ht="20.100000000000001" customHeight="1" x14ac:dyDescent="0.15">
      <c r="A281" s="255" t="s">
        <v>2183</v>
      </c>
      <c r="B281" s="255" t="s">
        <v>2202</v>
      </c>
      <c r="C281" s="230" t="s">
        <v>1796</v>
      </c>
      <c r="D281" s="233">
        <v>1</v>
      </c>
      <c r="E281" s="231">
        <f t="shared" si="111"/>
        <v>5919585</v>
      </c>
      <c r="F281" s="232">
        <f t="shared" si="112"/>
        <v>5919585</v>
      </c>
      <c r="G281" s="231">
        <v>1433039</v>
      </c>
      <c r="H281" s="232">
        <f t="shared" si="97"/>
        <v>1433039</v>
      </c>
      <c r="I281" s="231">
        <v>4431797</v>
      </c>
      <c r="J281" s="232">
        <f t="shared" si="101"/>
        <v>4431797</v>
      </c>
      <c r="K281" s="231">
        <v>54749</v>
      </c>
      <c r="L281" s="232">
        <f t="shared" si="102"/>
        <v>54749</v>
      </c>
      <c r="M281" s="232"/>
      <c r="N281" s="232"/>
      <c r="O281" s="270">
        <f t="shared" si="103"/>
        <v>0</v>
      </c>
      <c r="P281" s="232"/>
      <c r="Q281" s="232">
        <f t="shared" si="104"/>
        <v>0</v>
      </c>
      <c r="R281" s="270">
        <f t="shared" si="105"/>
        <v>0</v>
      </c>
      <c r="S281" s="233">
        <f t="shared" si="98"/>
        <v>0</v>
      </c>
      <c r="T281" s="233">
        <f t="shared" si="99"/>
        <v>0</v>
      </c>
      <c r="U281" s="233">
        <f t="shared" si="100"/>
        <v>0</v>
      </c>
      <c r="V281" s="232">
        <f t="shared" si="106"/>
        <v>0</v>
      </c>
      <c r="W281" s="232">
        <f t="shared" si="107"/>
        <v>0</v>
      </c>
      <c r="X281" s="270">
        <f t="shared" si="108"/>
        <v>0</v>
      </c>
      <c r="Y281" s="234"/>
      <c r="Z281" s="383"/>
      <c r="AA281" s="252" t="e">
        <f>E281-#REF!</f>
        <v>#REF!</v>
      </c>
      <c r="AC281" s="235" t="s">
        <v>1383</v>
      </c>
      <c r="AD281" s="235" t="s">
        <v>2856</v>
      </c>
      <c r="AE281" s="235" t="s">
        <v>519</v>
      </c>
      <c r="AG281" s="235" t="s">
        <v>1778</v>
      </c>
      <c r="BV281" s="236" t="str">
        <f>HYPERLINK("#일위대가목록!A179","HW0132 →")</f>
        <v>HW0132 →</v>
      </c>
      <c r="CB281" s="235">
        <v>6888399</v>
      </c>
      <c r="CC281" s="235">
        <v>6888399</v>
      </c>
      <c r="CD281" s="235">
        <v>1667574</v>
      </c>
      <c r="CE281" s="235">
        <v>1667574</v>
      </c>
      <c r="CF281" s="235">
        <v>5157115</v>
      </c>
      <c r="CG281" s="235">
        <v>5157115</v>
      </c>
      <c r="CH281" s="235">
        <v>63710</v>
      </c>
      <c r="CI281" s="235">
        <v>63710</v>
      </c>
      <c r="CJ281" s="235" t="s">
        <v>1340</v>
      </c>
    </row>
    <row r="282" spans="1:88" s="235" customFormat="1" ht="20.100000000000001" customHeight="1" x14ac:dyDescent="0.15">
      <c r="A282" s="255" t="s">
        <v>3108</v>
      </c>
      <c r="B282" s="255" t="s">
        <v>3109</v>
      </c>
      <c r="C282" s="230"/>
      <c r="D282" s="233">
        <v>1</v>
      </c>
      <c r="E282" s="231">
        <f t="shared" si="111"/>
        <v>13624665</v>
      </c>
      <c r="F282" s="232">
        <f t="shared" si="112"/>
        <v>13624665</v>
      </c>
      <c r="G282" s="231">
        <v>3122361</v>
      </c>
      <c r="H282" s="232">
        <f t="shared" si="97"/>
        <v>3122361</v>
      </c>
      <c r="I282" s="231">
        <v>10339794</v>
      </c>
      <c r="J282" s="232">
        <f t="shared" si="101"/>
        <v>10339794</v>
      </c>
      <c r="K282" s="231">
        <v>162510</v>
      </c>
      <c r="L282" s="232">
        <f t="shared" si="102"/>
        <v>162510</v>
      </c>
      <c r="M282" s="232"/>
      <c r="N282" s="232"/>
      <c r="O282" s="270">
        <f t="shared" si="103"/>
        <v>0</v>
      </c>
      <c r="P282" s="232"/>
      <c r="Q282" s="232">
        <f t="shared" si="104"/>
        <v>0</v>
      </c>
      <c r="R282" s="270">
        <f t="shared" si="105"/>
        <v>0</v>
      </c>
      <c r="S282" s="233">
        <f t="shared" si="98"/>
        <v>0</v>
      </c>
      <c r="T282" s="233">
        <f t="shared" si="99"/>
        <v>0</v>
      </c>
      <c r="U282" s="233">
        <f t="shared" si="100"/>
        <v>0</v>
      </c>
      <c r="V282" s="232">
        <f t="shared" si="106"/>
        <v>0</v>
      </c>
      <c r="W282" s="232">
        <f t="shared" si="107"/>
        <v>0</v>
      </c>
      <c r="X282" s="270">
        <f t="shared" si="108"/>
        <v>0</v>
      </c>
      <c r="Y282" s="234"/>
      <c r="Z282" s="383"/>
      <c r="AA282" s="252" t="e">
        <f>E282-#REF!</f>
        <v>#REF!</v>
      </c>
      <c r="BV282" s="236"/>
    </row>
    <row r="283" spans="1:88" s="235" customFormat="1" ht="20.100000000000001" customHeight="1" x14ac:dyDescent="0.15">
      <c r="A283" s="255" t="s">
        <v>1265</v>
      </c>
      <c r="B283" s="255" t="s">
        <v>2856</v>
      </c>
      <c r="C283" s="230" t="s">
        <v>1796</v>
      </c>
      <c r="D283" s="233">
        <v>2</v>
      </c>
      <c r="E283" s="231">
        <f t="shared" si="111"/>
        <v>12595610</v>
      </c>
      <c r="F283" s="232">
        <f t="shared" si="112"/>
        <v>25191220</v>
      </c>
      <c r="G283" s="231">
        <v>3348056</v>
      </c>
      <c r="H283" s="232">
        <f t="shared" si="97"/>
        <v>6696112</v>
      </c>
      <c r="I283" s="231">
        <v>9129652</v>
      </c>
      <c r="J283" s="232">
        <f t="shared" si="101"/>
        <v>18259304</v>
      </c>
      <c r="K283" s="231">
        <v>117902</v>
      </c>
      <c r="L283" s="232">
        <f t="shared" si="102"/>
        <v>235804</v>
      </c>
      <c r="M283" s="232"/>
      <c r="N283" s="232"/>
      <c r="O283" s="270">
        <f t="shared" si="103"/>
        <v>0</v>
      </c>
      <c r="P283" s="232"/>
      <c r="Q283" s="232">
        <f t="shared" si="104"/>
        <v>0</v>
      </c>
      <c r="R283" s="270">
        <f t="shared" si="105"/>
        <v>0</v>
      </c>
      <c r="S283" s="233">
        <f t="shared" si="98"/>
        <v>0</v>
      </c>
      <c r="T283" s="233">
        <f t="shared" si="99"/>
        <v>0</v>
      </c>
      <c r="U283" s="233">
        <f t="shared" si="100"/>
        <v>0</v>
      </c>
      <c r="V283" s="232">
        <f t="shared" si="106"/>
        <v>0</v>
      </c>
      <c r="W283" s="232">
        <f t="shared" si="107"/>
        <v>0</v>
      </c>
      <c r="X283" s="270">
        <f t="shared" si="108"/>
        <v>0</v>
      </c>
      <c r="Y283" s="234"/>
      <c r="Z283" s="383"/>
      <c r="AA283" s="252" t="e">
        <f>E283-#REF!</f>
        <v>#REF!</v>
      </c>
      <c r="AC283" s="235" t="s">
        <v>1419</v>
      </c>
      <c r="AD283" s="235" t="s">
        <v>2856</v>
      </c>
      <c r="AE283" s="235" t="s">
        <v>448</v>
      </c>
      <c r="AG283" s="235" t="s">
        <v>1778</v>
      </c>
      <c r="BV283" s="236" t="str">
        <f>HYPERLINK("#일위대가목록!A180","HW0136 →")</f>
        <v>HW0136 →</v>
      </c>
      <c r="CB283" s="235">
        <v>14657036</v>
      </c>
      <c r="CC283" s="235">
        <v>29314072</v>
      </c>
      <c r="CD283" s="235">
        <v>3896006</v>
      </c>
      <c r="CE283" s="235">
        <v>7792012</v>
      </c>
      <c r="CF283" s="235">
        <v>10623831</v>
      </c>
      <c r="CG283" s="235">
        <v>21247662</v>
      </c>
      <c r="CH283" s="235">
        <v>137199</v>
      </c>
      <c r="CI283" s="235">
        <v>274398</v>
      </c>
      <c r="CJ283" s="235" t="s">
        <v>2171</v>
      </c>
    </row>
    <row r="284" spans="1:88" s="235" customFormat="1" ht="20.100000000000001" customHeight="1" x14ac:dyDescent="0.15">
      <c r="A284" s="255" t="s">
        <v>118</v>
      </c>
      <c r="B284" s="255" t="s">
        <v>362</v>
      </c>
      <c r="C284" s="230" t="s">
        <v>1796</v>
      </c>
      <c r="D284" s="233">
        <v>1</v>
      </c>
      <c r="E284" s="231">
        <f t="shared" si="111"/>
        <v>28874361</v>
      </c>
      <c r="F284" s="232">
        <f t="shared" si="112"/>
        <v>28874361</v>
      </c>
      <c r="G284" s="231">
        <v>28874361</v>
      </c>
      <c r="H284" s="232">
        <f t="shared" si="97"/>
        <v>28874361</v>
      </c>
      <c r="I284" s="231">
        <v>0</v>
      </c>
      <c r="J284" s="232"/>
      <c r="K284" s="231">
        <v>0</v>
      </c>
      <c r="L284" s="232"/>
      <c r="M284" s="232"/>
      <c r="N284" s="232"/>
      <c r="O284" s="270">
        <f t="shared" si="103"/>
        <v>0</v>
      </c>
      <c r="P284" s="232"/>
      <c r="Q284" s="232">
        <f t="shared" si="104"/>
        <v>0</v>
      </c>
      <c r="R284" s="270">
        <f t="shared" si="105"/>
        <v>0</v>
      </c>
      <c r="S284" s="233">
        <f t="shared" si="98"/>
        <v>0</v>
      </c>
      <c r="T284" s="233">
        <f t="shared" si="99"/>
        <v>0</v>
      </c>
      <c r="U284" s="233">
        <f t="shared" si="100"/>
        <v>0</v>
      </c>
      <c r="V284" s="232">
        <f t="shared" si="106"/>
        <v>0</v>
      </c>
      <c r="W284" s="232">
        <f t="shared" si="107"/>
        <v>0</v>
      </c>
      <c r="X284" s="270">
        <f t="shared" si="108"/>
        <v>0</v>
      </c>
      <c r="Y284" s="234"/>
      <c r="Z284" s="383"/>
      <c r="AA284" s="252" t="e">
        <f>E284-#REF!</f>
        <v>#REF!</v>
      </c>
      <c r="AC284" s="235" t="s">
        <v>683</v>
      </c>
      <c r="AD284" s="235" t="s">
        <v>2856</v>
      </c>
      <c r="AE284" s="235" t="s">
        <v>901</v>
      </c>
      <c r="BV284" s="236" t="str">
        <f>HYPERLINK("#자재조서!A105","MS-1005 →")</f>
        <v>MS-1005 →</v>
      </c>
      <c r="CB284" s="235">
        <v>33600000</v>
      </c>
      <c r="CC284" s="235">
        <v>33600000</v>
      </c>
      <c r="CD284" s="235">
        <v>33600000</v>
      </c>
      <c r="CE284" s="235">
        <v>33600000</v>
      </c>
      <c r="CF284" s="235">
        <v>0</v>
      </c>
      <c r="CH284" s="235">
        <v>0</v>
      </c>
      <c r="CJ284" s="235" t="s">
        <v>901</v>
      </c>
    </row>
    <row r="285" spans="1:88" s="235" customFormat="1" ht="20.100000000000001" customHeight="1" x14ac:dyDescent="0.15">
      <c r="A285" s="255" t="s">
        <v>465</v>
      </c>
      <c r="B285" s="255" t="s">
        <v>2856</v>
      </c>
      <c r="C285" s="230" t="s">
        <v>1796</v>
      </c>
      <c r="D285" s="258">
        <v>5</v>
      </c>
      <c r="E285" s="231">
        <f t="shared" si="111"/>
        <v>773420</v>
      </c>
      <c r="F285" s="232">
        <f t="shared" si="112"/>
        <v>3867100</v>
      </c>
      <c r="G285" s="231">
        <v>773420</v>
      </c>
      <c r="H285" s="232">
        <f t="shared" si="97"/>
        <v>3867100</v>
      </c>
      <c r="I285" s="231">
        <v>0</v>
      </c>
      <c r="J285" s="232"/>
      <c r="K285" s="231">
        <v>0</v>
      </c>
      <c r="L285" s="232"/>
      <c r="M285" s="232"/>
      <c r="N285" s="232"/>
      <c r="O285" s="270">
        <f t="shared" si="103"/>
        <v>0</v>
      </c>
      <c r="P285" s="232"/>
      <c r="Q285" s="232">
        <f t="shared" si="104"/>
        <v>0</v>
      </c>
      <c r="R285" s="270">
        <f t="shared" si="105"/>
        <v>0</v>
      </c>
      <c r="S285" s="233">
        <f t="shared" si="98"/>
        <v>0</v>
      </c>
      <c r="T285" s="233">
        <f t="shared" si="99"/>
        <v>0</v>
      </c>
      <c r="U285" s="233">
        <f t="shared" si="100"/>
        <v>0</v>
      </c>
      <c r="V285" s="232">
        <f t="shared" si="106"/>
        <v>0</v>
      </c>
      <c r="W285" s="232">
        <f t="shared" si="107"/>
        <v>0</v>
      </c>
      <c r="X285" s="270">
        <f t="shared" si="108"/>
        <v>0</v>
      </c>
      <c r="Y285" s="234"/>
      <c r="Z285" s="383"/>
      <c r="AA285" s="252" t="e">
        <f>E285-#REF!</f>
        <v>#REF!</v>
      </c>
      <c r="AC285" s="235" t="s">
        <v>2107</v>
      </c>
      <c r="AD285" s="235" t="s">
        <v>2856</v>
      </c>
      <c r="AE285" s="235" t="s">
        <v>1390</v>
      </c>
      <c r="BV285" s="236" t="str">
        <f>HYPERLINK("#자재조서!A106","MS-1007 →")</f>
        <v>MS-1007 →</v>
      </c>
      <c r="CB285" s="235">
        <v>900000</v>
      </c>
      <c r="CC285" s="235">
        <v>4500000</v>
      </c>
      <c r="CD285" s="235">
        <v>900000</v>
      </c>
      <c r="CE285" s="235">
        <v>4500000</v>
      </c>
      <c r="CF285" s="235">
        <v>0</v>
      </c>
      <c r="CH285" s="235">
        <v>0</v>
      </c>
      <c r="CJ285" s="235" t="s">
        <v>1390</v>
      </c>
    </row>
    <row r="286" spans="1:88" s="235" customFormat="1" ht="20.100000000000001" customHeight="1" x14ac:dyDescent="0.15">
      <c r="A286" s="255" t="s">
        <v>1922</v>
      </c>
      <c r="B286" s="255" t="s">
        <v>893</v>
      </c>
      <c r="C286" s="230" t="s">
        <v>1796</v>
      </c>
      <c r="D286" s="233">
        <v>3</v>
      </c>
      <c r="E286" s="231">
        <f t="shared" si="111"/>
        <v>4090534</v>
      </c>
      <c r="F286" s="232">
        <f t="shared" si="112"/>
        <v>12271602</v>
      </c>
      <c r="G286" s="231">
        <v>4090534</v>
      </c>
      <c r="H286" s="232">
        <f t="shared" si="97"/>
        <v>12271602</v>
      </c>
      <c r="I286" s="231">
        <v>0</v>
      </c>
      <c r="J286" s="232"/>
      <c r="K286" s="231">
        <v>0</v>
      </c>
      <c r="L286" s="232"/>
      <c r="M286" s="232"/>
      <c r="N286" s="232"/>
      <c r="O286" s="270">
        <f t="shared" si="103"/>
        <v>0</v>
      </c>
      <c r="P286" s="232"/>
      <c r="Q286" s="232">
        <f t="shared" si="104"/>
        <v>0</v>
      </c>
      <c r="R286" s="270">
        <f t="shared" si="105"/>
        <v>0</v>
      </c>
      <c r="S286" s="233">
        <f t="shared" si="98"/>
        <v>0</v>
      </c>
      <c r="T286" s="233">
        <f t="shared" si="99"/>
        <v>0</v>
      </c>
      <c r="U286" s="233">
        <f t="shared" si="100"/>
        <v>0</v>
      </c>
      <c r="V286" s="232">
        <f t="shared" si="106"/>
        <v>0</v>
      </c>
      <c r="W286" s="232">
        <f t="shared" si="107"/>
        <v>0</v>
      </c>
      <c r="X286" s="270">
        <f t="shared" si="108"/>
        <v>0</v>
      </c>
      <c r="Y286" s="234"/>
      <c r="Z286" s="383"/>
      <c r="AA286" s="252" t="e">
        <f>E286-#REF!</f>
        <v>#REF!</v>
      </c>
      <c r="AC286" s="235" t="s">
        <v>1289</v>
      </c>
      <c r="AD286" s="235" t="s">
        <v>2856</v>
      </c>
      <c r="AE286" s="235" t="s">
        <v>2648</v>
      </c>
      <c r="BV286" s="236" t="str">
        <f>HYPERLINK("#자재조서!A107","MS-1008 →")</f>
        <v>MS-1008 →</v>
      </c>
      <c r="CB286" s="235">
        <v>4760000</v>
      </c>
      <c r="CC286" s="235">
        <v>14280000</v>
      </c>
      <c r="CD286" s="235">
        <v>4760000</v>
      </c>
      <c r="CE286" s="235">
        <v>14280000</v>
      </c>
      <c r="CF286" s="235">
        <v>0</v>
      </c>
      <c r="CH286" s="235">
        <v>0</v>
      </c>
      <c r="CJ286" s="235" t="s">
        <v>2648</v>
      </c>
    </row>
    <row r="287" spans="1:88" s="235" customFormat="1" ht="20.100000000000001" customHeight="1" x14ac:dyDescent="0.15">
      <c r="A287" s="255" t="s">
        <v>2624</v>
      </c>
      <c r="B287" s="255" t="s">
        <v>1204</v>
      </c>
      <c r="C287" s="230" t="s">
        <v>1796</v>
      </c>
      <c r="D287" s="233">
        <v>1</v>
      </c>
      <c r="E287" s="231">
        <f t="shared" si="111"/>
        <v>3695230</v>
      </c>
      <c r="F287" s="232">
        <f t="shared" si="112"/>
        <v>3695230</v>
      </c>
      <c r="G287" s="231">
        <v>3695230</v>
      </c>
      <c r="H287" s="232">
        <f t="shared" si="97"/>
        <v>3695230</v>
      </c>
      <c r="I287" s="231">
        <v>0</v>
      </c>
      <c r="J287" s="232"/>
      <c r="K287" s="231">
        <v>0</v>
      </c>
      <c r="L287" s="232"/>
      <c r="M287" s="232"/>
      <c r="N287" s="232"/>
      <c r="O287" s="270">
        <f t="shared" si="103"/>
        <v>0</v>
      </c>
      <c r="P287" s="232"/>
      <c r="Q287" s="232">
        <f t="shared" si="104"/>
        <v>0</v>
      </c>
      <c r="R287" s="270">
        <f t="shared" si="105"/>
        <v>0</v>
      </c>
      <c r="S287" s="233">
        <f t="shared" si="98"/>
        <v>0</v>
      </c>
      <c r="T287" s="233">
        <f t="shared" si="99"/>
        <v>0</v>
      </c>
      <c r="U287" s="233">
        <f t="shared" si="100"/>
        <v>0</v>
      </c>
      <c r="V287" s="232">
        <f t="shared" si="106"/>
        <v>0</v>
      </c>
      <c r="W287" s="232">
        <f t="shared" si="107"/>
        <v>0</v>
      </c>
      <c r="X287" s="270">
        <f t="shared" si="108"/>
        <v>0</v>
      </c>
      <c r="Y287" s="234"/>
      <c r="Z287" s="383"/>
      <c r="AA287" s="252" t="e">
        <f>E287-#REF!</f>
        <v>#REF!</v>
      </c>
      <c r="AC287" s="235" t="s">
        <v>551</v>
      </c>
      <c r="AD287" s="235" t="s">
        <v>2856</v>
      </c>
      <c r="AE287" s="235" t="s">
        <v>970</v>
      </c>
      <c r="BV287" s="236" t="str">
        <f>HYPERLINK("#자재조서!A67","MB-0119 →")</f>
        <v>MB-0119 →</v>
      </c>
      <c r="CB287" s="235">
        <v>4300000</v>
      </c>
      <c r="CC287" s="235">
        <v>4300000</v>
      </c>
      <c r="CD287" s="235">
        <v>4300000</v>
      </c>
      <c r="CE287" s="235">
        <v>4300000</v>
      </c>
      <c r="CF287" s="235">
        <v>0</v>
      </c>
      <c r="CH287" s="235">
        <v>0</v>
      </c>
      <c r="CJ287" s="235" t="s">
        <v>970</v>
      </c>
    </row>
    <row r="288" spans="1:88" s="235" customFormat="1" ht="20.100000000000001" customHeight="1" x14ac:dyDescent="0.15">
      <c r="A288" s="255" t="s">
        <v>2106</v>
      </c>
      <c r="B288" s="255" t="s">
        <v>2312</v>
      </c>
      <c r="C288" s="230" t="s">
        <v>1796</v>
      </c>
      <c r="D288" s="233">
        <v>3</v>
      </c>
      <c r="E288" s="231">
        <f t="shared" si="111"/>
        <v>601549</v>
      </c>
      <c r="F288" s="232">
        <f t="shared" si="112"/>
        <v>1804647</v>
      </c>
      <c r="G288" s="231">
        <v>601549</v>
      </c>
      <c r="H288" s="232">
        <f t="shared" si="97"/>
        <v>1804647</v>
      </c>
      <c r="I288" s="231">
        <v>0</v>
      </c>
      <c r="J288" s="232"/>
      <c r="K288" s="231">
        <v>0</v>
      </c>
      <c r="L288" s="232"/>
      <c r="M288" s="232"/>
      <c r="N288" s="232"/>
      <c r="O288" s="270">
        <f t="shared" si="103"/>
        <v>0</v>
      </c>
      <c r="P288" s="232"/>
      <c r="Q288" s="232">
        <f t="shared" si="104"/>
        <v>0</v>
      </c>
      <c r="R288" s="270">
        <f t="shared" si="105"/>
        <v>0</v>
      </c>
      <c r="S288" s="233">
        <f t="shared" si="98"/>
        <v>0</v>
      </c>
      <c r="T288" s="233">
        <f t="shared" si="99"/>
        <v>0</v>
      </c>
      <c r="U288" s="233">
        <f t="shared" si="100"/>
        <v>0</v>
      </c>
      <c r="V288" s="232">
        <f t="shared" si="106"/>
        <v>0</v>
      </c>
      <c r="W288" s="232">
        <f t="shared" si="107"/>
        <v>0</v>
      </c>
      <c r="X288" s="270">
        <f t="shared" si="108"/>
        <v>0</v>
      </c>
      <c r="Y288" s="234"/>
      <c r="Z288" s="383"/>
      <c r="AA288" s="252" t="e">
        <f>E288-#REF!</f>
        <v>#REF!</v>
      </c>
      <c r="AC288" s="235" t="s">
        <v>2843</v>
      </c>
      <c r="AD288" s="235" t="s">
        <v>2856</v>
      </c>
      <c r="AE288" s="235" t="s">
        <v>1284</v>
      </c>
      <c r="BV288" s="236" t="str">
        <f>HYPERLINK("#자재조서!A102","MS-062 →")</f>
        <v>MS-062 →</v>
      </c>
      <c r="CB288" s="235">
        <v>700000</v>
      </c>
      <c r="CC288" s="235">
        <v>2100000</v>
      </c>
      <c r="CD288" s="235">
        <v>700000</v>
      </c>
      <c r="CE288" s="235">
        <v>2100000</v>
      </c>
      <c r="CF288" s="235">
        <v>0</v>
      </c>
      <c r="CH288" s="235">
        <v>0</v>
      </c>
      <c r="CJ288" s="235" t="s">
        <v>1284</v>
      </c>
    </row>
    <row r="289" spans="1:88" s="235" customFormat="1" ht="20.100000000000001" customHeight="1" x14ac:dyDescent="0.15">
      <c r="A289" s="255" t="s">
        <v>1678</v>
      </c>
      <c r="B289" s="255" t="s">
        <v>913</v>
      </c>
      <c r="C289" s="230" t="s">
        <v>1670</v>
      </c>
      <c r="D289" s="233">
        <v>905</v>
      </c>
      <c r="E289" s="231">
        <f t="shared" si="111"/>
        <v>3974</v>
      </c>
      <c r="F289" s="232">
        <f t="shared" si="112"/>
        <v>3596470</v>
      </c>
      <c r="G289" s="231">
        <v>1662</v>
      </c>
      <c r="H289" s="232">
        <f t="shared" si="97"/>
        <v>1504110</v>
      </c>
      <c r="I289" s="231">
        <v>2277</v>
      </c>
      <c r="J289" s="232">
        <f t="shared" ref="J289:J295" si="113">TRUNC(I289*D289,0)</f>
        <v>2060685</v>
      </c>
      <c r="K289" s="231">
        <v>35</v>
      </c>
      <c r="L289" s="232">
        <f t="shared" ref="L289:L295" si="114">TRUNC(K289*D289,0)</f>
        <v>31675</v>
      </c>
      <c r="M289" s="232"/>
      <c r="N289" s="232"/>
      <c r="O289" s="270">
        <f t="shared" si="103"/>
        <v>0</v>
      </c>
      <c r="P289" s="232"/>
      <c r="Q289" s="232">
        <f t="shared" si="104"/>
        <v>0</v>
      </c>
      <c r="R289" s="270">
        <f t="shared" si="105"/>
        <v>0</v>
      </c>
      <c r="S289" s="233">
        <f t="shared" si="98"/>
        <v>0</v>
      </c>
      <c r="T289" s="233">
        <f t="shared" si="99"/>
        <v>0</v>
      </c>
      <c r="U289" s="233">
        <f t="shared" si="100"/>
        <v>0</v>
      </c>
      <c r="V289" s="232">
        <f t="shared" si="106"/>
        <v>0</v>
      </c>
      <c r="W289" s="232">
        <f t="shared" si="107"/>
        <v>0</v>
      </c>
      <c r="X289" s="270">
        <f t="shared" si="108"/>
        <v>0</v>
      </c>
      <c r="Y289" s="234"/>
      <c r="Z289" s="383"/>
      <c r="AA289" s="252" t="e">
        <f>E289-#REF!</f>
        <v>#REF!</v>
      </c>
      <c r="AC289" s="235" t="s">
        <v>2138</v>
      </c>
      <c r="AD289" s="235" t="s">
        <v>2856</v>
      </c>
      <c r="AE289" s="235" t="s">
        <v>2275</v>
      </c>
      <c r="AG289" s="235" t="s">
        <v>1778</v>
      </c>
      <c r="BV289" s="236" t="str">
        <f>HYPERLINK("#일위대가목록!A181","HW0121 →")</f>
        <v>HW0121 →</v>
      </c>
      <c r="CB289" s="235">
        <v>4626</v>
      </c>
      <c r="CC289" s="235">
        <v>5088600</v>
      </c>
      <c r="CD289" s="235">
        <v>1935</v>
      </c>
      <c r="CE289" s="235">
        <v>2128500</v>
      </c>
      <c r="CF289" s="235">
        <v>2650</v>
      </c>
      <c r="CG289" s="235">
        <v>2915000</v>
      </c>
      <c r="CH289" s="235">
        <v>41</v>
      </c>
      <c r="CI289" s="235">
        <v>45100</v>
      </c>
      <c r="CJ289" s="235" t="s">
        <v>952</v>
      </c>
    </row>
    <row r="290" spans="1:88" s="235" customFormat="1" ht="20.100000000000001" customHeight="1" x14ac:dyDescent="0.15">
      <c r="A290" s="255" t="s">
        <v>1791</v>
      </c>
      <c r="B290" s="255" t="s">
        <v>2419</v>
      </c>
      <c r="C290" s="230" t="s">
        <v>1796</v>
      </c>
      <c r="D290" s="233">
        <v>0</v>
      </c>
      <c r="E290" s="231">
        <f t="shared" si="111"/>
        <v>2928425</v>
      </c>
      <c r="F290" s="232">
        <f t="shared" si="112"/>
        <v>0</v>
      </c>
      <c r="G290" s="231">
        <v>2511840</v>
      </c>
      <c r="H290" s="232">
        <f t="shared" si="97"/>
        <v>0</v>
      </c>
      <c r="I290" s="231">
        <v>402383</v>
      </c>
      <c r="J290" s="232">
        <f t="shared" si="113"/>
        <v>0</v>
      </c>
      <c r="K290" s="231">
        <v>14202</v>
      </c>
      <c r="L290" s="232">
        <f t="shared" si="114"/>
        <v>0</v>
      </c>
      <c r="M290" s="232"/>
      <c r="N290" s="232"/>
      <c r="O290" s="270">
        <f t="shared" si="103"/>
        <v>0</v>
      </c>
      <c r="P290" s="232"/>
      <c r="Q290" s="232">
        <f t="shared" si="104"/>
        <v>0</v>
      </c>
      <c r="R290" s="270">
        <f t="shared" si="105"/>
        <v>0</v>
      </c>
      <c r="S290" s="233">
        <f t="shared" si="98"/>
        <v>0</v>
      </c>
      <c r="T290" s="233">
        <f t="shared" si="99"/>
        <v>0</v>
      </c>
      <c r="U290" s="233">
        <f t="shared" si="100"/>
        <v>0</v>
      </c>
      <c r="V290" s="232">
        <f t="shared" si="106"/>
        <v>0</v>
      </c>
      <c r="W290" s="232">
        <f t="shared" si="107"/>
        <v>0</v>
      </c>
      <c r="X290" s="270">
        <f t="shared" si="108"/>
        <v>0</v>
      </c>
      <c r="Y290" s="234"/>
      <c r="Z290" s="383"/>
      <c r="AA290" s="252" t="e">
        <f>E290-#REF!</f>
        <v>#REF!</v>
      </c>
      <c r="AC290" s="235" t="s">
        <v>1389</v>
      </c>
      <c r="AD290" s="235" t="s">
        <v>2856</v>
      </c>
      <c r="AE290" s="235" t="s">
        <v>1263</v>
      </c>
      <c r="AG290" s="235" t="s">
        <v>1778</v>
      </c>
      <c r="BV290" s="236" t="str">
        <f>HYPERLINK("#일위대가목록!A182","HW0122 →")</f>
        <v>HW0122 →</v>
      </c>
      <c r="CB290" s="235">
        <v>3407700</v>
      </c>
      <c r="CC290" s="235">
        <v>3407700</v>
      </c>
      <c r="CD290" s="235">
        <v>2922934</v>
      </c>
      <c r="CE290" s="235">
        <v>2922934</v>
      </c>
      <c r="CF290" s="235">
        <v>468239</v>
      </c>
      <c r="CG290" s="235">
        <v>468239</v>
      </c>
      <c r="CH290" s="235">
        <v>16527</v>
      </c>
      <c r="CI290" s="235">
        <v>16527</v>
      </c>
      <c r="CJ290" s="235" t="s">
        <v>2769</v>
      </c>
    </row>
    <row r="291" spans="1:88" s="235" customFormat="1" ht="20.100000000000001" customHeight="1" x14ac:dyDescent="0.15">
      <c r="A291" s="255" t="s">
        <v>20</v>
      </c>
      <c r="B291" s="255" t="s">
        <v>2419</v>
      </c>
      <c r="C291" s="230" t="s">
        <v>1796</v>
      </c>
      <c r="D291" s="233">
        <v>0</v>
      </c>
      <c r="E291" s="231">
        <f t="shared" si="111"/>
        <v>5026872</v>
      </c>
      <c r="F291" s="232">
        <f t="shared" si="112"/>
        <v>0</v>
      </c>
      <c r="G291" s="231">
        <v>4310883</v>
      </c>
      <c r="H291" s="232">
        <f t="shared" si="97"/>
        <v>0</v>
      </c>
      <c r="I291" s="231">
        <v>655972</v>
      </c>
      <c r="J291" s="232">
        <f t="shared" si="113"/>
        <v>0</v>
      </c>
      <c r="K291" s="231">
        <v>60017</v>
      </c>
      <c r="L291" s="232">
        <f t="shared" si="114"/>
        <v>0</v>
      </c>
      <c r="M291" s="232"/>
      <c r="N291" s="232"/>
      <c r="O291" s="270">
        <f t="shared" si="103"/>
        <v>0</v>
      </c>
      <c r="P291" s="232"/>
      <c r="Q291" s="232">
        <f t="shared" si="104"/>
        <v>0</v>
      </c>
      <c r="R291" s="270">
        <f t="shared" si="105"/>
        <v>0</v>
      </c>
      <c r="S291" s="233">
        <f t="shared" si="98"/>
        <v>0</v>
      </c>
      <c r="T291" s="233">
        <f t="shared" si="99"/>
        <v>0</v>
      </c>
      <c r="U291" s="233">
        <f t="shared" si="100"/>
        <v>0</v>
      </c>
      <c r="V291" s="232">
        <f t="shared" si="106"/>
        <v>0</v>
      </c>
      <c r="W291" s="232">
        <f t="shared" si="107"/>
        <v>0</v>
      </c>
      <c r="X291" s="270">
        <f t="shared" si="108"/>
        <v>0</v>
      </c>
      <c r="Y291" s="234"/>
      <c r="Z291" s="383"/>
      <c r="AA291" s="252" t="e">
        <f>E291-#REF!</f>
        <v>#REF!</v>
      </c>
      <c r="AC291" s="235" t="s">
        <v>665</v>
      </c>
      <c r="AD291" s="235" t="s">
        <v>2856</v>
      </c>
      <c r="AE291" s="235" t="s">
        <v>2584</v>
      </c>
      <c r="AG291" s="235" t="s">
        <v>1778</v>
      </c>
      <c r="BV291" s="236" t="str">
        <f>HYPERLINK("#일위대가목록!A183","HW0123 →")</f>
        <v>HW0123 →</v>
      </c>
      <c r="CB291" s="235">
        <v>5849582</v>
      </c>
      <c r="CC291" s="235">
        <v>5849582</v>
      </c>
      <c r="CD291" s="235">
        <v>5016412</v>
      </c>
      <c r="CE291" s="235">
        <v>5016412</v>
      </c>
      <c r="CF291" s="235">
        <v>763330</v>
      </c>
      <c r="CG291" s="235">
        <v>763330</v>
      </c>
      <c r="CH291" s="235">
        <v>69840</v>
      </c>
      <c r="CI291" s="235">
        <v>69840</v>
      </c>
      <c r="CJ291" s="235" t="s">
        <v>1099</v>
      </c>
    </row>
    <row r="292" spans="1:88" s="235" customFormat="1" ht="20.100000000000001" customHeight="1" x14ac:dyDescent="0.15">
      <c r="A292" s="255" t="s">
        <v>277</v>
      </c>
      <c r="B292" s="255" t="s">
        <v>2664</v>
      </c>
      <c r="C292" s="230" t="s">
        <v>1796</v>
      </c>
      <c r="D292" s="233">
        <v>1</v>
      </c>
      <c r="E292" s="231">
        <f t="shared" si="111"/>
        <v>14815502</v>
      </c>
      <c r="F292" s="232">
        <f t="shared" si="112"/>
        <v>14815502</v>
      </c>
      <c r="G292" s="231">
        <v>8114278</v>
      </c>
      <c r="H292" s="232">
        <f t="shared" si="97"/>
        <v>8114278</v>
      </c>
      <c r="I292" s="231">
        <v>5963131</v>
      </c>
      <c r="J292" s="232">
        <f t="shared" si="113"/>
        <v>5963131</v>
      </c>
      <c r="K292" s="231">
        <v>738093</v>
      </c>
      <c r="L292" s="232">
        <f t="shared" si="114"/>
        <v>738093</v>
      </c>
      <c r="M292" s="232"/>
      <c r="N292" s="232"/>
      <c r="O292" s="270">
        <f t="shared" si="103"/>
        <v>0</v>
      </c>
      <c r="P292" s="232"/>
      <c r="Q292" s="232">
        <f t="shared" si="104"/>
        <v>0</v>
      </c>
      <c r="R292" s="270">
        <f t="shared" si="105"/>
        <v>0</v>
      </c>
      <c r="S292" s="233">
        <f t="shared" si="98"/>
        <v>0</v>
      </c>
      <c r="T292" s="233">
        <f t="shared" si="99"/>
        <v>0</v>
      </c>
      <c r="U292" s="233">
        <f t="shared" si="100"/>
        <v>0</v>
      </c>
      <c r="V292" s="232">
        <f t="shared" si="106"/>
        <v>0</v>
      </c>
      <c r="W292" s="232">
        <f t="shared" si="107"/>
        <v>0</v>
      </c>
      <c r="X292" s="270">
        <f t="shared" si="108"/>
        <v>0</v>
      </c>
      <c r="Y292" s="234"/>
      <c r="Z292" s="383"/>
      <c r="AA292" s="252" t="e">
        <f>E292-#REF!</f>
        <v>#REF!</v>
      </c>
      <c r="AC292" s="235" t="s">
        <v>2799</v>
      </c>
      <c r="AD292" s="235" t="s">
        <v>2856</v>
      </c>
      <c r="AE292" s="235" t="s">
        <v>756</v>
      </c>
      <c r="AG292" s="235" t="s">
        <v>1778</v>
      </c>
      <c r="BV292" s="236" t="str">
        <f>HYPERLINK("#일위대가목록!A184","HW0124 →")</f>
        <v>HW0124 →</v>
      </c>
      <c r="CB292" s="235">
        <v>17240240</v>
      </c>
      <c r="CC292" s="235">
        <v>17240240</v>
      </c>
      <c r="CD292" s="235">
        <v>9442278</v>
      </c>
      <c r="CE292" s="235">
        <v>9442278</v>
      </c>
      <c r="CF292" s="235">
        <v>6939070</v>
      </c>
      <c r="CG292" s="235">
        <v>6939070</v>
      </c>
      <c r="CH292" s="235">
        <v>858892</v>
      </c>
      <c r="CI292" s="235">
        <v>858892</v>
      </c>
      <c r="CJ292" s="235" t="s">
        <v>2448</v>
      </c>
    </row>
    <row r="293" spans="1:88" s="235" customFormat="1" ht="20.100000000000001" customHeight="1" x14ac:dyDescent="0.15">
      <c r="A293" s="229" t="s">
        <v>2699</v>
      </c>
      <c r="B293" s="229" t="s">
        <v>1915</v>
      </c>
      <c r="C293" s="230" t="s">
        <v>1796</v>
      </c>
      <c r="D293" s="233">
        <v>20</v>
      </c>
      <c r="E293" s="231">
        <f t="shared" si="111"/>
        <v>96394</v>
      </c>
      <c r="F293" s="232">
        <f t="shared" si="112"/>
        <v>1927880</v>
      </c>
      <c r="G293" s="231">
        <v>36058</v>
      </c>
      <c r="H293" s="232">
        <f t="shared" si="97"/>
        <v>721160</v>
      </c>
      <c r="I293" s="231">
        <v>53835</v>
      </c>
      <c r="J293" s="232">
        <f t="shared" si="113"/>
        <v>1076700</v>
      </c>
      <c r="K293" s="231">
        <v>6501</v>
      </c>
      <c r="L293" s="232">
        <f t="shared" si="114"/>
        <v>130020</v>
      </c>
      <c r="M293" s="232"/>
      <c r="N293" s="232"/>
      <c r="O293" s="270">
        <f t="shared" si="103"/>
        <v>0</v>
      </c>
      <c r="P293" s="232"/>
      <c r="Q293" s="232">
        <f t="shared" si="104"/>
        <v>0</v>
      </c>
      <c r="R293" s="270">
        <f t="shared" si="105"/>
        <v>0</v>
      </c>
      <c r="S293" s="233">
        <f t="shared" si="98"/>
        <v>0</v>
      </c>
      <c r="T293" s="233">
        <f t="shared" si="99"/>
        <v>0</v>
      </c>
      <c r="U293" s="233">
        <f t="shared" si="100"/>
        <v>0</v>
      </c>
      <c r="V293" s="232">
        <f t="shared" si="106"/>
        <v>0</v>
      </c>
      <c r="W293" s="232">
        <f t="shared" si="107"/>
        <v>0</v>
      </c>
      <c r="X293" s="270">
        <f t="shared" si="108"/>
        <v>0</v>
      </c>
      <c r="Y293" s="234"/>
      <c r="Z293" s="383"/>
      <c r="AA293" s="252" t="e">
        <f>E293-#REF!</f>
        <v>#REF!</v>
      </c>
      <c r="AC293" s="235" t="s">
        <v>2103</v>
      </c>
      <c r="AD293" s="235" t="s">
        <v>2856</v>
      </c>
      <c r="AE293" s="235" t="s">
        <v>1731</v>
      </c>
      <c r="AG293" s="235" t="s">
        <v>1778</v>
      </c>
      <c r="BV293" s="236" t="str">
        <f>HYPERLINK("#일위대가목록!A185","HW0016 →")</f>
        <v>HW0016 →</v>
      </c>
      <c r="CB293" s="235">
        <v>112172</v>
      </c>
      <c r="CC293" s="235">
        <v>2243440</v>
      </c>
      <c r="CD293" s="235">
        <v>41960</v>
      </c>
      <c r="CE293" s="235">
        <v>839200</v>
      </c>
      <c r="CF293" s="235">
        <v>62646</v>
      </c>
      <c r="CG293" s="235">
        <v>1252920</v>
      </c>
      <c r="CH293" s="235">
        <v>7566</v>
      </c>
      <c r="CI293" s="235">
        <v>151320</v>
      </c>
      <c r="CJ293" s="235" t="s">
        <v>855</v>
      </c>
    </row>
    <row r="294" spans="1:88" s="235" customFormat="1" ht="20.100000000000001" customHeight="1" x14ac:dyDescent="0.15">
      <c r="A294" s="229" t="s">
        <v>530</v>
      </c>
      <c r="B294" s="229" t="s">
        <v>423</v>
      </c>
      <c r="C294" s="230" t="s">
        <v>1796</v>
      </c>
      <c r="D294" s="233">
        <v>20</v>
      </c>
      <c r="E294" s="231">
        <f t="shared" si="111"/>
        <v>53259</v>
      </c>
      <c r="F294" s="232">
        <f t="shared" si="112"/>
        <v>1065180</v>
      </c>
      <c r="G294" s="231">
        <v>18782</v>
      </c>
      <c r="H294" s="232">
        <f t="shared" si="97"/>
        <v>375640</v>
      </c>
      <c r="I294" s="231">
        <v>30763</v>
      </c>
      <c r="J294" s="232">
        <f t="shared" si="113"/>
        <v>615260</v>
      </c>
      <c r="K294" s="231">
        <v>3714</v>
      </c>
      <c r="L294" s="232">
        <f t="shared" si="114"/>
        <v>74280</v>
      </c>
      <c r="M294" s="232"/>
      <c r="N294" s="232"/>
      <c r="O294" s="270">
        <f t="shared" si="103"/>
        <v>0</v>
      </c>
      <c r="P294" s="232"/>
      <c r="Q294" s="232">
        <f t="shared" si="104"/>
        <v>0</v>
      </c>
      <c r="R294" s="270">
        <f t="shared" si="105"/>
        <v>0</v>
      </c>
      <c r="S294" s="233">
        <f t="shared" si="98"/>
        <v>0</v>
      </c>
      <c r="T294" s="233">
        <f t="shared" si="99"/>
        <v>0</v>
      </c>
      <c r="U294" s="233">
        <f t="shared" si="100"/>
        <v>0</v>
      </c>
      <c r="V294" s="232">
        <f t="shared" si="106"/>
        <v>0</v>
      </c>
      <c r="W294" s="232">
        <f t="shared" si="107"/>
        <v>0</v>
      </c>
      <c r="X294" s="270">
        <f t="shared" si="108"/>
        <v>0</v>
      </c>
      <c r="Y294" s="234"/>
      <c r="Z294" s="383"/>
      <c r="AA294" s="252" t="e">
        <f>E294-#REF!</f>
        <v>#REF!</v>
      </c>
      <c r="AC294" s="235" t="s">
        <v>1346</v>
      </c>
      <c r="AD294" s="235" t="s">
        <v>2856</v>
      </c>
      <c r="AE294" s="235" t="s">
        <v>107</v>
      </c>
      <c r="AG294" s="235" t="s">
        <v>1778</v>
      </c>
      <c r="BV294" s="236" t="str">
        <f>HYPERLINK("#일위대가목록!A186","HW0017 →")</f>
        <v>HW0017 →</v>
      </c>
      <c r="CB294" s="235">
        <v>61977</v>
      </c>
      <c r="CC294" s="235">
        <v>1239540</v>
      </c>
      <c r="CD294" s="235">
        <v>21856</v>
      </c>
      <c r="CE294" s="235">
        <v>437120</v>
      </c>
      <c r="CF294" s="235">
        <v>35798</v>
      </c>
      <c r="CG294" s="235">
        <v>715960</v>
      </c>
      <c r="CH294" s="235">
        <v>4323</v>
      </c>
      <c r="CI294" s="235">
        <v>86460</v>
      </c>
      <c r="CJ294" s="235" t="s">
        <v>2460</v>
      </c>
    </row>
    <row r="295" spans="1:88" s="235" customFormat="1" ht="20.100000000000001" customHeight="1" x14ac:dyDescent="0.15">
      <c r="A295" s="229" t="s">
        <v>3244</v>
      </c>
      <c r="B295" s="229"/>
      <c r="C295" s="230" t="s">
        <v>3047</v>
      </c>
      <c r="D295" s="259">
        <v>353.20524999999992</v>
      </c>
      <c r="E295" s="231">
        <f t="shared" si="111"/>
        <v>118742</v>
      </c>
      <c r="F295" s="232">
        <f t="shared" si="112"/>
        <v>41940295</v>
      </c>
      <c r="G295" s="231">
        <v>9291</v>
      </c>
      <c r="H295" s="232">
        <f t="shared" si="97"/>
        <v>3281629</v>
      </c>
      <c r="I295" s="231">
        <v>97656</v>
      </c>
      <c r="J295" s="232">
        <f t="shared" si="113"/>
        <v>34492611</v>
      </c>
      <c r="K295" s="231">
        <v>11795</v>
      </c>
      <c r="L295" s="232">
        <f t="shared" si="114"/>
        <v>4166055</v>
      </c>
      <c r="M295" s="232"/>
      <c r="N295" s="232"/>
      <c r="O295" s="270">
        <f t="shared" si="103"/>
        <v>0</v>
      </c>
      <c r="P295" s="232">
        <v>321.39999999999998</v>
      </c>
      <c r="Q295" s="232">
        <f t="shared" si="104"/>
        <v>38163678</v>
      </c>
      <c r="R295" s="270">
        <f t="shared" si="105"/>
        <v>0.9099525408679171</v>
      </c>
      <c r="S295" s="233">
        <f t="shared" si="98"/>
        <v>2986127</v>
      </c>
      <c r="T295" s="233">
        <f t="shared" si="99"/>
        <v>31386638</v>
      </c>
      <c r="U295" s="233">
        <f t="shared" si="100"/>
        <v>3790913</v>
      </c>
      <c r="V295" s="232">
        <f t="shared" si="106"/>
        <v>321.39999999999998</v>
      </c>
      <c r="W295" s="232">
        <f t="shared" si="107"/>
        <v>38163678</v>
      </c>
      <c r="X295" s="270">
        <f t="shared" si="108"/>
        <v>0.9099525408679171</v>
      </c>
      <c r="Y295" s="234"/>
      <c r="Z295" s="383"/>
      <c r="AA295" s="252" t="e">
        <f>E295-#REF!</f>
        <v>#REF!</v>
      </c>
      <c r="BV295" s="236"/>
    </row>
    <row r="296" spans="1:88" s="235" customFormat="1" ht="20.100000000000001" customHeight="1" x14ac:dyDescent="0.15">
      <c r="A296" s="229" t="s">
        <v>1164</v>
      </c>
      <c r="B296" s="229" t="s">
        <v>2856</v>
      </c>
      <c r="C296" s="230" t="s">
        <v>2856</v>
      </c>
      <c r="D296" s="233"/>
      <c r="E296" s="231">
        <f t="shared" si="111"/>
        <v>0</v>
      </c>
      <c r="F296" s="232">
        <f t="shared" si="112"/>
        <v>0</v>
      </c>
      <c r="G296" s="240"/>
      <c r="H296" s="232">
        <v>0</v>
      </c>
      <c r="I296" s="240"/>
      <c r="J296" s="232">
        <v>0</v>
      </c>
      <c r="K296" s="240"/>
      <c r="L296" s="232">
        <v>0</v>
      </c>
      <c r="M296" s="232"/>
      <c r="N296" s="232"/>
      <c r="O296" s="270">
        <f t="shared" si="103"/>
        <v>0</v>
      </c>
      <c r="P296" s="232"/>
      <c r="Q296" s="232">
        <f t="shared" si="104"/>
        <v>0</v>
      </c>
      <c r="R296" s="270">
        <f t="shared" si="105"/>
        <v>0</v>
      </c>
      <c r="S296" s="233">
        <f t="shared" si="98"/>
        <v>0</v>
      </c>
      <c r="T296" s="233">
        <f t="shared" si="99"/>
        <v>0</v>
      </c>
      <c r="U296" s="233">
        <f t="shared" si="100"/>
        <v>0</v>
      </c>
      <c r="V296" s="232">
        <f t="shared" si="106"/>
        <v>0</v>
      </c>
      <c r="W296" s="232">
        <f t="shared" si="107"/>
        <v>0</v>
      </c>
      <c r="X296" s="270">
        <f t="shared" si="108"/>
        <v>0</v>
      </c>
      <c r="Y296" s="234"/>
      <c r="Z296" s="383"/>
      <c r="AA296" s="252" t="e">
        <f>E296-#REF!</f>
        <v>#REF!</v>
      </c>
      <c r="AC296" s="235" t="s">
        <v>2487</v>
      </c>
      <c r="AD296" s="235" t="s">
        <v>650</v>
      </c>
      <c r="AE296" s="235" t="s">
        <v>2856</v>
      </c>
      <c r="CB296" s="235">
        <v>0</v>
      </c>
      <c r="CC296" s="235">
        <v>0</v>
      </c>
      <c r="CE296" s="235">
        <v>0</v>
      </c>
      <c r="CG296" s="235">
        <v>0</v>
      </c>
      <c r="CI296" s="235">
        <v>0</v>
      </c>
      <c r="CJ296" s="235" t="s">
        <v>2856</v>
      </c>
    </row>
    <row r="297" spans="1:88" s="228" customFormat="1" ht="20.100000000000001" customHeight="1" x14ac:dyDescent="0.15">
      <c r="A297" s="241" t="s">
        <v>2598</v>
      </c>
      <c r="B297" s="241" t="s">
        <v>2856</v>
      </c>
      <c r="C297" s="223" t="s">
        <v>2303</v>
      </c>
      <c r="D297" s="226">
        <v>1</v>
      </c>
      <c r="E297" s="242"/>
      <c r="F297" s="225">
        <f t="shared" ref="F297:F351" si="115">H297+J297+L297</f>
        <v>230056323</v>
      </c>
      <c r="G297" s="242"/>
      <c r="H297" s="225">
        <f>TRUNC(H298+H299+H300+H301+H302+H303+H304+H305+H306+H309+H310+H307+H308,0)</f>
        <v>163387807</v>
      </c>
      <c r="I297" s="242"/>
      <c r="J297" s="225">
        <f>TRUNC(J298+J299+J300+J301+J302+J303+J304+J305+J306+J309+J310+J307+J308,0)</f>
        <v>61379788</v>
      </c>
      <c r="K297" s="242"/>
      <c r="L297" s="225">
        <f>TRUNC(L298+L299+L300+L301+L302+L303+L304+L305+L306+L309+L310+L307+L308,0)</f>
        <v>5288728</v>
      </c>
      <c r="M297" s="225"/>
      <c r="N297" s="225"/>
      <c r="O297" s="269">
        <f t="shared" si="103"/>
        <v>0</v>
      </c>
      <c r="P297" s="225"/>
      <c r="Q297" s="225">
        <f t="shared" si="104"/>
        <v>0</v>
      </c>
      <c r="R297" s="269">
        <f t="shared" si="105"/>
        <v>0</v>
      </c>
      <c r="S297" s="226">
        <f>TRUNC(S298+S299+S300+S301+S302+S303+S304+S305+S306+S309+S310+S307+S308,0)</f>
        <v>0</v>
      </c>
      <c r="T297" s="226">
        <f>TRUNC(T298+T299+T300+T301+T302+T303+T304+T305+T306+T309+T310+T307+T308,0)</f>
        <v>0</v>
      </c>
      <c r="U297" s="226">
        <f>TRUNC(U298+U299+U300+U301+U302+U303+U304+U305+U306+U309+U310+U307+U308,0)</f>
        <v>0</v>
      </c>
      <c r="V297" s="225">
        <f t="shared" si="106"/>
        <v>0</v>
      </c>
      <c r="W297" s="225">
        <f t="shared" si="107"/>
        <v>0</v>
      </c>
      <c r="X297" s="269">
        <f t="shared" si="108"/>
        <v>0</v>
      </c>
      <c r="Y297" s="227"/>
      <c r="Z297" s="382"/>
      <c r="AA297" s="252" t="e">
        <f>E297-#REF!</f>
        <v>#REF!</v>
      </c>
      <c r="AB297" s="228" t="s">
        <v>2853</v>
      </c>
      <c r="CC297" s="228">
        <v>331495453</v>
      </c>
      <c r="CE297" s="228">
        <v>225705394</v>
      </c>
      <c r="CG297" s="228">
        <v>97506880</v>
      </c>
      <c r="CI297" s="228">
        <v>8283179</v>
      </c>
      <c r="CJ297" s="228" t="s">
        <v>2856</v>
      </c>
    </row>
    <row r="298" spans="1:88" s="235" customFormat="1" ht="20.100000000000001" customHeight="1" x14ac:dyDescent="0.15">
      <c r="A298" s="229" t="s">
        <v>1121</v>
      </c>
      <c r="B298" s="229" t="s">
        <v>127</v>
      </c>
      <c r="C298" s="230" t="s">
        <v>1202</v>
      </c>
      <c r="D298" s="233">
        <v>1699</v>
      </c>
      <c r="E298" s="231">
        <f t="shared" ref="E298:E311" si="116">G298+I298+K298</f>
        <v>71174</v>
      </c>
      <c r="F298" s="232">
        <f t="shared" si="115"/>
        <v>120924626</v>
      </c>
      <c r="G298" s="231">
        <v>68451</v>
      </c>
      <c r="H298" s="232">
        <f t="shared" ref="H298:H310" si="117">TRUNC(G298*D298,0)</f>
        <v>116298249</v>
      </c>
      <c r="I298" s="231">
        <v>2428</v>
      </c>
      <c r="J298" s="232">
        <f t="shared" ref="J298:J310" si="118">TRUNC(I298*D298,0)</f>
        <v>4125172</v>
      </c>
      <c r="K298" s="231">
        <v>295</v>
      </c>
      <c r="L298" s="232">
        <f t="shared" ref="L298:L310" si="119">TRUNC(K298*D298,0)</f>
        <v>501205</v>
      </c>
      <c r="M298" s="232"/>
      <c r="N298" s="232"/>
      <c r="O298" s="270">
        <f t="shared" si="103"/>
        <v>0</v>
      </c>
      <c r="P298" s="232"/>
      <c r="Q298" s="232">
        <f t="shared" si="104"/>
        <v>0</v>
      </c>
      <c r="R298" s="270">
        <f t="shared" si="105"/>
        <v>0</v>
      </c>
      <c r="S298" s="233">
        <f t="shared" ref="S298:S311" si="120">TRUNC(G298*$P298,0)</f>
        <v>0</v>
      </c>
      <c r="T298" s="233">
        <f t="shared" ref="T298:T311" si="121">TRUNC(I298*$P298,0)</f>
        <v>0</v>
      </c>
      <c r="U298" s="233">
        <f t="shared" ref="U298:U311" si="122">TRUNC(K298*$P298,0)</f>
        <v>0</v>
      </c>
      <c r="V298" s="232">
        <f t="shared" si="106"/>
        <v>0</v>
      </c>
      <c r="W298" s="232">
        <f t="shared" si="107"/>
        <v>0</v>
      </c>
      <c r="X298" s="270">
        <f t="shared" si="108"/>
        <v>0</v>
      </c>
      <c r="Y298" s="234"/>
      <c r="Z298" s="383"/>
      <c r="AA298" s="252" t="e">
        <f>E298-#REF!</f>
        <v>#REF!</v>
      </c>
      <c r="AC298" s="235" t="s">
        <v>915</v>
      </c>
      <c r="AD298" s="235" t="s">
        <v>2856</v>
      </c>
      <c r="AE298" s="235" t="s">
        <v>2504</v>
      </c>
      <c r="AG298" s="235" t="s">
        <v>1778</v>
      </c>
      <c r="BV298" s="236" t="str">
        <f>HYPERLINK("#일위대가목록!A187","NP0400-100 →")</f>
        <v>NP0400-100 →</v>
      </c>
      <c r="CB298" s="235">
        <v>82824</v>
      </c>
      <c r="CC298" s="235">
        <v>151650744</v>
      </c>
      <c r="CD298" s="235">
        <v>79654</v>
      </c>
      <c r="CE298" s="235">
        <v>145846474</v>
      </c>
      <c r="CF298" s="235">
        <v>2826</v>
      </c>
      <c r="CG298" s="235">
        <v>5174406</v>
      </c>
      <c r="CH298" s="235">
        <v>344</v>
      </c>
      <c r="CI298" s="235">
        <v>629864</v>
      </c>
      <c r="CJ298" s="235" t="s">
        <v>819</v>
      </c>
    </row>
    <row r="299" spans="1:88" s="235" customFormat="1" ht="20.100000000000001" customHeight="1" x14ac:dyDescent="0.15">
      <c r="A299" s="229" t="s">
        <v>101</v>
      </c>
      <c r="B299" s="229" t="s">
        <v>995</v>
      </c>
      <c r="C299" s="230" t="s">
        <v>1202</v>
      </c>
      <c r="D299" s="233">
        <v>2137</v>
      </c>
      <c r="E299" s="231">
        <f t="shared" si="116"/>
        <v>13220</v>
      </c>
      <c r="F299" s="232">
        <f t="shared" si="115"/>
        <v>28251140</v>
      </c>
      <c r="G299" s="231">
        <v>4182</v>
      </c>
      <c r="H299" s="232">
        <f t="shared" si="117"/>
        <v>8936934</v>
      </c>
      <c r="I299" s="231">
        <v>8181</v>
      </c>
      <c r="J299" s="232">
        <f t="shared" si="118"/>
        <v>17482797</v>
      </c>
      <c r="K299" s="231">
        <v>857</v>
      </c>
      <c r="L299" s="232">
        <f t="shared" si="119"/>
        <v>1831409</v>
      </c>
      <c r="M299" s="232"/>
      <c r="N299" s="232"/>
      <c r="O299" s="270">
        <f t="shared" si="103"/>
        <v>0</v>
      </c>
      <c r="P299" s="232"/>
      <c r="Q299" s="232">
        <f t="shared" si="104"/>
        <v>0</v>
      </c>
      <c r="R299" s="270">
        <f t="shared" si="105"/>
        <v>0</v>
      </c>
      <c r="S299" s="233">
        <f t="shared" si="120"/>
        <v>0</v>
      </c>
      <c r="T299" s="233">
        <f t="shared" si="121"/>
        <v>0</v>
      </c>
      <c r="U299" s="233">
        <f t="shared" si="122"/>
        <v>0</v>
      </c>
      <c r="V299" s="232">
        <f t="shared" si="106"/>
        <v>0</v>
      </c>
      <c r="W299" s="232">
        <f t="shared" si="107"/>
        <v>0</v>
      </c>
      <c r="X299" s="270">
        <f t="shared" si="108"/>
        <v>0</v>
      </c>
      <c r="Y299" s="234"/>
      <c r="Z299" s="383"/>
      <c r="AA299" s="252" t="e">
        <f>E299-#REF!</f>
        <v>#REF!</v>
      </c>
      <c r="AC299" s="235" t="s">
        <v>334</v>
      </c>
      <c r="AD299" s="235" t="s">
        <v>2856</v>
      </c>
      <c r="AE299" s="235" t="s">
        <v>246</v>
      </c>
      <c r="AG299" s="235" t="s">
        <v>1778</v>
      </c>
      <c r="BV299" s="236" t="str">
        <f>HYPERLINK("#일위대가목록!A188","NP0410-60 →")</f>
        <v>NP0410-60 →</v>
      </c>
      <c r="CB299" s="235">
        <v>15386</v>
      </c>
      <c r="CC299" s="235">
        <v>53081700</v>
      </c>
      <c r="CD299" s="235">
        <v>4867</v>
      </c>
      <c r="CE299" s="235">
        <v>16791150</v>
      </c>
      <c r="CF299" s="235">
        <v>9521</v>
      </c>
      <c r="CG299" s="235">
        <v>32847450</v>
      </c>
      <c r="CH299" s="235">
        <v>998</v>
      </c>
      <c r="CI299" s="235">
        <v>3443100</v>
      </c>
      <c r="CJ299" s="235" t="s">
        <v>355</v>
      </c>
    </row>
    <row r="300" spans="1:88" s="235" customFormat="1" ht="20.100000000000001" customHeight="1" x14ac:dyDescent="0.15">
      <c r="A300" s="229" t="s">
        <v>2200</v>
      </c>
      <c r="B300" s="229" t="s">
        <v>2663</v>
      </c>
      <c r="C300" s="230" t="s">
        <v>1202</v>
      </c>
      <c r="D300" s="233">
        <v>945</v>
      </c>
      <c r="E300" s="231">
        <f t="shared" si="116"/>
        <v>25647</v>
      </c>
      <c r="F300" s="232">
        <f t="shared" si="115"/>
        <v>24236415</v>
      </c>
      <c r="G300" s="231">
        <v>22376</v>
      </c>
      <c r="H300" s="232">
        <f t="shared" si="117"/>
        <v>21145320</v>
      </c>
      <c r="I300" s="231">
        <v>2911</v>
      </c>
      <c r="J300" s="232">
        <f t="shared" si="118"/>
        <v>2750895</v>
      </c>
      <c r="K300" s="231">
        <v>360</v>
      </c>
      <c r="L300" s="232">
        <f t="shared" si="119"/>
        <v>340200</v>
      </c>
      <c r="M300" s="232"/>
      <c r="N300" s="232"/>
      <c r="O300" s="270">
        <f t="shared" si="103"/>
        <v>0</v>
      </c>
      <c r="P300" s="232"/>
      <c r="Q300" s="232">
        <f t="shared" si="104"/>
        <v>0</v>
      </c>
      <c r="R300" s="270">
        <f t="shared" si="105"/>
        <v>0</v>
      </c>
      <c r="S300" s="233">
        <f t="shared" si="120"/>
        <v>0</v>
      </c>
      <c r="T300" s="233">
        <f t="shared" si="121"/>
        <v>0</v>
      </c>
      <c r="U300" s="233">
        <f t="shared" si="122"/>
        <v>0</v>
      </c>
      <c r="V300" s="232">
        <f t="shared" si="106"/>
        <v>0</v>
      </c>
      <c r="W300" s="232">
        <f t="shared" si="107"/>
        <v>0</v>
      </c>
      <c r="X300" s="270">
        <f t="shared" si="108"/>
        <v>0</v>
      </c>
      <c r="Y300" s="234"/>
      <c r="Z300" s="383"/>
      <c r="AA300" s="252" t="e">
        <f>E300-#REF!</f>
        <v>#REF!</v>
      </c>
      <c r="AC300" s="235" t="s">
        <v>1741</v>
      </c>
      <c r="AD300" s="235" t="s">
        <v>2856</v>
      </c>
      <c r="AE300" s="235" t="s">
        <v>1378</v>
      </c>
      <c r="AG300" s="235" t="s">
        <v>1778</v>
      </c>
      <c r="BV300" s="236" t="str">
        <f>HYPERLINK("#일위대가목록!A189","NP0440-24 →")</f>
        <v>NP0440-24 →</v>
      </c>
      <c r="CB300" s="235">
        <v>29847</v>
      </c>
      <c r="CC300" s="235">
        <v>48561069</v>
      </c>
      <c r="CD300" s="235">
        <v>26039</v>
      </c>
      <c r="CE300" s="235">
        <v>42365453</v>
      </c>
      <c r="CF300" s="235">
        <v>3388</v>
      </c>
      <c r="CG300" s="235">
        <v>5512276</v>
      </c>
      <c r="CH300" s="235">
        <v>420</v>
      </c>
      <c r="CI300" s="235">
        <v>683340</v>
      </c>
      <c r="CJ300" s="235" t="s">
        <v>2051</v>
      </c>
    </row>
    <row r="301" spans="1:88" s="235" customFormat="1" ht="20.100000000000001" customHeight="1" x14ac:dyDescent="0.15">
      <c r="A301" s="229" t="s">
        <v>1871</v>
      </c>
      <c r="B301" s="229" t="s">
        <v>645</v>
      </c>
      <c r="C301" s="230" t="s">
        <v>1202</v>
      </c>
      <c r="D301" s="233">
        <v>648</v>
      </c>
      <c r="E301" s="231">
        <f t="shared" si="116"/>
        <v>11172</v>
      </c>
      <c r="F301" s="232">
        <f t="shared" si="115"/>
        <v>7239456</v>
      </c>
      <c r="G301" s="231">
        <v>5666</v>
      </c>
      <c r="H301" s="232">
        <f t="shared" si="117"/>
        <v>3671568</v>
      </c>
      <c r="I301" s="231">
        <v>4840</v>
      </c>
      <c r="J301" s="232">
        <f t="shared" si="118"/>
        <v>3136320</v>
      </c>
      <c r="K301" s="231">
        <v>666</v>
      </c>
      <c r="L301" s="232">
        <f t="shared" si="119"/>
        <v>431568</v>
      </c>
      <c r="M301" s="232"/>
      <c r="N301" s="232"/>
      <c r="O301" s="270">
        <f t="shared" si="103"/>
        <v>0</v>
      </c>
      <c r="P301" s="232"/>
      <c r="Q301" s="232">
        <f t="shared" si="104"/>
        <v>0</v>
      </c>
      <c r="R301" s="270">
        <f t="shared" si="105"/>
        <v>0</v>
      </c>
      <c r="S301" s="233">
        <f t="shared" si="120"/>
        <v>0</v>
      </c>
      <c r="T301" s="233">
        <f t="shared" si="121"/>
        <v>0</v>
      </c>
      <c r="U301" s="233">
        <f t="shared" si="122"/>
        <v>0</v>
      </c>
      <c r="V301" s="232">
        <f t="shared" si="106"/>
        <v>0</v>
      </c>
      <c r="W301" s="232">
        <f t="shared" si="107"/>
        <v>0</v>
      </c>
      <c r="X301" s="270">
        <f t="shared" si="108"/>
        <v>0</v>
      </c>
      <c r="Y301" s="234"/>
      <c r="Z301" s="383"/>
      <c r="AA301" s="252" t="e">
        <f>E301-#REF!</f>
        <v>#REF!</v>
      </c>
      <c r="AC301" s="235" t="s">
        <v>1036</v>
      </c>
      <c r="AD301" s="235" t="s">
        <v>2856</v>
      </c>
      <c r="AE301" s="235" t="s">
        <v>608</v>
      </c>
      <c r="AG301" s="235" t="s">
        <v>1778</v>
      </c>
      <c r="BV301" s="236" t="str">
        <f>HYPERLINK("#일위대가목록!A190","NP0445-19 →")</f>
        <v>NP0445-19 →</v>
      </c>
      <c r="CB301" s="235">
        <v>13003</v>
      </c>
      <c r="CC301" s="235">
        <v>8425944</v>
      </c>
      <c r="CD301" s="235">
        <v>6594</v>
      </c>
      <c r="CE301" s="235">
        <v>4272912</v>
      </c>
      <c r="CF301" s="235">
        <v>5633</v>
      </c>
      <c r="CG301" s="235">
        <v>3650184</v>
      </c>
      <c r="CH301" s="235">
        <v>776</v>
      </c>
      <c r="CI301" s="235">
        <v>502848</v>
      </c>
      <c r="CJ301" s="235" t="s">
        <v>145</v>
      </c>
    </row>
    <row r="302" spans="1:88" s="235" customFormat="1" ht="20.100000000000001" customHeight="1" x14ac:dyDescent="0.15">
      <c r="A302" s="229" t="s">
        <v>1958</v>
      </c>
      <c r="B302" s="229" t="s">
        <v>2710</v>
      </c>
      <c r="C302" s="230" t="s">
        <v>1796</v>
      </c>
      <c r="D302" s="233">
        <v>4</v>
      </c>
      <c r="E302" s="231">
        <f t="shared" si="116"/>
        <v>74281</v>
      </c>
      <c r="F302" s="232">
        <f t="shared" si="115"/>
        <v>297124</v>
      </c>
      <c r="G302" s="231">
        <v>69093</v>
      </c>
      <c r="H302" s="232">
        <f t="shared" si="117"/>
        <v>276372</v>
      </c>
      <c r="I302" s="231">
        <v>4720</v>
      </c>
      <c r="J302" s="232">
        <f t="shared" si="118"/>
        <v>18880</v>
      </c>
      <c r="K302" s="231">
        <v>468</v>
      </c>
      <c r="L302" s="232">
        <f t="shared" si="119"/>
        <v>1872</v>
      </c>
      <c r="M302" s="232"/>
      <c r="N302" s="232"/>
      <c r="O302" s="270">
        <f t="shared" si="103"/>
        <v>0</v>
      </c>
      <c r="P302" s="232"/>
      <c r="Q302" s="232">
        <f t="shared" si="104"/>
        <v>0</v>
      </c>
      <c r="R302" s="270">
        <f t="shared" si="105"/>
        <v>0</v>
      </c>
      <c r="S302" s="233">
        <f t="shared" si="120"/>
        <v>0</v>
      </c>
      <c r="T302" s="233">
        <f t="shared" si="121"/>
        <v>0</v>
      </c>
      <c r="U302" s="233">
        <f t="shared" si="122"/>
        <v>0</v>
      </c>
      <c r="V302" s="232">
        <f t="shared" si="106"/>
        <v>0</v>
      </c>
      <c r="W302" s="232">
        <f t="shared" si="107"/>
        <v>0</v>
      </c>
      <c r="X302" s="270">
        <f t="shared" si="108"/>
        <v>0</v>
      </c>
      <c r="Y302" s="234"/>
      <c r="Z302" s="383"/>
      <c r="AA302" s="252" t="e">
        <f>E302-#REF!</f>
        <v>#REF!</v>
      </c>
      <c r="AC302" s="235" t="s">
        <v>286</v>
      </c>
      <c r="AD302" s="235" t="s">
        <v>2856</v>
      </c>
      <c r="AE302" s="235" t="s">
        <v>1478</v>
      </c>
      <c r="AG302" s="235" t="s">
        <v>1778</v>
      </c>
      <c r="BV302" s="236" t="str">
        <f>HYPERLINK("#일위대가목록!A191","NP0545 →")</f>
        <v>NP0545 →</v>
      </c>
      <c r="CB302" s="235">
        <v>86440</v>
      </c>
      <c r="CC302" s="235">
        <v>345760</v>
      </c>
      <c r="CD302" s="235">
        <v>80402</v>
      </c>
      <c r="CE302" s="235">
        <v>321608</v>
      </c>
      <c r="CF302" s="235">
        <v>5493</v>
      </c>
      <c r="CG302" s="235">
        <v>21972</v>
      </c>
      <c r="CH302" s="235">
        <v>545</v>
      </c>
      <c r="CI302" s="235">
        <v>2180</v>
      </c>
      <c r="CJ302" s="235" t="s">
        <v>1724</v>
      </c>
    </row>
    <row r="303" spans="1:88" s="235" customFormat="1" ht="20.100000000000001" customHeight="1" x14ac:dyDescent="0.15">
      <c r="A303" s="229" t="s">
        <v>330</v>
      </c>
      <c r="B303" s="229" t="s">
        <v>2681</v>
      </c>
      <c r="C303" s="230" t="s">
        <v>1670</v>
      </c>
      <c r="D303" s="233">
        <v>1107</v>
      </c>
      <c r="E303" s="231">
        <f t="shared" si="116"/>
        <v>20900</v>
      </c>
      <c r="F303" s="232">
        <f t="shared" si="115"/>
        <v>23136300</v>
      </c>
      <c r="G303" s="231">
        <v>1853</v>
      </c>
      <c r="H303" s="232">
        <f t="shared" si="117"/>
        <v>2051271</v>
      </c>
      <c r="I303" s="231">
        <v>17711</v>
      </c>
      <c r="J303" s="232">
        <f t="shared" si="118"/>
        <v>19606077</v>
      </c>
      <c r="K303" s="231">
        <v>1336</v>
      </c>
      <c r="L303" s="232">
        <f t="shared" si="119"/>
        <v>1478952</v>
      </c>
      <c r="M303" s="232"/>
      <c r="N303" s="232"/>
      <c r="O303" s="270">
        <f t="shared" si="103"/>
        <v>0</v>
      </c>
      <c r="P303" s="232"/>
      <c r="Q303" s="232">
        <f t="shared" si="104"/>
        <v>0</v>
      </c>
      <c r="R303" s="270">
        <f t="shared" si="105"/>
        <v>0</v>
      </c>
      <c r="S303" s="233">
        <f t="shared" si="120"/>
        <v>0</v>
      </c>
      <c r="T303" s="233">
        <f t="shared" si="121"/>
        <v>0</v>
      </c>
      <c r="U303" s="233">
        <f t="shared" si="122"/>
        <v>0</v>
      </c>
      <c r="V303" s="232">
        <f t="shared" si="106"/>
        <v>0</v>
      </c>
      <c r="W303" s="232">
        <f t="shared" si="107"/>
        <v>0</v>
      </c>
      <c r="X303" s="270">
        <f t="shared" si="108"/>
        <v>0</v>
      </c>
      <c r="Y303" s="234"/>
      <c r="Z303" s="383"/>
      <c r="AA303" s="252" t="e">
        <f>E303-#REF!</f>
        <v>#REF!</v>
      </c>
      <c r="AC303" s="235" t="s">
        <v>2428</v>
      </c>
      <c r="AD303" s="235" t="s">
        <v>2856</v>
      </c>
      <c r="AE303" s="235" t="s">
        <v>1902</v>
      </c>
      <c r="AG303" s="235" t="s">
        <v>1778</v>
      </c>
      <c r="BV303" s="236" t="str">
        <f>HYPERLINK("#일위대가목록!A192","NP0470-24 →")</f>
        <v>NP0470-24 →</v>
      </c>
      <c r="CB303" s="235">
        <v>24322</v>
      </c>
      <c r="CC303" s="235">
        <v>32567158</v>
      </c>
      <c r="CD303" s="235">
        <v>2157</v>
      </c>
      <c r="CE303" s="235">
        <v>2888223</v>
      </c>
      <c r="CF303" s="235">
        <v>20610</v>
      </c>
      <c r="CG303" s="235">
        <v>27596790</v>
      </c>
      <c r="CH303" s="235">
        <v>1555</v>
      </c>
      <c r="CI303" s="235">
        <v>2082145</v>
      </c>
      <c r="CJ303" s="235" t="s">
        <v>619</v>
      </c>
    </row>
    <row r="304" spans="1:88" s="235" customFormat="1" ht="20.100000000000001" customHeight="1" x14ac:dyDescent="0.15">
      <c r="A304" s="229" t="s">
        <v>238</v>
      </c>
      <c r="B304" s="229" t="s">
        <v>2681</v>
      </c>
      <c r="C304" s="230" t="s">
        <v>1670</v>
      </c>
      <c r="D304" s="233">
        <v>195</v>
      </c>
      <c r="E304" s="231">
        <f t="shared" si="116"/>
        <v>22381</v>
      </c>
      <c r="F304" s="232">
        <f t="shared" si="115"/>
        <v>4364295</v>
      </c>
      <c r="G304" s="231">
        <v>1980</v>
      </c>
      <c r="H304" s="232">
        <f t="shared" si="117"/>
        <v>386100</v>
      </c>
      <c r="I304" s="231">
        <v>18925</v>
      </c>
      <c r="J304" s="232">
        <f t="shared" si="118"/>
        <v>3690375</v>
      </c>
      <c r="K304" s="231">
        <v>1476</v>
      </c>
      <c r="L304" s="232">
        <f t="shared" si="119"/>
        <v>287820</v>
      </c>
      <c r="M304" s="232"/>
      <c r="N304" s="232"/>
      <c r="O304" s="270">
        <f t="shared" si="103"/>
        <v>0</v>
      </c>
      <c r="P304" s="232"/>
      <c r="Q304" s="232">
        <f t="shared" si="104"/>
        <v>0</v>
      </c>
      <c r="R304" s="270">
        <f t="shared" si="105"/>
        <v>0</v>
      </c>
      <c r="S304" s="233">
        <f t="shared" si="120"/>
        <v>0</v>
      </c>
      <c r="T304" s="233">
        <f t="shared" si="121"/>
        <v>0</v>
      </c>
      <c r="U304" s="233">
        <f t="shared" si="122"/>
        <v>0</v>
      </c>
      <c r="V304" s="232">
        <f t="shared" si="106"/>
        <v>0</v>
      </c>
      <c r="W304" s="232">
        <f t="shared" si="107"/>
        <v>0</v>
      </c>
      <c r="X304" s="270">
        <f t="shared" si="108"/>
        <v>0</v>
      </c>
      <c r="Y304" s="234"/>
      <c r="Z304" s="383"/>
      <c r="AA304" s="252" t="e">
        <f>E304-#REF!</f>
        <v>#REF!</v>
      </c>
      <c r="AC304" s="235" t="s">
        <v>1686</v>
      </c>
      <c r="AD304" s="235" t="s">
        <v>2856</v>
      </c>
      <c r="AE304" s="235" t="s">
        <v>1695</v>
      </c>
      <c r="AG304" s="235" t="s">
        <v>1778</v>
      </c>
      <c r="BV304" s="236" t="str">
        <f>HYPERLINK("#일위대가목록!A193","NP0475-24 →")</f>
        <v>NP0475-24 →</v>
      </c>
      <c r="CB304" s="235">
        <v>26046</v>
      </c>
      <c r="CC304" s="235">
        <v>6902190</v>
      </c>
      <c r="CD304" s="235">
        <v>2305</v>
      </c>
      <c r="CE304" s="235">
        <v>610825</v>
      </c>
      <c r="CF304" s="235">
        <v>22023</v>
      </c>
      <c r="CG304" s="235">
        <v>5836095</v>
      </c>
      <c r="CH304" s="235">
        <v>1718</v>
      </c>
      <c r="CI304" s="235">
        <v>455270</v>
      </c>
      <c r="CJ304" s="235" t="s">
        <v>1945</v>
      </c>
    </row>
    <row r="305" spans="1:88" s="235" customFormat="1" ht="20.100000000000001" customHeight="1" x14ac:dyDescent="0.15">
      <c r="A305" s="229" t="s">
        <v>858</v>
      </c>
      <c r="B305" s="229" t="s">
        <v>2681</v>
      </c>
      <c r="C305" s="230" t="s">
        <v>1670</v>
      </c>
      <c r="D305" s="233">
        <v>112</v>
      </c>
      <c r="E305" s="231">
        <f t="shared" si="116"/>
        <v>20900</v>
      </c>
      <c r="F305" s="232">
        <f t="shared" si="115"/>
        <v>2340800</v>
      </c>
      <c r="G305" s="231">
        <v>1853</v>
      </c>
      <c r="H305" s="232">
        <f t="shared" si="117"/>
        <v>207536</v>
      </c>
      <c r="I305" s="231">
        <v>17711</v>
      </c>
      <c r="J305" s="232">
        <f t="shared" si="118"/>
        <v>1983632</v>
      </c>
      <c r="K305" s="231">
        <v>1336</v>
      </c>
      <c r="L305" s="232">
        <f t="shared" si="119"/>
        <v>149632</v>
      </c>
      <c r="M305" s="232"/>
      <c r="N305" s="232"/>
      <c r="O305" s="270">
        <f t="shared" si="103"/>
        <v>0</v>
      </c>
      <c r="P305" s="232"/>
      <c r="Q305" s="232">
        <f t="shared" si="104"/>
        <v>0</v>
      </c>
      <c r="R305" s="270">
        <f t="shared" si="105"/>
        <v>0</v>
      </c>
      <c r="S305" s="233">
        <f t="shared" si="120"/>
        <v>0</v>
      </c>
      <c r="T305" s="233">
        <f t="shared" si="121"/>
        <v>0</v>
      </c>
      <c r="U305" s="233">
        <f t="shared" si="122"/>
        <v>0</v>
      </c>
      <c r="V305" s="232">
        <f t="shared" si="106"/>
        <v>0</v>
      </c>
      <c r="W305" s="232">
        <f t="shared" si="107"/>
        <v>0</v>
      </c>
      <c r="X305" s="270">
        <f t="shared" si="108"/>
        <v>0</v>
      </c>
      <c r="Y305" s="234"/>
      <c r="Z305" s="383"/>
      <c r="AA305" s="252" t="e">
        <f>E305-#REF!</f>
        <v>#REF!</v>
      </c>
      <c r="AC305" s="235" t="s">
        <v>983</v>
      </c>
      <c r="AD305" s="235" t="s">
        <v>2856</v>
      </c>
      <c r="AE305" s="235" t="s">
        <v>1368</v>
      </c>
      <c r="AG305" s="235" t="s">
        <v>1778</v>
      </c>
      <c r="BV305" s="236" t="str">
        <f>HYPERLINK("#일위대가목록!A194","NP0480-24 →")</f>
        <v>NP0480-24 →</v>
      </c>
      <c r="CB305" s="235">
        <v>24322</v>
      </c>
      <c r="CC305" s="235">
        <v>3818554</v>
      </c>
      <c r="CD305" s="235">
        <v>2157</v>
      </c>
      <c r="CE305" s="235">
        <v>338649</v>
      </c>
      <c r="CF305" s="235">
        <v>20610</v>
      </c>
      <c r="CG305" s="235">
        <v>3235770</v>
      </c>
      <c r="CH305" s="235">
        <v>1555</v>
      </c>
      <c r="CI305" s="235">
        <v>244135</v>
      </c>
      <c r="CJ305" s="235" t="s">
        <v>231</v>
      </c>
    </row>
    <row r="306" spans="1:88" s="235" customFormat="1" ht="20.100000000000001" customHeight="1" x14ac:dyDescent="0.15">
      <c r="A306" s="229" t="s">
        <v>774</v>
      </c>
      <c r="B306" s="229" t="s">
        <v>2681</v>
      </c>
      <c r="C306" s="230" t="s">
        <v>1670</v>
      </c>
      <c r="D306" s="233">
        <v>19</v>
      </c>
      <c r="E306" s="231">
        <f t="shared" si="116"/>
        <v>22381</v>
      </c>
      <c r="F306" s="232">
        <f t="shared" si="115"/>
        <v>425239</v>
      </c>
      <c r="G306" s="231">
        <v>1980</v>
      </c>
      <c r="H306" s="232">
        <f t="shared" si="117"/>
        <v>37620</v>
      </c>
      <c r="I306" s="231">
        <v>18925</v>
      </c>
      <c r="J306" s="232">
        <f t="shared" si="118"/>
        <v>359575</v>
      </c>
      <c r="K306" s="231">
        <v>1476</v>
      </c>
      <c r="L306" s="232">
        <f t="shared" si="119"/>
        <v>28044</v>
      </c>
      <c r="M306" s="232"/>
      <c r="N306" s="232"/>
      <c r="O306" s="270">
        <f t="shared" si="103"/>
        <v>0</v>
      </c>
      <c r="P306" s="232"/>
      <c r="Q306" s="232">
        <f t="shared" si="104"/>
        <v>0</v>
      </c>
      <c r="R306" s="270">
        <f t="shared" si="105"/>
        <v>0</v>
      </c>
      <c r="S306" s="233">
        <f t="shared" si="120"/>
        <v>0</v>
      </c>
      <c r="T306" s="233">
        <f t="shared" si="121"/>
        <v>0</v>
      </c>
      <c r="U306" s="233">
        <f t="shared" si="122"/>
        <v>0</v>
      </c>
      <c r="V306" s="232">
        <f t="shared" si="106"/>
        <v>0</v>
      </c>
      <c r="W306" s="232">
        <f t="shared" si="107"/>
        <v>0</v>
      </c>
      <c r="X306" s="270">
        <f t="shared" si="108"/>
        <v>0</v>
      </c>
      <c r="Y306" s="234"/>
      <c r="Z306" s="383"/>
      <c r="AA306" s="252" t="e">
        <f>E306-#REF!</f>
        <v>#REF!</v>
      </c>
      <c r="AC306" s="235" t="s">
        <v>248</v>
      </c>
      <c r="AD306" s="235" t="s">
        <v>2856</v>
      </c>
      <c r="AE306" s="235" t="s">
        <v>802</v>
      </c>
      <c r="AG306" s="235" t="s">
        <v>1778</v>
      </c>
      <c r="BV306" s="236" t="str">
        <f>HYPERLINK("#일위대가목록!A195","NP0485-24 →")</f>
        <v>NP0485-24 →</v>
      </c>
      <c r="CB306" s="235">
        <v>26046</v>
      </c>
      <c r="CC306" s="235">
        <v>755334</v>
      </c>
      <c r="CD306" s="235">
        <v>2305</v>
      </c>
      <c r="CE306" s="235">
        <v>66845</v>
      </c>
      <c r="CF306" s="235">
        <v>22023</v>
      </c>
      <c r="CG306" s="235">
        <v>638667</v>
      </c>
      <c r="CH306" s="235">
        <v>1718</v>
      </c>
      <c r="CI306" s="235">
        <v>49822</v>
      </c>
      <c r="CJ306" s="235" t="s">
        <v>1455</v>
      </c>
    </row>
    <row r="307" spans="1:88" s="235" customFormat="1" ht="20.100000000000001" customHeight="1" x14ac:dyDescent="0.15">
      <c r="A307" s="255" t="s">
        <v>3156</v>
      </c>
      <c r="B307" s="229" t="s">
        <v>995</v>
      </c>
      <c r="C307" s="230" t="s">
        <v>3139</v>
      </c>
      <c r="D307" s="233">
        <v>191</v>
      </c>
      <c r="E307" s="231">
        <f>G307+I307+K307</f>
        <v>6148</v>
      </c>
      <c r="F307" s="232">
        <f>H307+J307+L307</f>
        <v>1174268</v>
      </c>
      <c r="G307" s="231">
        <v>4761</v>
      </c>
      <c r="H307" s="232">
        <f t="shared" si="117"/>
        <v>909351</v>
      </c>
      <c r="I307" s="231">
        <v>697</v>
      </c>
      <c r="J307" s="232">
        <f t="shared" si="118"/>
        <v>133127</v>
      </c>
      <c r="K307" s="231">
        <v>690</v>
      </c>
      <c r="L307" s="232">
        <f t="shared" si="119"/>
        <v>131790</v>
      </c>
      <c r="M307" s="232"/>
      <c r="N307" s="232"/>
      <c r="O307" s="270">
        <f t="shared" si="103"/>
        <v>0</v>
      </c>
      <c r="P307" s="232"/>
      <c r="Q307" s="232">
        <f t="shared" si="104"/>
        <v>0</v>
      </c>
      <c r="R307" s="270">
        <f t="shared" si="105"/>
        <v>0</v>
      </c>
      <c r="S307" s="233">
        <f t="shared" si="120"/>
        <v>0</v>
      </c>
      <c r="T307" s="233">
        <f t="shared" si="121"/>
        <v>0</v>
      </c>
      <c r="U307" s="233">
        <f t="shared" si="122"/>
        <v>0</v>
      </c>
      <c r="V307" s="232">
        <f t="shared" si="106"/>
        <v>0</v>
      </c>
      <c r="W307" s="232">
        <f t="shared" si="107"/>
        <v>0</v>
      </c>
      <c r="X307" s="270">
        <f t="shared" si="108"/>
        <v>0</v>
      </c>
      <c r="Y307" s="234"/>
      <c r="Z307" s="383"/>
      <c r="AA307" s="252" t="e">
        <f>E307-#REF!</f>
        <v>#REF!</v>
      </c>
      <c r="BV307" s="236"/>
    </row>
    <row r="308" spans="1:88" s="235" customFormat="1" ht="20.100000000000001" customHeight="1" x14ac:dyDescent="0.15">
      <c r="A308" s="255" t="s">
        <v>3157</v>
      </c>
      <c r="B308" s="229" t="s">
        <v>995</v>
      </c>
      <c r="C308" s="230" t="s">
        <v>3139</v>
      </c>
      <c r="D308" s="233">
        <v>30</v>
      </c>
      <c r="E308" s="231">
        <f>G308+I308+K308</f>
        <v>6148</v>
      </c>
      <c r="F308" s="232">
        <f>H308+J308+L308</f>
        <v>184440</v>
      </c>
      <c r="G308" s="231">
        <v>4761</v>
      </c>
      <c r="H308" s="232">
        <f t="shared" si="117"/>
        <v>142830</v>
      </c>
      <c r="I308" s="231">
        <v>697</v>
      </c>
      <c r="J308" s="232">
        <f t="shared" si="118"/>
        <v>20910</v>
      </c>
      <c r="K308" s="231">
        <v>690</v>
      </c>
      <c r="L308" s="232">
        <f t="shared" si="119"/>
        <v>20700</v>
      </c>
      <c r="M308" s="232"/>
      <c r="N308" s="232"/>
      <c r="O308" s="270">
        <f t="shared" si="103"/>
        <v>0</v>
      </c>
      <c r="P308" s="232"/>
      <c r="Q308" s="232">
        <f t="shared" si="104"/>
        <v>0</v>
      </c>
      <c r="R308" s="270">
        <f t="shared" si="105"/>
        <v>0</v>
      </c>
      <c r="S308" s="233">
        <f t="shared" si="120"/>
        <v>0</v>
      </c>
      <c r="T308" s="233">
        <f t="shared" si="121"/>
        <v>0</v>
      </c>
      <c r="U308" s="233">
        <f t="shared" si="122"/>
        <v>0</v>
      </c>
      <c r="V308" s="232">
        <f t="shared" si="106"/>
        <v>0</v>
      </c>
      <c r="W308" s="232">
        <f t="shared" si="107"/>
        <v>0</v>
      </c>
      <c r="X308" s="270">
        <f t="shared" si="108"/>
        <v>0</v>
      </c>
      <c r="Y308" s="234"/>
      <c r="Z308" s="383"/>
      <c r="AA308" s="252" t="e">
        <f>E308-#REF!</f>
        <v>#REF!</v>
      </c>
      <c r="BV308" s="236"/>
    </row>
    <row r="309" spans="1:88" s="235" customFormat="1" ht="20.100000000000001" customHeight="1" x14ac:dyDescent="0.15">
      <c r="A309" s="229" t="s">
        <v>2042</v>
      </c>
      <c r="B309" s="229" t="s">
        <v>2248</v>
      </c>
      <c r="C309" s="230" t="s">
        <v>1670</v>
      </c>
      <c r="D309" s="233">
        <v>724</v>
      </c>
      <c r="E309" s="231">
        <f t="shared" si="116"/>
        <v>19631</v>
      </c>
      <c r="F309" s="232">
        <f t="shared" si="115"/>
        <v>14212844</v>
      </c>
      <c r="G309" s="231">
        <v>12452</v>
      </c>
      <c r="H309" s="232">
        <f t="shared" si="117"/>
        <v>9015248</v>
      </c>
      <c r="I309" s="231">
        <v>7179</v>
      </c>
      <c r="J309" s="232">
        <f t="shared" si="118"/>
        <v>5197596</v>
      </c>
      <c r="K309" s="231">
        <v>0</v>
      </c>
      <c r="L309" s="232">
        <f t="shared" si="119"/>
        <v>0</v>
      </c>
      <c r="M309" s="232"/>
      <c r="N309" s="232"/>
      <c r="O309" s="270">
        <f t="shared" si="103"/>
        <v>0</v>
      </c>
      <c r="P309" s="232"/>
      <c r="Q309" s="232">
        <f t="shared" si="104"/>
        <v>0</v>
      </c>
      <c r="R309" s="270">
        <f t="shared" si="105"/>
        <v>0</v>
      </c>
      <c r="S309" s="233">
        <f t="shared" si="120"/>
        <v>0</v>
      </c>
      <c r="T309" s="233">
        <f t="shared" si="121"/>
        <v>0</v>
      </c>
      <c r="U309" s="233">
        <f t="shared" si="122"/>
        <v>0</v>
      </c>
      <c r="V309" s="232">
        <f t="shared" si="106"/>
        <v>0</v>
      </c>
      <c r="W309" s="232">
        <f t="shared" si="107"/>
        <v>0</v>
      </c>
      <c r="X309" s="270">
        <f t="shared" si="108"/>
        <v>0</v>
      </c>
      <c r="Y309" s="234"/>
      <c r="Z309" s="383"/>
      <c r="AA309" s="252" t="e">
        <f>E309-#REF!</f>
        <v>#REF!</v>
      </c>
      <c r="AC309" s="235" t="s">
        <v>954</v>
      </c>
      <c r="AD309" s="235" t="s">
        <v>2856</v>
      </c>
      <c r="AE309" s="235" t="s">
        <v>267</v>
      </c>
      <c r="AG309" s="235" t="s">
        <v>1778</v>
      </c>
      <c r="BV309" s="236" t="str">
        <f>HYPERLINK("#일위대가목록!A196","NP0517-24 →")</f>
        <v>NP0517-24 →</v>
      </c>
      <c r="CB309" s="235">
        <v>22844</v>
      </c>
      <c r="CC309" s="235">
        <v>18160980</v>
      </c>
      <c r="CD309" s="235">
        <v>14490</v>
      </c>
      <c r="CE309" s="235">
        <v>11519550</v>
      </c>
      <c r="CF309" s="235">
        <v>8354</v>
      </c>
      <c r="CG309" s="235">
        <v>6641430</v>
      </c>
      <c r="CH309" s="235">
        <v>0</v>
      </c>
      <c r="CI309" s="235">
        <v>0</v>
      </c>
      <c r="CJ309" s="235" t="s">
        <v>215</v>
      </c>
    </row>
    <row r="310" spans="1:88" s="235" customFormat="1" ht="20.100000000000001" customHeight="1" x14ac:dyDescent="0.15">
      <c r="A310" s="229" t="s">
        <v>2339</v>
      </c>
      <c r="B310" s="229" t="s">
        <v>2248</v>
      </c>
      <c r="C310" s="230" t="s">
        <v>1670</v>
      </c>
      <c r="D310" s="233">
        <v>1056</v>
      </c>
      <c r="E310" s="231">
        <f t="shared" si="116"/>
        <v>3096</v>
      </c>
      <c r="F310" s="232">
        <f t="shared" si="115"/>
        <v>3269376</v>
      </c>
      <c r="G310" s="231">
        <v>293</v>
      </c>
      <c r="H310" s="232">
        <f t="shared" si="117"/>
        <v>309408</v>
      </c>
      <c r="I310" s="231">
        <v>2722</v>
      </c>
      <c r="J310" s="232">
        <f t="shared" si="118"/>
        <v>2874432</v>
      </c>
      <c r="K310" s="231">
        <v>81</v>
      </c>
      <c r="L310" s="232">
        <f t="shared" si="119"/>
        <v>85536</v>
      </c>
      <c r="M310" s="232"/>
      <c r="N310" s="232"/>
      <c r="O310" s="270">
        <f t="shared" si="103"/>
        <v>0</v>
      </c>
      <c r="P310" s="232"/>
      <c r="Q310" s="232">
        <f t="shared" si="104"/>
        <v>0</v>
      </c>
      <c r="R310" s="270">
        <f t="shared" si="105"/>
        <v>0</v>
      </c>
      <c r="S310" s="233">
        <f t="shared" si="120"/>
        <v>0</v>
      </c>
      <c r="T310" s="233">
        <f t="shared" si="121"/>
        <v>0</v>
      </c>
      <c r="U310" s="233">
        <f t="shared" si="122"/>
        <v>0</v>
      </c>
      <c r="V310" s="232">
        <f t="shared" si="106"/>
        <v>0</v>
      </c>
      <c r="W310" s="232">
        <f t="shared" si="107"/>
        <v>0</v>
      </c>
      <c r="X310" s="270">
        <f t="shared" si="108"/>
        <v>0</v>
      </c>
      <c r="Y310" s="234"/>
      <c r="Z310" s="383"/>
      <c r="AA310" s="252" t="e">
        <f>E310-#REF!</f>
        <v>#REF!</v>
      </c>
      <c r="AC310" s="235" t="s">
        <v>1677</v>
      </c>
      <c r="AD310" s="235" t="s">
        <v>2856</v>
      </c>
      <c r="AE310" s="235" t="s">
        <v>1372</v>
      </c>
      <c r="AG310" s="235" t="s">
        <v>1778</v>
      </c>
      <c r="BV310" s="236" t="str">
        <f>HYPERLINK("#일위대가목록!A197","NP0516 →")</f>
        <v>NP0516 →</v>
      </c>
      <c r="CB310" s="235">
        <v>3604</v>
      </c>
      <c r="CC310" s="235">
        <v>7226020</v>
      </c>
      <c r="CD310" s="235">
        <v>341</v>
      </c>
      <c r="CE310" s="235">
        <v>683705</v>
      </c>
      <c r="CF310" s="235">
        <v>3168</v>
      </c>
      <c r="CG310" s="235">
        <v>6351840</v>
      </c>
      <c r="CH310" s="235">
        <v>95</v>
      </c>
      <c r="CI310" s="235">
        <v>190475</v>
      </c>
      <c r="CJ310" s="235" t="s">
        <v>1488</v>
      </c>
    </row>
    <row r="311" spans="1:88" s="235" customFormat="1" ht="20.100000000000001" customHeight="1" x14ac:dyDescent="0.15">
      <c r="A311" s="229" t="s">
        <v>1164</v>
      </c>
      <c r="B311" s="229" t="s">
        <v>2856</v>
      </c>
      <c r="C311" s="230" t="s">
        <v>2856</v>
      </c>
      <c r="D311" s="233"/>
      <c r="E311" s="231">
        <f t="shared" si="116"/>
        <v>0</v>
      </c>
      <c r="F311" s="232">
        <f t="shared" si="115"/>
        <v>0</v>
      </c>
      <c r="G311" s="240"/>
      <c r="H311" s="232">
        <v>0</v>
      </c>
      <c r="I311" s="240"/>
      <c r="J311" s="232">
        <v>0</v>
      </c>
      <c r="K311" s="240"/>
      <c r="L311" s="232">
        <v>0</v>
      </c>
      <c r="M311" s="232"/>
      <c r="N311" s="232"/>
      <c r="O311" s="270">
        <f t="shared" si="103"/>
        <v>0</v>
      </c>
      <c r="P311" s="232"/>
      <c r="Q311" s="232">
        <f t="shared" si="104"/>
        <v>0</v>
      </c>
      <c r="R311" s="270">
        <f t="shared" si="105"/>
        <v>0</v>
      </c>
      <c r="S311" s="233">
        <f t="shared" si="120"/>
        <v>0</v>
      </c>
      <c r="T311" s="233">
        <f t="shared" si="121"/>
        <v>0</v>
      </c>
      <c r="U311" s="233">
        <f t="shared" si="122"/>
        <v>0</v>
      </c>
      <c r="V311" s="232">
        <f t="shared" si="106"/>
        <v>0</v>
      </c>
      <c r="W311" s="232">
        <f t="shared" si="107"/>
        <v>0</v>
      </c>
      <c r="X311" s="270">
        <f t="shared" si="108"/>
        <v>0</v>
      </c>
      <c r="Y311" s="234"/>
      <c r="Z311" s="383"/>
      <c r="AA311" s="252" t="e">
        <f>E311-#REF!</f>
        <v>#REF!</v>
      </c>
      <c r="AC311" s="235" t="s">
        <v>762</v>
      </c>
      <c r="AD311" s="235" t="s">
        <v>650</v>
      </c>
      <c r="AE311" s="235" t="s">
        <v>2856</v>
      </c>
      <c r="CB311" s="235">
        <v>0</v>
      </c>
      <c r="CC311" s="235">
        <v>0</v>
      </c>
      <c r="CE311" s="235">
        <v>0</v>
      </c>
      <c r="CG311" s="235">
        <v>0</v>
      </c>
      <c r="CI311" s="235">
        <v>0</v>
      </c>
      <c r="CJ311" s="235" t="s">
        <v>2856</v>
      </c>
    </row>
    <row r="312" spans="1:88" s="228" customFormat="1" ht="20.100000000000001" customHeight="1" x14ac:dyDescent="0.15">
      <c r="A312" s="241" t="s">
        <v>2330</v>
      </c>
      <c r="B312" s="241" t="s">
        <v>2856</v>
      </c>
      <c r="C312" s="223" t="s">
        <v>2303</v>
      </c>
      <c r="D312" s="226">
        <v>1</v>
      </c>
      <c r="E312" s="242"/>
      <c r="F312" s="225">
        <f t="shared" si="115"/>
        <v>1640859</v>
      </c>
      <c r="G312" s="242"/>
      <c r="H312" s="225">
        <f>TRUNC(H313+H314,0)</f>
        <v>0</v>
      </c>
      <c r="I312" s="242"/>
      <c r="J312" s="225">
        <f>TRUNC(J313+J314,0)</f>
        <v>0</v>
      </c>
      <c r="K312" s="242"/>
      <c r="L312" s="225">
        <f>TRUNC(L313+L314,0)</f>
        <v>1640859</v>
      </c>
      <c r="M312" s="225"/>
      <c r="N312" s="225"/>
      <c r="O312" s="269">
        <f t="shared" si="103"/>
        <v>0</v>
      </c>
      <c r="P312" s="225"/>
      <c r="Q312" s="225">
        <f t="shared" si="104"/>
        <v>0</v>
      </c>
      <c r="R312" s="269">
        <f t="shared" si="105"/>
        <v>0</v>
      </c>
      <c r="S312" s="226">
        <f>TRUNC(S313+S314,0)</f>
        <v>0</v>
      </c>
      <c r="T312" s="226">
        <f>TRUNC(T313+T314,0)</f>
        <v>0</v>
      </c>
      <c r="U312" s="226">
        <f>TRUNC(U313+U314,0)</f>
        <v>0</v>
      </c>
      <c r="V312" s="225">
        <f t="shared" si="106"/>
        <v>0</v>
      </c>
      <c r="W312" s="225">
        <f t="shared" si="107"/>
        <v>0</v>
      </c>
      <c r="X312" s="269">
        <f t="shared" si="108"/>
        <v>0</v>
      </c>
      <c r="Y312" s="227"/>
      <c r="Z312" s="382"/>
      <c r="AA312" s="252" t="e">
        <f>E312-#REF!</f>
        <v>#REF!</v>
      </c>
      <c r="AB312" s="228" t="s">
        <v>1043</v>
      </c>
      <c r="CC312" s="228">
        <v>1910028</v>
      </c>
      <c r="CE312" s="228">
        <v>0</v>
      </c>
      <c r="CG312" s="228">
        <v>0</v>
      </c>
      <c r="CI312" s="228">
        <v>1910028</v>
      </c>
      <c r="CJ312" s="228" t="s">
        <v>2856</v>
      </c>
    </row>
    <row r="313" spans="1:88" s="235" customFormat="1" ht="20.100000000000001" customHeight="1" x14ac:dyDescent="0.15">
      <c r="A313" s="229" t="s">
        <v>363</v>
      </c>
      <c r="B313" s="229" t="s">
        <v>2856</v>
      </c>
      <c r="C313" s="230" t="s">
        <v>978</v>
      </c>
      <c r="D313" s="233">
        <v>871.6</v>
      </c>
      <c r="E313" s="231">
        <f>G313+I313+K313</f>
        <v>1346</v>
      </c>
      <c r="F313" s="232">
        <f t="shared" si="115"/>
        <v>1173173</v>
      </c>
      <c r="G313" s="231">
        <v>0</v>
      </c>
      <c r="H313" s="232">
        <f>TRUNC(G313*D313,0)</f>
        <v>0</v>
      </c>
      <c r="I313" s="231">
        <v>0</v>
      </c>
      <c r="J313" s="232">
        <f>TRUNC(I313*D313,0)</f>
        <v>0</v>
      </c>
      <c r="K313" s="231">
        <v>1346</v>
      </c>
      <c r="L313" s="232">
        <f>TRUNC(K313*D313,0)</f>
        <v>1173173</v>
      </c>
      <c r="M313" s="232"/>
      <c r="N313" s="232"/>
      <c r="O313" s="270">
        <f t="shared" si="103"/>
        <v>0</v>
      </c>
      <c r="P313" s="232"/>
      <c r="Q313" s="232">
        <f t="shared" si="104"/>
        <v>0</v>
      </c>
      <c r="R313" s="270">
        <f t="shared" si="105"/>
        <v>0</v>
      </c>
      <c r="S313" s="233">
        <f>TRUNC(G313*$P313,0)</f>
        <v>0</v>
      </c>
      <c r="T313" s="233">
        <f>TRUNC(I313*$P313,0)</f>
        <v>0</v>
      </c>
      <c r="U313" s="233">
        <f>TRUNC(K313*$P313,0)</f>
        <v>0</v>
      </c>
      <c r="V313" s="232">
        <f t="shared" si="106"/>
        <v>0</v>
      </c>
      <c r="W313" s="232">
        <f t="shared" si="107"/>
        <v>0</v>
      </c>
      <c r="X313" s="270">
        <f t="shared" si="108"/>
        <v>0</v>
      </c>
      <c r="Y313" s="234"/>
      <c r="Z313" s="383"/>
      <c r="AA313" s="252" t="e">
        <f>E313-#REF!</f>
        <v>#REF!</v>
      </c>
      <c r="AC313" s="235" t="s">
        <v>2840</v>
      </c>
      <c r="AD313" s="235" t="s">
        <v>2856</v>
      </c>
      <c r="AE313" s="235" t="s">
        <v>1680</v>
      </c>
      <c r="BV313" s="236" t="str">
        <f>HYPERLINK("#경비!A6","GS1000 →")</f>
        <v>GS1000 →</v>
      </c>
      <c r="CB313" s="235">
        <v>1567</v>
      </c>
      <c r="CC313" s="235">
        <v>1365797</v>
      </c>
      <c r="CD313" s="235">
        <v>0</v>
      </c>
      <c r="CE313" s="235">
        <v>0</v>
      </c>
      <c r="CF313" s="235">
        <v>0</v>
      </c>
      <c r="CG313" s="235">
        <v>0</v>
      </c>
      <c r="CH313" s="235">
        <v>1567</v>
      </c>
      <c r="CI313" s="235">
        <v>1365797</v>
      </c>
      <c r="CJ313" s="235" t="s">
        <v>1680</v>
      </c>
    </row>
    <row r="314" spans="1:88" s="235" customFormat="1" ht="20.100000000000001" customHeight="1" x14ac:dyDescent="0.15">
      <c r="A314" s="229" t="s">
        <v>932</v>
      </c>
      <c r="B314" s="229" t="s">
        <v>2319</v>
      </c>
      <c r="C314" s="230" t="s">
        <v>978</v>
      </c>
      <c r="D314" s="233">
        <v>4.08</v>
      </c>
      <c r="E314" s="231">
        <f>G314+I314+K314</f>
        <v>114629</v>
      </c>
      <c r="F314" s="232">
        <f t="shared" si="115"/>
        <v>467686</v>
      </c>
      <c r="G314" s="231">
        <v>0</v>
      </c>
      <c r="H314" s="232">
        <f>TRUNC(G314*D314,0)</f>
        <v>0</v>
      </c>
      <c r="I314" s="231">
        <v>0</v>
      </c>
      <c r="J314" s="232">
        <f>TRUNC(I314*D314,0)</f>
        <v>0</v>
      </c>
      <c r="K314" s="231">
        <v>114629</v>
      </c>
      <c r="L314" s="232">
        <f>TRUNC(K314*D314,0)</f>
        <v>467686</v>
      </c>
      <c r="M314" s="232"/>
      <c r="N314" s="232"/>
      <c r="O314" s="270">
        <f t="shared" si="103"/>
        <v>0</v>
      </c>
      <c r="P314" s="232"/>
      <c r="Q314" s="232">
        <f t="shared" si="104"/>
        <v>0</v>
      </c>
      <c r="R314" s="270">
        <f t="shared" si="105"/>
        <v>0</v>
      </c>
      <c r="S314" s="233">
        <f>TRUNC(G314*$P314,0)</f>
        <v>0</v>
      </c>
      <c r="T314" s="233">
        <f>TRUNC(I314*$P314,0)</f>
        <v>0</v>
      </c>
      <c r="U314" s="233">
        <f>TRUNC(K314*$P314,0)</f>
        <v>0</v>
      </c>
      <c r="V314" s="232">
        <f t="shared" si="106"/>
        <v>0</v>
      </c>
      <c r="W314" s="232">
        <f t="shared" si="107"/>
        <v>0</v>
      </c>
      <c r="X314" s="270">
        <f t="shared" si="108"/>
        <v>0</v>
      </c>
      <c r="Y314" s="234"/>
      <c r="Z314" s="383"/>
      <c r="AA314" s="252" t="e">
        <f>E314-#REF!</f>
        <v>#REF!</v>
      </c>
      <c r="AC314" s="235" t="s">
        <v>2107</v>
      </c>
      <c r="AD314" s="235" t="s">
        <v>2856</v>
      </c>
      <c r="AE314" s="235" t="s">
        <v>963</v>
      </c>
      <c r="BV314" s="236" t="str">
        <f>HYPERLINK("#경비!A5","GS012 →")</f>
        <v>GS012 →</v>
      </c>
      <c r="CB314" s="235">
        <v>133390</v>
      </c>
      <c r="CC314" s="235">
        <v>544231</v>
      </c>
      <c r="CD314" s="235">
        <v>0</v>
      </c>
      <c r="CE314" s="235">
        <v>0</v>
      </c>
      <c r="CF314" s="235">
        <v>0</v>
      </c>
      <c r="CG314" s="235">
        <v>0</v>
      </c>
      <c r="CH314" s="235">
        <v>133390</v>
      </c>
      <c r="CI314" s="235">
        <v>544231</v>
      </c>
      <c r="CJ314" s="235" t="s">
        <v>963</v>
      </c>
    </row>
    <row r="315" spans="1:88" s="235" customFormat="1" ht="20.100000000000001" customHeight="1" x14ac:dyDescent="0.15">
      <c r="A315" s="229" t="s">
        <v>1164</v>
      </c>
      <c r="B315" s="229" t="s">
        <v>2856</v>
      </c>
      <c r="C315" s="230" t="s">
        <v>2856</v>
      </c>
      <c r="D315" s="233"/>
      <c r="E315" s="231">
        <f>G315+I315+K315</f>
        <v>0</v>
      </c>
      <c r="F315" s="232">
        <f t="shared" si="115"/>
        <v>0</v>
      </c>
      <c r="G315" s="240"/>
      <c r="H315" s="232">
        <v>0</v>
      </c>
      <c r="I315" s="240"/>
      <c r="J315" s="232">
        <v>0</v>
      </c>
      <c r="K315" s="240"/>
      <c r="L315" s="232">
        <v>0</v>
      </c>
      <c r="M315" s="232"/>
      <c r="N315" s="232"/>
      <c r="O315" s="270">
        <f t="shared" si="103"/>
        <v>0</v>
      </c>
      <c r="P315" s="232"/>
      <c r="Q315" s="232">
        <f t="shared" si="104"/>
        <v>0</v>
      </c>
      <c r="R315" s="270">
        <f t="shared" si="105"/>
        <v>0</v>
      </c>
      <c r="S315" s="233">
        <f>TRUNC(G315*$P315,0)</f>
        <v>0</v>
      </c>
      <c r="T315" s="233">
        <f>TRUNC(I315*$P315,0)</f>
        <v>0</v>
      </c>
      <c r="U315" s="233">
        <f>TRUNC(K315*$P315,0)</f>
        <v>0</v>
      </c>
      <c r="V315" s="232">
        <f t="shared" si="106"/>
        <v>0</v>
      </c>
      <c r="W315" s="232">
        <f t="shared" si="107"/>
        <v>0</v>
      </c>
      <c r="X315" s="270">
        <f t="shared" si="108"/>
        <v>0</v>
      </c>
      <c r="Y315" s="234"/>
      <c r="Z315" s="383"/>
      <c r="AA315" s="252" t="e">
        <f>E315-#REF!</f>
        <v>#REF!</v>
      </c>
      <c r="AC315" s="235" t="s">
        <v>2138</v>
      </c>
      <c r="AD315" s="235" t="s">
        <v>650</v>
      </c>
      <c r="AE315" s="235" t="s">
        <v>2856</v>
      </c>
      <c r="CB315" s="235">
        <v>0</v>
      </c>
      <c r="CC315" s="235">
        <v>0</v>
      </c>
      <c r="CE315" s="235">
        <v>0</v>
      </c>
      <c r="CG315" s="235">
        <v>0</v>
      </c>
      <c r="CI315" s="235">
        <v>0</v>
      </c>
      <c r="CJ315" s="235" t="s">
        <v>2856</v>
      </c>
    </row>
    <row r="316" spans="1:88" s="228" customFormat="1" ht="20.100000000000001" customHeight="1" x14ac:dyDescent="0.15">
      <c r="A316" s="443" t="s">
        <v>2657</v>
      </c>
      <c r="B316" s="444"/>
      <c r="C316" s="223" t="s">
        <v>2303</v>
      </c>
      <c r="D316" s="226">
        <v>1</v>
      </c>
      <c r="E316" s="242"/>
      <c r="F316" s="225">
        <f t="shared" si="115"/>
        <v>185372000</v>
      </c>
      <c r="G316" s="242"/>
      <c r="H316" s="225">
        <f>TRUNC(H317+H318+H321+H322+H323+H324+H325+H326+H327+H328+H329+H330+H319+H320,0)</f>
        <v>184377307</v>
      </c>
      <c r="I316" s="242"/>
      <c r="J316" s="225">
        <f>TRUNC(J317+J318+J321+J322+J323+J324+J325+J326+J327+J328+J329+J330,0)</f>
        <v>0</v>
      </c>
      <c r="K316" s="242"/>
      <c r="L316" s="225">
        <f>TRUNC(L317+L318+L321+L322+L323+L324+L325+L326+L327+L328+L329+L330,0)</f>
        <v>994693</v>
      </c>
      <c r="M316" s="225"/>
      <c r="N316" s="225"/>
      <c r="O316" s="269">
        <f t="shared" si="103"/>
        <v>0</v>
      </c>
      <c r="P316" s="225"/>
      <c r="Q316" s="225">
        <f t="shared" si="104"/>
        <v>0</v>
      </c>
      <c r="R316" s="269">
        <f t="shared" si="105"/>
        <v>0</v>
      </c>
      <c r="S316" s="226">
        <f>TRUNC(S317+S318+S321+S322+S323+S324+S325+S326+S327+S328+S329+S330,0)</f>
        <v>0</v>
      </c>
      <c r="T316" s="226">
        <f>TRUNC(T317+T318+T321+T322+T323+T324+T325+T326+T327+T328+T329+T330,0)</f>
        <v>0</v>
      </c>
      <c r="U316" s="226">
        <f>TRUNC(U317+U318+U321+U322+U323+U324+U325+U326+U327+U328+U329+U330,0)</f>
        <v>0</v>
      </c>
      <c r="V316" s="225">
        <f t="shared" si="106"/>
        <v>0</v>
      </c>
      <c r="W316" s="225">
        <f t="shared" si="107"/>
        <v>0</v>
      </c>
      <c r="X316" s="269">
        <f t="shared" si="108"/>
        <v>0</v>
      </c>
      <c r="Y316" s="227"/>
      <c r="Z316" s="382"/>
      <c r="AA316" s="252" t="e">
        <f>E316-#REF!</f>
        <v>#REF!</v>
      </c>
      <c r="AB316" s="228" t="s">
        <v>2115</v>
      </c>
      <c r="CC316" s="228">
        <v>234054000</v>
      </c>
      <c r="CE316" s="228">
        <v>232797050</v>
      </c>
      <c r="CG316" s="228">
        <v>0</v>
      </c>
      <c r="CI316" s="228">
        <v>1256950</v>
      </c>
      <c r="CJ316" s="228" t="s">
        <v>2856</v>
      </c>
    </row>
    <row r="317" spans="1:88" s="235" customFormat="1" ht="20.100000000000001" customHeight="1" x14ac:dyDescent="0.15">
      <c r="A317" s="229" t="s">
        <v>261</v>
      </c>
      <c r="B317" s="229" t="s">
        <v>938</v>
      </c>
      <c r="C317" s="230" t="s">
        <v>1586</v>
      </c>
      <c r="D317" s="233">
        <v>1003</v>
      </c>
      <c r="E317" s="231">
        <f t="shared" ref="E317:E331" si="123">G317+I317+K317</f>
        <v>8657</v>
      </c>
      <c r="F317" s="232">
        <f t="shared" si="115"/>
        <v>8682971</v>
      </c>
      <c r="G317" s="231">
        <v>8657</v>
      </c>
      <c r="H317" s="232">
        <f t="shared" ref="H317:H329" si="124">TRUNC(G317*D317,0)</f>
        <v>8682971</v>
      </c>
      <c r="I317" s="231">
        <v>0</v>
      </c>
      <c r="J317" s="232"/>
      <c r="K317" s="231">
        <v>0</v>
      </c>
      <c r="L317" s="232"/>
      <c r="M317" s="232"/>
      <c r="N317" s="232"/>
      <c r="O317" s="270">
        <f t="shared" si="103"/>
        <v>0</v>
      </c>
      <c r="P317" s="232"/>
      <c r="Q317" s="232">
        <f t="shared" si="104"/>
        <v>0</v>
      </c>
      <c r="R317" s="270">
        <f t="shared" si="105"/>
        <v>0</v>
      </c>
      <c r="S317" s="233">
        <f t="shared" ref="S317:S330" si="125">TRUNC(G317*$P317,0)</f>
        <v>0</v>
      </c>
      <c r="T317" s="233">
        <f t="shared" ref="T317:T330" si="126">TRUNC(I317*$P317,0)</f>
        <v>0</v>
      </c>
      <c r="U317" s="233">
        <f t="shared" ref="U317:U330" si="127">TRUNC(K317*$P317,0)</f>
        <v>0</v>
      </c>
      <c r="V317" s="232">
        <f t="shared" si="106"/>
        <v>0</v>
      </c>
      <c r="W317" s="232">
        <f t="shared" si="107"/>
        <v>0</v>
      </c>
      <c r="X317" s="270">
        <f t="shared" si="108"/>
        <v>0</v>
      </c>
      <c r="Y317" s="234"/>
      <c r="Z317" s="383"/>
      <c r="AA317" s="252" t="e">
        <f>E317-#REF!</f>
        <v>#REF!</v>
      </c>
      <c r="AC317" s="235" t="s">
        <v>334</v>
      </c>
      <c r="AD317" s="235" t="s">
        <v>2856</v>
      </c>
      <c r="AE317" s="235" t="s">
        <v>2602</v>
      </c>
      <c r="BV317" s="236" t="str">
        <f>HYPERLINK("#자재조서!A124","MTP-011 →")</f>
        <v>MTP-011 →</v>
      </c>
      <c r="CB317" s="235">
        <v>8657</v>
      </c>
      <c r="CC317" s="235">
        <v>9834352</v>
      </c>
      <c r="CD317" s="235">
        <v>8657</v>
      </c>
      <c r="CE317" s="235">
        <v>9834352</v>
      </c>
      <c r="CF317" s="235">
        <v>0</v>
      </c>
      <c r="CH317" s="235">
        <v>0</v>
      </c>
      <c r="CJ317" s="235" t="s">
        <v>2602</v>
      </c>
    </row>
    <row r="318" spans="1:88" s="235" customFormat="1" ht="20.100000000000001" customHeight="1" x14ac:dyDescent="0.15">
      <c r="A318" s="260" t="s">
        <v>1470</v>
      </c>
      <c r="B318" s="229" t="s">
        <v>1226</v>
      </c>
      <c r="C318" s="230" t="s">
        <v>1202</v>
      </c>
      <c r="D318" s="233">
        <v>341</v>
      </c>
      <c r="E318" s="231">
        <f t="shared" si="123"/>
        <v>88000</v>
      </c>
      <c r="F318" s="232">
        <f t="shared" si="115"/>
        <v>30008000</v>
      </c>
      <c r="G318" s="231">
        <v>88000</v>
      </c>
      <c r="H318" s="232">
        <f t="shared" si="124"/>
        <v>30008000</v>
      </c>
      <c r="I318" s="231">
        <v>0</v>
      </c>
      <c r="J318" s="232"/>
      <c r="K318" s="231">
        <v>0</v>
      </c>
      <c r="L318" s="232"/>
      <c r="M318" s="232"/>
      <c r="N318" s="232"/>
      <c r="O318" s="270">
        <f t="shared" si="103"/>
        <v>0</v>
      </c>
      <c r="P318" s="232"/>
      <c r="Q318" s="232">
        <f t="shared" si="104"/>
        <v>0</v>
      </c>
      <c r="R318" s="270">
        <f t="shared" si="105"/>
        <v>0</v>
      </c>
      <c r="S318" s="233">
        <f t="shared" si="125"/>
        <v>0</v>
      </c>
      <c r="T318" s="233">
        <f t="shared" si="126"/>
        <v>0</v>
      </c>
      <c r="U318" s="233">
        <f t="shared" si="127"/>
        <v>0</v>
      </c>
      <c r="V318" s="232">
        <f t="shared" si="106"/>
        <v>0</v>
      </c>
      <c r="W318" s="232">
        <f t="shared" si="107"/>
        <v>0</v>
      </c>
      <c r="X318" s="270">
        <f t="shared" si="108"/>
        <v>0</v>
      </c>
      <c r="Y318" s="234"/>
      <c r="Z318" s="383"/>
      <c r="AA318" s="252" t="e">
        <f>E318-#REF!</f>
        <v>#REF!</v>
      </c>
      <c r="AC318" s="235" t="s">
        <v>2471</v>
      </c>
      <c r="AD318" s="235" t="s">
        <v>2856</v>
      </c>
      <c r="AE318" s="235" t="s">
        <v>936</v>
      </c>
      <c r="BV318" s="236" t="str">
        <f>HYPERLINK("#자재조서!A53","MB-0011 →")</f>
        <v>MB-0011 →</v>
      </c>
      <c r="CB318" s="235">
        <v>66000</v>
      </c>
      <c r="CC318" s="235">
        <v>9174000</v>
      </c>
      <c r="CD318" s="235">
        <v>66000</v>
      </c>
      <c r="CE318" s="235">
        <v>9174000</v>
      </c>
      <c r="CF318" s="235">
        <v>0</v>
      </c>
      <c r="CH318" s="235">
        <v>0</v>
      </c>
      <c r="CJ318" s="235" t="s">
        <v>936</v>
      </c>
    </row>
    <row r="319" spans="1:88" s="235" customFormat="1" ht="20.100000000000001" customHeight="1" x14ac:dyDescent="0.15">
      <c r="A319" s="260" t="s">
        <v>3160</v>
      </c>
      <c r="B319" s="229" t="s">
        <v>3162</v>
      </c>
      <c r="C319" s="230" t="s">
        <v>3114</v>
      </c>
      <c r="D319" s="233">
        <v>117</v>
      </c>
      <c r="E319" s="231">
        <f>G319+I319+K319</f>
        <v>195000</v>
      </c>
      <c r="F319" s="232">
        <f>H319+J319+L319</f>
        <v>22815000</v>
      </c>
      <c r="G319" s="231">
        <v>195000</v>
      </c>
      <c r="H319" s="232">
        <f t="shared" si="124"/>
        <v>22815000</v>
      </c>
      <c r="I319" s="231">
        <v>0</v>
      </c>
      <c r="J319" s="232"/>
      <c r="K319" s="231">
        <v>0</v>
      </c>
      <c r="L319" s="232"/>
      <c r="M319" s="232"/>
      <c r="N319" s="232"/>
      <c r="O319" s="270">
        <f t="shared" si="103"/>
        <v>0</v>
      </c>
      <c r="P319" s="232"/>
      <c r="Q319" s="232">
        <f t="shared" si="104"/>
        <v>0</v>
      </c>
      <c r="R319" s="270">
        <f t="shared" si="105"/>
        <v>0</v>
      </c>
      <c r="S319" s="233">
        <f t="shared" si="125"/>
        <v>0</v>
      </c>
      <c r="T319" s="233">
        <f t="shared" si="126"/>
        <v>0</v>
      </c>
      <c r="U319" s="233">
        <f t="shared" si="127"/>
        <v>0</v>
      </c>
      <c r="V319" s="232">
        <f t="shared" si="106"/>
        <v>0</v>
      </c>
      <c r="W319" s="232">
        <f t="shared" si="107"/>
        <v>0</v>
      </c>
      <c r="X319" s="270">
        <f t="shared" si="108"/>
        <v>0</v>
      </c>
      <c r="Y319" s="234"/>
      <c r="Z319" s="383"/>
      <c r="AA319" s="252" t="e">
        <f>E319-#REF!</f>
        <v>#REF!</v>
      </c>
      <c r="BV319" s="236"/>
    </row>
    <row r="320" spans="1:88" s="235" customFormat="1" ht="20.100000000000001" customHeight="1" x14ac:dyDescent="0.15">
      <c r="A320" s="260" t="s">
        <v>3161</v>
      </c>
      <c r="B320" s="229" t="s">
        <v>3163</v>
      </c>
      <c r="C320" s="230" t="s">
        <v>3052</v>
      </c>
      <c r="D320" s="233">
        <v>2</v>
      </c>
      <c r="E320" s="231">
        <f>G320+I320+K320</f>
        <v>170000</v>
      </c>
      <c r="F320" s="232">
        <f>H320+J320+L320</f>
        <v>340000</v>
      </c>
      <c r="G320" s="231">
        <v>170000</v>
      </c>
      <c r="H320" s="232">
        <f t="shared" si="124"/>
        <v>340000</v>
      </c>
      <c r="I320" s="231">
        <v>0</v>
      </c>
      <c r="J320" s="232"/>
      <c r="K320" s="231">
        <v>0</v>
      </c>
      <c r="L320" s="232"/>
      <c r="M320" s="232"/>
      <c r="N320" s="232"/>
      <c r="O320" s="270">
        <f t="shared" si="103"/>
        <v>0</v>
      </c>
      <c r="P320" s="232"/>
      <c r="Q320" s="232">
        <f t="shared" si="104"/>
        <v>0</v>
      </c>
      <c r="R320" s="270">
        <f t="shared" si="105"/>
        <v>0</v>
      </c>
      <c r="S320" s="233">
        <f t="shared" si="125"/>
        <v>0</v>
      </c>
      <c r="T320" s="233">
        <f t="shared" si="126"/>
        <v>0</v>
      </c>
      <c r="U320" s="233">
        <f t="shared" si="127"/>
        <v>0</v>
      </c>
      <c r="V320" s="232">
        <f t="shared" si="106"/>
        <v>0</v>
      </c>
      <c r="W320" s="232">
        <f t="shared" si="107"/>
        <v>0</v>
      </c>
      <c r="X320" s="270">
        <f t="shared" si="108"/>
        <v>0</v>
      </c>
      <c r="Y320" s="234"/>
      <c r="Z320" s="383"/>
      <c r="AA320" s="252" t="e">
        <f>E320-#REF!</f>
        <v>#REF!</v>
      </c>
      <c r="BV320" s="236"/>
    </row>
    <row r="321" spans="1:88" s="235" customFormat="1" ht="20.100000000000001" customHeight="1" x14ac:dyDescent="0.15">
      <c r="A321" s="229" t="s">
        <v>2855</v>
      </c>
      <c r="B321" s="229" t="s">
        <v>352</v>
      </c>
      <c r="C321" s="230" t="s">
        <v>1670</v>
      </c>
      <c r="D321" s="233">
        <v>0</v>
      </c>
      <c r="E321" s="231">
        <f t="shared" si="123"/>
        <v>14300</v>
      </c>
      <c r="F321" s="232">
        <f t="shared" si="115"/>
        <v>0</v>
      </c>
      <c r="G321" s="231">
        <v>14300</v>
      </c>
      <c r="H321" s="232">
        <f t="shared" si="124"/>
        <v>0</v>
      </c>
      <c r="I321" s="231">
        <v>0</v>
      </c>
      <c r="J321" s="232"/>
      <c r="K321" s="231">
        <v>0</v>
      </c>
      <c r="L321" s="232"/>
      <c r="M321" s="232"/>
      <c r="N321" s="232"/>
      <c r="O321" s="270">
        <f t="shared" si="103"/>
        <v>0</v>
      </c>
      <c r="P321" s="232"/>
      <c r="Q321" s="232">
        <f t="shared" si="104"/>
        <v>0</v>
      </c>
      <c r="R321" s="270">
        <f t="shared" si="105"/>
        <v>0</v>
      </c>
      <c r="S321" s="233">
        <f t="shared" si="125"/>
        <v>0</v>
      </c>
      <c r="T321" s="233">
        <f t="shared" si="126"/>
        <v>0</v>
      </c>
      <c r="U321" s="233">
        <f t="shared" si="127"/>
        <v>0</v>
      </c>
      <c r="V321" s="232">
        <f t="shared" si="106"/>
        <v>0</v>
      </c>
      <c r="W321" s="232">
        <f t="shared" si="107"/>
        <v>0</v>
      </c>
      <c r="X321" s="270">
        <f t="shared" si="108"/>
        <v>0</v>
      </c>
      <c r="Y321" s="234"/>
      <c r="Z321" s="383"/>
      <c r="AA321" s="252" t="e">
        <f>E321-#REF!</f>
        <v>#REF!</v>
      </c>
      <c r="AC321" s="235" t="s">
        <v>1741</v>
      </c>
      <c r="AD321" s="235" t="s">
        <v>2856</v>
      </c>
      <c r="AE321" s="235" t="s">
        <v>2795</v>
      </c>
      <c r="BV321" s="236" t="str">
        <f>HYPERLINK("#자재조서!A108","MS-121 →")</f>
        <v>MS-121 →</v>
      </c>
      <c r="CB321" s="235">
        <v>14300</v>
      </c>
      <c r="CC321" s="235">
        <v>2602600</v>
      </c>
      <c r="CD321" s="235">
        <v>14300</v>
      </c>
      <c r="CE321" s="235">
        <v>2602600</v>
      </c>
      <c r="CF321" s="235">
        <v>0</v>
      </c>
      <c r="CH321" s="235">
        <v>0</v>
      </c>
      <c r="CJ321" s="235" t="s">
        <v>2795</v>
      </c>
    </row>
    <row r="322" spans="1:88" s="235" customFormat="1" ht="20.100000000000001" customHeight="1" x14ac:dyDescent="0.15">
      <c r="A322" s="229" t="s">
        <v>900</v>
      </c>
      <c r="B322" s="229" t="s">
        <v>1049</v>
      </c>
      <c r="C322" s="230" t="s">
        <v>1202</v>
      </c>
      <c r="D322" s="233">
        <v>0</v>
      </c>
      <c r="E322" s="231">
        <f t="shared" si="123"/>
        <v>137500</v>
      </c>
      <c r="F322" s="232">
        <f t="shared" si="115"/>
        <v>0</v>
      </c>
      <c r="G322" s="231">
        <v>137500</v>
      </c>
      <c r="H322" s="232">
        <f t="shared" si="124"/>
        <v>0</v>
      </c>
      <c r="I322" s="231">
        <v>0</v>
      </c>
      <c r="J322" s="232"/>
      <c r="K322" s="231">
        <v>0</v>
      </c>
      <c r="L322" s="232"/>
      <c r="M322" s="232"/>
      <c r="N322" s="232"/>
      <c r="O322" s="270">
        <f t="shared" si="103"/>
        <v>0</v>
      </c>
      <c r="P322" s="232"/>
      <c r="Q322" s="232">
        <f t="shared" si="104"/>
        <v>0</v>
      </c>
      <c r="R322" s="270">
        <f t="shared" si="105"/>
        <v>0</v>
      </c>
      <c r="S322" s="233">
        <f t="shared" si="125"/>
        <v>0</v>
      </c>
      <c r="T322" s="233">
        <f t="shared" si="126"/>
        <v>0</v>
      </c>
      <c r="U322" s="233">
        <f t="shared" si="127"/>
        <v>0</v>
      </c>
      <c r="V322" s="232">
        <f t="shared" si="106"/>
        <v>0</v>
      </c>
      <c r="W322" s="232">
        <f t="shared" si="107"/>
        <v>0</v>
      </c>
      <c r="X322" s="270">
        <f t="shared" si="108"/>
        <v>0</v>
      </c>
      <c r="Y322" s="234"/>
      <c r="Z322" s="383"/>
      <c r="AA322" s="252" t="e">
        <f>E322-#REF!</f>
        <v>#REF!</v>
      </c>
      <c r="AC322" s="235" t="s">
        <v>1036</v>
      </c>
      <c r="AD322" s="235" t="s">
        <v>2856</v>
      </c>
      <c r="AE322" s="235" t="s">
        <v>699</v>
      </c>
      <c r="BV322" s="236" t="str">
        <f>HYPERLINK("#자재조서!A109","MS-122 →")</f>
        <v>MS-122 →</v>
      </c>
      <c r="CB322" s="235">
        <v>137500</v>
      </c>
      <c r="CC322" s="235">
        <v>29150000</v>
      </c>
      <c r="CD322" s="235">
        <v>137500</v>
      </c>
      <c r="CE322" s="235">
        <v>29150000</v>
      </c>
      <c r="CF322" s="235">
        <v>0</v>
      </c>
      <c r="CH322" s="235">
        <v>0</v>
      </c>
      <c r="CJ322" s="235" t="s">
        <v>699</v>
      </c>
    </row>
    <row r="323" spans="1:88" s="235" customFormat="1" ht="20.100000000000001" customHeight="1" x14ac:dyDescent="0.15">
      <c r="A323" s="229" t="s">
        <v>948</v>
      </c>
      <c r="B323" s="229" t="s">
        <v>2642</v>
      </c>
      <c r="C323" s="230" t="s">
        <v>1764</v>
      </c>
      <c r="D323" s="233">
        <v>0</v>
      </c>
      <c r="E323" s="231">
        <f t="shared" si="123"/>
        <v>360</v>
      </c>
      <c r="F323" s="232">
        <f t="shared" si="115"/>
        <v>0</v>
      </c>
      <c r="G323" s="231">
        <v>360</v>
      </c>
      <c r="H323" s="232">
        <f t="shared" si="124"/>
        <v>0</v>
      </c>
      <c r="I323" s="231">
        <v>0</v>
      </c>
      <c r="J323" s="232"/>
      <c r="K323" s="231">
        <v>0</v>
      </c>
      <c r="L323" s="232"/>
      <c r="M323" s="232"/>
      <c r="N323" s="232"/>
      <c r="O323" s="270">
        <f t="shared" si="103"/>
        <v>0</v>
      </c>
      <c r="P323" s="232"/>
      <c r="Q323" s="232">
        <f t="shared" si="104"/>
        <v>0</v>
      </c>
      <c r="R323" s="270">
        <f t="shared" si="105"/>
        <v>0</v>
      </c>
      <c r="S323" s="233">
        <f t="shared" si="125"/>
        <v>0</v>
      </c>
      <c r="T323" s="233">
        <f t="shared" si="126"/>
        <v>0</v>
      </c>
      <c r="U323" s="233">
        <f t="shared" si="127"/>
        <v>0</v>
      </c>
      <c r="V323" s="232">
        <f t="shared" si="106"/>
        <v>0</v>
      </c>
      <c r="W323" s="232">
        <f t="shared" si="107"/>
        <v>0</v>
      </c>
      <c r="X323" s="270">
        <f t="shared" si="108"/>
        <v>0</v>
      </c>
      <c r="Y323" s="234"/>
      <c r="Z323" s="383"/>
      <c r="AA323" s="252" t="e">
        <f>E323-#REF!</f>
        <v>#REF!</v>
      </c>
      <c r="AC323" s="235" t="s">
        <v>286</v>
      </c>
      <c r="AD323" s="235" t="s">
        <v>2856</v>
      </c>
      <c r="AE323" s="235" t="s">
        <v>1303</v>
      </c>
      <c r="BV323" s="236" t="str">
        <f>HYPERLINK("#자재조서!A110","MS-124 →")</f>
        <v>MS-124 →</v>
      </c>
      <c r="CB323" s="235">
        <v>360</v>
      </c>
      <c r="CC323" s="235">
        <v>3010320</v>
      </c>
      <c r="CD323" s="235">
        <v>360</v>
      </c>
      <c r="CE323" s="235">
        <v>3010320</v>
      </c>
      <c r="CF323" s="235">
        <v>0</v>
      </c>
      <c r="CH323" s="235">
        <v>0</v>
      </c>
      <c r="CJ323" s="235" t="s">
        <v>1303</v>
      </c>
    </row>
    <row r="324" spans="1:88" s="235" customFormat="1" ht="20.100000000000001" customHeight="1" x14ac:dyDescent="0.15">
      <c r="A324" s="229" t="s">
        <v>1632</v>
      </c>
      <c r="B324" s="229" t="s">
        <v>2279</v>
      </c>
      <c r="C324" s="230" t="s">
        <v>2825</v>
      </c>
      <c r="D324" s="233">
        <v>274</v>
      </c>
      <c r="E324" s="231">
        <f t="shared" si="123"/>
        <v>89830</v>
      </c>
      <c r="F324" s="232">
        <f t="shared" si="115"/>
        <v>24613420</v>
      </c>
      <c r="G324" s="231">
        <v>89830</v>
      </c>
      <c r="H324" s="232">
        <f t="shared" si="124"/>
        <v>24613420</v>
      </c>
      <c r="I324" s="231">
        <v>0</v>
      </c>
      <c r="J324" s="232"/>
      <c r="K324" s="231">
        <v>0</v>
      </c>
      <c r="L324" s="232"/>
      <c r="M324" s="232"/>
      <c r="N324" s="232"/>
      <c r="O324" s="270">
        <f t="shared" si="103"/>
        <v>0</v>
      </c>
      <c r="P324" s="232"/>
      <c r="Q324" s="232">
        <f t="shared" si="104"/>
        <v>0</v>
      </c>
      <c r="R324" s="270">
        <f t="shared" si="105"/>
        <v>0</v>
      </c>
      <c r="S324" s="233">
        <f t="shared" si="125"/>
        <v>0</v>
      </c>
      <c r="T324" s="233">
        <f t="shared" si="126"/>
        <v>0</v>
      </c>
      <c r="U324" s="233">
        <f t="shared" si="127"/>
        <v>0</v>
      </c>
      <c r="V324" s="232">
        <f t="shared" si="106"/>
        <v>0</v>
      </c>
      <c r="W324" s="232">
        <f t="shared" si="107"/>
        <v>0</v>
      </c>
      <c r="X324" s="270">
        <f t="shared" si="108"/>
        <v>0</v>
      </c>
      <c r="Y324" s="234"/>
      <c r="Z324" s="383"/>
      <c r="AA324" s="252" t="e">
        <f>E324-#REF!</f>
        <v>#REF!</v>
      </c>
      <c r="AC324" s="235" t="s">
        <v>2428</v>
      </c>
      <c r="AD324" s="235" t="s">
        <v>2856</v>
      </c>
      <c r="AE324" s="235" t="s">
        <v>2547</v>
      </c>
      <c r="BV324" s="236" t="str">
        <f>HYPERLINK("#자재조서!A70","MB-190-24 →")</f>
        <v>MB-190-24 →</v>
      </c>
      <c r="CB324" s="235">
        <v>89830</v>
      </c>
      <c r="CC324" s="235">
        <v>28655770</v>
      </c>
      <c r="CD324" s="235">
        <v>89830</v>
      </c>
      <c r="CE324" s="235">
        <v>28655770</v>
      </c>
      <c r="CF324" s="235">
        <v>0</v>
      </c>
      <c r="CH324" s="235">
        <v>0</v>
      </c>
      <c r="CJ324" s="235" t="s">
        <v>2547</v>
      </c>
    </row>
    <row r="325" spans="1:88" s="235" customFormat="1" ht="20.100000000000001" customHeight="1" x14ac:dyDescent="0.15">
      <c r="A325" s="229" t="s">
        <v>1996</v>
      </c>
      <c r="B325" s="229" t="s">
        <v>1225</v>
      </c>
      <c r="C325" s="230" t="s">
        <v>978</v>
      </c>
      <c r="D325" s="261">
        <v>3.86</v>
      </c>
      <c r="E325" s="231">
        <f t="shared" si="123"/>
        <v>1039100</v>
      </c>
      <c r="F325" s="232">
        <f t="shared" si="115"/>
        <v>4010926</v>
      </c>
      <c r="G325" s="231">
        <v>1039100</v>
      </c>
      <c r="H325" s="232">
        <f t="shared" si="124"/>
        <v>4010926</v>
      </c>
      <c r="I325" s="231">
        <v>0</v>
      </c>
      <c r="J325" s="232"/>
      <c r="K325" s="231">
        <v>0</v>
      </c>
      <c r="L325" s="232"/>
      <c r="M325" s="232"/>
      <c r="N325" s="232"/>
      <c r="O325" s="270">
        <f t="shared" ref="O325:O353" si="128">IFERROR(N325/$F325,0)</f>
        <v>0</v>
      </c>
      <c r="P325" s="232"/>
      <c r="Q325" s="232">
        <f t="shared" ref="Q325:Q353" si="129">SUM(S325:U325)</f>
        <v>0</v>
      </c>
      <c r="R325" s="270">
        <f t="shared" ref="R325:R353" si="130">IFERROR(Q325/$F325,0)</f>
        <v>0</v>
      </c>
      <c r="S325" s="233">
        <f t="shared" si="125"/>
        <v>0</v>
      </c>
      <c r="T325" s="233">
        <f t="shared" si="126"/>
        <v>0</v>
      </c>
      <c r="U325" s="233">
        <f t="shared" si="127"/>
        <v>0</v>
      </c>
      <c r="V325" s="232">
        <f t="shared" ref="V325:V353" si="131">M325+P325</f>
        <v>0</v>
      </c>
      <c r="W325" s="232">
        <f t="shared" ref="W325:W353" si="132">N325+Q325</f>
        <v>0</v>
      </c>
      <c r="X325" s="270">
        <f t="shared" ref="X325:X353" si="133">IFERROR(W325/$F325,0)</f>
        <v>0</v>
      </c>
      <c r="Y325" s="234"/>
      <c r="Z325" s="383"/>
      <c r="AA325" s="252" t="e">
        <f>E325-#REF!</f>
        <v>#REF!</v>
      </c>
      <c r="AC325" s="235" t="s">
        <v>1686</v>
      </c>
      <c r="AD325" s="235" t="s">
        <v>2856</v>
      </c>
      <c r="AE325" s="235" t="s">
        <v>2422</v>
      </c>
      <c r="BV325" s="236" t="str">
        <f>HYPERLINK("#자재조서!A86","MB0014-24 →")</f>
        <v>MB0014-24 →</v>
      </c>
      <c r="CB325" s="235">
        <v>1039100</v>
      </c>
      <c r="CC325" s="235">
        <v>4239528</v>
      </c>
      <c r="CD325" s="235">
        <v>1039100</v>
      </c>
      <c r="CE325" s="235">
        <v>4239528</v>
      </c>
      <c r="CF325" s="235">
        <v>0</v>
      </c>
      <c r="CH325" s="235">
        <v>0</v>
      </c>
      <c r="CJ325" s="235" t="s">
        <v>2422</v>
      </c>
    </row>
    <row r="326" spans="1:88" s="235" customFormat="1" ht="20.100000000000001" customHeight="1" x14ac:dyDescent="0.15">
      <c r="A326" s="229" t="s">
        <v>592</v>
      </c>
      <c r="B326" s="229" t="s">
        <v>995</v>
      </c>
      <c r="C326" s="230" t="s">
        <v>1202</v>
      </c>
      <c r="D326" s="233">
        <v>2223</v>
      </c>
      <c r="E326" s="231">
        <f t="shared" si="123"/>
        <v>19800</v>
      </c>
      <c r="F326" s="232">
        <f t="shared" si="115"/>
        <v>44015400</v>
      </c>
      <c r="G326" s="231">
        <v>19800</v>
      </c>
      <c r="H326" s="232">
        <f t="shared" si="124"/>
        <v>44015400</v>
      </c>
      <c r="I326" s="231">
        <v>0</v>
      </c>
      <c r="J326" s="232"/>
      <c r="K326" s="231">
        <v>0</v>
      </c>
      <c r="L326" s="232"/>
      <c r="M326" s="232"/>
      <c r="N326" s="232"/>
      <c r="O326" s="270">
        <f t="shared" si="128"/>
        <v>0</v>
      </c>
      <c r="P326" s="232"/>
      <c r="Q326" s="232">
        <f t="shared" si="129"/>
        <v>0</v>
      </c>
      <c r="R326" s="270">
        <f t="shared" si="130"/>
        <v>0</v>
      </c>
      <c r="S326" s="233">
        <f t="shared" si="125"/>
        <v>0</v>
      </c>
      <c r="T326" s="233">
        <f t="shared" si="126"/>
        <v>0</v>
      </c>
      <c r="U326" s="233">
        <f t="shared" si="127"/>
        <v>0</v>
      </c>
      <c r="V326" s="232">
        <f t="shared" si="131"/>
        <v>0</v>
      </c>
      <c r="W326" s="232">
        <f t="shared" si="132"/>
        <v>0</v>
      </c>
      <c r="X326" s="270">
        <f t="shared" si="133"/>
        <v>0</v>
      </c>
      <c r="Y326" s="234"/>
      <c r="Z326" s="383"/>
      <c r="AA326" s="252" t="e">
        <f>E326-#REF!</f>
        <v>#REF!</v>
      </c>
      <c r="AC326" s="235" t="s">
        <v>983</v>
      </c>
      <c r="AD326" s="235" t="s">
        <v>2856</v>
      </c>
      <c r="AE326" s="235" t="s">
        <v>1285</v>
      </c>
      <c r="BV326" s="236" t="str">
        <f>HYPERLINK("#자재조서!A97","MP-T60 →")</f>
        <v>MP-T60 →</v>
      </c>
      <c r="CB326" s="235">
        <v>25000</v>
      </c>
      <c r="CC326" s="235">
        <v>89700000</v>
      </c>
      <c r="CD326" s="235">
        <v>25000</v>
      </c>
      <c r="CE326" s="235">
        <v>89700000</v>
      </c>
      <c r="CF326" s="235">
        <v>0</v>
      </c>
      <c r="CH326" s="235">
        <v>0</v>
      </c>
      <c r="CJ326" s="235" t="s">
        <v>1285</v>
      </c>
    </row>
    <row r="327" spans="1:88" s="235" customFormat="1" ht="20.100000000000001" customHeight="1" x14ac:dyDescent="0.15">
      <c r="A327" s="229" t="s">
        <v>949</v>
      </c>
      <c r="B327" s="229" t="s">
        <v>645</v>
      </c>
      <c r="C327" s="230" t="s">
        <v>1202</v>
      </c>
      <c r="D327" s="233">
        <v>648</v>
      </c>
      <c r="E327" s="231">
        <f t="shared" si="123"/>
        <v>38300</v>
      </c>
      <c r="F327" s="232">
        <f t="shared" si="115"/>
        <v>24818400</v>
      </c>
      <c r="G327" s="231">
        <v>38300</v>
      </c>
      <c r="H327" s="232">
        <f t="shared" si="124"/>
        <v>24818400</v>
      </c>
      <c r="I327" s="231">
        <v>0</v>
      </c>
      <c r="J327" s="232"/>
      <c r="K327" s="231">
        <v>0</v>
      </c>
      <c r="L327" s="232"/>
      <c r="M327" s="232"/>
      <c r="N327" s="232"/>
      <c r="O327" s="270">
        <f t="shared" si="128"/>
        <v>0</v>
      </c>
      <c r="P327" s="232"/>
      <c r="Q327" s="232">
        <f t="shared" si="129"/>
        <v>0</v>
      </c>
      <c r="R327" s="270">
        <f t="shared" si="130"/>
        <v>0</v>
      </c>
      <c r="S327" s="233">
        <f t="shared" si="125"/>
        <v>0</v>
      </c>
      <c r="T327" s="233">
        <f t="shared" si="126"/>
        <v>0</v>
      </c>
      <c r="U327" s="233">
        <f t="shared" si="127"/>
        <v>0</v>
      </c>
      <c r="V327" s="232">
        <f t="shared" si="131"/>
        <v>0</v>
      </c>
      <c r="W327" s="232">
        <f t="shared" si="132"/>
        <v>0</v>
      </c>
      <c r="X327" s="270">
        <f t="shared" si="133"/>
        <v>0</v>
      </c>
      <c r="Y327" s="234"/>
      <c r="Z327" s="383"/>
      <c r="AA327" s="252" t="e">
        <f>E327-#REF!</f>
        <v>#REF!</v>
      </c>
      <c r="AC327" s="235" t="s">
        <v>248</v>
      </c>
      <c r="AD327" s="235" t="s">
        <v>2856</v>
      </c>
      <c r="AE327" s="235" t="s">
        <v>1330</v>
      </c>
      <c r="BV327" s="236" t="str">
        <f>HYPERLINK("#자재조서!A96","MP-T100 →")</f>
        <v>MP-T100 →</v>
      </c>
      <c r="CB327" s="235">
        <v>38300</v>
      </c>
      <c r="CC327" s="235">
        <v>24818400</v>
      </c>
      <c r="CD327" s="235">
        <v>38300</v>
      </c>
      <c r="CE327" s="235">
        <v>24818400</v>
      </c>
      <c r="CF327" s="235">
        <v>0</v>
      </c>
      <c r="CH327" s="235">
        <v>0</v>
      </c>
      <c r="CJ327" s="235" t="s">
        <v>1330</v>
      </c>
    </row>
    <row r="328" spans="1:88" s="235" customFormat="1" ht="20.100000000000001" customHeight="1" x14ac:dyDescent="0.15">
      <c r="A328" s="229" t="s">
        <v>1233</v>
      </c>
      <c r="B328" s="229" t="s">
        <v>561</v>
      </c>
      <c r="C328" s="230" t="s">
        <v>773</v>
      </c>
      <c r="D328" s="233">
        <v>1256</v>
      </c>
      <c r="E328" s="231">
        <f t="shared" si="123"/>
        <v>15270</v>
      </c>
      <c r="F328" s="232">
        <f t="shared" si="115"/>
        <v>19179120</v>
      </c>
      <c r="G328" s="231">
        <v>15270</v>
      </c>
      <c r="H328" s="232">
        <f t="shared" si="124"/>
        <v>19179120</v>
      </c>
      <c r="I328" s="231">
        <v>0</v>
      </c>
      <c r="J328" s="232"/>
      <c r="K328" s="231">
        <v>0</v>
      </c>
      <c r="L328" s="232"/>
      <c r="M328" s="232"/>
      <c r="N328" s="232"/>
      <c r="O328" s="270">
        <f t="shared" si="128"/>
        <v>0</v>
      </c>
      <c r="P328" s="232"/>
      <c r="Q328" s="232">
        <f t="shared" si="129"/>
        <v>0</v>
      </c>
      <c r="R328" s="270">
        <f t="shared" si="130"/>
        <v>0</v>
      </c>
      <c r="S328" s="233">
        <f t="shared" si="125"/>
        <v>0</v>
      </c>
      <c r="T328" s="233">
        <f t="shared" si="126"/>
        <v>0</v>
      </c>
      <c r="U328" s="233">
        <f t="shared" si="127"/>
        <v>0</v>
      </c>
      <c r="V328" s="232">
        <f t="shared" si="131"/>
        <v>0</v>
      </c>
      <c r="W328" s="232">
        <f t="shared" si="132"/>
        <v>0</v>
      </c>
      <c r="X328" s="270">
        <f t="shared" si="133"/>
        <v>0</v>
      </c>
      <c r="Y328" s="234"/>
      <c r="Z328" s="383"/>
      <c r="AA328" s="252" t="e">
        <f>E328-#REF!</f>
        <v>#REF!</v>
      </c>
      <c r="AC328" s="235" t="s">
        <v>241</v>
      </c>
      <c r="AD328" s="235" t="s">
        <v>2856</v>
      </c>
      <c r="AE328" s="235" t="s">
        <v>493</v>
      </c>
      <c r="BV328" s="236" t="str">
        <f>HYPERLINK("#자재조서!A93","MP-80G →")</f>
        <v>MP-80G →</v>
      </c>
      <c r="CB328" s="235">
        <v>15270</v>
      </c>
      <c r="CC328" s="235">
        <v>23531070</v>
      </c>
      <c r="CD328" s="235">
        <v>15270</v>
      </c>
      <c r="CE328" s="235">
        <v>23531070</v>
      </c>
      <c r="CF328" s="235">
        <v>0</v>
      </c>
      <c r="CH328" s="235">
        <v>0</v>
      </c>
      <c r="CJ328" s="235" t="s">
        <v>493</v>
      </c>
    </row>
    <row r="329" spans="1:88" s="235" customFormat="1" ht="20.100000000000001" customHeight="1" x14ac:dyDescent="0.15">
      <c r="A329" s="229" t="s">
        <v>1233</v>
      </c>
      <c r="B329" s="229" t="s">
        <v>2212</v>
      </c>
      <c r="C329" s="230" t="s">
        <v>773</v>
      </c>
      <c r="D329" s="233">
        <v>221</v>
      </c>
      <c r="E329" s="231">
        <f t="shared" si="123"/>
        <v>26670</v>
      </c>
      <c r="F329" s="232">
        <f t="shared" si="115"/>
        <v>5894070</v>
      </c>
      <c r="G329" s="231">
        <v>26670</v>
      </c>
      <c r="H329" s="232">
        <f t="shared" si="124"/>
        <v>5894070</v>
      </c>
      <c r="I329" s="231">
        <v>0</v>
      </c>
      <c r="J329" s="232"/>
      <c r="K329" s="231">
        <v>0</v>
      </c>
      <c r="L329" s="232"/>
      <c r="M329" s="232"/>
      <c r="N329" s="232"/>
      <c r="O329" s="270">
        <f t="shared" si="128"/>
        <v>0</v>
      </c>
      <c r="P329" s="232"/>
      <c r="Q329" s="232">
        <f t="shared" si="129"/>
        <v>0</v>
      </c>
      <c r="R329" s="270">
        <f t="shared" si="130"/>
        <v>0</v>
      </c>
      <c r="S329" s="233">
        <f t="shared" si="125"/>
        <v>0</v>
      </c>
      <c r="T329" s="233">
        <f t="shared" si="126"/>
        <v>0</v>
      </c>
      <c r="U329" s="233">
        <f t="shared" si="127"/>
        <v>0</v>
      </c>
      <c r="V329" s="232">
        <f t="shared" si="131"/>
        <v>0</v>
      </c>
      <c r="W329" s="232">
        <f t="shared" si="132"/>
        <v>0</v>
      </c>
      <c r="X329" s="270">
        <f t="shared" si="133"/>
        <v>0</v>
      </c>
      <c r="Y329" s="234"/>
      <c r="Z329" s="383"/>
      <c r="AA329" s="252" t="e">
        <f>E329-#REF!</f>
        <v>#REF!</v>
      </c>
      <c r="AC329" s="235" t="s">
        <v>954</v>
      </c>
      <c r="AD329" s="235" t="s">
        <v>2856</v>
      </c>
      <c r="AE329" s="235" t="s">
        <v>1239</v>
      </c>
      <c r="AN329" s="237" t="s">
        <v>917</v>
      </c>
      <c r="AO329" s="238">
        <f>ROUND(((내역서!H317+내역서!J317+내역서!L317)+(내역서!H318+내역서!J318+내역서!L318)+(내역서!H321+내역서!J321+내역서!L321)+(내역서!H322+내역서!J322+내역서!L322)+(내역서!H323+내역서!J323+내역서!L323)+(내역서!H324+내역서!J324+내역서!L324)+(내역서!H325+내역서!J325+내역서!L325)+(내역서!H326+내역서!J326+내역서!L326)+(내역서!H327+내역서!J327+내역서!L327)+(내역서!H328+내역서!J328+내역서!L328)+(내역서!H329+내역서!J329+내역서!L329))*0.54/100-154,2)</f>
        <v>870446.46</v>
      </c>
      <c r="AP329" s="237" t="s">
        <v>1546</v>
      </c>
      <c r="AQ329" s="239">
        <f>$AO329</f>
        <v>870446.46</v>
      </c>
      <c r="AR329" s="262" t="s">
        <v>3015</v>
      </c>
      <c r="AS329" s="238">
        <f>ROUND(ROUND(((내역서!H317+내역서!J317+내역서!L317)+(내역서!H318+내역서!J318+내역서!L318)+(내역서!H321+내역서!J321+내역서!L321)+(내역서!H322+내역서!J322+내역서!L322)+(내역서!H323+내역서!J323+내역서!L323)+(내역서!H324+내역서!J324+내역서!L324)+(내역서!H325+내역서!J325+내역서!L325)+(내역서!H326+내역서!J326+내역서!L326)+(내역서!H327+내역서!J327+내역서!L327)+(내역서!H328+내역서!J328+내역서!L328)+(내역서!H329+내역서!J329+내역서!L329))*0.54/100-154,2),2)</f>
        <v>870446.46</v>
      </c>
      <c r="AT329" s="262" t="s">
        <v>3016</v>
      </c>
      <c r="AU329" s="239">
        <f>$AS329</f>
        <v>870446.46</v>
      </c>
      <c r="BV329" s="236" t="str">
        <f>HYPERLINK("#자재조서!A94","MP-81G →")</f>
        <v>MP-81G →</v>
      </c>
      <c r="CB329" s="235">
        <v>26670</v>
      </c>
      <c r="CC329" s="235">
        <v>8081010</v>
      </c>
      <c r="CD329" s="235">
        <v>26670</v>
      </c>
      <c r="CE329" s="235">
        <v>8081010</v>
      </c>
      <c r="CF329" s="235">
        <v>0</v>
      </c>
      <c r="CH329" s="235">
        <v>0</v>
      </c>
      <c r="CJ329" s="235" t="s">
        <v>1239</v>
      </c>
    </row>
    <row r="330" spans="1:88" s="235" customFormat="1" ht="20.100000000000001" customHeight="1" x14ac:dyDescent="0.15">
      <c r="A330" s="229" t="s">
        <v>2484</v>
      </c>
      <c r="B330" s="229" t="s">
        <v>1812</v>
      </c>
      <c r="C330" s="230" t="s">
        <v>2303</v>
      </c>
      <c r="D330" s="233">
        <v>1</v>
      </c>
      <c r="E330" s="231">
        <f t="shared" si="123"/>
        <v>0</v>
      </c>
      <c r="F330" s="232">
        <f t="shared" si="115"/>
        <v>994693</v>
      </c>
      <c r="G330" s="240"/>
      <c r="H330" s="232">
        <v>0</v>
      </c>
      <c r="I330" s="240"/>
      <c r="J330" s="232">
        <v>0</v>
      </c>
      <c r="K330" s="240"/>
      <c r="L330" s="232">
        <f>TRUNC((ROUND(((H317+J317+L317)+(H318+J318+L318)+(H319+J321+L321)+(H320+J322+L322)+(H323+J323+L323)+(H324+J324+L324)+(H325+J325+L325)+(H326+J326+L326)+(H327+J327+L327)+(H328+J328+L328)+(H329+J329+L329))*0.54/100-944,2)),0)</f>
        <v>994693</v>
      </c>
      <c r="M330" s="232"/>
      <c r="N330" s="232"/>
      <c r="O330" s="270">
        <f t="shared" si="128"/>
        <v>0</v>
      </c>
      <c r="P330" s="232"/>
      <c r="Q330" s="232">
        <f t="shared" si="129"/>
        <v>0</v>
      </c>
      <c r="R330" s="270">
        <f t="shared" si="130"/>
        <v>0</v>
      </c>
      <c r="S330" s="233">
        <f t="shared" si="125"/>
        <v>0</v>
      </c>
      <c r="T330" s="233">
        <f t="shared" si="126"/>
        <v>0</v>
      </c>
      <c r="U330" s="233">
        <f t="shared" si="127"/>
        <v>0</v>
      </c>
      <c r="V330" s="232">
        <f t="shared" si="131"/>
        <v>0</v>
      </c>
      <c r="W330" s="232">
        <f t="shared" si="132"/>
        <v>0</v>
      </c>
      <c r="X330" s="270">
        <f t="shared" si="133"/>
        <v>0</v>
      </c>
      <c r="Y330" s="234"/>
      <c r="Z330" s="383"/>
      <c r="AA330" s="252" t="e">
        <f>E330-#REF!</f>
        <v>#REF!</v>
      </c>
      <c r="AC330" s="235" t="s">
        <v>140</v>
      </c>
      <c r="AD330" s="235" t="s">
        <v>2856</v>
      </c>
      <c r="AE330" s="235" t="s">
        <v>2405</v>
      </c>
      <c r="AK330" s="235" t="s">
        <v>251</v>
      </c>
      <c r="CB330" s="235">
        <v>0</v>
      </c>
      <c r="CC330" s="235">
        <v>1256950</v>
      </c>
      <c r="CE330" s="235">
        <v>0</v>
      </c>
      <c r="CG330" s="235">
        <v>0</v>
      </c>
      <c r="CI330" s="235">
        <v>1256950</v>
      </c>
      <c r="CJ330" s="235" t="s">
        <v>2856</v>
      </c>
    </row>
    <row r="331" spans="1:88" s="235" customFormat="1" ht="20.100000000000001" customHeight="1" x14ac:dyDescent="0.15">
      <c r="A331" s="229" t="s">
        <v>1164</v>
      </c>
      <c r="B331" s="229" t="s">
        <v>2856</v>
      </c>
      <c r="C331" s="230" t="s">
        <v>2856</v>
      </c>
      <c r="D331" s="233"/>
      <c r="E331" s="231">
        <f t="shared" si="123"/>
        <v>0</v>
      </c>
      <c r="F331" s="232">
        <f t="shared" si="115"/>
        <v>0</v>
      </c>
      <c r="G331" s="240"/>
      <c r="H331" s="232">
        <v>0</v>
      </c>
      <c r="I331" s="240"/>
      <c r="J331" s="232">
        <v>0</v>
      </c>
      <c r="K331" s="240"/>
      <c r="L331" s="232">
        <v>0</v>
      </c>
      <c r="M331" s="232"/>
      <c r="N331" s="232"/>
      <c r="O331" s="270">
        <f t="shared" si="128"/>
        <v>0</v>
      </c>
      <c r="P331" s="232"/>
      <c r="Q331" s="232">
        <f t="shared" si="129"/>
        <v>0</v>
      </c>
      <c r="R331" s="270">
        <f t="shared" si="130"/>
        <v>0</v>
      </c>
      <c r="S331" s="233"/>
      <c r="T331" s="233"/>
      <c r="U331" s="233"/>
      <c r="V331" s="232">
        <f t="shared" si="131"/>
        <v>0</v>
      </c>
      <c r="W331" s="232">
        <f t="shared" si="132"/>
        <v>0</v>
      </c>
      <c r="X331" s="270">
        <f t="shared" si="133"/>
        <v>0</v>
      </c>
      <c r="Y331" s="234"/>
      <c r="Z331" s="383"/>
      <c r="AA331" s="252" t="e">
        <f>E331-#REF!</f>
        <v>#REF!</v>
      </c>
      <c r="AC331" s="235" t="s">
        <v>629</v>
      </c>
      <c r="AD331" s="235" t="s">
        <v>650</v>
      </c>
      <c r="AE331" s="235" t="s">
        <v>2856</v>
      </c>
      <c r="CB331" s="235">
        <v>0</v>
      </c>
      <c r="CC331" s="235">
        <v>0</v>
      </c>
      <c r="CE331" s="235">
        <v>0</v>
      </c>
      <c r="CG331" s="235">
        <v>0</v>
      </c>
      <c r="CI331" s="235">
        <v>0</v>
      </c>
      <c r="CJ331" s="235" t="s">
        <v>2856</v>
      </c>
    </row>
    <row r="332" spans="1:88" s="228" customFormat="1" ht="20.100000000000001" customHeight="1" x14ac:dyDescent="0.15">
      <c r="A332" s="441" t="s">
        <v>894</v>
      </c>
      <c r="B332" s="442"/>
      <c r="C332" s="223" t="s">
        <v>2303</v>
      </c>
      <c r="D332" s="226">
        <v>1</v>
      </c>
      <c r="E332" s="242"/>
      <c r="F332" s="225">
        <f t="shared" si="115"/>
        <v>98338000</v>
      </c>
      <c r="G332" s="242"/>
      <c r="H332" s="225">
        <f>TRUNC(H333+H334+H335+H336+H337+H338+H339+H340+H341+H342+H343+H344+H345+H346+H349+H350+H351+H347+H348,0)</f>
        <v>97810000</v>
      </c>
      <c r="I332" s="242"/>
      <c r="J332" s="225">
        <f>TRUNC(J333+J334+J335+J336+J337+J338+J339+J340+J341+J342+J343+J344+J345+J346+J349+J350+J351+J347+J348,0)</f>
        <v>0</v>
      </c>
      <c r="K332" s="242"/>
      <c r="L332" s="225">
        <f>TRUNC(L333+L334+L335+L336+L337+L338+L339+L340+L341+L342+L343+L344+L345+L346+L349+L350+L351+L347+L348,0)</f>
        <v>528000</v>
      </c>
      <c r="M332" s="225"/>
      <c r="N332" s="225"/>
      <c r="O332" s="269">
        <f t="shared" si="128"/>
        <v>0</v>
      </c>
      <c r="P332" s="225"/>
      <c r="Q332" s="225">
        <f t="shared" si="129"/>
        <v>0</v>
      </c>
      <c r="R332" s="269">
        <f t="shared" si="130"/>
        <v>0</v>
      </c>
      <c r="S332" s="226">
        <f>TRUNC(S333+S334+S335+S336+S337+S338+S339+S340+S341+S342+S343+S344+S345+S346+S349+S350+S351+S347+S348,0)</f>
        <v>0</v>
      </c>
      <c r="T332" s="226">
        <f>TRUNC(T333+T334+T335+T336+T337+T338+T339+T340+T341+T342+T343+T344+T345+T346+T349+T350+T351+T347+T348,0)</f>
        <v>0</v>
      </c>
      <c r="U332" s="226">
        <f>TRUNC(U333+U334+U335+U336+U337+U338+U339+U340+U341+U342+U343+U344+U345+U346+U349+U350+U351+U347+U348,0)</f>
        <v>0</v>
      </c>
      <c r="V332" s="225">
        <f t="shared" si="131"/>
        <v>0</v>
      </c>
      <c r="W332" s="225">
        <f t="shared" si="132"/>
        <v>0</v>
      </c>
      <c r="X332" s="269">
        <f t="shared" si="133"/>
        <v>0</v>
      </c>
      <c r="Y332" s="227"/>
      <c r="Z332" s="382"/>
      <c r="AA332" s="252" t="e">
        <f>E332-#REF!</f>
        <v>#REF!</v>
      </c>
      <c r="AB332" s="228" t="s">
        <v>77</v>
      </c>
      <c r="CC332" s="228">
        <v>150608000</v>
      </c>
      <c r="CE332" s="228">
        <v>149800000</v>
      </c>
      <c r="CG332" s="228">
        <v>0</v>
      </c>
      <c r="CI332" s="228">
        <v>808000</v>
      </c>
      <c r="CJ332" s="228" t="s">
        <v>2856</v>
      </c>
    </row>
    <row r="333" spans="1:88" s="235" customFormat="1" ht="20.100000000000001" customHeight="1" x14ac:dyDescent="0.15">
      <c r="A333" s="229" t="s">
        <v>2747</v>
      </c>
      <c r="B333" s="229" t="s">
        <v>3313</v>
      </c>
      <c r="C333" s="230" t="s">
        <v>1796</v>
      </c>
      <c r="D333" s="233">
        <v>2</v>
      </c>
      <c r="E333" s="231">
        <f t="shared" ref="E333:E351" si="134">G333+I333+K333</f>
        <v>13500000</v>
      </c>
      <c r="F333" s="232">
        <f t="shared" si="115"/>
        <v>27000000</v>
      </c>
      <c r="G333" s="231">
        <v>13500000</v>
      </c>
      <c r="H333" s="232">
        <f t="shared" ref="H333:H350" si="135">TRUNC(G333*D333,0)</f>
        <v>27000000</v>
      </c>
      <c r="I333" s="231">
        <v>0</v>
      </c>
      <c r="J333" s="232"/>
      <c r="K333" s="231">
        <v>0</v>
      </c>
      <c r="L333" s="232"/>
      <c r="M333" s="232"/>
      <c r="N333" s="232"/>
      <c r="O333" s="270">
        <f t="shared" si="128"/>
        <v>0</v>
      </c>
      <c r="P333" s="232"/>
      <c r="Q333" s="232">
        <f t="shared" si="129"/>
        <v>0</v>
      </c>
      <c r="R333" s="270">
        <f t="shared" si="130"/>
        <v>0</v>
      </c>
      <c r="S333" s="233">
        <f t="shared" ref="S333:S352" si="136">TRUNC(G333*$P333,0)</f>
        <v>0</v>
      </c>
      <c r="T333" s="233">
        <f t="shared" ref="T333:T352" si="137">TRUNC(I333*$P333,0)</f>
        <v>0</v>
      </c>
      <c r="U333" s="233">
        <f t="shared" ref="U333:U352" si="138">TRUNC(K333*$P333,0)</f>
        <v>0</v>
      </c>
      <c r="V333" s="232">
        <f t="shared" si="131"/>
        <v>0</v>
      </c>
      <c r="W333" s="232">
        <f t="shared" si="132"/>
        <v>0</v>
      </c>
      <c r="X333" s="270">
        <f t="shared" si="133"/>
        <v>0</v>
      </c>
      <c r="Y333" s="234"/>
      <c r="Z333" s="383"/>
      <c r="AA333" s="252" t="e">
        <f>E333-#REF!</f>
        <v>#REF!</v>
      </c>
      <c r="AC333" s="235" t="s">
        <v>334</v>
      </c>
      <c r="AD333" s="235" t="s">
        <v>2856</v>
      </c>
      <c r="AE333" s="235" t="s">
        <v>879</v>
      </c>
      <c r="BV333" s="236" t="str">
        <f>HYPERLINK("#자재조서!A54","MB-00120 →")</f>
        <v>MB-00120 →</v>
      </c>
      <c r="CB333" s="235">
        <v>16400000</v>
      </c>
      <c r="CC333" s="235">
        <v>49200000</v>
      </c>
      <c r="CD333" s="235">
        <v>16400000</v>
      </c>
      <c r="CE333" s="235">
        <v>49200000</v>
      </c>
      <c r="CF333" s="235">
        <v>0</v>
      </c>
      <c r="CH333" s="235">
        <v>0</v>
      </c>
      <c r="CJ333" s="235" t="s">
        <v>879</v>
      </c>
    </row>
    <row r="334" spans="1:88" s="235" customFormat="1" ht="20.100000000000001" customHeight="1" x14ac:dyDescent="0.15">
      <c r="A334" s="229" t="s">
        <v>80</v>
      </c>
      <c r="B334" s="229" t="s">
        <v>3314</v>
      </c>
      <c r="C334" s="230" t="s">
        <v>1796</v>
      </c>
      <c r="D334" s="233">
        <v>21</v>
      </c>
      <c r="E334" s="231">
        <f t="shared" si="134"/>
        <v>500000</v>
      </c>
      <c r="F334" s="232">
        <f t="shared" si="115"/>
        <v>10500000</v>
      </c>
      <c r="G334" s="231">
        <v>500000</v>
      </c>
      <c r="H334" s="232">
        <f t="shared" si="135"/>
        <v>10500000</v>
      </c>
      <c r="I334" s="231">
        <v>0</v>
      </c>
      <c r="J334" s="232"/>
      <c r="K334" s="231">
        <v>0</v>
      </c>
      <c r="L334" s="232"/>
      <c r="M334" s="232"/>
      <c r="N334" s="232"/>
      <c r="O334" s="270">
        <f t="shared" si="128"/>
        <v>0</v>
      </c>
      <c r="P334" s="232"/>
      <c r="Q334" s="232">
        <f t="shared" si="129"/>
        <v>0</v>
      </c>
      <c r="R334" s="270">
        <f t="shared" si="130"/>
        <v>0</v>
      </c>
      <c r="S334" s="233">
        <f t="shared" si="136"/>
        <v>0</v>
      </c>
      <c r="T334" s="233">
        <f t="shared" si="137"/>
        <v>0</v>
      </c>
      <c r="U334" s="233">
        <f t="shared" si="138"/>
        <v>0</v>
      </c>
      <c r="V334" s="232">
        <f t="shared" si="131"/>
        <v>0</v>
      </c>
      <c r="W334" s="232">
        <f t="shared" si="132"/>
        <v>0</v>
      </c>
      <c r="X334" s="270">
        <f t="shared" si="133"/>
        <v>0</v>
      </c>
      <c r="Y334" s="234"/>
      <c r="Z334" s="383"/>
      <c r="AA334" s="252" t="e">
        <f>E334-#REF!</f>
        <v>#REF!</v>
      </c>
      <c r="AC334" s="235" t="s">
        <v>2471</v>
      </c>
      <c r="AD334" s="235" t="s">
        <v>2856</v>
      </c>
      <c r="AE334" s="235" t="s">
        <v>735</v>
      </c>
      <c r="BV334" s="236" t="str">
        <f>HYPERLINK("#자재조서!A55","MB-0104- →")</f>
        <v>MB-0104- →</v>
      </c>
      <c r="CB334" s="235">
        <v>440000</v>
      </c>
      <c r="CC334" s="235">
        <v>9240000</v>
      </c>
      <c r="CD334" s="235">
        <v>440000</v>
      </c>
      <c r="CE334" s="235">
        <v>9240000</v>
      </c>
      <c r="CF334" s="235">
        <v>0</v>
      </c>
      <c r="CH334" s="235">
        <v>0</v>
      </c>
      <c r="CJ334" s="235" t="s">
        <v>735</v>
      </c>
    </row>
    <row r="335" spans="1:88" s="235" customFormat="1" ht="20.100000000000001" customHeight="1" x14ac:dyDescent="0.15">
      <c r="A335" s="229" t="s">
        <v>1843</v>
      </c>
      <c r="B335" s="229" t="s">
        <v>1085</v>
      </c>
      <c r="C335" s="230" t="s">
        <v>1796</v>
      </c>
      <c r="D335" s="233">
        <v>1</v>
      </c>
      <c r="E335" s="231">
        <f t="shared" si="134"/>
        <v>2140000</v>
      </c>
      <c r="F335" s="232">
        <f t="shared" si="115"/>
        <v>2140000</v>
      </c>
      <c r="G335" s="231">
        <v>2140000</v>
      </c>
      <c r="H335" s="232">
        <f t="shared" si="135"/>
        <v>2140000</v>
      </c>
      <c r="I335" s="231">
        <v>0</v>
      </c>
      <c r="J335" s="232"/>
      <c r="K335" s="231">
        <v>0</v>
      </c>
      <c r="L335" s="232"/>
      <c r="M335" s="232"/>
      <c r="N335" s="232"/>
      <c r="O335" s="270">
        <f t="shared" si="128"/>
        <v>0</v>
      </c>
      <c r="P335" s="232"/>
      <c r="Q335" s="232">
        <f t="shared" si="129"/>
        <v>0</v>
      </c>
      <c r="R335" s="270">
        <f t="shared" si="130"/>
        <v>0</v>
      </c>
      <c r="S335" s="233">
        <f t="shared" si="136"/>
        <v>0</v>
      </c>
      <c r="T335" s="233">
        <f t="shared" si="137"/>
        <v>0</v>
      </c>
      <c r="U335" s="233">
        <f t="shared" si="138"/>
        <v>0</v>
      </c>
      <c r="V335" s="232">
        <f t="shared" si="131"/>
        <v>0</v>
      </c>
      <c r="W335" s="232">
        <f t="shared" si="132"/>
        <v>0</v>
      </c>
      <c r="X335" s="270">
        <f t="shared" si="133"/>
        <v>0</v>
      </c>
      <c r="Y335" s="234"/>
      <c r="Z335" s="383"/>
      <c r="AA335" s="252" t="e">
        <f>E335-#REF!</f>
        <v>#REF!</v>
      </c>
      <c r="AC335" s="235" t="s">
        <v>1741</v>
      </c>
      <c r="AD335" s="235" t="s">
        <v>2856</v>
      </c>
      <c r="AE335" s="235" t="s">
        <v>1491</v>
      </c>
      <c r="BV335" s="236" t="str">
        <f>HYPERLINK("#자재조서!A56","MB-0106 →")</f>
        <v>MB-0106 →</v>
      </c>
      <c r="CB335" s="235">
        <v>2140000</v>
      </c>
      <c r="CC335" s="235">
        <v>2140000</v>
      </c>
      <c r="CD335" s="235">
        <v>2140000</v>
      </c>
      <c r="CE335" s="235">
        <v>2140000</v>
      </c>
      <c r="CF335" s="235">
        <v>0</v>
      </c>
      <c r="CH335" s="235">
        <v>0</v>
      </c>
      <c r="CJ335" s="235" t="s">
        <v>1491</v>
      </c>
    </row>
    <row r="336" spans="1:88" s="235" customFormat="1" ht="20.100000000000001" customHeight="1" x14ac:dyDescent="0.15">
      <c r="A336" s="229" t="s">
        <v>2593</v>
      </c>
      <c r="B336" s="229" t="s">
        <v>1483</v>
      </c>
      <c r="C336" s="230" t="s">
        <v>1796</v>
      </c>
      <c r="D336" s="233">
        <v>1</v>
      </c>
      <c r="E336" s="231">
        <f t="shared" si="134"/>
        <v>2460000</v>
      </c>
      <c r="F336" s="232">
        <f t="shared" si="115"/>
        <v>2460000</v>
      </c>
      <c r="G336" s="231">
        <v>2460000</v>
      </c>
      <c r="H336" s="232">
        <f t="shared" si="135"/>
        <v>2460000</v>
      </c>
      <c r="I336" s="231">
        <v>0</v>
      </c>
      <c r="J336" s="232"/>
      <c r="K336" s="231">
        <v>0</v>
      </c>
      <c r="L336" s="232"/>
      <c r="M336" s="232"/>
      <c r="N336" s="232"/>
      <c r="O336" s="270">
        <f t="shared" si="128"/>
        <v>0</v>
      </c>
      <c r="P336" s="232"/>
      <c r="Q336" s="232">
        <f t="shared" si="129"/>
        <v>0</v>
      </c>
      <c r="R336" s="270">
        <f t="shared" si="130"/>
        <v>0</v>
      </c>
      <c r="S336" s="233">
        <f t="shared" si="136"/>
        <v>0</v>
      </c>
      <c r="T336" s="233">
        <f t="shared" si="137"/>
        <v>0</v>
      </c>
      <c r="U336" s="233">
        <f t="shared" si="138"/>
        <v>0</v>
      </c>
      <c r="V336" s="232">
        <f t="shared" si="131"/>
        <v>0</v>
      </c>
      <c r="W336" s="232">
        <f t="shared" si="132"/>
        <v>0</v>
      </c>
      <c r="X336" s="270">
        <f t="shared" si="133"/>
        <v>0</v>
      </c>
      <c r="Y336" s="234"/>
      <c r="Z336" s="383"/>
      <c r="AA336" s="252" t="e">
        <f>E336-#REF!</f>
        <v>#REF!</v>
      </c>
      <c r="AC336" s="235" t="s">
        <v>1036</v>
      </c>
      <c r="AD336" s="235" t="s">
        <v>2856</v>
      </c>
      <c r="AE336" s="235" t="s">
        <v>176</v>
      </c>
      <c r="BV336" s="236" t="str">
        <f>HYPERLINK("#자재조서!A57","MB-0107 →")</f>
        <v>MB-0107 →</v>
      </c>
      <c r="CB336" s="235">
        <v>2460000</v>
      </c>
      <c r="CC336" s="235">
        <v>2460000</v>
      </c>
      <c r="CD336" s="235">
        <v>2460000</v>
      </c>
      <c r="CE336" s="235">
        <v>2460000</v>
      </c>
      <c r="CF336" s="235">
        <v>0</v>
      </c>
      <c r="CH336" s="235">
        <v>0</v>
      </c>
      <c r="CJ336" s="235" t="s">
        <v>176</v>
      </c>
    </row>
    <row r="337" spans="1:88" s="235" customFormat="1" ht="20.100000000000001" customHeight="1" x14ac:dyDescent="0.15">
      <c r="A337" s="229" t="s">
        <v>532</v>
      </c>
      <c r="B337" s="229" t="s">
        <v>2682</v>
      </c>
      <c r="C337" s="230" t="s">
        <v>1796</v>
      </c>
      <c r="D337" s="233">
        <v>1</v>
      </c>
      <c r="E337" s="231">
        <f t="shared" si="134"/>
        <v>3520000</v>
      </c>
      <c r="F337" s="232">
        <f t="shared" si="115"/>
        <v>3520000</v>
      </c>
      <c r="G337" s="231">
        <v>3520000</v>
      </c>
      <c r="H337" s="232">
        <f t="shared" si="135"/>
        <v>3520000</v>
      </c>
      <c r="I337" s="231">
        <v>0</v>
      </c>
      <c r="J337" s="232"/>
      <c r="K337" s="231">
        <v>0</v>
      </c>
      <c r="L337" s="232"/>
      <c r="M337" s="232"/>
      <c r="N337" s="232"/>
      <c r="O337" s="270">
        <f t="shared" si="128"/>
        <v>0</v>
      </c>
      <c r="P337" s="232"/>
      <c r="Q337" s="232">
        <f t="shared" si="129"/>
        <v>0</v>
      </c>
      <c r="R337" s="270">
        <f t="shared" si="130"/>
        <v>0</v>
      </c>
      <c r="S337" s="233">
        <f t="shared" si="136"/>
        <v>0</v>
      </c>
      <c r="T337" s="233">
        <f t="shared" si="137"/>
        <v>0</v>
      </c>
      <c r="U337" s="233">
        <f t="shared" si="138"/>
        <v>0</v>
      </c>
      <c r="V337" s="232">
        <f t="shared" si="131"/>
        <v>0</v>
      </c>
      <c r="W337" s="232">
        <f t="shared" si="132"/>
        <v>0</v>
      </c>
      <c r="X337" s="270">
        <f t="shared" si="133"/>
        <v>0</v>
      </c>
      <c r="Y337" s="234"/>
      <c r="Z337" s="383"/>
      <c r="AA337" s="252" t="e">
        <f>E337-#REF!</f>
        <v>#REF!</v>
      </c>
      <c r="AC337" s="235" t="s">
        <v>286</v>
      </c>
      <c r="AD337" s="235" t="s">
        <v>2856</v>
      </c>
      <c r="AE337" s="235" t="s">
        <v>1434</v>
      </c>
      <c r="BV337" s="236" t="str">
        <f>HYPERLINK("#자재조서!A58","MB-0108 →")</f>
        <v>MB-0108 →</v>
      </c>
      <c r="CB337" s="235">
        <v>3520000</v>
      </c>
      <c r="CC337" s="235">
        <v>3520000</v>
      </c>
      <c r="CD337" s="235">
        <v>3520000</v>
      </c>
      <c r="CE337" s="235">
        <v>3520000</v>
      </c>
      <c r="CF337" s="235">
        <v>0</v>
      </c>
      <c r="CH337" s="235">
        <v>0</v>
      </c>
      <c r="CJ337" s="235" t="s">
        <v>1434</v>
      </c>
    </row>
    <row r="338" spans="1:88" s="235" customFormat="1" ht="20.100000000000001" customHeight="1" x14ac:dyDescent="0.15">
      <c r="A338" s="229" t="s">
        <v>2478</v>
      </c>
      <c r="B338" s="229" t="s">
        <v>2698</v>
      </c>
      <c r="C338" s="230" t="s">
        <v>1796</v>
      </c>
      <c r="D338" s="233">
        <v>1</v>
      </c>
      <c r="E338" s="231">
        <f t="shared" si="134"/>
        <v>2690000</v>
      </c>
      <c r="F338" s="232">
        <f t="shared" si="115"/>
        <v>2690000</v>
      </c>
      <c r="G338" s="231">
        <v>2690000</v>
      </c>
      <c r="H338" s="232">
        <f t="shared" si="135"/>
        <v>2690000</v>
      </c>
      <c r="I338" s="231">
        <v>0</v>
      </c>
      <c r="J338" s="232"/>
      <c r="K338" s="231">
        <v>0</v>
      </c>
      <c r="L338" s="232"/>
      <c r="M338" s="232"/>
      <c r="N338" s="232"/>
      <c r="O338" s="270">
        <f t="shared" si="128"/>
        <v>0</v>
      </c>
      <c r="P338" s="232"/>
      <c r="Q338" s="232">
        <f t="shared" si="129"/>
        <v>0</v>
      </c>
      <c r="R338" s="270">
        <f t="shared" si="130"/>
        <v>0</v>
      </c>
      <c r="S338" s="233">
        <f t="shared" si="136"/>
        <v>0</v>
      </c>
      <c r="T338" s="233">
        <f t="shared" si="137"/>
        <v>0</v>
      </c>
      <c r="U338" s="233">
        <f t="shared" si="138"/>
        <v>0</v>
      </c>
      <c r="V338" s="232">
        <f t="shared" si="131"/>
        <v>0</v>
      </c>
      <c r="W338" s="232">
        <f t="shared" si="132"/>
        <v>0</v>
      </c>
      <c r="X338" s="270">
        <f t="shared" si="133"/>
        <v>0</v>
      </c>
      <c r="Y338" s="234"/>
      <c r="Z338" s="383"/>
      <c r="AA338" s="252" t="e">
        <f>E338-#REF!</f>
        <v>#REF!</v>
      </c>
      <c r="AC338" s="235" t="s">
        <v>2428</v>
      </c>
      <c r="AD338" s="235" t="s">
        <v>2856</v>
      </c>
      <c r="AE338" s="235" t="s">
        <v>260</v>
      </c>
      <c r="BV338" s="236" t="str">
        <f>HYPERLINK("#자재조서!A59","MB-0109 →")</f>
        <v>MB-0109 →</v>
      </c>
      <c r="CB338" s="235">
        <v>2690000</v>
      </c>
      <c r="CC338" s="235">
        <v>2690000</v>
      </c>
      <c r="CD338" s="235">
        <v>2690000</v>
      </c>
      <c r="CE338" s="235">
        <v>2690000</v>
      </c>
      <c r="CF338" s="235">
        <v>0</v>
      </c>
      <c r="CH338" s="235">
        <v>0</v>
      </c>
      <c r="CJ338" s="235" t="s">
        <v>260</v>
      </c>
    </row>
    <row r="339" spans="1:88" s="235" customFormat="1" ht="20.100000000000001" customHeight="1" x14ac:dyDescent="0.15">
      <c r="A339" s="229" t="s">
        <v>2817</v>
      </c>
      <c r="B339" s="229" t="s">
        <v>1552</v>
      </c>
      <c r="C339" s="230" t="s">
        <v>1796</v>
      </c>
      <c r="D339" s="233">
        <v>1</v>
      </c>
      <c r="E339" s="231">
        <f t="shared" si="134"/>
        <v>2100000</v>
      </c>
      <c r="F339" s="232">
        <f t="shared" si="115"/>
        <v>2100000</v>
      </c>
      <c r="G339" s="231">
        <v>2100000</v>
      </c>
      <c r="H339" s="232">
        <f t="shared" si="135"/>
        <v>2100000</v>
      </c>
      <c r="I339" s="231">
        <v>0</v>
      </c>
      <c r="J339" s="232"/>
      <c r="K339" s="231">
        <v>0</v>
      </c>
      <c r="L339" s="232"/>
      <c r="M339" s="232"/>
      <c r="N339" s="232"/>
      <c r="O339" s="270">
        <f t="shared" si="128"/>
        <v>0</v>
      </c>
      <c r="P339" s="232"/>
      <c r="Q339" s="232">
        <f t="shared" si="129"/>
        <v>0</v>
      </c>
      <c r="R339" s="270">
        <f t="shared" si="130"/>
        <v>0</v>
      </c>
      <c r="S339" s="233">
        <f t="shared" si="136"/>
        <v>0</v>
      </c>
      <c r="T339" s="233">
        <f t="shared" si="137"/>
        <v>0</v>
      </c>
      <c r="U339" s="233">
        <f t="shared" si="138"/>
        <v>0</v>
      </c>
      <c r="V339" s="232">
        <f t="shared" si="131"/>
        <v>0</v>
      </c>
      <c r="W339" s="232">
        <f t="shared" si="132"/>
        <v>0</v>
      </c>
      <c r="X339" s="270">
        <f t="shared" si="133"/>
        <v>0</v>
      </c>
      <c r="Y339" s="234"/>
      <c r="Z339" s="383"/>
      <c r="AA339" s="252" t="e">
        <f>E339-#REF!</f>
        <v>#REF!</v>
      </c>
      <c r="AC339" s="235" t="s">
        <v>1686</v>
      </c>
      <c r="AD339" s="235" t="s">
        <v>2856</v>
      </c>
      <c r="AE339" s="235" t="s">
        <v>2702</v>
      </c>
      <c r="BV339" s="236" t="str">
        <f>HYPERLINK("#자재조서!A60","MB-0110 →")</f>
        <v>MB-0110 →</v>
      </c>
      <c r="CB339" s="235">
        <v>2100000</v>
      </c>
      <c r="CC339" s="235">
        <v>2100000</v>
      </c>
      <c r="CD339" s="235">
        <v>2100000</v>
      </c>
      <c r="CE339" s="235">
        <v>2100000</v>
      </c>
      <c r="CF339" s="235">
        <v>0</v>
      </c>
      <c r="CH339" s="235">
        <v>0</v>
      </c>
      <c r="CJ339" s="235" t="s">
        <v>2702</v>
      </c>
    </row>
    <row r="340" spans="1:88" s="235" customFormat="1" ht="20.100000000000001" customHeight="1" x14ac:dyDescent="0.15">
      <c r="A340" s="229" t="s">
        <v>1730</v>
      </c>
      <c r="B340" s="229" t="s">
        <v>425</v>
      </c>
      <c r="C340" s="230" t="s">
        <v>1796</v>
      </c>
      <c r="D340" s="233">
        <v>1</v>
      </c>
      <c r="E340" s="231">
        <f t="shared" si="134"/>
        <v>2350000</v>
      </c>
      <c r="F340" s="232">
        <f t="shared" si="115"/>
        <v>2350000</v>
      </c>
      <c r="G340" s="231">
        <v>2350000</v>
      </c>
      <c r="H340" s="232">
        <f t="shared" si="135"/>
        <v>2350000</v>
      </c>
      <c r="I340" s="231">
        <v>0</v>
      </c>
      <c r="J340" s="232"/>
      <c r="K340" s="231">
        <v>0</v>
      </c>
      <c r="L340" s="232"/>
      <c r="M340" s="232"/>
      <c r="N340" s="232"/>
      <c r="O340" s="270">
        <f t="shared" si="128"/>
        <v>0</v>
      </c>
      <c r="P340" s="232"/>
      <c r="Q340" s="232">
        <f t="shared" si="129"/>
        <v>0</v>
      </c>
      <c r="R340" s="270">
        <f t="shared" si="130"/>
        <v>0</v>
      </c>
      <c r="S340" s="233">
        <f t="shared" si="136"/>
        <v>0</v>
      </c>
      <c r="T340" s="233">
        <f t="shared" si="137"/>
        <v>0</v>
      </c>
      <c r="U340" s="233">
        <f t="shared" si="138"/>
        <v>0</v>
      </c>
      <c r="V340" s="232">
        <f t="shared" si="131"/>
        <v>0</v>
      </c>
      <c r="W340" s="232">
        <f t="shared" si="132"/>
        <v>0</v>
      </c>
      <c r="X340" s="270">
        <f t="shared" si="133"/>
        <v>0</v>
      </c>
      <c r="Y340" s="234"/>
      <c r="Z340" s="383"/>
      <c r="AA340" s="252" t="e">
        <f>E340-#REF!</f>
        <v>#REF!</v>
      </c>
      <c r="AC340" s="235" t="s">
        <v>983</v>
      </c>
      <c r="AD340" s="235" t="s">
        <v>2856</v>
      </c>
      <c r="AE340" s="235" t="s">
        <v>1122</v>
      </c>
      <c r="BV340" s="236" t="str">
        <f>HYPERLINK("#자재조서!A61","MB-0111 →")</f>
        <v>MB-0111 →</v>
      </c>
      <c r="CB340" s="235">
        <v>2350000</v>
      </c>
      <c r="CC340" s="235">
        <v>2350000</v>
      </c>
      <c r="CD340" s="235">
        <v>2350000</v>
      </c>
      <c r="CE340" s="235">
        <v>2350000</v>
      </c>
      <c r="CF340" s="235">
        <v>0</v>
      </c>
      <c r="CH340" s="235">
        <v>0</v>
      </c>
      <c r="CJ340" s="235" t="s">
        <v>1122</v>
      </c>
    </row>
    <row r="341" spans="1:88" s="235" customFormat="1" ht="20.100000000000001" customHeight="1" x14ac:dyDescent="0.15">
      <c r="A341" s="229" t="s">
        <v>2418</v>
      </c>
      <c r="B341" s="229" t="s">
        <v>3315</v>
      </c>
      <c r="C341" s="230" t="s">
        <v>1796</v>
      </c>
      <c r="D341" s="233">
        <v>1</v>
      </c>
      <c r="E341" s="231">
        <f t="shared" si="134"/>
        <v>4950000</v>
      </c>
      <c r="F341" s="232">
        <f t="shared" si="115"/>
        <v>4950000</v>
      </c>
      <c r="G341" s="231">
        <v>4950000</v>
      </c>
      <c r="H341" s="232">
        <f t="shared" si="135"/>
        <v>4950000</v>
      </c>
      <c r="I341" s="231">
        <v>0</v>
      </c>
      <c r="J341" s="232"/>
      <c r="K341" s="231">
        <v>0</v>
      </c>
      <c r="L341" s="232"/>
      <c r="M341" s="232"/>
      <c r="N341" s="232"/>
      <c r="O341" s="270">
        <f t="shared" si="128"/>
        <v>0</v>
      </c>
      <c r="P341" s="232"/>
      <c r="Q341" s="232">
        <f t="shared" si="129"/>
        <v>0</v>
      </c>
      <c r="R341" s="270">
        <f t="shared" si="130"/>
        <v>0</v>
      </c>
      <c r="S341" s="233">
        <f t="shared" si="136"/>
        <v>0</v>
      </c>
      <c r="T341" s="233">
        <f t="shared" si="137"/>
        <v>0</v>
      </c>
      <c r="U341" s="233">
        <f t="shared" si="138"/>
        <v>0</v>
      </c>
      <c r="V341" s="232">
        <f t="shared" si="131"/>
        <v>0</v>
      </c>
      <c r="W341" s="232">
        <f t="shared" si="132"/>
        <v>0</v>
      </c>
      <c r="X341" s="270">
        <f t="shared" si="133"/>
        <v>0</v>
      </c>
      <c r="Y341" s="234"/>
      <c r="Z341" s="383"/>
      <c r="AA341" s="252" t="e">
        <f>E341-#REF!</f>
        <v>#REF!</v>
      </c>
      <c r="AC341" s="235" t="s">
        <v>248</v>
      </c>
      <c r="AD341" s="235" t="s">
        <v>2856</v>
      </c>
      <c r="AE341" s="235" t="s">
        <v>2071</v>
      </c>
      <c r="BV341" s="236" t="str">
        <f>HYPERLINK("#자재조서!A62","MB-0112-1 →")</f>
        <v>MB-0112-1 →</v>
      </c>
      <c r="CB341" s="235">
        <v>12600000</v>
      </c>
      <c r="CC341" s="235">
        <v>12600000</v>
      </c>
      <c r="CD341" s="235">
        <v>12600000</v>
      </c>
      <c r="CE341" s="235">
        <v>12600000</v>
      </c>
      <c r="CF341" s="235">
        <v>0</v>
      </c>
      <c r="CH341" s="235">
        <v>0</v>
      </c>
      <c r="CJ341" s="235" t="s">
        <v>2071</v>
      </c>
    </row>
    <row r="342" spans="1:88" s="235" customFormat="1" ht="20.100000000000001" customHeight="1" x14ac:dyDescent="0.15">
      <c r="A342" s="229" t="s">
        <v>2274</v>
      </c>
      <c r="B342" s="229" t="s">
        <v>2778</v>
      </c>
      <c r="C342" s="230" t="s">
        <v>1796</v>
      </c>
      <c r="D342" s="233">
        <v>1</v>
      </c>
      <c r="E342" s="231">
        <f t="shared" si="134"/>
        <v>3900000</v>
      </c>
      <c r="F342" s="232">
        <f t="shared" si="115"/>
        <v>3900000</v>
      </c>
      <c r="G342" s="231">
        <v>3900000</v>
      </c>
      <c r="H342" s="232">
        <f t="shared" si="135"/>
        <v>3900000</v>
      </c>
      <c r="I342" s="231">
        <v>0</v>
      </c>
      <c r="J342" s="232"/>
      <c r="K342" s="231">
        <v>0</v>
      </c>
      <c r="L342" s="232"/>
      <c r="M342" s="232"/>
      <c r="N342" s="232"/>
      <c r="O342" s="270">
        <f t="shared" si="128"/>
        <v>0</v>
      </c>
      <c r="P342" s="232"/>
      <c r="Q342" s="232">
        <f t="shared" si="129"/>
        <v>0</v>
      </c>
      <c r="R342" s="270">
        <f t="shared" si="130"/>
        <v>0</v>
      </c>
      <c r="S342" s="233">
        <f t="shared" si="136"/>
        <v>0</v>
      </c>
      <c r="T342" s="233">
        <f t="shared" si="137"/>
        <v>0</v>
      </c>
      <c r="U342" s="233">
        <f t="shared" si="138"/>
        <v>0</v>
      </c>
      <c r="V342" s="232">
        <f t="shared" si="131"/>
        <v>0</v>
      </c>
      <c r="W342" s="232">
        <f t="shared" si="132"/>
        <v>0</v>
      </c>
      <c r="X342" s="270">
        <f t="shared" si="133"/>
        <v>0</v>
      </c>
      <c r="Y342" s="234"/>
      <c r="Z342" s="383"/>
      <c r="AA342" s="252" t="e">
        <f>E342-#REF!</f>
        <v>#REF!</v>
      </c>
      <c r="AC342" s="235" t="s">
        <v>241</v>
      </c>
      <c r="AD342" s="235" t="s">
        <v>2856</v>
      </c>
      <c r="AE342" s="235" t="s">
        <v>998</v>
      </c>
      <c r="BV342" s="236" t="str">
        <f>HYPERLINK("#자재조서!A68","MB-0119-1 →")</f>
        <v>MB-0119-1 →</v>
      </c>
      <c r="CB342" s="235">
        <v>3900000</v>
      </c>
      <c r="CC342" s="235">
        <v>3900000</v>
      </c>
      <c r="CD342" s="235">
        <v>3900000</v>
      </c>
      <c r="CE342" s="235">
        <v>3900000</v>
      </c>
      <c r="CF342" s="235">
        <v>0</v>
      </c>
      <c r="CH342" s="235">
        <v>0</v>
      </c>
      <c r="CJ342" s="235" t="s">
        <v>998</v>
      </c>
    </row>
    <row r="343" spans="1:88" s="235" customFormat="1" ht="20.100000000000001" customHeight="1" x14ac:dyDescent="0.15">
      <c r="A343" s="229" t="s">
        <v>2784</v>
      </c>
      <c r="B343" s="229" t="s">
        <v>2249</v>
      </c>
      <c r="C343" s="230" t="s">
        <v>1796</v>
      </c>
      <c r="D343" s="233">
        <v>1</v>
      </c>
      <c r="E343" s="231">
        <f t="shared" si="134"/>
        <v>1300000</v>
      </c>
      <c r="F343" s="232">
        <f t="shared" si="115"/>
        <v>1300000</v>
      </c>
      <c r="G343" s="231">
        <v>1300000</v>
      </c>
      <c r="H343" s="232">
        <f t="shared" si="135"/>
        <v>1300000</v>
      </c>
      <c r="I343" s="231">
        <v>0</v>
      </c>
      <c r="J343" s="232"/>
      <c r="K343" s="231">
        <v>0</v>
      </c>
      <c r="L343" s="232"/>
      <c r="M343" s="232"/>
      <c r="N343" s="232"/>
      <c r="O343" s="270">
        <f t="shared" si="128"/>
        <v>0</v>
      </c>
      <c r="P343" s="232"/>
      <c r="Q343" s="232">
        <f t="shared" si="129"/>
        <v>0</v>
      </c>
      <c r="R343" s="270">
        <f t="shared" si="130"/>
        <v>0</v>
      </c>
      <c r="S343" s="233">
        <f t="shared" si="136"/>
        <v>0</v>
      </c>
      <c r="T343" s="233">
        <f t="shared" si="137"/>
        <v>0</v>
      </c>
      <c r="U343" s="233">
        <f t="shared" si="138"/>
        <v>0</v>
      </c>
      <c r="V343" s="232">
        <f t="shared" si="131"/>
        <v>0</v>
      </c>
      <c r="W343" s="232">
        <f t="shared" si="132"/>
        <v>0</v>
      </c>
      <c r="X343" s="270">
        <f t="shared" si="133"/>
        <v>0</v>
      </c>
      <c r="Y343" s="234"/>
      <c r="Z343" s="383"/>
      <c r="AA343" s="252" t="e">
        <f>E343-#REF!</f>
        <v>#REF!</v>
      </c>
      <c r="AC343" s="235" t="s">
        <v>954</v>
      </c>
      <c r="AD343" s="235" t="s">
        <v>2856</v>
      </c>
      <c r="AE343" s="235" t="s">
        <v>2524</v>
      </c>
      <c r="BV343" s="236" t="str">
        <f>HYPERLINK("#자재조서!A69","MB-0119-2 →")</f>
        <v>MB-0119-2 →</v>
      </c>
      <c r="CB343" s="235">
        <v>1300000</v>
      </c>
      <c r="CC343" s="235">
        <v>1300000</v>
      </c>
      <c r="CD343" s="235">
        <v>1300000</v>
      </c>
      <c r="CE343" s="235">
        <v>1300000</v>
      </c>
      <c r="CF343" s="235">
        <v>0</v>
      </c>
      <c r="CH343" s="235">
        <v>0</v>
      </c>
      <c r="CJ343" s="235" t="s">
        <v>2524</v>
      </c>
    </row>
    <row r="344" spans="1:88" s="235" customFormat="1" ht="20.100000000000001" customHeight="1" x14ac:dyDescent="0.15">
      <c r="A344" s="229" t="s">
        <v>2612</v>
      </c>
      <c r="B344" s="229" t="s">
        <v>3316</v>
      </c>
      <c r="C344" s="230" t="s">
        <v>1796</v>
      </c>
      <c r="D344" s="233">
        <v>3</v>
      </c>
      <c r="E344" s="231">
        <f t="shared" si="134"/>
        <v>4500000</v>
      </c>
      <c r="F344" s="232">
        <f t="shared" si="115"/>
        <v>13500000</v>
      </c>
      <c r="G344" s="231">
        <v>4500000</v>
      </c>
      <c r="H344" s="232">
        <f t="shared" si="135"/>
        <v>13500000</v>
      </c>
      <c r="I344" s="231">
        <v>0</v>
      </c>
      <c r="J344" s="232"/>
      <c r="K344" s="231">
        <v>0</v>
      </c>
      <c r="L344" s="232"/>
      <c r="M344" s="232"/>
      <c r="N344" s="232"/>
      <c r="O344" s="270">
        <f t="shared" si="128"/>
        <v>0</v>
      </c>
      <c r="P344" s="232"/>
      <c r="Q344" s="232">
        <f t="shared" si="129"/>
        <v>0</v>
      </c>
      <c r="R344" s="270">
        <f t="shared" si="130"/>
        <v>0</v>
      </c>
      <c r="S344" s="233">
        <f t="shared" si="136"/>
        <v>0</v>
      </c>
      <c r="T344" s="233">
        <f t="shared" si="137"/>
        <v>0</v>
      </c>
      <c r="U344" s="233">
        <f t="shared" si="138"/>
        <v>0</v>
      </c>
      <c r="V344" s="232">
        <f t="shared" si="131"/>
        <v>0</v>
      </c>
      <c r="W344" s="232">
        <f t="shared" si="132"/>
        <v>0</v>
      </c>
      <c r="X344" s="270">
        <f t="shared" si="133"/>
        <v>0</v>
      </c>
      <c r="Y344" s="234"/>
      <c r="Z344" s="383"/>
      <c r="AA344" s="252" t="e">
        <f>E344-#REF!</f>
        <v>#REF!</v>
      </c>
      <c r="AC344" s="235" t="s">
        <v>1677</v>
      </c>
      <c r="AD344" s="235" t="s">
        <v>2856</v>
      </c>
      <c r="AE344" s="235" t="s">
        <v>113</v>
      </c>
      <c r="BV344" s="236" t="str">
        <f>HYPERLINK("#자재조서!A63","MB-0114-1 →")</f>
        <v>MB-0114-1 →</v>
      </c>
      <c r="CB344" s="235">
        <v>5900000</v>
      </c>
      <c r="CC344" s="235">
        <v>29500000</v>
      </c>
      <c r="CD344" s="235">
        <v>5900000</v>
      </c>
      <c r="CE344" s="235">
        <v>29500000</v>
      </c>
      <c r="CF344" s="235">
        <v>0</v>
      </c>
      <c r="CH344" s="235">
        <v>0</v>
      </c>
      <c r="CJ344" s="235" t="s">
        <v>113</v>
      </c>
    </row>
    <row r="345" spans="1:88" s="235" customFormat="1" ht="20.100000000000001" customHeight="1" x14ac:dyDescent="0.15">
      <c r="A345" s="229" t="s">
        <v>58</v>
      </c>
      <c r="B345" s="229" t="s">
        <v>3317</v>
      </c>
      <c r="C345" s="230" t="s">
        <v>1796</v>
      </c>
      <c r="D345" s="233">
        <v>1</v>
      </c>
      <c r="E345" s="231">
        <f t="shared" si="134"/>
        <v>2800000</v>
      </c>
      <c r="F345" s="232">
        <f t="shared" si="115"/>
        <v>2800000</v>
      </c>
      <c r="G345" s="231">
        <v>2800000</v>
      </c>
      <c r="H345" s="232">
        <f t="shared" si="135"/>
        <v>2800000</v>
      </c>
      <c r="I345" s="231">
        <v>0</v>
      </c>
      <c r="J345" s="232"/>
      <c r="K345" s="231">
        <v>0</v>
      </c>
      <c r="L345" s="232"/>
      <c r="M345" s="232"/>
      <c r="N345" s="232"/>
      <c r="O345" s="270">
        <f t="shared" si="128"/>
        <v>0</v>
      </c>
      <c r="P345" s="232"/>
      <c r="Q345" s="232">
        <f t="shared" si="129"/>
        <v>0</v>
      </c>
      <c r="R345" s="270">
        <f t="shared" si="130"/>
        <v>0</v>
      </c>
      <c r="S345" s="233">
        <f t="shared" si="136"/>
        <v>0</v>
      </c>
      <c r="T345" s="233">
        <f t="shared" si="137"/>
        <v>0</v>
      </c>
      <c r="U345" s="233">
        <f t="shared" si="138"/>
        <v>0</v>
      </c>
      <c r="V345" s="232">
        <f t="shared" si="131"/>
        <v>0</v>
      </c>
      <c r="W345" s="232">
        <f t="shared" si="132"/>
        <v>0</v>
      </c>
      <c r="X345" s="270">
        <f t="shared" si="133"/>
        <v>0</v>
      </c>
      <c r="Y345" s="234"/>
      <c r="Z345" s="383"/>
      <c r="AA345" s="252" t="e">
        <f>E345-#REF!</f>
        <v>#REF!</v>
      </c>
      <c r="AC345" s="235" t="s">
        <v>2389</v>
      </c>
      <c r="AD345" s="235" t="s">
        <v>2856</v>
      </c>
      <c r="AE345" s="235" t="s">
        <v>649</v>
      </c>
      <c r="BV345" s="236" t="str">
        <f>HYPERLINK("#자재조서!A64","MB-0115-1 →")</f>
        <v>MB-0115-1 →</v>
      </c>
      <c r="CB345" s="235">
        <v>5200000</v>
      </c>
      <c r="CC345" s="235">
        <v>5200000</v>
      </c>
      <c r="CD345" s="235">
        <v>5200000</v>
      </c>
      <c r="CE345" s="235">
        <v>5200000</v>
      </c>
      <c r="CF345" s="235">
        <v>0</v>
      </c>
      <c r="CH345" s="235">
        <v>0</v>
      </c>
      <c r="CJ345" s="235" t="s">
        <v>649</v>
      </c>
    </row>
    <row r="346" spans="1:88" s="235" customFormat="1" ht="20.100000000000001" customHeight="1" x14ac:dyDescent="0.15">
      <c r="A346" s="229" t="s">
        <v>413</v>
      </c>
      <c r="B346" s="229" t="s">
        <v>3318</v>
      </c>
      <c r="C346" s="230" t="s">
        <v>1796</v>
      </c>
      <c r="D346" s="233">
        <v>4</v>
      </c>
      <c r="E346" s="231">
        <f t="shared" si="134"/>
        <v>2000000</v>
      </c>
      <c r="F346" s="232">
        <f t="shared" si="115"/>
        <v>8000000</v>
      </c>
      <c r="G346" s="231">
        <v>2000000</v>
      </c>
      <c r="H346" s="232">
        <f t="shared" si="135"/>
        <v>8000000</v>
      </c>
      <c r="I346" s="231">
        <v>0</v>
      </c>
      <c r="J346" s="232"/>
      <c r="K346" s="231">
        <v>0</v>
      </c>
      <c r="L346" s="232"/>
      <c r="M346" s="232"/>
      <c r="N346" s="232"/>
      <c r="O346" s="270">
        <f t="shared" si="128"/>
        <v>0</v>
      </c>
      <c r="P346" s="232"/>
      <c r="Q346" s="232">
        <f t="shared" si="129"/>
        <v>0</v>
      </c>
      <c r="R346" s="270">
        <f t="shared" si="130"/>
        <v>0</v>
      </c>
      <c r="S346" s="233">
        <f t="shared" si="136"/>
        <v>0</v>
      </c>
      <c r="T346" s="233">
        <f t="shared" si="137"/>
        <v>0</v>
      </c>
      <c r="U346" s="233">
        <f t="shared" si="138"/>
        <v>0</v>
      </c>
      <c r="V346" s="232">
        <f t="shared" si="131"/>
        <v>0</v>
      </c>
      <c r="W346" s="232">
        <f t="shared" si="132"/>
        <v>0</v>
      </c>
      <c r="X346" s="270">
        <f t="shared" si="133"/>
        <v>0</v>
      </c>
      <c r="Y346" s="234"/>
      <c r="Z346" s="383"/>
      <c r="AA346" s="252" t="e">
        <f>E346-#REF!</f>
        <v>#REF!</v>
      </c>
      <c r="AC346" s="235" t="s">
        <v>189</v>
      </c>
      <c r="AD346" s="235" t="s">
        <v>2856</v>
      </c>
      <c r="AE346" s="235" t="s">
        <v>923</v>
      </c>
      <c r="BV346" s="236" t="str">
        <f>HYPERLINK("#자재조서!A65","MB-0117-1 →")</f>
        <v>MB-0117-1 →</v>
      </c>
      <c r="CB346" s="235">
        <v>2900000</v>
      </c>
      <c r="CC346" s="235">
        <v>11600000</v>
      </c>
      <c r="CD346" s="235">
        <v>2900000</v>
      </c>
      <c r="CE346" s="235">
        <v>11600000</v>
      </c>
      <c r="CF346" s="235">
        <v>0</v>
      </c>
      <c r="CH346" s="235">
        <v>0</v>
      </c>
      <c r="CJ346" s="235" t="s">
        <v>923</v>
      </c>
    </row>
    <row r="347" spans="1:88" s="235" customFormat="1" ht="20.100000000000001" customHeight="1" x14ac:dyDescent="0.15">
      <c r="A347" s="260" t="s">
        <v>3164</v>
      </c>
      <c r="B347" s="229"/>
      <c r="C347" s="230" t="s">
        <v>1796</v>
      </c>
      <c r="D347" s="233">
        <v>2</v>
      </c>
      <c r="E347" s="231"/>
      <c r="F347" s="232">
        <f>H347+J347+L347</f>
        <v>880000</v>
      </c>
      <c r="G347" s="231">
        <v>440000</v>
      </c>
      <c r="H347" s="232">
        <f t="shared" si="135"/>
        <v>880000</v>
      </c>
      <c r="I347" s="231">
        <v>0</v>
      </c>
      <c r="J347" s="232"/>
      <c r="K347" s="231">
        <v>0</v>
      </c>
      <c r="L347" s="232"/>
      <c r="M347" s="232"/>
      <c r="N347" s="232"/>
      <c r="O347" s="270">
        <f t="shared" si="128"/>
        <v>0</v>
      </c>
      <c r="P347" s="232"/>
      <c r="Q347" s="232">
        <f t="shared" si="129"/>
        <v>0</v>
      </c>
      <c r="R347" s="270">
        <f t="shared" si="130"/>
        <v>0</v>
      </c>
      <c r="S347" s="233">
        <f t="shared" si="136"/>
        <v>0</v>
      </c>
      <c r="T347" s="233">
        <f t="shared" si="137"/>
        <v>0</v>
      </c>
      <c r="U347" s="233">
        <f t="shared" si="138"/>
        <v>0</v>
      </c>
      <c r="V347" s="232">
        <f t="shared" si="131"/>
        <v>0</v>
      </c>
      <c r="W347" s="232">
        <f t="shared" si="132"/>
        <v>0</v>
      </c>
      <c r="X347" s="270">
        <f t="shared" si="133"/>
        <v>0</v>
      </c>
      <c r="Y347" s="234"/>
      <c r="Z347" s="383"/>
      <c r="AA347" s="252" t="e">
        <f>E347-#REF!</f>
        <v>#REF!</v>
      </c>
      <c r="BV347" s="236"/>
    </row>
    <row r="348" spans="1:88" s="235" customFormat="1" ht="20.100000000000001" customHeight="1" x14ac:dyDescent="0.15">
      <c r="A348" s="260" t="s">
        <v>3165</v>
      </c>
      <c r="B348" s="229"/>
      <c r="C348" s="230" t="s">
        <v>1796</v>
      </c>
      <c r="D348" s="233">
        <v>2</v>
      </c>
      <c r="E348" s="231"/>
      <c r="F348" s="232">
        <f>H348+J348+L348</f>
        <v>880000</v>
      </c>
      <c r="G348" s="231">
        <v>440000</v>
      </c>
      <c r="H348" s="232">
        <f t="shared" si="135"/>
        <v>880000</v>
      </c>
      <c r="I348" s="231">
        <v>0</v>
      </c>
      <c r="J348" s="232"/>
      <c r="K348" s="231">
        <v>0</v>
      </c>
      <c r="L348" s="232"/>
      <c r="M348" s="232"/>
      <c r="N348" s="232"/>
      <c r="O348" s="270">
        <f t="shared" si="128"/>
        <v>0</v>
      </c>
      <c r="P348" s="232"/>
      <c r="Q348" s="232">
        <f t="shared" si="129"/>
        <v>0</v>
      </c>
      <c r="R348" s="270">
        <f t="shared" si="130"/>
        <v>0</v>
      </c>
      <c r="S348" s="233">
        <f t="shared" si="136"/>
        <v>0</v>
      </c>
      <c r="T348" s="233">
        <f t="shared" si="137"/>
        <v>0</v>
      </c>
      <c r="U348" s="233">
        <f t="shared" si="138"/>
        <v>0</v>
      </c>
      <c r="V348" s="232">
        <f t="shared" si="131"/>
        <v>0</v>
      </c>
      <c r="W348" s="232">
        <f t="shared" si="132"/>
        <v>0</v>
      </c>
      <c r="X348" s="270">
        <f t="shared" si="133"/>
        <v>0</v>
      </c>
      <c r="Y348" s="234"/>
      <c r="Z348" s="383"/>
      <c r="AA348" s="252" t="e">
        <f>E348-#REF!</f>
        <v>#REF!</v>
      </c>
      <c r="BV348" s="236"/>
    </row>
    <row r="349" spans="1:88" s="235" customFormat="1" ht="20.100000000000001" customHeight="1" x14ac:dyDescent="0.15">
      <c r="A349" s="229" t="s">
        <v>615</v>
      </c>
      <c r="B349" s="229"/>
      <c r="C349" s="230" t="s">
        <v>1160</v>
      </c>
      <c r="D349" s="233">
        <v>35</v>
      </c>
      <c r="E349" s="231">
        <f t="shared" si="134"/>
        <v>172000</v>
      </c>
      <c r="F349" s="232">
        <f t="shared" si="115"/>
        <v>6020000</v>
      </c>
      <c r="G349" s="231">
        <v>172000</v>
      </c>
      <c r="H349" s="232">
        <f t="shared" si="135"/>
        <v>6020000</v>
      </c>
      <c r="I349" s="231">
        <v>0</v>
      </c>
      <c r="J349" s="232"/>
      <c r="K349" s="231">
        <v>0</v>
      </c>
      <c r="L349" s="232"/>
      <c r="M349" s="232"/>
      <c r="N349" s="232"/>
      <c r="O349" s="270">
        <f t="shared" si="128"/>
        <v>0</v>
      </c>
      <c r="P349" s="232"/>
      <c r="Q349" s="232">
        <f t="shared" si="129"/>
        <v>0</v>
      </c>
      <c r="R349" s="270">
        <f t="shared" si="130"/>
        <v>0</v>
      </c>
      <c r="S349" s="233">
        <f t="shared" si="136"/>
        <v>0</v>
      </c>
      <c r="T349" s="233">
        <f t="shared" si="137"/>
        <v>0</v>
      </c>
      <c r="U349" s="233">
        <f t="shared" si="138"/>
        <v>0</v>
      </c>
      <c r="V349" s="232">
        <f t="shared" si="131"/>
        <v>0</v>
      </c>
      <c r="W349" s="232">
        <f t="shared" si="132"/>
        <v>0</v>
      </c>
      <c r="X349" s="270">
        <f t="shared" si="133"/>
        <v>0</v>
      </c>
      <c r="Y349" s="234"/>
      <c r="Z349" s="383"/>
      <c r="AA349" s="252" t="e">
        <f>E349-#REF!</f>
        <v>#REF!</v>
      </c>
      <c r="AC349" s="235" t="s">
        <v>904</v>
      </c>
      <c r="AD349" s="235" t="s">
        <v>2856</v>
      </c>
      <c r="AE349" s="235" t="s">
        <v>2034</v>
      </c>
      <c r="BV349" s="236" t="str">
        <f>HYPERLINK("#자재조서!A52","MB-0008 →")</f>
        <v>MB-0008 →</v>
      </c>
      <c r="CB349" s="235">
        <v>255000</v>
      </c>
      <c r="CC349" s="235">
        <v>9180000</v>
      </c>
      <c r="CD349" s="235">
        <v>255000</v>
      </c>
      <c r="CE349" s="235">
        <v>9180000</v>
      </c>
      <c r="CF349" s="235">
        <v>0</v>
      </c>
      <c r="CH349" s="235">
        <v>0</v>
      </c>
      <c r="CJ349" s="235" t="s">
        <v>2034</v>
      </c>
    </row>
    <row r="350" spans="1:88" s="235" customFormat="1" ht="20.100000000000001" customHeight="1" x14ac:dyDescent="0.15">
      <c r="A350" s="229" t="s">
        <v>1942</v>
      </c>
      <c r="B350" s="229" t="s">
        <v>1876</v>
      </c>
      <c r="C350" s="230" t="s">
        <v>1796</v>
      </c>
      <c r="D350" s="233">
        <v>10</v>
      </c>
      <c r="E350" s="231">
        <f t="shared" si="134"/>
        <v>282000</v>
      </c>
      <c r="F350" s="232">
        <f t="shared" si="115"/>
        <v>2820000</v>
      </c>
      <c r="G350" s="231">
        <v>282000</v>
      </c>
      <c r="H350" s="232">
        <f t="shared" si="135"/>
        <v>2820000</v>
      </c>
      <c r="I350" s="231">
        <v>0</v>
      </c>
      <c r="J350" s="232"/>
      <c r="K350" s="231">
        <v>0</v>
      </c>
      <c r="L350" s="232"/>
      <c r="M350" s="232"/>
      <c r="N350" s="232"/>
      <c r="O350" s="270">
        <f t="shared" si="128"/>
        <v>0</v>
      </c>
      <c r="P350" s="232"/>
      <c r="Q350" s="232">
        <f t="shared" si="129"/>
        <v>0</v>
      </c>
      <c r="R350" s="270">
        <f t="shared" si="130"/>
        <v>0</v>
      </c>
      <c r="S350" s="233">
        <f t="shared" si="136"/>
        <v>0</v>
      </c>
      <c r="T350" s="233">
        <f t="shared" si="137"/>
        <v>0</v>
      </c>
      <c r="U350" s="233">
        <f t="shared" si="138"/>
        <v>0</v>
      </c>
      <c r="V350" s="232">
        <f t="shared" si="131"/>
        <v>0</v>
      </c>
      <c r="W350" s="232">
        <f t="shared" si="132"/>
        <v>0</v>
      </c>
      <c r="X350" s="270">
        <f t="shared" si="133"/>
        <v>0</v>
      </c>
      <c r="Y350" s="234"/>
      <c r="Z350" s="383"/>
      <c r="AA350" s="252" t="e">
        <f>E350-#REF!</f>
        <v>#REF!</v>
      </c>
      <c r="AC350" s="235" t="s">
        <v>1640</v>
      </c>
      <c r="AD350" s="235" t="s">
        <v>2856</v>
      </c>
      <c r="AE350" s="235" t="s">
        <v>1237</v>
      </c>
      <c r="AN350" s="237" t="s">
        <v>917</v>
      </c>
      <c r="AO350" s="238">
        <f>ROUND(((내역서!H333+내역서!J333+내역서!L333)+(내역서!H334+내역서!J334+내역서!L334)+(내역서!H335+내역서!J335+내역서!L335)+(내역서!H336+내역서!J336+내역서!L336)+(내역서!H337+내역서!J337+내역서!L337)+(내역서!H338+내역서!J338+내역서!L338)+(내역서!H339+내역서!J339+내역서!L339)+(내역서!H340+내역서!J340+내역서!L340)+(내역서!H341+내역서!J341+내역서!L341)+(내역서!H342+내역서!J342+내역서!L342)+(내역서!H343+내역서!J343+내역서!L343)+(내역서!H344+내역서!J344+내역서!L344)+(내역서!H345+내역서!J345+내역서!L345)+(내역서!H346+내역서!J346+내역서!L346)+(내역서!H349+내역서!J349+내역서!L349)+(내역서!H350+내역서!J350+내역서!L350))*0.54/100-920,2)</f>
        <v>517750</v>
      </c>
      <c r="AP350" s="237" t="s">
        <v>1546</v>
      </c>
      <c r="AQ350" s="239">
        <f>$AO350</f>
        <v>517750</v>
      </c>
      <c r="AR350" s="262" t="s">
        <v>3017</v>
      </c>
      <c r="AS350" s="238">
        <f>ROUND(ROUND(((내역서!H333+내역서!J333+내역서!L333)+(내역서!H334+내역서!J334+내역서!L334)+(내역서!H335+내역서!J335+내역서!L335)+(내역서!H336+내역서!J336+내역서!L336)+(내역서!H337+내역서!J337+내역서!L337)+(내역서!H338+내역서!J338+내역서!L338)+(내역서!H339+내역서!J339+내역서!L339)+(내역서!H340+내역서!J340+내역서!L340)+(내역서!H341+내역서!J341+내역서!L341)+(내역서!H342+내역서!J342+내역서!L342)+(내역서!H343+내역서!J343+내역서!L343)+(내역서!H344+내역서!J344+내역서!L344)+(내역서!H345+내역서!J345+내역서!L345)+(내역서!H346+내역서!J346+내역서!L346)+(내역서!H349+내역서!J349+내역서!L349)+(내역서!H350+내역서!J350+내역서!L350))*0.54/100-920,2),2)</f>
        <v>517750</v>
      </c>
      <c r="AT350" s="262" t="s">
        <v>3018</v>
      </c>
      <c r="AU350" s="239">
        <f>$AS350</f>
        <v>517750</v>
      </c>
      <c r="BV350" s="236" t="str">
        <f>HYPERLINK("#자재조서!A66","MB-0118-1 →")</f>
        <v>MB-0118-1 →</v>
      </c>
      <c r="CB350" s="235">
        <v>282000</v>
      </c>
      <c r="CC350" s="235">
        <v>2820000</v>
      </c>
      <c r="CD350" s="235">
        <v>282000</v>
      </c>
      <c r="CE350" s="235">
        <v>2820000</v>
      </c>
      <c r="CF350" s="235">
        <v>0</v>
      </c>
      <c r="CH350" s="235">
        <v>0</v>
      </c>
      <c r="CJ350" s="235" t="s">
        <v>1237</v>
      </c>
    </row>
    <row r="351" spans="1:88" s="235" customFormat="1" ht="20.100000000000001" customHeight="1" x14ac:dyDescent="0.15">
      <c r="A351" s="229" t="s">
        <v>2484</v>
      </c>
      <c r="B351" s="229" t="s">
        <v>1812</v>
      </c>
      <c r="C351" s="230" t="s">
        <v>2303</v>
      </c>
      <c r="D351" s="233">
        <v>1</v>
      </c>
      <c r="E351" s="231">
        <f t="shared" si="134"/>
        <v>0</v>
      </c>
      <c r="F351" s="232">
        <f t="shared" si="115"/>
        <v>528000</v>
      </c>
      <c r="G351" s="240"/>
      <c r="H351" s="232">
        <v>0</v>
      </c>
      <c r="I351" s="240"/>
      <c r="J351" s="232">
        <v>0</v>
      </c>
      <c r="K351" s="240"/>
      <c r="L351" s="232">
        <f>TRUNC(SUM(H333:H350)*0.54%,0)-174</f>
        <v>528000</v>
      </c>
      <c r="M351" s="232"/>
      <c r="N351" s="232"/>
      <c r="O351" s="270">
        <f t="shared" si="128"/>
        <v>0</v>
      </c>
      <c r="P351" s="232"/>
      <c r="Q351" s="232">
        <f t="shared" si="129"/>
        <v>0</v>
      </c>
      <c r="R351" s="270">
        <f t="shared" si="130"/>
        <v>0</v>
      </c>
      <c r="S351" s="233">
        <f t="shared" si="136"/>
        <v>0</v>
      </c>
      <c r="T351" s="233">
        <f t="shared" si="137"/>
        <v>0</v>
      </c>
      <c r="U351" s="233">
        <f t="shared" si="138"/>
        <v>0</v>
      </c>
      <c r="V351" s="232">
        <f t="shared" si="131"/>
        <v>0</v>
      </c>
      <c r="W351" s="232">
        <f t="shared" si="132"/>
        <v>0</v>
      </c>
      <c r="X351" s="270">
        <f t="shared" si="133"/>
        <v>0</v>
      </c>
      <c r="Y351" s="234"/>
      <c r="Z351" s="383"/>
      <c r="AA351" s="252" t="e">
        <f>E351-#REF!</f>
        <v>#REF!</v>
      </c>
      <c r="AC351" s="235" t="s">
        <v>2594</v>
      </c>
      <c r="AD351" s="235" t="s">
        <v>2856</v>
      </c>
      <c r="AE351" s="235" t="s">
        <v>2405</v>
      </c>
      <c r="AK351" s="235" t="s">
        <v>333</v>
      </c>
      <c r="CB351" s="235">
        <v>0</v>
      </c>
      <c r="CC351" s="235">
        <v>808000</v>
      </c>
      <c r="CE351" s="235">
        <v>0</v>
      </c>
      <c r="CG351" s="235">
        <v>0</v>
      </c>
      <c r="CI351" s="235">
        <v>808000</v>
      </c>
      <c r="CJ351" s="235" t="s">
        <v>2856</v>
      </c>
    </row>
    <row r="352" spans="1:88" s="235" customFormat="1" ht="20.100000000000001" customHeight="1" x14ac:dyDescent="0.15">
      <c r="A352" s="229"/>
      <c r="B352" s="229"/>
      <c r="C352" s="230"/>
      <c r="D352" s="233"/>
      <c r="E352" s="231"/>
      <c r="F352" s="232"/>
      <c r="G352" s="240"/>
      <c r="H352" s="232"/>
      <c r="I352" s="240"/>
      <c r="J352" s="232"/>
      <c r="K352" s="240"/>
      <c r="L352" s="232"/>
      <c r="M352" s="232"/>
      <c r="N352" s="232"/>
      <c r="O352" s="270">
        <f t="shared" si="128"/>
        <v>0</v>
      </c>
      <c r="P352" s="232"/>
      <c r="Q352" s="232">
        <f t="shared" si="129"/>
        <v>0</v>
      </c>
      <c r="R352" s="270">
        <f t="shared" si="130"/>
        <v>0</v>
      </c>
      <c r="S352" s="233">
        <f t="shared" si="136"/>
        <v>0</v>
      </c>
      <c r="T352" s="233">
        <f t="shared" si="137"/>
        <v>0</v>
      </c>
      <c r="U352" s="233">
        <f t="shared" si="138"/>
        <v>0</v>
      </c>
      <c r="V352" s="232">
        <f t="shared" si="131"/>
        <v>0</v>
      </c>
      <c r="W352" s="232">
        <f t="shared" si="132"/>
        <v>0</v>
      </c>
      <c r="X352" s="270">
        <f t="shared" si="133"/>
        <v>0</v>
      </c>
      <c r="Y352" s="234"/>
      <c r="Z352" s="383"/>
      <c r="AA352" s="252" t="e">
        <f>E352-#REF!</f>
        <v>#REF!</v>
      </c>
    </row>
    <row r="353" spans="1:27" s="235" customFormat="1" ht="20.100000000000001" customHeight="1" x14ac:dyDescent="0.15">
      <c r="A353" s="229"/>
      <c r="B353" s="229"/>
      <c r="C353" s="230"/>
      <c r="D353" s="233"/>
      <c r="E353" s="231"/>
      <c r="F353" s="232"/>
      <c r="G353" s="240"/>
      <c r="H353" s="232"/>
      <c r="I353" s="240"/>
      <c r="J353" s="232"/>
      <c r="K353" s="240"/>
      <c r="L353" s="232"/>
      <c r="M353" s="232"/>
      <c r="N353" s="232"/>
      <c r="O353" s="270">
        <f t="shared" si="128"/>
        <v>0</v>
      </c>
      <c r="P353" s="232"/>
      <c r="Q353" s="232">
        <f t="shared" si="129"/>
        <v>0</v>
      </c>
      <c r="R353" s="270">
        <f t="shared" si="130"/>
        <v>0</v>
      </c>
      <c r="S353" s="233"/>
      <c r="T353" s="233"/>
      <c r="U353" s="233"/>
      <c r="V353" s="232">
        <f t="shared" si="131"/>
        <v>0</v>
      </c>
      <c r="W353" s="232">
        <f t="shared" si="132"/>
        <v>0</v>
      </c>
      <c r="X353" s="270">
        <f t="shared" si="133"/>
        <v>0</v>
      </c>
      <c r="Y353" s="234"/>
      <c r="Z353" s="383"/>
      <c r="AA353" s="252" t="e">
        <f>E353-#REF!</f>
        <v>#REF!</v>
      </c>
    </row>
    <row r="354" spans="1:27" ht="14.1" customHeight="1" x14ac:dyDescent="0.15">
      <c r="S354" s="61"/>
      <c r="T354" s="61"/>
      <c r="U354" s="61"/>
    </row>
  </sheetData>
  <mergeCells count="15">
    <mergeCell ref="A332:B332"/>
    <mergeCell ref="A316:B316"/>
    <mergeCell ref="A4:B4"/>
    <mergeCell ref="E2:F2"/>
    <mergeCell ref="A2:A3"/>
    <mergeCell ref="B2:B3"/>
    <mergeCell ref="C2:C3"/>
    <mergeCell ref="D2:D3"/>
    <mergeCell ref="A1:Y1"/>
    <mergeCell ref="G2:L2"/>
    <mergeCell ref="M2:O2"/>
    <mergeCell ref="P2:R2"/>
    <mergeCell ref="S2:U2"/>
    <mergeCell ref="V2:X2"/>
    <mergeCell ref="Y2:Y3"/>
  </mergeCells>
  <phoneticPr fontId="6" type="noConversion"/>
  <printOptions horizontalCentered="1"/>
  <pageMargins left="0.19685039370078741" right="0.19685039370078741" top="0.59055118110236227" bottom="0.19685039370078741" header="0.19685039370078741" footer="0.19685039370078741"/>
  <pageSetup paperSize="9" scale="70" orientation="landscape" r:id="rId1"/>
  <headerFooter alignWithMargins="0"/>
  <rowBreaks count="3" manualBreakCount="3">
    <brk id="135" max="24" man="1"/>
    <brk id="168" max="24" man="1"/>
    <brk id="228" max="2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126C5-EF63-4223-8AA2-DD8C7DF1AF19}">
  <sheetPr>
    <tabColor rgb="FFEE0000"/>
  </sheetPr>
  <dimension ref="A1:AC33"/>
  <sheetViews>
    <sheetView showZeros="0" view="pageBreakPreview" zoomScaleNormal="100" zoomScaleSheetLayoutView="100" workbookViewId="0">
      <pane xSplit="4" ySplit="2" topLeftCell="E13" activePane="bottomRight" state="frozen"/>
      <selection activeCell="F23" sqref="F23"/>
      <selection pane="topRight" activeCell="F23" sqref="F23"/>
      <selection pane="bottomLeft" activeCell="F23" sqref="F23"/>
      <selection pane="bottomRight" activeCell="F23" sqref="F23"/>
    </sheetView>
  </sheetViews>
  <sheetFormatPr defaultRowHeight="18.399999999999999" customHeight="1" x14ac:dyDescent="0.15"/>
  <cols>
    <col min="1" max="1" width="27.6640625" customWidth="1"/>
    <col min="2" max="2" width="18.6640625" style="85" customWidth="1"/>
    <col min="3" max="3" width="8" style="61" customWidth="1"/>
    <col min="4" max="4" width="5" style="191" customWidth="1"/>
    <col min="5" max="6" width="13" customWidth="1"/>
    <col min="7" max="7" width="13" hidden="1" customWidth="1"/>
    <col min="8" max="8" width="13" customWidth="1"/>
    <col min="9" max="9" width="13" hidden="1" customWidth="1"/>
    <col min="10" max="10" width="13" customWidth="1"/>
    <col min="11" max="11" width="9" customWidth="1"/>
    <col min="12" max="25" width="0" hidden="1" customWidth="1"/>
  </cols>
  <sheetData>
    <row r="1" spans="1:29" ht="30" customHeight="1" thickBot="1" x14ac:dyDescent="0.2">
      <c r="A1" s="450" t="s">
        <v>3243</v>
      </c>
      <c r="B1" s="450"/>
      <c r="C1" s="450"/>
      <c r="D1" s="450"/>
      <c r="E1" s="450"/>
      <c r="F1" s="450"/>
      <c r="G1" s="450"/>
      <c r="H1" s="450"/>
      <c r="I1" s="450"/>
      <c r="J1" s="450"/>
      <c r="K1" s="450"/>
    </row>
    <row r="2" spans="1:29" ht="23.25" customHeight="1" thickBot="1" x14ac:dyDescent="0.2">
      <c r="A2" s="196" t="s">
        <v>452</v>
      </c>
      <c r="B2" s="218" t="s">
        <v>1087</v>
      </c>
      <c r="C2" s="198" t="s">
        <v>74</v>
      </c>
      <c r="D2" s="199" t="s">
        <v>2660</v>
      </c>
      <c r="E2" s="197" t="s">
        <v>2761</v>
      </c>
      <c r="F2" s="197" t="s">
        <v>1952</v>
      </c>
      <c r="G2" s="197"/>
      <c r="H2" s="197" t="s">
        <v>1158</v>
      </c>
      <c r="I2" s="197"/>
      <c r="J2" s="197" t="s">
        <v>186</v>
      </c>
      <c r="K2" s="200" t="s">
        <v>726</v>
      </c>
      <c r="V2" s="1" t="s">
        <v>1762</v>
      </c>
      <c r="W2" s="1" t="s">
        <v>2431</v>
      </c>
      <c r="X2" s="1" t="s">
        <v>2373</v>
      </c>
      <c r="Y2" s="1" t="s">
        <v>909</v>
      </c>
      <c r="AA2" s="1" t="s">
        <v>618</v>
      </c>
    </row>
    <row r="3" spans="1:29" ht="23.25" customHeight="1" x14ac:dyDescent="0.15">
      <c r="A3" s="192" t="str">
        <f>'일위대가_호표(신규)'!A752</f>
        <v>No.1 수목이식(굴취,가식,정식)</v>
      </c>
      <c r="B3" s="219" t="str">
        <f>'일위대가_호표(신규)'!B752</f>
        <v>R38</v>
      </c>
      <c r="C3" s="193">
        <f>'일위대가_호표(신규)'!C752</f>
        <v>1</v>
      </c>
      <c r="D3" s="193" t="str">
        <f>'일위대가_호표(신규)'!D752</f>
        <v>주</v>
      </c>
      <c r="E3" s="194">
        <f t="shared" ref="E3:E33" si="0">F3+H3+J3</f>
        <v>1471634</v>
      </c>
      <c r="F3" s="194">
        <f>'일위대가_호표(신규)'!H759</f>
        <v>156588</v>
      </c>
      <c r="G3" s="194"/>
      <c r="H3" s="194">
        <f>'일위대가_호표(신규)'!J759</f>
        <v>1044292</v>
      </c>
      <c r="I3" s="194"/>
      <c r="J3" s="194">
        <f>'일위대가_호표(신규)'!L759</f>
        <v>270754</v>
      </c>
      <c r="K3" s="195" t="s">
        <v>2856</v>
      </c>
      <c r="L3" t="s">
        <v>2856</v>
      </c>
      <c r="M3" t="s">
        <v>2633</v>
      </c>
      <c r="N3" t="s">
        <v>2405</v>
      </c>
      <c r="V3" s="29">
        <v>1054</v>
      </c>
      <c r="W3" s="29">
        <v>3467</v>
      </c>
      <c r="X3" s="29">
        <v>1338</v>
      </c>
      <c r="Y3" s="29">
        <v>5859</v>
      </c>
      <c r="AA3" s="7" t="b">
        <f t="shared" ref="AA3:AA25" si="1">EXACT($E3,$Y3)</f>
        <v>0</v>
      </c>
      <c r="AC3" s="34" t="str">
        <f>HYPERLINK("#일위대가_산근!A4","NX1510 →")</f>
        <v>NX1510 →</v>
      </c>
    </row>
    <row r="4" spans="1:29" ht="23.25" customHeight="1" x14ac:dyDescent="0.15">
      <c r="A4" s="201" t="str">
        <f>'일위대가_호표(신규)'!A761</f>
        <v>No.2 수목이식(굴취,가식,정식)</v>
      </c>
      <c r="B4" s="220" t="str">
        <f>'일위대가_호표(신규)'!B761</f>
        <v>R30</v>
      </c>
      <c r="C4" s="202">
        <f>'일위대가_호표(신규)'!C761</f>
        <v>1</v>
      </c>
      <c r="D4" s="202" t="str">
        <f>'일위대가_호표(신규)'!D761</f>
        <v>주</v>
      </c>
      <c r="E4" s="203">
        <f t="shared" si="0"/>
        <v>1464617</v>
      </c>
      <c r="F4" s="203">
        <f>'일위대가_호표(신규)'!H768</f>
        <v>149571</v>
      </c>
      <c r="G4" s="203"/>
      <c r="H4" s="203">
        <f>'일위대가_호표(신규)'!J768</f>
        <v>1044292</v>
      </c>
      <c r="I4" s="203"/>
      <c r="J4" s="203">
        <f>'일위대가_호표(신규)'!L768</f>
        <v>270754</v>
      </c>
      <c r="K4" s="204" t="s">
        <v>2856</v>
      </c>
      <c r="L4" t="s">
        <v>2856</v>
      </c>
      <c r="M4" t="s">
        <v>2633</v>
      </c>
      <c r="N4" t="s">
        <v>2405</v>
      </c>
      <c r="V4" s="29">
        <v>1054</v>
      </c>
      <c r="W4" s="29">
        <v>3467</v>
      </c>
      <c r="X4" s="29">
        <v>1338</v>
      </c>
      <c r="Y4" s="29">
        <v>5859</v>
      </c>
      <c r="AA4" s="7" t="b">
        <f t="shared" si="1"/>
        <v>0</v>
      </c>
      <c r="AC4" s="34" t="str">
        <f>HYPERLINK("#일위대가_산근!A4","NX1510 →")</f>
        <v>NX1510 →</v>
      </c>
    </row>
    <row r="5" spans="1:29" ht="23.25" customHeight="1" x14ac:dyDescent="0.15">
      <c r="A5" s="189" t="str">
        <f>'일위대가_호표(신규)'!A770</f>
        <v>No.3  수목이식(굴취,가식,정식)</v>
      </c>
      <c r="B5" s="221" t="str">
        <f>'일위대가_호표(신규)'!B770</f>
        <v>R22</v>
      </c>
      <c r="C5" s="190">
        <f>'일위대가_호표(신규)'!C770</f>
        <v>1</v>
      </c>
      <c r="D5" s="190" t="str">
        <f>'일위대가_호표(신규)'!D770</f>
        <v>주</v>
      </c>
      <c r="E5" s="62">
        <f t="shared" si="0"/>
        <v>1065463</v>
      </c>
      <c r="F5" s="62">
        <f>'일위대가_호표(신규)'!H777</f>
        <v>107248</v>
      </c>
      <c r="G5" s="62"/>
      <c r="H5" s="62">
        <f>'일위대가_호표(신규)'!J777</f>
        <v>773548</v>
      </c>
      <c r="I5" s="62"/>
      <c r="J5" s="62">
        <f>'일위대가_호표(신규)'!L777</f>
        <v>184667</v>
      </c>
      <c r="K5" s="20" t="s">
        <v>2856</v>
      </c>
      <c r="L5" t="s">
        <v>2856</v>
      </c>
      <c r="M5" t="s">
        <v>69</v>
      </c>
      <c r="N5" t="s">
        <v>2405</v>
      </c>
      <c r="V5" s="29">
        <v>300</v>
      </c>
      <c r="W5" s="29">
        <v>4328</v>
      </c>
      <c r="X5" s="29">
        <v>381</v>
      </c>
      <c r="Y5" s="29">
        <v>5009</v>
      </c>
      <c r="AA5" s="7" t="b">
        <f t="shared" si="1"/>
        <v>0</v>
      </c>
      <c r="AC5" s="34" t="str">
        <f>HYPERLINK("#일위대가_산근!A27","N1070 →")</f>
        <v>N1070 →</v>
      </c>
    </row>
    <row r="6" spans="1:29" ht="23.25" customHeight="1" x14ac:dyDescent="0.15">
      <c r="A6" s="189" t="str">
        <f>'일위대가_호표(신규)'!A779</f>
        <v>No.4  수목이식(굴취,가식,정식)</v>
      </c>
      <c r="B6" s="221" t="str">
        <f>'일위대가_호표(신규)'!B779</f>
        <v>R20</v>
      </c>
      <c r="C6" s="190">
        <f>'일위대가_호표(신규)'!C779</f>
        <v>1</v>
      </c>
      <c r="D6" s="190" t="str">
        <f>'일위대가_호표(신규)'!D779</f>
        <v>주</v>
      </c>
      <c r="E6" s="62">
        <f t="shared" si="0"/>
        <v>1064751</v>
      </c>
      <c r="F6" s="62">
        <f>'일위대가_호표(신규)'!H786</f>
        <v>106536</v>
      </c>
      <c r="G6" s="62"/>
      <c r="H6" s="62">
        <f>'일위대가_호표(신규)'!J786</f>
        <v>773548</v>
      </c>
      <c r="I6" s="62"/>
      <c r="J6" s="62">
        <f>'일위대가_호표(신규)'!L786</f>
        <v>184667</v>
      </c>
      <c r="K6" s="20" t="s">
        <v>2856</v>
      </c>
      <c r="L6" t="s">
        <v>2856</v>
      </c>
      <c r="M6" t="s">
        <v>1705</v>
      </c>
      <c r="N6" t="s">
        <v>2405</v>
      </c>
      <c r="V6" s="29">
        <v>285</v>
      </c>
      <c r="W6" s="29">
        <v>940</v>
      </c>
      <c r="X6" s="29">
        <v>363</v>
      </c>
      <c r="Y6" s="29">
        <v>1588</v>
      </c>
      <c r="AA6" s="7" t="b">
        <f t="shared" si="1"/>
        <v>0</v>
      </c>
      <c r="AC6" s="34" t="str">
        <f>HYPERLINK("#일위대가_산근!A58","N0860 →")</f>
        <v>N0860 →</v>
      </c>
    </row>
    <row r="7" spans="1:29" ht="23.25" customHeight="1" x14ac:dyDescent="0.15">
      <c r="A7" s="189" t="str">
        <f>'일위대가_호표(신규)'!A788</f>
        <v>No.5  수목이식(굴취,가식,정식)</v>
      </c>
      <c r="B7" s="221" t="str">
        <f>'일위대가_호표(신규)'!B788</f>
        <v>R15</v>
      </c>
      <c r="C7" s="190">
        <f>'일위대가_호표(신규)'!C788</f>
        <v>1</v>
      </c>
      <c r="D7" s="190" t="str">
        <f>'일위대가_호표(신규)'!D788</f>
        <v>주</v>
      </c>
      <c r="E7" s="62">
        <f t="shared" si="0"/>
        <v>515421</v>
      </c>
      <c r="F7" s="62">
        <f>'일위대가_호표(신규)'!H795</f>
        <v>60715</v>
      </c>
      <c r="G7" s="62"/>
      <c r="H7" s="62">
        <f>'일위대가_호표(신규)'!J795</f>
        <v>412770</v>
      </c>
      <c r="I7" s="62"/>
      <c r="J7" s="62">
        <f>'일위대가_호표(신규)'!L795</f>
        <v>41936</v>
      </c>
      <c r="K7" s="20" t="s">
        <v>2856</v>
      </c>
      <c r="L7" t="s">
        <v>2856</v>
      </c>
      <c r="M7" t="s">
        <v>1429</v>
      </c>
      <c r="N7" t="s">
        <v>2405</v>
      </c>
      <c r="V7" s="29">
        <v>445</v>
      </c>
      <c r="W7" s="29">
        <v>6329</v>
      </c>
      <c r="X7" s="29">
        <v>370</v>
      </c>
      <c r="Y7" s="29">
        <v>7144</v>
      </c>
      <c r="AA7" s="7" t="b">
        <f t="shared" si="1"/>
        <v>0</v>
      </c>
      <c r="AC7" s="34" t="str">
        <f>HYPERLINK("#일위대가_산근!A83","N1010 →")</f>
        <v>N1010 →</v>
      </c>
    </row>
    <row r="8" spans="1:29" ht="23.25" customHeight="1" x14ac:dyDescent="0.15">
      <c r="A8" s="189" t="str">
        <f>'일위대가_호표(신규)'!A1141</f>
        <v>No.6  휴게데크A-1</v>
      </c>
      <c r="B8" s="221" t="str">
        <f>'일위대가_호표(신규)'!B1141</f>
        <v>A=38.0m2</v>
      </c>
      <c r="C8" s="190">
        <f>'일위대가_호표(신규)'!C1141</f>
        <v>1</v>
      </c>
      <c r="D8" s="190" t="str">
        <f>'일위대가_호표(신규)'!D1141</f>
        <v>개소</v>
      </c>
      <c r="E8" s="62">
        <f t="shared" si="0"/>
        <v>6021596</v>
      </c>
      <c r="F8" s="62">
        <f>'일위대가_호표(신규)'!H1158</f>
        <v>1407546</v>
      </c>
      <c r="G8" s="62"/>
      <c r="H8" s="62">
        <f>'일위대가_호표(신규)'!J1158</f>
        <v>4546159</v>
      </c>
      <c r="I8" s="62"/>
      <c r="J8" s="62">
        <f>'일위대가_호표(신규)'!L1158</f>
        <v>67891</v>
      </c>
      <c r="K8" s="20" t="s">
        <v>2856</v>
      </c>
      <c r="L8" t="s">
        <v>2856</v>
      </c>
      <c r="M8" t="s">
        <v>303</v>
      </c>
      <c r="N8" t="s">
        <v>2405</v>
      </c>
      <c r="V8" s="29">
        <v>20</v>
      </c>
      <c r="W8" s="29">
        <v>386</v>
      </c>
      <c r="X8" s="29">
        <v>6</v>
      </c>
      <c r="Y8" s="29">
        <v>412</v>
      </c>
      <c r="AA8" s="7" t="b">
        <f t="shared" si="1"/>
        <v>0</v>
      </c>
      <c r="AC8" s="34" t="str">
        <f>HYPERLINK("#일위대가_산근!A116","N0800 →")</f>
        <v>N0800 →</v>
      </c>
    </row>
    <row r="9" spans="1:29" ht="23.25" customHeight="1" x14ac:dyDescent="0.15">
      <c r="A9" s="189" t="str">
        <f>'일위대가_호표(신규)'!A1582</f>
        <v>No.7  조경 유용석 쌓기 및 놓기</v>
      </c>
      <c r="B9" s="221" t="str">
        <f>'일위대가_호표(신규)'!B1582</f>
        <v/>
      </c>
      <c r="C9" s="190">
        <f>'일위대가_호표(신규)'!C1582</f>
        <v>1</v>
      </c>
      <c r="D9" s="190" t="str">
        <f>'일위대가_호표(신규)'!D1582</f>
        <v>ton</v>
      </c>
      <c r="E9" s="62">
        <f t="shared" si="0"/>
        <v>118742</v>
      </c>
      <c r="F9" s="62">
        <f>'일위대가_호표(신규)'!H1587</f>
        <v>9291</v>
      </c>
      <c r="G9" s="62"/>
      <c r="H9" s="62">
        <f>'일위대가_호표(신규)'!J1587</f>
        <v>97656</v>
      </c>
      <c r="I9" s="62"/>
      <c r="J9" s="62">
        <f>'일위대가_호표(신규)'!L1587</f>
        <v>11795</v>
      </c>
      <c r="K9" s="20" t="s">
        <v>2856</v>
      </c>
      <c r="L9" t="s">
        <v>2856</v>
      </c>
      <c r="M9" t="s">
        <v>2833</v>
      </c>
      <c r="N9" t="s">
        <v>2405</v>
      </c>
      <c r="V9" s="29">
        <v>1106</v>
      </c>
      <c r="W9" s="29">
        <v>8824</v>
      </c>
      <c r="X9" s="29">
        <v>1041</v>
      </c>
      <c r="Y9" s="29">
        <v>10971</v>
      </c>
      <c r="AA9" s="7" t="b">
        <f t="shared" si="1"/>
        <v>0</v>
      </c>
      <c r="AC9" s="34" t="str">
        <f>HYPERLINK("#일위대가_산근!A132","N0300 →")</f>
        <v>N0300 →</v>
      </c>
    </row>
    <row r="10" spans="1:29" ht="23.25" customHeight="1" x14ac:dyDescent="0.15">
      <c r="A10" s="189" t="str">
        <f>'일위대가_호표(신규)'!A1831</f>
        <v>No.8  계단A</v>
      </c>
      <c r="B10" s="221" t="str">
        <f>'일위대가_호표(신규)'!B1831</f>
        <v>W3000x12단, H150</v>
      </c>
      <c r="C10" s="190">
        <f>'일위대가_호표(신규)'!C1831</f>
        <v>1</v>
      </c>
      <c r="D10" s="190" t="str">
        <f>'일위대가_호표(신규)'!D1831</f>
        <v>개소</v>
      </c>
      <c r="E10" s="62">
        <f t="shared" si="0"/>
        <v>4845039</v>
      </c>
      <c r="F10" s="62">
        <f>'일위대가_호표(신규)'!H1850</f>
        <v>2704290</v>
      </c>
      <c r="G10" s="62"/>
      <c r="H10" s="62">
        <f>'일위대가_호표(신규)'!J1850</f>
        <v>1283848</v>
      </c>
      <c r="I10" s="62"/>
      <c r="J10" s="62">
        <f>'일위대가_호표(신규)'!L1850</f>
        <v>856901</v>
      </c>
      <c r="K10" s="20" t="s">
        <v>2856</v>
      </c>
      <c r="L10" t="s">
        <v>2856</v>
      </c>
      <c r="M10" t="s">
        <v>2095</v>
      </c>
      <c r="N10" t="s">
        <v>1778</v>
      </c>
      <c r="V10" s="29">
        <v>114</v>
      </c>
      <c r="W10" s="29">
        <v>11314</v>
      </c>
      <c r="X10" s="29">
        <v>35</v>
      </c>
      <c r="Y10" s="29">
        <v>11463</v>
      </c>
      <c r="AA10" s="7" t="b">
        <f t="shared" si="1"/>
        <v>0</v>
      </c>
      <c r="AC10" s="34" t="str">
        <f>HYPERLINK("#일위대가_호표!A4","HX0020 →")</f>
        <v>HX0020 →</v>
      </c>
    </row>
    <row r="11" spans="1:29" ht="23.25" customHeight="1" x14ac:dyDescent="0.15">
      <c r="A11" s="189" t="str">
        <f>'일위대가_호표(신규)'!A1852</f>
        <v>No.9  계단B</v>
      </c>
      <c r="B11" s="221" t="str">
        <f>'일위대가_호표(신규)'!B1852</f>
        <v>W1500x18단, H150</v>
      </c>
      <c r="C11" s="190">
        <f>'일위대가_호표(신규)'!C1852</f>
        <v>1</v>
      </c>
      <c r="D11" s="190" t="str">
        <f>'일위대가_호표(신규)'!D1852</f>
        <v>개소</v>
      </c>
      <c r="E11" s="62">
        <f t="shared" si="0"/>
        <v>3382505</v>
      </c>
      <c r="F11" s="62">
        <f>'일위대가_호표(신규)'!H1871</f>
        <v>1960439</v>
      </c>
      <c r="G11" s="62"/>
      <c r="H11" s="62">
        <f>'일위대가_호표(신규)'!J1871</f>
        <v>820038</v>
      </c>
      <c r="I11" s="62"/>
      <c r="J11" s="62">
        <f>'일위대가_호표(신규)'!L1871</f>
        <v>602028</v>
      </c>
      <c r="K11" s="20" t="s">
        <v>2856</v>
      </c>
      <c r="L11" t="s">
        <v>2856</v>
      </c>
      <c r="M11" t="s">
        <v>488</v>
      </c>
      <c r="N11" t="s">
        <v>1778</v>
      </c>
      <c r="V11" s="29">
        <v>1547</v>
      </c>
      <c r="W11" s="29">
        <v>89527</v>
      </c>
      <c r="X11" s="29">
        <v>550</v>
      </c>
      <c r="Y11" s="29">
        <v>91624</v>
      </c>
      <c r="AA11" s="7" t="b">
        <f t="shared" si="1"/>
        <v>0</v>
      </c>
      <c r="AC11" s="34" t="str">
        <f>HYPERLINK("#일위대가_호표!A8","HX0021 →")</f>
        <v>HX0021 →</v>
      </c>
    </row>
    <row r="12" spans="1:29" ht="23.25" customHeight="1" x14ac:dyDescent="0.15">
      <c r="A12" s="189" t="str">
        <f>'일위대가_호표(신규)'!A1873</f>
        <v>No.10  계단C</v>
      </c>
      <c r="B12" s="221" t="str">
        <f>'일위대가_호표(신규)'!B1873</f>
        <v>W2000x4단, H150</v>
      </c>
      <c r="C12" s="190">
        <f>'일위대가_호표(신규)'!C1873</f>
        <v>1</v>
      </c>
      <c r="D12" s="190" t="str">
        <f>'일위대가_호표(신규)'!D1873</f>
        <v>개소</v>
      </c>
      <c r="E12" s="62">
        <f t="shared" si="0"/>
        <v>817520</v>
      </c>
      <c r="F12" s="62">
        <f>'일위대가_호표(신규)'!H1890</f>
        <v>533331</v>
      </c>
      <c r="G12" s="62"/>
      <c r="H12" s="62">
        <f>'일위대가_호표(신규)'!J1890</f>
        <v>129311</v>
      </c>
      <c r="I12" s="62"/>
      <c r="J12" s="62">
        <f>'일위대가_호표(신규)'!L1890</f>
        <v>154878</v>
      </c>
      <c r="K12" s="20" t="s">
        <v>2856</v>
      </c>
      <c r="L12" t="s">
        <v>2856</v>
      </c>
      <c r="M12" t="s">
        <v>1673</v>
      </c>
      <c r="N12" t="s">
        <v>1778</v>
      </c>
      <c r="V12" s="29">
        <v>2970</v>
      </c>
      <c r="W12" s="29">
        <v>166977</v>
      </c>
      <c r="X12" s="29">
        <v>952</v>
      </c>
      <c r="Y12" s="29">
        <v>170899</v>
      </c>
      <c r="AA12" s="7" t="b">
        <f t="shared" si="1"/>
        <v>0</v>
      </c>
      <c r="AC12" s="34" t="str">
        <f>HYPERLINK("#일위대가_호표!A12","HX0022 →")</f>
        <v>HX0022 →</v>
      </c>
    </row>
    <row r="13" spans="1:29" ht="23.25" customHeight="1" x14ac:dyDescent="0.15">
      <c r="A13" s="189" t="str">
        <f>'일위대가_호표(신규)'!A1892</f>
        <v>No.11  계단D</v>
      </c>
      <c r="B13" s="221" t="str">
        <f>'일위대가_호표(신규)'!B1892</f>
        <v>W2000x11단, H150</v>
      </c>
      <c r="C13" s="190">
        <f>'일위대가_호표(신규)'!C1892</f>
        <v>1</v>
      </c>
      <c r="D13" s="190" t="str">
        <f>'일위대가_호표(신규)'!D1892</f>
        <v>개소</v>
      </c>
      <c r="E13" s="62">
        <f t="shared" si="0"/>
        <v>2645092</v>
      </c>
      <c r="F13" s="62">
        <f>'일위대가_호표(신규)'!H1911</f>
        <v>1568377</v>
      </c>
      <c r="G13" s="62"/>
      <c r="H13" s="62">
        <f>'일위대가_호표(신규)'!J1911</f>
        <v>597024</v>
      </c>
      <c r="I13" s="62"/>
      <c r="J13" s="62">
        <f>'일위대가_호표(신규)'!L1911</f>
        <v>479691</v>
      </c>
      <c r="K13" s="20" t="s">
        <v>2856</v>
      </c>
      <c r="L13" t="s">
        <v>2856</v>
      </c>
      <c r="M13" t="s">
        <v>16</v>
      </c>
      <c r="N13" t="s">
        <v>1778</v>
      </c>
      <c r="V13" s="29">
        <v>713</v>
      </c>
      <c r="W13" s="29">
        <v>48243</v>
      </c>
      <c r="X13" s="29">
        <v>240</v>
      </c>
      <c r="Y13" s="29">
        <v>49196</v>
      </c>
      <c r="AA13" s="7" t="b">
        <f t="shared" si="1"/>
        <v>0</v>
      </c>
      <c r="AC13" s="34" t="str">
        <f>HYPERLINK("#일위대가_호표!A16","HX0023 →")</f>
        <v>HX0023 →</v>
      </c>
    </row>
    <row r="14" spans="1:29" ht="23.25" customHeight="1" x14ac:dyDescent="0.15">
      <c r="A14" s="189" t="str">
        <f>'일위대가_호표(신규)'!A1913</f>
        <v>No.12  데크계단A</v>
      </c>
      <c r="B14" s="221" t="str">
        <f>'일위대가_호표(신규)'!B1913</f>
        <v>W2000xH150</v>
      </c>
      <c r="C14" s="190">
        <f>'일위대가_호표(신규)'!C1913</f>
        <v>1</v>
      </c>
      <c r="D14" s="190" t="str">
        <f>'일위대가_호표(신규)'!D1913</f>
        <v>개소</v>
      </c>
      <c r="E14" s="62">
        <f t="shared" si="0"/>
        <v>4795258</v>
      </c>
      <c r="F14" s="62">
        <f>'일위대가_호표(신규)'!H1932</f>
        <v>1034318</v>
      </c>
      <c r="G14" s="62"/>
      <c r="H14" s="62">
        <f>'일위대가_호표(신규)'!J1932</f>
        <v>3699996</v>
      </c>
      <c r="I14" s="62"/>
      <c r="J14" s="62">
        <f>'일위대가_호표(신규)'!L1932</f>
        <v>60944</v>
      </c>
      <c r="K14" s="20" t="s">
        <v>2856</v>
      </c>
      <c r="L14" t="s">
        <v>2856</v>
      </c>
      <c r="M14" t="s">
        <v>1818</v>
      </c>
      <c r="N14" t="s">
        <v>1778</v>
      </c>
      <c r="V14" s="29">
        <v>1516</v>
      </c>
      <c r="W14" s="29">
        <v>89423</v>
      </c>
      <c r="X14" s="29">
        <v>510</v>
      </c>
      <c r="Y14" s="29">
        <v>91449</v>
      </c>
      <c r="AA14" s="7" t="b">
        <f t="shared" si="1"/>
        <v>0</v>
      </c>
      <c r="AC14" s="34" t="str">
        <f>HYPERLINK("#일위대가_호표!A20","HX0024 →")</f>
        <v>HX0024 →</v>
      </c>
    </row>
    <row r="15" spans="1:29" ht="23.25" customHeight="1" x14ac:dyDescent="0.15">
      <c r="A15" s="189" t="str">
        <f>'일위대가_호표(신규)'!A1934</f>
        <v>No.13  데크계단B</v>
      </c>
      <c r="B15" s="221" t="str">
        <f>'일위대가_호표(신규)'!B1934</f>
        <v>W1500xH150</v>
      </c>
      <c r="C15" s="190">
        <f>'일위대가_호표(신규)'!C1934</f>
        <v>1</v>
      </c>
      <c r="D15" s="190" t="str">
        <f>'일위대가_호표(신규)'!D1934</f>
        <v>개소</v>
      </c>
      <c r="E15" s="62">
        <f t="shared" si="0"/>
        <v>4079250</v>
      </c>
      <c r="F15" s="62">
        <f>'일위대가_호표(신규)'!H1953</f>
        <v>900792</v>
      </c>
      <c r="G15" s="62"/>
      <c r="H15" s="62">
        <f>'일위대가_호표(신규)'!J1953</f>
        <v>3124391</v>
      </c>
      <c r="I15" s="62"/>
      <c r="J15" s="62">
        <f>'일위대가_호표(신규)'!L1953</f>
        <v>54067</v>
      </c>
      <c r="K15" s="20" t="s">
        <v>2856</v>
      </c>
      <c r="L15" t="s">
        <v>2856</v>
      </c>
      <c r="M15" t="s">
        <v>578</v>
      </c>
      <c r="N15" t="s">
        <v>1778</v>
      </c>
      <c r="V15" s="29">
        <v>933</v>
      </c>
      <c r="W15" s="29">
        <v>58396</v>
      </c>
      <c r="X15" s="29">
        <v>354</v>
      </c>
      <c r="Y15" s="29">
        <v>59683</v>
      </c>
      <c r="AA15" s="7" t="b">
        <f t="shared" si="1"/>
        <v>0</v>
      </c>
      <c r="AC15" s="34" t="str">
        <f>HYPERLINK("#일위대가_호표!A24","HX0025 →")</f>
        <v>HX0025 →</v>
      </c>
    </row>
    <row r="16" spans="1:29" ht="23.25" customHeight="1" x14ac:dyDescent="0.15">
      <c r="A16" s="189" t="str">
        <f>'일위대가_호표(신규)'!A1955</f>
        <v>No.14  데크계단C</v>
      </c>
      <c r="B16" s="221" t="str">
        <f>'일위대가_호표(신규)'!B1955</f>
        <v>W2000xH150</v>
      </c>
      <c r="C16" s="190">
        <f>'일위대가_호표(신규)'!C1955</f>
        <v>1</v>
      </c>
      <c r="D16" s="190" t="str">
        <f>'일위대가_호표(신규)'!D1955</f>
        <v>개소</v>
      </c>
      <c r="E16" s="62">
        <f t="shared" si="0"/>
        <v>5469058</v>
      </c>
      <c r="F16" s="62">
        <f>'일위대가_호표(신규)'!H1974</f>
        <v>1183819</v>
      </c>
      <c r="G16" s="62"/>
      <c r="H16" s="62">
        <f>'일위대가_호표(신규)'!J1974</f>
        <v>4215342</v>
      </c>
      <c r="I16" s="62"/>
      <c r="J16" s="62">
        <f>'일위대가_호표(신규)'!L1974</f>
        <v>69897</v>
      </c>
      <c r="K16" s="20" t="s">
        <v>2856</v>
      </c>
      <c r="L16" t="s">
        <v>2856</v>
      </c>
      <c r="M16" t="s">
        <v>1578</v>
      </c>
      <c r="N16" t="s">
        <v>1778</v>
      </c>
      <c r="V16" s="29">
        <v>891</v>
      </c>
      <c r="W16" s="29">
        <v>58257</v>
      </c>
      <c r="X16" s="29">
        <v>300</v>
      </c>
      <c r="Y16" s="29">
        <v>59448</v>
      </c>
      <c r="AA16" s="7" t="b">
        <f t="shared" si="1"/>
        <v>0</v>
      </c>
      <c r="AC16" s="34" t="str">
        <f>HYPERLINK("#일위대가_호표!A28","HX0026 →")</f>
        <v>HX0026 →</v>
      </c>
    </row>
    <row r="17" spans="1:29" ht="23.25" customHeight="1" x14ac:dyDescent="0.15">
      <c r="A17" s="189" t="str">
        <f>'일위대가_호표(신규)'!A1976</f>
        <v>No.15  데크계단D</v>
      </c>
      <c r="B17" s="221" t="str">
        <f>'일위대가_호표(신규)'!B1976</f>
        <v>W1500xH150</v>
      </c>
      <c r="C17" s="190">
        <f>'일위대가_호표(신규)'!C1976</f>
        <v>1</v>
      </c>
      <c r="D17" s="190" t="str">
        <f>'일위대가_호표(신규)'!D1976</f>
        <v>개소</v>
      </c>
      <c r="E17" s="62">
        <f t="shared" si="0"/>
        <v>1928415</v>
      </c>
      <c r="F17" s="62">
        <f>'일위대가_호표(신규)'!H1995</f>
        <v>409658</v>
      </c>
      <c r="G17" s="62"/>
      <c r="H17" s="62">
        <f>'일위대가_호표(신규)'!J1995</f>
        <v>1493730</v>
      </c>
      <c r="I17" s="62"/>
      <c r="J17" s="62">
        <f>'일위대가_호표(신규)'!L1995</f>
        <v>25027</v>
      </c>
      <c r="K17" s="20" t="s">
        <v>2856</v>
      </c>
      <c r="L17" t="s">
        <v>2856</v>
      </c>
      <c r="M17" t="s">
        <v>278</v>
      </c>
      <c r="N17" t="s">
        <v>1778</v>
      </c>
      <c r="V17" s="29">
        <v>469</v>
      </c>
      <c r="W17" s="29">
        <v>34684</v>
      </c>
      <c r="X17" s="29">
        <v>155</v>
      </c>
      <c r="Y17" s="29">
        <v>35308</v>
      </c>
      <c r="AA17" s="7" t="b">
        <f t="shared" si="1"/>
        <v>0</v>
      </c>
      <c r="AC17" s="34" t="str">
        <f>HYPERLINK("#일위대가_호표!A32","HX0027 →")</f>
        <v>HX0027 →</v>
      </c>
    </row>
    <row r="18" spans="1:29" ht="23.25" customHeight="1" x14ac:dyDescent="0.15">
      <c r="A18" s="189" t="str">
        <f>'일위대가_호표(신규)'!A1997</f>
        <v>No.16  데크계단E</v>
      </c>
      <c r="B18" s="221" t="str">
        <f>'일위대가_호표(신규)'!B1997</f>
        <v>W2000xH150</v>
      </c>
      <c r="C18" s="190">
        <f>'일위대가_호표(신규)'!C1997</f>
        <v>1</v>
      </c>
      <c r="D18" s="190" t="str">
        <f>'일위대가_호표(신규)'!D1997</f>
        <v>개소</v>
      </c>
      <c r="E18" s="62">
        <f t="shared" si="0"/>
        <v>1312622</v>
      </c>
      <c r="F18" s="62">
        <f>'일위대가_호표(신규)'!H2016</f>
        <v>280532</v>
      </c>
      <c r="G18" s="62"/>
      <c r="H18" s="62">
        <f>'일위대가_호표(신규)'!J2016</f>
        <v>1014857</v>
      </c>
      <c r="I18" s="62"/>
      <c r="J18" s="62">
        <f>'일위대가_호표(신규)'!L2016</f>
        <v>17233</v>
      </c>
      <c r="K18" s="20" t="s">
        <v>2856</v>
      </c>
      <c r="L18" t="s">
        <v>2856</v>
      </c>
      <c r="M18" t="s">
        <v>1528</v>
      </c>
      <c r="N18" t="s">
        <v>1778</v>
      </c>
      <c r="V18" s="29">
        <v>713</v>
      </c>
      <c r="W18" s="29">
        <v>48243</v>
      </c>
      <c r="X18" s="29">
        <v>240</v>
      </c>
      <c r="Y18" s="29">
        <v>49196</v>
      </c>
      <c r="AA18" s="7" t="b">
        <f t="shared" si="1"/>
        <v>0</v>
      </c>
      <c r="AC18" s="34" t="str">
        <f>HYPERLINK("#일위대가_호표!A36","HX0028 →")</f>
        <v>HX0028 →</v>
      </c>
    </row>
    <row r="19" spans="1:29" ht="23.25" customHeight="1" x14ac:dyDescent="0.15">
      <c r="A19" s="189" t="str">
        <f>'일위대가_호표(신규)'!A2018</f>
        <v>No.17  데크계단F</v>
      </c>
      <c r="B19" s="221" t="str">
        <f>'일위대가_호표(신규)'!B2018</f>
        <v>W1500xH150</v>
      </c>
      <c r="C19" s="190">
        <f>'일위대가_호표(신규)'!C2018</f>
        <v>1</v>
      </c>
      <c r="D19" s="190" t="str">
        <f>'일위대가_호표(신규)'!D2018</f>
        <v>개소</v>
      </c>
      <c r="E19" s="62">
        <f t="shared" si="0"/>
        <v>3851067</v>
      </c>
      <c r="F19" s="62">
        <f>'일위대가_호표(신규)'!H2037</f>
        <v>840643</v>
      </c>
      <c r="G19" s="62"/>
      <c r="H19" s="62">
        <f>'일위대가_호표(신규)'!J2037</f>
        <v>2958818</v>
      </c>
      <c r="I19" s="62"/>
      <c r="J19" s="62">
        <f>'일위대가_호표(신규)'!L2037</f>
        <v>51606</v>
      </c>
      <c r="K19" s="20" t="s">
        <v>2856</v>
      </c>
      <c r="L19" t="s">
        <v>2856</v>
      </c>
      <c r="M19" t="s">
        <v>340</v>
      </c>
      <c r="N19" t="s">
        <v>1778</v>
      </c>
      <c r="V19" s="29">
        <v>469</v>
      </c>
      <c r="W19" s="29">
        <v>34684</v>
      </c>
      <c r="X19" s="29">
        <v>155</v>
      </c>
      <c r="Y19" s="29">
        <v>35308</v>
      </c>
      <c r="AA19" s="7" t="b">
        <f t="shared" si="1"/>
        <v>0</v>
      </c>
      <c r="AC19" s="34" t="str">
        <f>HYPERLINK("#일위대가_호표!A40","HX0029 →")</f>
        <v>HX0029 →</v>
      </c>
    </row>
    <row r="20" spans="1:29" ht="23.25" customHeight="1" x14ac:dyDescent="0.15">
      <c r="A20" s="189" t="str">
        <f>'일위대가_호표(신규)'!A2039</f>
        <v>No.18  데크계단G</v>
      </c>
      <c r="B20" s="221" t="str">
        <f>'일위대가_호표(신규)'!B2039</f>
        <v>W1500xH150</v>
      </c>
      <c r="C20" s="190">
        <f>'일위대가_호표(신규)'!C2039</f>
        <v>1</v>
      </c>
      <c r="D20" s="190" t="str">
        <f>'일위대가_호표(신규)'!D2039</f>
        <v>개소</v>
      </c>
      <c r="E20" s="62">
        <f t="shared" si="0"/>
        <v>712852</v>
      </c>
      <c r="F20" s="62">
        <f>'일위대가_호표(신규)'!H2058</f>
        <v>157522</v>
      </c>
      <c r="G20" s="62"/>
      <c r="H20" s="62">
        <f>'일위대가_호표(신규)'!J2058</f>
        <v>545409</v>
      </c>
      <c r="I20" s="62"/>
      <c r="J20" s="62">
        <f>'일위대가_호표(신규)'!L2058</f>
        <v>9921</v>
      </c>
      <c r="K20" s="20" t="s">
        <v>2856</v>
      </c>
      <c r="L20" t="s">
        <v>2856</v>
      </c>
      <c r="M20" t="s">
        <v>2791</v>
      </c>
      <c r="N20" t="s">
        <v>1778</v>
      </c>
      <c r="V20" s="29">
        <v>936</v>
      </c>
      <c r="W20" s="29">
        <v>14018</v>
      </c>
      <c r="X20" s="29">
        <v>1079</v>
      </c>
      <c r="Y20" s="29">
        <v>16033</v>
      </c>
      <c r="AA20" s="7" t="b">
        <f t="shared" si="1"/>
        <v>0</v>
      </c>
      <c r="AC20" s="34" t="str">
        <f>HYPERLINK("#일위대가_호표!A44","HX0030 →")</f>
        <v>HX0030 →</v>
      </c>
    </row>
    <row r="21" spans="1:29" ht="23.25" customHeight="1" x14ac:dyDescent="0.15">
      <c r="A21" s="189" t="str">
        <f>'일위대가_호표(신규)'!A2067</f>
        <v>No.19  계류</v>
      </c>
      <c r="B21" s="221" t="str">
        <f>'일위대가_호표(신규)'!B2067</f>
        <v>A=180.0m2</v>
      </c>
      <c r="C21" s="190">
        <f>'일위대가_호표(신규)'!C2067</f>
        <v>1</v>
      </c>
      <c r="D21" s="190" t="str">
        <f>'일위대가_호표(신규)'!D2067</f>
        <v>개소</v>
      </c>
      <c r="E21" s="62">
        <f t="shared" si="0"/>
        <v>40891860</v>
      </c>
      <c r="F21" s="62">
        <f>'일위대가_호표(신규)'!H2083</f>
        <v>16257101</v>
      </c>
      <c r="G21" s="62"/>
      <c r="H21" s="62">
        <f>'일위대가_호표(신규)'!J2083</f>
        <v>21248077</v>
      </c>
      <c r="I21" s="62"/>
      <c r="J21" s="62">
        <f>'일위대가_호표(신규)'!L2083</f>
        <v>3386682</v>
      </c>
      <c r="K21" s="20" t="s">
        <v>2856</v>
      </c>
      <c r="L21" t="s">
        <v>2856</v>
      </c>
      <c r="M21" t="s">
        <v>1212</v>
      </c>
      <c r="N21" t="s">
        <v>1778</v>
      </c>
      <c r="V21" s="29">
        <v>713</v>
      </c>
      <c r="W21" s="29">
        <v>48243</v>
      </c>
      <c r="X21" s="29">
        <v>240</v>
      </c>
      <c r="Y21" s="29">
        <v>49196</v>
      </c>
      <c r="AA21" s="7" t="b">
        <f t="shared" si="1"/>
        <v>0</v>
      </c>
      <c r="AC21" s="34" t="str">
        <f>HYPERLINK("#일위대가_호표!A48","HX0031 →")</f>
        <v>HX0031 →</v>
      </c>
    </row>
    <row r="22" spans="1:29" ht="23.25" customHeight="1" x14ac:dyDescent="0.15">
      <c r="A22" s="189" t="str">
        <f>'일위대가_호표(신규)'!A2102</f>
        <v>No.20  휴게데크C</v>
      </c>
      <c r="B22" s="221" t="str">
        <f>'일위대가_호표(신규)'!B2102</f>
        <v>A=84.0m2</v>
      </c>
      <c r="C22" s="190">
        <f>'일위대가_호표(신규)'!C2102</f>
        <v>1</v>
      </c>
      <c r="D22" s="190" t="str">
        <f>'일위대가_호표(신규)'!D2102</f>
        <v>개소</v>
      </c>
      <c r="E22" s="62">
        <f t="shared" si="0"/>
        <v>13940815</v>
      </c>
      <c r="F22" s="62">
        <f>'일위대가_호표(신규)'!H2123</f>
        <v>3116792</v>
      </c>
      <c r="G22" s="62"/>
      <c r="H22" s="62">
        <f>'일위대가_호표(신규)'!J2123</f>
        <v>10667291</v>
      </c>
      <c r="I22" s="62"/>
      <c r="J22" s="62">
        <f>'일위대가_호표(신규)'!L2123</f>
        <v>156732</v>
      </c>
      <c r="K22" s="20" t="s">
        <v>2856</v>
      </c>
      <c r="L22" t="s">
        <v>2856</v>
      </c>
      <c r="M22" t="s">
        <v>2391</v>
      </c>
      <c r="N22" t="s">
        <v>1778</v>
      </c>
      <c r="V22" s="29">
        <v>870</v>
      </c>
      <c r="W22" s="29">
        <v>36001</v>
      </c>
      <c r="X22" s="29">
        <v>664</v>
      </c>
      <c r="Y22" s="29">
        <v>37535</v>
      </c>
      <c r="AA22" s="7" t="b">
        <f t="shared" si="1"/>
        <v>0</v>
      </c>
      <c r="AC22" s="34" t="str">
        <f>HYPERLINK("#일위대가_호표!A52","HX0032 →")</f>
        <v>HX0032 →</v>
      </c>
    </row>
    <row r="23" spans="1:29" ht="23.25" customHeight="1" x14ac:dyDescent="0.15">
      <c r="A23" s="189" t="str">
        <f>'일위대가_호표(신규)'!A2137</f>
        <v>No.21  점자블럭(점형)</v>
      </c>
      <c r="B23" s="221" t="str">
        <f>'일위대가_호표(신규)'!B2137</f>
        <v>T60</v>
      </c>
      <c r="C23" s="190">
        <f>'일위대가_호표(신규)'!C2137</f>
        <v>1</v>
      </c>
      <c r="D23" s="190" t="str">
        <f>'일위대가_호표(신규)'!D2137</f>
        <v>EA</v>
      </c>
      <c r="E23" s="62">
        <f t="shared" si="0"/>
        <v>6234</v>
      </c>
      <c r="F23" s="62">
        <f>'일위대가_호표(신규)'!H2146</f>
        <v>4768</v>
      </c>
      <c r="G23" s="62"/>
      <c r="H23" s="62">
        <f>'일위대가_호표(신규)'!J2146</f>
        <v>766</v>
      </c>
      <c r="I23" s="62"/>
      <c r="J23" s="62">
        <f>'일위대가_호표(신규)'!L2146</f>
        <v>700</v>
      </c>
      <c r="K23" s="20" t="s">
        <v>2856</v>
      </c>
      <c r="L23" t="s">
        <v>2856</v>
      </c>
      <c r="M23" t="s">
        <v>702</v>
      </c>
      <c r="N23" t="s">
        <v>1778</v>
      </c>
      <c r="V23" s="29">
        <v>891</v>
      </c>
      <c r="W23" s="29">
        <v>58257</v>
      </c>
      <c r="X23" s="29">
        <v>300</v>
      </c>
      <c r="Y23" s="29">
        <v>59448</v>
      </c>
      <c r="AA23" s="7" t="b">
        <f t="shared" si="1"/>
        <v>0</v>
      </c>
      <c r="AC23" s="34" t="str">
        <f>HYPERLINK("#일위대가_호표!A56","HX0033 →")</f>
        <v>HX0033 →</v>
      </c>
    </row>
    <row r="24" spans="1:29" ht="23.25" customHeight="1" x14ac:dyDescent="0.15">
      <c r="A24" s="189" t="str">
        <f>'일위대가_호표(신규)'!A2148</f>
        <v>No.22  점자블럭(선형)</v>
      </c>
      <c r="B24" s="221" t="str">
        <f>'일위대가_호표(신규)'!B2148</f>
        <v>T60</v>
      </c>
      <c r="C24" s="190">
        <f>'일위대가_호표(신규)'!C2148</f>
        <v>1</v>
      </c>
      <c r="D24" s="190" t="str">
        <f>'일위대가_호표(신규)'!D2148</f>
        <v>EA</v>
      </c>
      <c r="E24" s="62">
        <f t="shared" si="0"/>
        <v>6234</v>
      </c>
      <c r="F24" s="62">
        <f>'일위대가_호표(신규)'!H2157</f>
        <v>4768</v>
      </c>
      <c r="G24" s="62"/>
      <c r="H24" s="62">
        <f>'일위대가_호표(신규)'!J2157</f>
        <v>766</v>
      </c>
      <c r="I24" s="62"/>
      <c r="J24" s="62">
        <f>'일위대가_호표(신규)'!L2157</f>
        <v>700</v>
      </c>
      <c r="K24" s="20" t="s">
        <v>2856</v>
      </c>
      <c r="L24" t="s">
        <v>2856</v>
      </c>
      <c r="M24" t="s">
        <v>2540</v>
      </c>
      <c r="N24" t="s">
        <v>1778</v>
      </c>
      <c r="V24" s="29">
        <v>369</v>
      </c>
      <c r="W24" s="29">
        <v>28284</v>
      </c>
      <c r="X24" s="29">
        <v>145</v>
      </c>
      <c r="Y24" s="29">
        <v>28798</v>
      </c>
      <c r="AA24" s="7" t="b">
        <f t="shared" si="1"/>
        <v>0</v>
      </c>
      <c r="AC24" s="34" t="str">
        <f>HYPERLINK("#일위대가_호표!A60","HX0034 →")</f>
        <v>HX0034 →</v>
      </c>
    </row>
    <row r="25" spans="1:29" ht="23.25" customHeight="1" x14ac:dyDescent="0.15">
      <c r="A25" s="217" t="str">
        <f>'일위대가_호표(신규)'!A2159</f>
        <v>No.23 낙엽수 조형전정(1회)</v>
      </c>
      <c r="B25" s="222" t="str">
        <f>'일위대가_호표(신규)'!B2159</f>
        <v xml:space="preserve">B11(R13)미만 </v>
      </c>
      <c r="C25" s="190">
        <v>1</v>
      </c>
      <c r="D25" s="190" t="s">
        <v>3193</v>
      </c>
      <c r="E25" s="62">
        <f t="shared" si="0"/>
        <v>24008</v>
      </c>
      <c r="F25" s="62">
        <f>'일위대가_호표(신규)'!H2163</f>
        <v>0</v>
      </c>
      <c r="G25" s="62"/>
      <c r="H25" s="62">
        <f>'일위대가_호표(신규)'!J2163</f>
        <v>23538</v>
      </c>
      <c r="I25" s="62"/>
      <c r="J25" s="62">
        <f>'일위대가_호표(신규)'!L2163</f>
        <v>470</v>
      </c>
      <c r="K25" s="20" t="s">
        <v>2856</v>
      </c>
      <c r="L25" t="s">
        <v>2856</v>
      </c>
      <c r="M25" t="s">
        <v>1318</v>
      </c>
      <c r="N25" t="s">
        <v>1778</v>
      </c>
      <c r="V25" s="29">
        <v>238</v>
      </c>
      <c r="W25" s="29">
        <v>21912</v>
      </c>
      <c r="X25" s="29">
        <v>84</v>
      </c>
      <c r="Y25" s="29">
        <v>22234</v>
      </c>
      <c r="AA25" s="7" t="b">
        <f t="shared" si="1"/>
        <v>0</v>
      </c>
      <c r="AC25" s="34" t="str">
        <f>HYPERLINK("#일위대가_호표!A64","HX0035 →")</f>
        <v>HX0035 →</v>
      </c>
    </row>
    <row r="26" spans="1:29" ht="23.25" customHeight="1" x14ac:dyDescent="0.15">
      <c r="A26" s="217" t="str">
        <f>'일위대가_호표(신규)'!A2165</f>
        <v>No.24 낙엽수 조형전정(1회)</v>
      </c>
      <c r="B26" s="222" t="str">
        <f>'일위대가_호표(신규)'!B2165</f>
        <v xml:space="preserve">B11~21미만(R13~25미만) </v>
      </c>
      <c r="C26" s="190">
        <v>1</v>
      </c>
      <c r="D26" s="190" t="s">
        <v>3193</v>
      </c>
      <c r="E26" s="62">
        <f t="shared" si="0"/>
        <v>31009</v>
      </c>
      <c r="F26" s="62">
        <f>'일위대가_호표(신규)'!H2170</f>
        <v>1118</v>
      </c>
      <c r="G26" s="62"/>
      <c r="H26" s="62">
        <f>'일위대가_호표(신규)'!J2170</f>
        <v>27414</v>
      </c>
      <c r="I26" s="62"/>
      <c r="J26" s="62">
        <f>'일위대가_호표(신규)'!L2170</f>
        <v>2477</v>
      </c>
      <c r="K26" s="20"/>
      <c r="V26" s="29"/>
      <c r="W26" s="29"/>
      <c r="X26" s="29"/>
      <c r="Y26" s="29"/>
      <c r="AA26" s="7"/>
      <c r="AC26" s="34"/>
    </row>
    <row r="27" spans="1:29" ht="23.25" customHeight="1" x14ac:dyDescent="0.15">
      <c r="A27" s="217" t="str">
        <f>'일위대가_호표(신규)'!A2172</f>
        <v>No.25 낙엽수 조형전정(1회)</v>
      </c>
      <c r="B27" s="222" t="str">
        <f>'일위대가_호표(신규)'!B2172</f>
        <v>B21~31미만(R25~37미만)</v>
      </c>
      <c r="C27" s="190">
        <v>1</v>
      </c>
      <c r="D27" s="190" t="s">
        <v>3193</v>
      </c>
      <c r="E27" s="62">
        <f t="shared" si="0"/>
        <v>49825</v>
      </c>
      <c r="F27" s="62">
        <f>'일위대가_호표(신규)'!H2177</f>
        <v>1721</v>
      </c>
      <c r="G27" s="62"/>
      <c r="H27" s="62">
        <f>'일위대가_호표(신규)'!J2177</f>
        <v>44251</v>
      </c>
      <c r="I27" s="62"/>
      <c r="J27" s="62">
        <f>'일위대가_호표(신규)'!L2177</f>
        <v>3853</v>
      </c>
      <c r="K27" s="20"/>
      <c r="V27" s="29"/>
      <c r="W27" s="29"/>
      <c r="X27" s="29"/>
      <c r="Y27" s="29"/>
      <c r="AA27" s="7"/>
      <c r="AC27" s="34"/>
    </row>
    <row r="28" spans="1:29" ht="23.25" customHeight="1" x14ac:dyDescent="0.15">
      <c r="A28" s="217" t="str">
        <f>'일위대가_호표(신규)'!A2179</f>
        <v>No.26 낙엽수 조형전정(1회)</v>
      </c>
      <c r="B28" s="222" t="str">
        <f>'일위대가_호표(신규)'!B2179</f>
        <v xml:space="preserve">B31~41미만(R37~49미만) </v>
      </c>
      <c r="C28" s="190">
        <v>1</v>
      </c>
      <c r="D28" s="190" t="s">
        <v>3193</v>
      </c>
      <c r="E28" s="62">
        <f t="shared" si="0"/>
        <v>83388</v>
      </c>
      <c r="F28" s="62">
        <f>'일위대가_호표(신규)'!H2184</f>
        <v>2882</v>
      </c>
      <c r="G28" s="62"/>
      <c r="H28" s="62">
        <f>'일위대가_호표(신규)'!J2184</f>
        <v>74054</v>
      </c>
      <c r="I28" s="62"/>
      <c r="J28" s="62">
        <f>'일위대가_호표(신규)'!L2184</f>
        <v>6452</v>
      </c>
      <c r="K28" s="20"/>
      <c r="V28" s="29"/>
      <c r="W28" s="29"/>
      <c r="X28" s="29"/>
      <c r="Y28" s="29"/>
      <c r="AA28" s="7"/>
      <c r="AC28" s="34"/>
    </row>
    <row r="29" spans="1:29" ht="23.25" customHeight="1" x14ac:dyDescent="0.15">
      <c r="A29" s="217" t="str">
        <f>'일위대가_호표(신규)'!A2186</f>
        <v>No.27 낙엽수 조형전정(1회)</v>
      </c>
      <c r="B29" s="222" t="str">
        <f>'일위대가_호표(신규)'!B2186</f>
        <v xml:space="preserve">B41~51미만(R49~61미만) </v>
      </c>
      <c r="C29" s="190">
        <v>1</v>
      </c>
      <c r="D29" s="190" t="s">
        <v>3193</v>
      </c>
      <c r="E29" s="62">
        <f t="shared" si="0"/>
        <v>125318</v>
      </c>
      <c r="F29" s="62">
        <f>'일위대가_호표(신규)'!H2191</f>
        <v>4302</v>
      </c>
      <c r="G29" s="62"/>
      <c r="H29" s="62">
        <f>'일위대가_호표(신규)'!J2191</f>
        <v>111369</v>
      </c>
      <c r="I29" s="62"/>
      <c r="J29" s="62">
        <f>'일위대가_호표(신규)'!L2191</f>
        <v>9647</v>
      </c>
      <c r="K29" s="20"/>
      <c r="V29" s="29"/>
      <c r="W29" s="29"/>
      <c r="X29" s="29"/>
      <c r="Y29" s="29"/>
      <c r="AA29" s="7"/>
      <c r="AC29" s="34"/>
    </row>
    <row r="30" spans="1:29" ht="23.25" customHeight="1" x14ac:dyDescent="0.15">
      <c r="A30" s="217" t="str">
        <f>'일위대가_호표(신규)'!A2193</f>
        <v>No.28 상록수  조형전정(1회)</v>
      </c>
      <c r="B30" s="222" t="str">
        <f>'일위대가_호표(신규)'!B2193</f>
        <v xml:space="preserve">B11(R13)미만 </v>
      </c>
      <c r="C30" s="190">
        <v>1</v>
      </c>
      <c r="D30" s="190" t="s">
        <v>3193</v>
      </c>
      <c r="E30" s="62">
        <f t="shared" si="0"/>
        <v>19625</v>
      </c>
      <c r="F30" s="62">
        <f>'일위대가_호표(신규)'!H2197</f>
        <v>0</v>
      </c>
      <c r="G30" s="62"/>
      <c r="H30" s="62">
        <f>'일위대가_호표(신규)'!J2197</f>
        <v>19625</v>
      </c>
      <c r="I30" s="62"/>
      <c r="J30" s="62">
        <f>'일위대가_호표(신규)'!L2197</f>
        <v>0</v>
      </c>
      <c r="K30" s="20"/>
      <c r="V30" s="29"/>
      <c r="W30" s="29"/>
      <c r="X30" s="29"/>
      <c r="Y30" s="29"/>
      <c r="AA30" s="7"/>
      <c r="AC30" s="34"/>
    </row>
    <row r="31" spans="1:29" ht="23.25" customHeight="1" x14ac:dyDescent="0.15">
      <c r="A31" s="217" t="str">
        <f>'일위대가_호표(신규)'!A2199</f>
        <v>No.29 상록수  조형전정(1회)</v>
      </c>
      <c r="B31" s="222" t="str">
        <f>'일위대가_호표(신규)'!B2199</f>
        <v xml:space="preserve">B11~21미만(R13~25미만) </v>
      </c>
      <c r="C31" s="190">
        <v>1</v>
      </c>
      <c r="D31" s="190" t="s">
        <v>3193</v>
      </c>
      <c r="E31" s="62">
        <f t="shared" si="0"/>
        <v>28779</v>
      </c>
      <c r="F31" s="62">
        <f>'일위대가_호표(신규)'!H2204</f>
        <v>946</v>
      </c>
      <c r="G31" s="62"/>
      <c r="H31" s="62">
        <f>'일위대가_호표(신규)'!J2204</f>
        <v>25687</v>
      </c>
      <c r="I31" s="62"/>
      <c r="J31" s="62">
        <f>'일위대가_호표(신규)'!L2204</f>
        <v>2146</v>
      </c>
      <c r="K31" s="20"/>
      <c r="V31" s="29"/>
      <c r="W31" s="29"/>
      <c r="X31" s="29"/>
      <c r="Y31" s="29"/>
      <c r="AA31" s="7"/>
      <c r="AC31" s="34"/>
    </row>
    <row r="32" spans="1:29" ht="23.25" customHeight="1" x14ac:dyDescent="0.15">
      <c r="A32" s="217" t="str">
        <f>'일위대가_호표(신규)'!A2206</f>
        <v>No.30 상록수  조형전정(1회)</v>
      </c>
      <c r="B32" s="222" t="str">
        <f>'일위대가_호표(신규)'!B2206</f>
        <v>B21~31미만(R25~37미만)</v>
      </c>
      <c r="C32" s="190">
        <v>1</v>
      </c>
      <c r="D32" s="190" t="s">
        <v>3193</v>
      </c>
      <c r="E32" s="62">
        <f t="shared" si="0"/>
        <v>43528</v>
      </c>
      <c r="F32" s="62">
        <f>'일위대가_호표(신규)'!H2211</f>
        <v>1505</v>
      </c>
      <c r="G32" s="62"/>
      <c r="H32" s="62">
        <f>'일위대가_호표(신규)'!J2211</f>
        <v>38653</v>
      </c>
      <c r="I32" s="62"/>
      <c r="J32" s="62">
        <f>'일위대가_호표(신규)'!L2211</f>
        <v>3370</v>
      </c>
      <c r="K32" s="20" t="s">
        <v>2856</v>
      </c>
      <c r="L32" t="s">
        <v>2856</v>
      </c>
      <c r="M32" t="s">
        <v>2315</v>
      </c>
      <c r="N32" t="s">
        <v>1778</v>
      </c>
      <c r="V32" s="29">
        <v>217</v>
      </c>
      <c r="W32" s="29">
        <v>21842</v>
      </c>
      <c r="X32" s="29">
        <v>57</v>
      </c>
      <c r="Y32" s="29">
        <v>22116</v>
      </c>
      <c r="AA32" s="7" t="b">
        <f>EXACT($E32,$Y32)</f>
        <v>0</v>
      </c>
      <c r="AC32" s="34" t="str">
        <f>HYPERLINK("#일위대가_호표!A68","HX0036 →")</f>
        <v>HX0036 →</v>
      </c>
    </row>
    <row r="33" spans="1:29" ht="23.25" customHeight="1" x14ac:dyDescent="0.15">
      <c r="A33" s="217" t="str">
        <f>'일위대가_호표(신규)'!A2213</f>
        <v>No.31 상록수  조형전정(1회)</v>
      </c>
      <c r="B33" s="222" t="str">
        <f>'일위대가_호표(신규)'!B2213</f>
        <v xml:space="preserve">B31~41미만(R37~49미만) </v>
      </c>
      <c r="C33" s="190">
        <v>1</v>
      </c>
      <c r="D33" s="190" t="s">
        <v>3193</v>
      </c>
      <c r="E33" s="62">
        <f t="shared" si="0"/>
        <v>70312</v>
      </c>
      <c r="F33" s="62">
        <f>'일위대가_호표(신규)'!H2218</f>
        <v>2452</v>
      </c>
      <c r="G33" s="62"/>
      <c r="H33" s="62">
        <f>'일위대가_호표(신규)'!J2218</f>
        <v>62383</v>
      </c>
      <c r="I33" s="62"/>
      <c r="J33" s="62">
        <f>'일위대가_호표(신규)'!L2218</f>
        <v>5477</v>
      </c>
      <c r="K33" s="20" t="s">
        <v>2856</v>
      </c>
      <c r="L33" t="s">
        <v>2856</v>
      </c>
      <c r="M33" t="s">
        <v>1016</v>
      </c>
      <c r="N33" t="s">
        <v>1778</v>
      </c>
      <c r="V33" s="29">
        <v>114</v>
      </c>
      <c r="W33" s="29">
        <v>11314</v>
      </c>
      <c r="X33" s="29">
        <v>35</v>
      </c>
      <c r="Y33" s="29">
        <v>11463</v>
      </c>
      <c r="AA33" s="7" t="b">
        <f>EXACT($E33,$Y33)</f>
        <v>0</v>
      </c>
      <c r="AC33" s="34" t="str">
        <f>HYPERLINK("#일위대가_호표!A72","HX0037 →")</f>
        <v>HX0037 →</v>
      </c>
    </row>
  </sheetData>
  <mergeCells count="1">
    <mergeCell ref="A1:K1"/>
  </mergeCells>
  <phoneticPr fontId="6" type="noConversion"/>
  <printOptions horizontalCentered="1"/>
  <pageMargins left="0.31496062992125984" right="0.31496062992125984" top="0.98425196850393704" bottom="0.59055118110236227" header="0.51181102362204722" footer="0.51181102362204722"/>
  <pageSetup paperSize="9" scale="9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B395-1440-450E-9805-A3383E4862D7}">
  <sheetPr>
    <tabColor rgb="FFEE0000"/>
  </sheetPr>
  <dimension ref="A1:BL2230"/>
  <sheetViews>
    <sheetView showZeros="0" view="pageBreakPreview" zoomScaleNormal="110" zoomScaleSheetLayoutView="100" workbookViewId="0">
      <pane ySplit="3" topLeftCell="A1156" activePane="bottomLeft" state="frozen"/>
      <selection activeCell="F23" sqref="F23"/>
      <selection pane="bottomLeft" activeCell="F23" sqref="F23"/>
    </sheetView>
  </sheetViews>
  <sheetFormatPr defaultRowHeight="18.399999999999999" customHeight="1" x14ac:dyDescent="0.15"/>
  <cols>
    <col min="1" max="1" width="28.33203125" customWidth="1"/>
    <col min="2" max="2" width="23.6640625" style="127" customWidth="1"/>
    <col min="3" max="3" width="8" customWidth="1"/>
    <col min="4" max="4" width="5" customWidth="1"/>
    <col min="5" max="10" width="13" customWidth="1"/>
    <col min="11" max="11" width="11.83203125" customWidth="1"/>
    <col min="12" max="12" width="11.6640625" customWidth="1"/>
    <col min="13" max="13" width="9.1640625" style="85" customWidth="1"/>
    <col min="14" max="59" width="0" hidden="1" customWidth="1"/>
    <col min="64" max="64" width="10.33203125" bestFit="1" customWidth="1"/>
  </cols>
  <sheetData>
    <row r="1" spans="1:61" ht="18.399999999999999" customHeight="1" x14ac:dyDescent="0.15">
      <c r="A1" t="s">
        <v>3239</v>
      </c>
    </row>
    <row r="2" spans="1:61" ht="18.399999999999999" customHeight="1" x14ac:dyDescent="0.15">
      <c r="A2" s="451" t="s">
        <v>452</v>
      </c>
      <c r="B2" s="452" t="s">
        <v>1273</v>
      </c>
      <c r="C2" s="451" t="s">
        <v>1657</v>
      </c>
      <c r="D2" s="451" t="s">
        <v>1060</v>
      </c>
      <c r="E2" s="451" t="s">
        <v>2761</v>
      </c>
      <c r="F2" s="451" t="s">
        <v>2856</v>
      </c>
      <c r="G2" s="451" t="s">
        <v>1952</v>
      </c>
      <c r="H2" s="451" t="s">
        <v>2856</v>
      </c>
      <c r="I2" s="451" t="s">
        <v>1158</v>
      </c>
      <c r="J2" s="451" t="s">
        <v>2856</v>
      </c>
      <c r="K2" s="451" t="s">
        <v>186</v>
      </c>
      <c r="L2" s="451" t="s">
        <v>2856</v>
      </c>
      <c r="M2" s="452" t="s">
        <v>726</v>
      </c>
    </row>
    <row r="3" spans="1:61" ht="18.399999999999999" customHeight="1" thickBot="1" x14ac:dyDescent="0.2">
      <c r="A3" s="454" t="s">
        <v>2856</v>
      </c>
      <c r="B3" s="453" t="s">
        <v>2856</v>
      </c>
      <c r="C3" s="454" t="s">
        <v>2856</v>
      </c>
      <c r="D3" s="454" t="s">
        <v>2856</v>
      </c>
      <c r="E3" s="183" t="s">
        <v>636</v>
      </c>
      <c r="F3" s="183" t="s">
        <v>360</v>
      </c>
      <c r="G3" s="183" t="s">
        <v>636</v>
      </c>
      <c r="H3" s="183" t="s">
        <v>360</v>
      </c>
      <c r="I3" s="183" t="s">
        <v>636</v>
      </c>
      <c r="J3" s="183" t="s">
        <v>360</v>
      </c>
      <c r="K3" s="183" t="s">
        <v>636</v>
      </c>
      <c r="L3" s="183" t="s">
        <v>360</v>
      </c>
      <c r="M3" s="453" t="s">
        <v>2856</v>
      </c>
      <c r="S3" s="1" t="s">
        <v>922</v>
      </c>
      <c r="T3" s="1" t="s">
        <v>2110</v>
      </c>
      <c r="U3" s="1" t="s">
        <v>985</v>
      </c>
      <c r="V3" s="1" t="s">
        <v>368</v>
      </c>
      <c r="W3" s="1" t="s">
        <v>169</v>
      </c>
      <c r="X3" s="1" t="s">
        <v>871</v>
      </c>
      <c r="Y3" s="1" t="s">
        <v>1944</v>
      </c>
    </row>
    <row r="4" spans="1:61" ht="18.399999999999999" hidden="1" customHeight="1" x14ac:dyDescent="0.15">
      <c r="A4" s="2" t="s">
        <v>1604</v>
      </c>
      <c r="B4" s="87" t="s">
        <v>144</v>
      </c>
      <c r="C4" s="2">
        <v>1</v>
      </c>
      <c r="D4" s="2" t="s">
        <v>556</v>
      </c>
      <c r="E4" s="184"/>
      <c r="F4" s="29">
        <f>H4+J4+L4</f>
        <v>11468</v>
      </c>
      <c r="G4" s="184"/>
      <c r="H4" s="29">
        <f>TRUNC(H5+H6,0)</f>
        <v>119</v>
      </c>
      <c r="I4" s="184"/>
      <c r="J4" s="29">
        <f>TRUNC(J5+J6,0)</f>
        <v>11314</v>
      </c>
      <c r="K4" s="184"/>
      <c r="L4" s="29">
        <f>TRUNC(L5+L6,0)</f>
        <v>35</v>
      </c>
      <c r="M4" s="86" t="s">
        <v>2856</v>
      </c>
      <c r="N4" t="s">
        <v>2856</v>
      </c>
      <c r="O4" t="s">
        <v>2095</v>
      </c>
    </row>
    <row r="5" spans="1:61" ht="18.399999999999999" hidden="1" customHeight="1" x14ac:dyDescent="0.15">
      <c r="A5" s="2" t="s">
        <v>210</v>
      </c>
      <c r="B5" s="87" t="s">
        <v>585</v>
      </c>
      <c r="C5" s="2">
        <v>1</v>
      </c>
      <c r="D5" s="2" t="s">
        <v>556</v>
      </c>
      <c r="E5" s="27">
        <f>G5+I5+K5</f>
        <v>11411</v>
      </c>
      <c r="F5" s="28">
        <f>H5+J5+L5</f>
        <v>11411</v>
      </c>
      <c r="G5" s="27">
        <f>일위대가목록!F203</f>
        <v>109</v>
      </c>
      <c r="H5" s="28">
        <f>TRUNC(G5*C5,1)</f>
        <v>109</v>
      </c>
      <c r="I5" s="27">
        <f>일위대가목록!H203</f>
        <v>11280</v>
      </c>
      <c r="J5" s="28">
        <f>TRUNC(I5*C5,1)</f>
        <v>11280</v>
      </c>
      <c r="K5" s="27">
        <f>일위대가목록!J203</f>
        <v>22</v>
      </c>
      <c r="L5" s="28">
        <f>TRUNC(K5*C5,1)</f>
        <v>22</v>
      </c>
      <c r="M5" s="86" t="s">
        <v>2856</v>
      </c>
      <c r="N5" t="s">
        <v>2856</v>
      </c>
      <c r="P5" t="s">
        <v>334</v>
      </c>
      <c r="Q5" t="s">
        <v>2856</v>
      </c>
      <c r="R5" t="s">
        <v>1579</v>
      </c>
      <c r="T5" t="s">
        <v>1778</v>
      </c>
      <c r="BI5" s="34" t="str">
        <f>HYPERLINK("#일위대가목록!A198","NT1015 →")</f>
        <v>NT1015 →</v>
      </c>
    </row>
    <row r="6" spans="1:61" ht="18.399999999999999" hidden="1" customHeight="1" x14ac:dyDescent="0.15">
      <c r="A6" s="2" t="s">
        <v>1701</v>
      </c>
      <c r="B6" s="87" t="s">
        <v>1482</v>
      </c>
      <c r="C6" s="2">
        <v>0.01</v>
      </c>
      <c r="D6" s="2" t="s">
        <v>2825</v>
      </c>
      <c r="E6" s="27">
        <f>G6+I6+K6</f>
        <v>5859</v>
      </c>
      <c r="F6" s="28">
        <f>H6+J6+L6</f>
        <v>58.400000000000006</v>
      </c>
      <c r="G6" s="27">
        <f>일위대가목록!F3</f>
        <v>1054</v>
      </c>
      <c r="H6" s="28">
        <f>TRUNC(G6*C6,1)</f>
        <v>10.5</v>
      </c>
      <c r="I6" s="27">
        <f>일위대가목록!H3</f>
        <v>3467</v>
      </c>
      <c r="J6" s="28">
        <f>TRUNC(I6*C6,1)</f>
        <v>34.6</v>
      </c>
      <c r="K6" s="27">
        <f>일위대가목록!J3</f>
        <v>1338</v>
      </c>
      <c r="L6" s="28">
        <f>TRUNC(K6*C6,1)</f>
        <v>13.3</v>
      </c>
      <c r="M6" s="86" t="s">
        <v>2856</v>
      </c>
      <c r="N6" t="s">
        <v>2856</v>
      </c>
      <c r="P6" t="s">
        <v>2471</v>
      </c>
      <c r="Q6" t="s">
        <v>2856</v>
      </c>
      <c r="R6" t="s">
        <v>2633</v>
      </c>
      <c r="T6" t="s">
        <v>2405</v>
      </c>
      <c r="BI6" s="34" t="str">
        <f>HYPERLINK("#일위대가목록!A3","NX1510 →")</f>
        <v>NX1510 →</v>
      </c>
    </row>
    <row r="7" spans="1:61" ht="18.399999999999999" hidden="1" customHeight="1" x14ac:dyDescent="0.15">
      <c r="A7" s="1"/>
      <c r="B7" s="87"/>
      <c r="C7" s="1"/>
      <c r="D7" s="1"/>
      <c r="E7" s="1"/>
      <c r="F7" s="1"/>
      <c r="G7" s="1"/>
      <c r="H7" s="1"/>
      <c r="I7" s="1"/>
      <c r="J7" s="1"/>
      <c r="K7" s="1"/>
      <c r="L7" s="1"/>
      <c r="M7" s="87"/>
    </row>
    <row r="8" spans="1:61" ht="18.399999999999999" hidden="1" customHeight="1" x14ac:dyDescent="0.15">
      <c r="A8" s="2" t="s">
        <v>2703</v>
      </c>
      <c r="B8" s="87" t="s">
        <v>1831</v>
      </c>
      <c r="C8" s="2">
        <v>1</v>
      </c>
      <c r="D8" s="2" t="s">
        <v>556</v>
      </c>
      <c r="E8" s="184"/>
      <c r="F8" s="29">
        <f>H8+J8+L8</f>
        <v>91691</v>
      </c>
      <c r="G8" s="184"/>
      <c r="H8" s="29">
        <f>TRUNC(H9+H10,0)</f>
        <v>1614</v>
      </c>
      <c r="I8" s="184"/>
      <c r="J8" s="29">
        <f>TRUNC(J9+J10,0)</f>
        <v>89527</v>
      </c>
      <c r="K8" s="184"/>
      <c r="L8" s="29">
        <f>TRUNC(L9+L10,0)</f>
        <v>550</v>
      </c>
      <c r="M8" s="86" t="s">
        <v>2856</v>
      </c>
      <c r="N8" t="s">
        <v>2856</v>
      </c>
      <c r="O8" t="s">
        <v>488</v>
      </c>
    </row>
    <row r="9" spans="1:61" ht="18.399999999999999" hidden="1" customHeight="1" x14ac:dyDescent="0.15">
      <c r="A9" s="2" t="s">
        <v>210</v>
      </c>
      <c r="B9" s="87" t="s">
        <v>2828</v>
      </c>
      <c r="C9" s="2">
        <v>1</v>
      </c>
      <c r="D9" s="2" t="s">
        <v>556</v>
      </c>
      <c r="E9" s="27">
        <f>G9+I9+K9</f>
        <v>90521</v>
      </c>
      <c r="F9" s="28">
        <f>H9+J9+L9</f>
        <v>90521</v>
      </c>
      <c r="G9" s="27">
        <f>일위대가목록!F204</f>
        <v>1404</v>
      </c>
      <c r="H9" s="28">
        <f>TRUNC(G9*C9,1)</f>
        <v>1404</v>
      </c>
      <c r="I9" s="27">
        <f>일위대가목록!H204</f>
        <v>88834</v>
      </c>
      <c r="J9" s="28">
        <f>TRUNC(I9*C9,1)</f>
        <v>88834</v>
      </c>
      <c r="K9" s="27">
        <f>일위대가목록!J204</f>
        <v>283</v>
      </c>
      <c r="L9" s="28">
        <f>TRUNC(K9*C9,1)</f>
        <v>283</v>
      </c>
      <c r="M9" s="86" t="s">
        <v>2856</v>
      </c>
      <c r="N9" t="s">
        <v>2856</v>
      </c>
      <c r="P9" t="s">
        <v>334</v>
      </c>
      <c r="Q9" t="s">
        <v>2856</v>
      </c>
      <c r="R9" t="s">
        <v>2218</v>
      </c>
      <c r="T9" t="s">
        <v>1778</v>
      </c>
      <c r="BI9" s="34" t="str">
        <f>HYPERLINK("#일위대가목록!A199","NT1060 →")</f>
        <v>NT1060 →</v>
      </c>
    </row>
    <row r="10" spans="1:61" ht="18.399999999999999" hidden="1" customHeight="1" x14ac:dyDescent="0.15">
      <c r="A10" s="2" t="s">
        <v>1701</v>
      </c>
      <c r="B10" s="87" t="s">
        <v>1482</v>
      </c>
      <c r="C10" s="2">
        <v>0.2</v>
      </c>
      <c r="D10" s="2" t="s">
        <v>2825</v>
      </c>
      <c r="E10" s="27">
        <f>G10+I10+K10</f>
        <v>5859</v>
      </c>
      <c r="F10" s="28">
        <f>H10+J10+L10</f>
        <v>1171.8000000000002</v>
      </c>
      <c r="G10" s="27">
        <f>일위대가목록!F3</f>
        <v>1054</v>
      </c>
      <c r="H10" s="28">
        <f>TRUNC(G10*C10,1)</f>
        <v>210.8</v>
      </c>
      <c r="I10" s="27">
        <f>일위대가목록!H3</f>
        <v>3467</v>
      </c>
      <c r="J10" s="28">
        <f>TRUNC(I10*C10,1)</f>
        <v>693.4</v>
      </c>
      <c r="K10" s="27">
        <f>일위대가목록!J3</f>
        <v>1338</v>
      </c>
      <c r="L10" s="28">
        <f>TRUNC(K10*C10,1)</f>
        <v>267.60000000000002</v>
      </c>
      <c r="M10" s="86" t="s">
        <v>2856</v>
      </c>
      <c r="N10" t="s">
        <v>2856</v>
      </c>
      <c r="P10" t="s">
        <v>2471</v>
      </c>
      <c r="Q10" t="s">
        <v>2856</v>
      </c>
      <c r="R10" t="s">
        <v>2633</v>
      </c>
      <c r="T10" t="s">
        <v>2405</v>
      </c>
      <c r="BI10" s="34" t="str">
        <f>HYPERLINK("#일위대가목록!A3","NX1510 →")</f>
        <v>NX1510 →</v>
      </c>
    </row>
    <row r="11" spans="1:61" ht="18.399999999999999" hidden="1" customHeight="1" x14ac:dyDescent="0.15">
      <c r="A11" s="1"/>
      <c r="B11" s="87"/>
      <c r="C11" s="1"/>
      <c r="D11" s="1"/>
      <c r="E11" s="1"/>
      <c r="F11" s="1"/>
      <c r="G11" s="1"/>
      <c r="H11" s="1"/>
      <c r="I11" s="1"/>
      <c r="J11" s="1"/>
      <c r="K11" s="1"/>
      <c r="L11" s="1"/>
      <c r="M11" s="87"/>
    </row>
    <row r="12" spans="1:61" ht="18.399999999999999" hidden="1" customHeight="1" x14ac:dyDescent="0.15">
      <c r="A12" s="2" t="s">
        <v>2654</v>
      </c>
      <c r="B12" s="87" t="s">
        <v>150</v>
      </c>
      <c r="C12" s="2">
        <v>1</v>
      </c>
      <c r="D12" s="2" t="s">
        <v>556</v>
      </c>
      <c r="E12" s="184"/>
      <c r="F12" s="29">
        <f>H12+J12+L12</f>
        <v>171033</v>
      </c>
      <c r="G12" s="184"/>
      <c r="H12" s="29">
        <f>TRUNC(H13+H14,0)</f>
        <v>3104</v>
      </c>
      <c r="I12" s="184"/>
      <c r="J12" s="29">
        <f>TRUNC(J13+J14,0)</f>
        <v>166977</v>
      </c>
      <c r="K12" s="184"/>
      <c r="L12" s="29">
        <f>TRUNC(L13+L14,0)</f>
        <v>952</v>
      </c>
      <c r="M12" s="86" t="s">
        <v>2856</v>
      </c>
      <c r="N12" t="s">
        <v>2856</v>
      </c>
      <c r="O12" t="s">
        <v>1673</v>
      </c>
    </row>
    <row r="13" spans="1:61" ht="18.399999999999999" hidden="1" customHeight="1" x14ac:dyDescent="0.15">
      <c r="A13" s="2" t="s">
        <v>210</v>
      </c>
      <c r="B13" s="87" t="s">
        <v>1335</v>
      </c>
      <c r="C13" s="2">
        <v>1</v>
      </c>
      <c r="D13" s="2" t="s">
        <v>556</v>
      </c>
      <c r="E13" s="27">
        <f>G13+I13+K13</f>
        <v>169335</v>
      </c>
      <c r="F13" s="28">
        <f>H13+J13+L13</f>
        <v>169335</v>
      </c>
      <c r="G13" s="27">
        <f>일위대가목록!F205</f>
        <v>2799</v>
      </c>
      <c r="H13" s="28">
        <f>TRUNC(G13*C13,1)</f>
        <v>2799</v>
      </c>
      <c r="I13" s="27">
        <f>일위대가목록!H205</f>
        <v>165972</v>
      </c>
      <c r="J13" s="28">
        <f>TRUNC(I13*C13,1)</f>
        <v>165972</v>
      </c>
      <c r="K13" s="27">
        <f>일위대가목록!J205</f>
        <v>564</v>
      </c>
      <c r="L13" s="28">
        <f>TRUNC(K13*C13,1)</f>
        <v>564</v>
      </c>
      <c r="M13" s="86" t="s">
        <v>2856</v>
      </c>
      <c r="N13" t="s">
        <v>2856</v>
      </c>
      <c r="P13" t="s">
        <v>334</v>
      </c>
      <c r="Q13" t="s">
        <v>2856</v>
      </c>
      <c r="R13" t="s">
        <v>801</v>
      </c>
      <c r="T13" t="s">
        <v>1778</v>
      </c>
      <c r="BI13" s="34" t="str">
        <f>HYPERLINK("#일위대가목록!A200","NT1080 →")</f>
        <v>NT1080 →</v>
      </c>
    </row>
    <row r="14" spans="1:61" ht="18.399999999999999" hidden="1" customHeight="1" x14ac:dyDescent="0.15">
      <c r="A14" s="2" t="s">
        <v>1701</v>
      </c>
      <c r="B14" s="87" t="s">
        <v>1482</v>
      </c>
      <c r="C14" s="2">
        <v>0.28999999999999998</v>
      </c>
      <c r="D14" s="2" t="s">
        <v>2825</v>
      </c>
      <c r="E14" s="27">
        <f>G14+I14+K14</f>
        <v>5859</v>
      </c>
      <c r="F14" s="28">
        <f>H14+J14+L14</f>
        <v>1699</v>
      </c>
      <c r="G14" s="27">
        <f>일위대가목록!F3</f>
        <v>1054</v>
      </c>
      <c r="H14" s="28">
        <f>TRUNC(G14*C14,1)</f>
        <v>305.60000000000002</v>
      </c>
      <c r="I14" s="27">
        <f>일위대가목록!H3</f>
        <v>3467</v>
      </c>
      <c r="J14" s="28">
        <f>TRUNC(I14*C14,1)</f>
        <v>1005.4</v>
      </c>
      <c r="K14" s="27">
        <f>일위대가목록!J3</f>
        <v>1338</v>
      </c>
      <c r="L14" s="28">
        <f>TRUNC(K14*C14,1)</f>
        <v>388</v>
      </c>
      <c r="M14" s="86" t="s">
        <v>2856</v>
      </c>
      <c r="N14" t="s">
        <v>2856</v>
      </c>
      <c r="P14" t="s">
        <v>2471</v>
      </c>
      <c r="Q14" t="s">
        <v>2856</v>
      </c>
      <c r="R14" t="s">
        <v>2633</v>
      </c>
      <c r="T14" t="s">
        <v>2405</v>
      </c>
      <c r="BI14" s="34" t="str">
        <f>HYPERLINK("#일위대가목록!A3","NX1510 →")</f>
        <v>NX1510 →</v>
      </c>
    </row>
    <row r="15" spans="1:61" ht="18.399999999999999" hidden="1" customHeight="1" x14ac:dyDescent="0.15">
      <c r="A15" s="1"/>
      <c r="B15" s="87"/>
      <c r="C15" s="1"/>
      <c r="D15" s="1"/>
      <c r="E15" s="1"/>
      <c r="F15" s="1"/>
      <c r="G15" s="1"/>
      <c r="H15" s="1"/>
      <c r="I15" s="1"/>
      <c r="J15" s="1"/>
      <c r="K15" s="1"/>
      <c r="L15" s="1"/>
      <c r="M15" s="87"/>
    </row>
    <row r="16" spans="1:61" ht="18.399999999999999" hidden="1" customHeight="1" x14ac:dyDescent="0.15">
      <c r="A16" s="2" t="s">
        <v>2269</v>
      </c>
      <c r="B16" s="87" t="s">
        <v>2079</v>
      </c>
      <c r="C16" s="2">
        <v>1</v>
      </c>
      <c r="D16" s="2" t="s">
        <v>556</v>
      </c>
      <c r="E16" s="184"/>
      <c r="F16" s="29">
        <f>H16+J16+L16</f>
        <v>49228</v>
      </c>
      <c r="G16" s="184"/>
      <c r="H16" s="29">
        <f>TRUNC(H17+H18,0)</f>
        <v>745</v>
      </c>
      <c r="I16" s="184"/>
      <c r="J16" s="29">
        <f>TRUNC(J17+J18,0)</f>
        <v>48243</v>
      </c>
      <c r="K16" s="184"/>
      <c r="L16" s="29">
        <f>TRUNC(L17+L18,0)</f>
        <v>240</v>
      </c>
      <c r="M16" s="86" t="s">
        <v>2856</v>
      </c>
      <c r="N16" t="s">
        <v>2856</v>
      </c>
      <c r="O16" t="s">
        <v>16</v>
      </c>
    </row>
    <row r="17" spans="1:61" ht="18.399999999999999" hidden="1" customHeight="1" x14ac:dyDescent="0.15">
      <c r="A17" s="2" t="s">
        <v>210</v>
      </c>
      <c r="B17" s="87" t="s">
        <v>1702</v>
      </c>
      <c r="C17" s="2">
        <v>1</v>
      </c>
      <c r="D17" s="2" t="s">
        <v>556</v>
      </c>
      <c r="E17" s="27">
        <f>G17+I17+K17</f>
        <v>48760</v>
      </c>
      <c r="F17" s="28">
        <f>H17+J17+L17</f>
        <v>48760</v>
      </c>
      <c r="G17" s="27">
        <f>일위대가목록!F206</f>
        <v>661</v>
      </c>
      <c r="H17" s="28">
        <f>TRUNC(G17*C17,1)</f>
        <v>661</v>
      </c>
      <c r="I17" s="27">
        <f>일위대가목록!H206</f>
        <v>47966</v>
      </c>
      <c r="J17" s="28">
        <f>TRUNC(I17*C17,1)</f>
        <v>47966</v>
      </c>
      <c r="K17" s="27">
        <f>일위대가목록!J206</f>
        <v>133</v>
      </c>
      <c r="L17" s="28">
        <f>TRUNC(K17*C17,1)</f>
        <v>133</v>
      </c>
      <c r="M17" s="86" t="s">
        <v>2856</v>
      </c>
      <c r="N17" t="s">
        <v>2856</v>
      </c>
      <c r="P17" t="s">
        <v>334</v>
      </c>
      <c r="Q17" t="s">
        <v>2856</v>
      </c>
      <c r="R17" t="s">
        <v>2272</v>
      </c>
      <c r="T17" t="s">
        <v>1778</v>
      </c>
      <c r="BI17" s="34" t="str">
        <f>HYPERLINK("#일위대가목록!A201","NT1045 →")</f>
        <v>NT1045 →</v>
      </c>
    </row>
    <row r="18" spans="1:61" ht="18.399999999999999" hidden="1" customHeight="1" x14ac:dyDescent="0.15">
      <c r="A18" s="2" t="s">
        <v>1701</v>
      </c>
      <c r="B18" s="87" t="s">
        <v>1482</v>
      </c>
      <c r="C18" s="2">
        <v>0.08</v>
      </c>
      <c r="D18" s="2" t="s">
        <v>2825</v>
      </c>
      <c r="E18" s="27">
        <f>G18+I18+K18</f>
        <v>5859</v>
      </c>
      <c r="F18" s="28">
        <f>H18+J18+L18</f>
        <v>468.6</v>
      </c>
      <c r="G18" s="27">
        <f>일위대가목록!F3</f>
        <v>1054</v>
      </c>
      <c r="H18" s="28">
        <f>TRUNC(G18*C18,1)</f>
        <v>84.3</v>
      </c>
      <c r="I18" s="27">
        <f>일위대가목록!H3</f>
        <v>3467</v>
      </c>
      <c r="J18" s="28">
        <f>TRUNC(I18*C18,1)</f>
        <v>277.3</v>
      </c>
      <c r="K18" s="27">
        <f>일위대가목록!J3</f>
        <v>1338</v>
      </c>
      <c r="L18" s="28">
        <f>TRUNC(K18*C18,1)</f>
        <v>107</v>
      </c>
      <c r="M18" s="86" t="s">
        <v>2856</v>
      </c>
      <c r="N18" t="s">
        <v>2856</v>
      </c>
      <c r="P18" t="s">
        <v>2471</v>
      </c>
      <c r="Q18" t="s">
        <v>2856</v>
      </c>
      <c r="R18" t="s">
        <v>2633</v>
      </c>
      <c r="T18" t="s">
        <v>2405</v>
      </c>
      <c r="BI18" s="34" t="str">
        <f>HYPERLINK("#일위대가목록!A3","NX1510 →")</f>
        <v>NX1510 →</v>
      </c>
    </row>
    <row r="19" spans="1:61" ht="18.399999999999999" hidden="1" customHeight="1" x14ac:dyDescent="0.15">
      <c r="A19" s="1"/>
      <c r="B19" s="87"/>
      <c r="C19" s="1"/>
      <c r="D19" s="1"/>
      <c r="E19" s="1"/>
      <c r="F19" s="1"/>
      <c r="G19" s="1"/>
      <c r="H19" s="1"/>
      <c r="I19" s="1"/>
      <c r="J19" s="1"/>
      <c r="K19" s="1"/>
      <c r="L19" s="1"/>
      <c r="M19" s="87"/>
    </row>
    <row r="20" spans="1:61" ht="18.399999999999999" hidden="1" customHeight="1" x14ac:dyDescent="0.15">
      <c r="A20" s="2" t="s">
        <v>1053</v>
      </c>
      <c r="B20" s="87" t="s">
        <v>2097</v>
      </c>
      <c r="C20" s="2">
        <v>1</v>
      </c>
      <c r="D20" s="2" t="s">
        <v>556</v>
      </c>
      <c r="E20" s="184"/>
      <c r="F20" s="29">
        <f>H20+J20+L20</f>
        <v>91516</v>
      </c>
      <c r="G20" s="184"/>
      <c r="H20" s="29">
        <f>TRUNC(H21+H22,0)</f>
        <v>1583</v>
      </c>
      <c r="I20" s="184"/>
      <c r="J20" s="29">
        <f>TRUNC(J21+J22,0)</f>
        <v>89423</v>
      </c>
      <c r="K20" s="184"/>
      <c r="L20" s="29">
        <f>TRUNC(L21+L22,0)</f>
        <v>510</v>
      </c>
      <c r="M20" s="86" t="s">
        <v>2856</v>
      </c>
      <c r="N20" t="s">
        <v>2856</v>
      </c>
      <c r="O20" t="s">
        <v>1818</v>
      </c>
    </row>
    <row r="21" spans="1:61" ht="18.399999999999999" hidden="1" customHeight="1" x14ac:dyDescent="0.15">
      <c r="A21" s="2" t="s">
        <v>210</v>
      </c>
      <c r="B21" s="87" t="s">
        <v>1020</v>
      </c>
      <c r="C21" s="2">
        <v>1</v>
      </c>
      <c r="D21" s="2" t="s">
        <v>556</v>
      </c>
      <c r="E21" s="27">
        <f>G21+I21+K21</f>
        <v>90521</v>
      </c>
      <c r="F21" s="28">
        <f>H21+J21+L21</f>
        <v>90521</v>
      </c>
      <c r="G21" s="27">
        <f>일위대가목록!F204</f>
        <v>1404</v>
      </c>
      <c r="H21" s="28">
        <f>TRUNC(G21*C21,1)</f>
        <v>1404</v>
      </c>
      <c r="I21" s="27">
        <f>일위대가목록!H204</f>
        <v>88834</v>
      </c>
      <c r="J21" s="28">
        <f>TRUNC(I21*C21,1)</f>
        <v>88834</v>
      </c>
      <c r="K21" s="27">
        <f>일위대가목록!J204</f>
        <v>283</v>
      </c>
      <c r="L21" s="28">
        <f>TRUNC(K21*C21,1)</f>
        <v>283</v>
      </c>
      <c r="M21" s="86" t="s">
        <v>2856</v>
      </c>
      <c r="N21" t="s">
        <v>2856</v>
      </c>
      <c r="P21" t="s">
        <v>334</v>
      </c>
      <c r="Q21" t="s">
        <v>2856</v>
      </c>
      <c r="R21" t="s">
        <v>2218</v>
      </c>
      <c r="T21" t="s">
        <v>1778</v>
      </c>
      <c r="BI21" s="34" t="str">
        <f>HYPERLINK("#일위대가목록!A199","NT1060 →")</f>
        <v>NT1060 →</v>
      </c>
    </row>
    <row r="22" spans="1:61" ht="18.399999999999999" hidden="1" customHeight="1" x14ac:dyDescent="0.15">
      <c r="A22" s="2" t="s">
        <v>1701</v>
      </c>
      <c r="B22" s="87" t="s">
        <v>1482</v>
      </c>
      <c r="C22" s="2">
        <v>0.17</v>
      </c>
      <c r="D22" s="2" t="s">
        <v>2825</v>
      </c>
      <c r="E22" s="27">
        <f>G22+I22+K22</f>
        <v>5859</v>
      </c>
      <c r="F22" s="28">
        <f>H22+J22+L22</f>
        <v>995.8</v>
      </c>
      <c r="G22" s="27">
        <f>일위대가목록!F3</f>
        <v>1054</v>
      </c>
      <c r="H22" s="28">
        <f>TRUNC(G22*C22,1)</f>
        <v>179.1</v>
      </c>
      <c r="I22" s="27">
        <f>일위대가목록!H3</f>
        <v>3467</v>
      </c>
      <c r="J22" s="28">
        <f>TRUNC(I22*C22,1)</f>
        <v>589.29999999999995</v>
      </c>
      <c r="K22" s="27">
        <f>일위대가목록!J3</f>
        <v>1338</v>
      </c>
      <c r="L22" s="28">
        <f>TRUNC(K22*C22,1)</f>
        <v>227.4</v>
      </c>
      <c r="M22" s="86" t="s">
        <v>2856</v>
      </c>
      <c r="N22" t="s">
        <v>2856</v>
      </c>
      <c r="P22" t="s">
        <v>2471</v>
      </c>
      <c r="Q22" t="s">
        <v>2856</v>
      </c>
      <c r="R22" t="s">
        <v>2633</v>
      </c>
      <c r="T22" t="s">
        <v>2405</v>
      </c>
      <c r="BI22" s="34" t="str">
        <f>HYPERLINK("#일위대가목록!A3","NX1510 →")</f>
        <v>NX1510 →</v>
      </c>
    </row>
    <row r="23" spans="1:61" ht="18.399999999999999" hidden="1" customHeight="1" x14ac:dyDescent="0.15">
      <c r="A23" s="1"/>
      <c r="B23" s="87"/>
      <c r="C23" s="1"/>
      <c r="D23" s="1"/>
      <c r="E23" s="1"/>
      <c r="F23" s="1"/>
      <c r="G23" s="1"/>
      <c r="H23" s="1"/>
      <c r="I23" s="1"/>
      <c r="J23" s="1"/>
      <c r="K23" s="1"/>
      <c r="L23" s="1"/>
      <c r="M23" s="87"/>
    </row>
    <row r="24" spans="1:61" ht="18.399999999999999" hidden="1" customHeight="1" x14ac:dyDescent="0.15">
      <c r="A24" s="2" t="s">
        <v>1836</v>
      </c>
      <c r="B24" s="87" t="s">
        <v>1581</v>
      </c>
      <c r="C24" s="2">
        <v>1</v>
      </c>
      <c r="D24" s="2" t="s">
        <v>556</v>
      </c>
      <c r="E24" s="184"/>
      <c r="F24" s="29">
        <f>H24+J24+L24</f>
        <v>59722</v>
      </c>
      <c r="G24" s="184"/>
      <c r="H24" s="29">
        <f>TRUNC(H25+H26,0)</f>
        <v>972</v>
      </c>
      <c r="I24" s="184"/>
      <c r="J24" s="29">
        <f>TRUNC(J25+J26,0)</f>
        <v>58396</v>
      </c>
      <c r="K24" s="184"/>
      <c r="L24" s="29">
        <f>TRUNC(L25+L26,0)</f>
        <v>354</v>
      </c>
      <c r="M24" s="86" t="s">
        <v>2856</v>
      </c>
      <c r="N24" t="s">
        <v>2856</v>
      </c>
      <c r="O24" t="s">
        <v>578</v>
      </c>
    </row>
    <row r="25" spans="1:61" ht="18.399999999999999" hidden="1" customHeight="1" x14ac:dyDescent="0.15">
      <c r="A25" s="2" t="s">
        <v>210</v>
      </c>
      <c r="B25" s="87" t="s">
        <v>1277</v>
      </c>
      <c r="C25" s="2">
        <v>1</v>
      </c>
      <c r="D25" s="2" t="s">
        <v>556</v>
      </c>
      <c r="E25" s="27">
        <f>G25+I25+K25</f>
        <v>58903</v>
      </c>
      <c r="F25" s="28">
        <f>H25+J25+L25</f>
        <v>58903</v>
      </c>
      <c r="G25" s="27">
        <f>일위대가목록!F207</f>
        <v>825</v>
      </c>
      <c r="H25" s="28">
        <f>TRUNC(G25*C25,1)</f>
        <v>825</v>
      </c>
      <c r="I25" s="27">
        <f>일위대가목록!H207</f>
        <v>57911</v>
      </c>
      <c r="J25" s="28">
        <f>TRUNC(I25*C25,1)</f>
        <v>57911</v>
      </c>
      <c r="K25" s="27">
        <f>일위대가목록!J207</f>
        <v>167</v>
      </c>
      <c r="L25" s="28">
        <f>TRUNC(K25*C25,1)</f>
        <v>167</v>
      </c>
      <c r="M25" s="86" t="s">
        <v>2856</v>
      </c>
      <c r="N25" t="s">
        <v>2856</v>
      </c>
      <c r="P25" t="s">
        <v>334</v>
      </c>
      <c r="Q25" t="s">
        <v>2856</v>
      </c>
      <c r="R25" t="s">
        <v>63</v>
      </c>
      <c r="T25" t="s">
        <v>1778</v>
      </c>
      <c r="BI25" s="34" t="str">
        <f>HYPERLINK("#일위대가목록!A202","NT1050 →")</f>
        <v>NT1050 →</v>
      </c>
    </row>
    <row r="26" spans="1:61" ht="18.399999999999999" hidden="1" customHeight="1" x14ac:dyDescent="0.15">
      <c r="A26" s="2" t="s">
        <v>1701</v>
      </c>
      <c r="B26" s="87" t="s">
        <v>1482</v>
      </c>
      <c r="C26" s="2">
        <v>0.14000000000000001</v>
      </c>
      <c r="D26" s="2" t="s">
        <v>2825</v>
      </c>
      <c r="E26" s="27">
        <f>G26+I26+K26</f>
        <v>5859</v>
      </c>
      <c r="F26" s="28">
        <f>H26+J26+L26</f>
        <v>820.09999999999991</v>
      </c>
      <c r="G26" s="27">
        <f>일위대가목록!F3</f>
        <v>1054</v>
      </c>
      <c r="H26" s="28">
        <f>TRUNC(G26*C26,1)</f>
        <v>147.5</v>
      </c>
      <c r="I26" s="27">
        <f>일위대가목록!H3</f>
        <v>3467</v>
      </c>
      <c r="J26" s="28">
        <f>TRUNC(I26*C26,1)</f>
        <v>485.3</v>
      </c>
      <c r="K26" s="27">
        <f>일위대가목록!J3</f>
        <v>1338</v>
      </c>
      <c r="L26" s="28">
        <f>TRUNC(K26*C26,1)</f>
        <v>187.3</v>
      </c>
      <c r="M26" s="86" t="s">
        <v>2856</v>
      </c>
      <c r="N26" t="s">
        <v>2856</v>
      </c>
      <c r="P26" t="s">
        <v>2471</v>
      </c>
      <c r="Q26" t="s">
        <v>2856</v>
      </c>
      <c r="R26" t="s">
        <v>2633</v>
      </c>
      <c r="T26" t="s">
        <v>2405</v>
      </c>
      <c r="BI26" s="34" t="str">
        <f>HYPERLINK("#일위대가목록!A3","NX1510 →")</f>
        <v>NX1510 →</v>
      </c>
    </row>
    <row r="27" spans="1:61" ht="18.399999999999999" hidden="1" customHeight="1" x14ac:dyDescent="0.15">
      <c r="A27" s="1"/>
      <c r="B27" s="87"/>
      <c r="C27" s="1"/>
      <c r="D27" s="1"/>
      <c r="E27" s="1"/>
      <c r="F27" s="1"/>
      <c r="G27" s="1"/>
      <c r="H27" s="1"/>
      <c r="I27" s="1"/>
      <c r="J27" s="1"/>
      <c r="K27" s="1"/>
      <c r="L27" s="1"/>
      <c r="M27" s="87"/>
    </row>
    <row r="28" spans="1:61" ht="18.399999999999999" hidden="1" customHeight="1" x14ac:dyDescent="0.15">
      <c r="A28" s="2" t="s">
        <v>557</v>
      </c>
      <c r="B28" s="87" t="s">
        <v>1816</v>
      </c>
      <c r="C28" s="2">
        <v>1</v>
      </c>
      <c r="D28" s="2" t="s">
        <v>556</v>
      </c>
      <c r="E28" s="184"/>
      <c r="F28" s="29">
        <f>H28+J28+L28</f>
        <v>59487</v>
      </c>
      <c r="G28" s="184"/>
      <c r="H28" s="29">
        <f>TRUNC(H29+H30,0)</f>
        <v>930</v>
      </c>
      <c r="I28" s="184"/>
      <c r="J28" s="29">
        <f>TRUNC(J29+J30,0)</f>
        <v>58257</v>
      </c>
      <c r="K28" s="184"/>
      <c r="L28" s="29">
        <f>TRUNC(L29+L30,0)</f>
        <v>300</v>
      </c>
      <c r="M28" s="86" t="s">
        <v>2856</v>
      </c>
      <c r="N28" t="s">
        <v>2856</v>
      </c>
      <c r="O28" t="s">
        <v>1578</v>
      </c>
    </row>
    <row r="29" spans="1:61" ht="18.399999999999999" hidden="1" customHeight="1" x14ac:dyDescent="0.15">
      <c r="A29" s="2" t="s">
        <v>210</v>
      </c>
      <c r="B29" s="87" t="s">
        <v>1277</v>
      </c>
      <c r="C29" s="2">
        <v>1</v>
      </c>
      <c r="D29" s="2" t="s">
        <v>556</v>
      </c>
      <c r="E29" s="27">
        <f>G29+I29+K29</f>
        <v>58903</v>
      </c>
      <c r="F29" s="28">
        <f>H29+J29+L29</f>
        <v>58903</v>
      </c>
      <c r="G29" s="27">
        <f>일위대가목록!F207</f>
        <v>825</v>
      </c>
      <c r="H29" s="28">
        <f>TRUNC(G29*C29,1)</f>
        <v>825</v>
      </c>
      <c r="I29" s="27">
        <f>일위대가목록!H207</f>
        <v>57911</v>
      </c>
      <c r="J29" s="28">
        <f>TRUNC(I29*C29,1)</f>
        <v>57911</v>
      </c>
      <c r="K29" s="27">
        <f>일위대가목록!J207</f>
        <v>167</v>
      </c>
      <c r="L29" s="28">
        <f>TRUNC(K29*C29,1)</f>
        <v>167</v>
      </c>
      <c r="M29" s="86" t="s">
        <v>2856</v>
      </c>
      <c r="N29" t="s">
        <v>2856</v>
      </c>
      <c r="P29" t="s">
        <v>334</v>
      </c>
      <c r="Q29" t="s">
        <v>2856</v>
      </c>
      <c r="R29" t="s">
        <v>63</v>
      </c>
      <c r="T29" t="s">
        <v>1778</v>
      </c>
      <c r="BI29" s="34" t="str">
        <f>HYPERLINK("#일위대가목록!A202","NT1050 →")</f>
        <v>NT1050 →</v>
      </c>
    </row>
    <row r="30" spans="1:61" ht="18.399999999999999" hidden="1" customHeight="1" x14ac:dyDescent="0.15">
      <c r="A30" s="2" t="s">
        <v>1701</v>
      </c>
      <c r="B30" s="87" t="s">
        <v>1482</v>
      </c>
      <c r="C30" s="2">
        <v>0.1</v>
      </c>
      <c r="D30" s="2" t="s">
        <v>2825</v>
      </c>
      <c r="E30" s="27">
        <f>G30+I30+K30</f>
        <v>5859</v>
      </c>
      <c r="F30" s="28">
        <f>H30+J30+L30</f>
        <v>585.90000000000009</v>
      </c>
      <c r="G30" s="27">
        <f>일위대가목록!F3</f>
        <v>1054</v>
      </c>
      <c r="H30" s="28">
        <f>TRUNC(G30*C30,1)</f>
        <v>105.4</v>
      </c>
      <c r="I30" s="27">
        <f>일위대가목록!H3</f>
        <v>3467</v>
      </c>
      <c r="J30" s="28">
        <f>TRUNC(I30*C30,1)</f>
        <v>346.7</v>
      </c>
      <c r="K30" s="27">
        <f>일위대가목록!J3</f>
        <v>1338</v>
      </c>
      <c r="L30" s="28">
        <f>TRUNC(K30*C30,1)</f>
        <v>133.80000000000001</v>
      </c>
      <c r="M30" s="86" t="s">
        <v>2856</v>
      </c>
      <c r="N30" t="s">
        <v>2856</v>
      </c>
      <c r="P30" t="s">
        <v>2471</v>
      </c>
      <c r="Q30" t="s">
        <v>2856</v>
      </c>
      <c r="R30" t="s">
        <v>2633</v>
      </c>
      <c r="T30" t="s">
        <v>2405</v>
      </c>
      <c r="BI30" s="34" t="str">
        <f>HYPERLINK("#일위대가목록!A3","NX1510 →")</f>
        <v>NX1510 →</v>
      </c>
    </row>
    <row r="31" spans="1:61" ht="18.399999999999999" hidden="1" customHeight="1" x14ac:dyDescent="0.15">
      <c r="A31" s="1"/>
      <c r="B31" s="87"/>
      <c r="C31" s="1"/>
      <c r="D31" s="1"/>
      <c r="E31" s="1"/>
      <c r="F31" s="1"/>
      <c r="G31" s="1"/>
      <c r="H31" s="1"/>
      <c r="I31" s="1"/>
      <c r="J31" s="1"/>
      <c r="K31" s="1"/>
      <c r="L31" s="1"/>
      <c r="M31" s="87"/>
    </row>
    <row r="32" spans="1:61" ht="18.399999999999999" hidden="1" customHeight="1" x14ac:dyDescent="0.15">
      <c r="A32" s="2" t="s">
        <v>1884</v>
      </c>
      <c r="B32" s="87" t="s">
        <v>2659</v>
      </c>
      <c r="C32" s="2">
        <v>1</v>
      </c>
      <c r="D32" s="2" t="s">
        <v>556</v>
      </c>
      <c r="E32" s="184"/>
      <c r="F32" s="29">
        <f>H32+J32+L32</f>
        <v>35329</v>
      </c>
      <c r="G32" s="184"/>
      <c r="H32" s="29">
        <f>TRUNC(H33+H34,0)</f>
        <v>490</v>
      </c>
      <c r="I32" s="184"/>
      <c r="J32" s="29">
        <f>TRUNC(J33+J34,0)</f>
        <v>34684</v>
      </c>
      <c r="K32" s="184"/>
      <c r="L32" s="29">
        <f>TRUNC(L33+L34,0)</f>
        <v>155</v>
      </c>
      <c r="M32" s="86" t="s">
        <v>2856</v>
      </c>
      <c r="N32" t="s">
        <v>2856</v>
      </c>
      <c r="O32" t="s">
        <v>278</v>
      </c>
    </row>
    <row r="33" spans="1:61" ht="18.399999999999999" hidden="1" customHeight="1" x14ac:dyDescent="0.15">
      <c r="A33" s="2" t="s">
        <v>210</v>
      </c>
      <c r="B33" s="87" t="s">
        <v>1583</v>
      </c>
      <c r="C33" s="2">
        <v>1</v>
      </c>
      <c r="D33" s="2" t="s">
        <v>556</v>
      </c>
      <c r="E33" s="27">
        <f>G33+I33+K33</f>
        <v>35038</v>
      </c>
      <c r="F33" s="28">
        <f>H33+J33+L33</f>
        <v>35038</v>
      </c>
      <c r="G33" s="27">
        <f>일위대가목록!F208</f>
        <v>438</v>
      </c>
      <c r="H33" s="28">
        <f>TRUNC(G33*C33,1)</f>
        <v>438</v>
      </c>
      <c r="I33" s="27">
        <f>일위대가목록!H208</f>
        <v>34511</v>
      </c>
      <c r="J33" s="28">
        <f>TRUNC(I33*C33,1)</f>
        <v>34511</v>
      </c>
      <c r="K33" s="27">
        <f>일위대가목록!J208</f>
        <v>89</v>
      </c>
      <c r="L33" s="28">
        <f>TRUNC(K33*C33,1)</f>
        <v>89</v>
      </c>
      <c r="M33" s="86" t="s">
        <v>2856</v>
      </c>
      <c r="N33" t="s">
        <v>2856</v>
      </c>
      <c r="P33" t="s">
        <v>334</v>
      </c>
      <c r="Q33" t="s">
        <v>2856</v>
      </c>
      <c r="R33" t="s">
        <v>761</v>
      </c>
      <c r="T33" t="s">
        <v>1778</v>
      </c>
      <c r="BI33" s="34" t="str">
        <f>HYPERLINK("#일위대가목록!A203","NT1040 →")</f>
        <v>NT1040 →</v>
      </c>
    </row>
    <row r="34" spans="1:61" ht="18.399999999999999" hidden="1" customHeight="1" x14ac:dyDescent="0.15">
      <c r="A34" s="2" t="s">
        <v>1701</v>
      </c>
      <c r="B34" s="87" t="s">
        <v>1482</v>
      </c>
      <c r="C34" s="2">
        <v>0.05</v>
      </c>
      <c r="D34" s="2" t="s">
        <v>2825</v>
      </c>
      <c r="E34" s="27">
        <f>G34+I34+K34</f>
        <v>5859</v>
      </c>
      <c r="F34" s="28">
        <f>H34+J34+L34</f>
        <v>292.89999999999998</v>
      </c>
      <c r="G34" s="27">
        <f>일위대가목록!F3</f>
        <v>1054</v>
      </c>
      <c r="H34" s="28">
        <f>TRUNC(G34*C34,1)</f>
        <v>52.7</v>
      </c>
      <c r="I34" s="27">
        <f>일위대가목록!H3</f>
        <v>3467</v>
      </c>
      <c r="J34" s="28">
        <f>TRUNC(I34*C34,1)</f>
        <v>173.3</v>
      </c>
      <c r="K34" s="27">
        <f>일위대가목록!J3</f>
        <v>1338</v>
      </c>
      <c r="L34" s="28">
        <f>TRUNC(K34*C34,1)</f>
        <v>66.900000000000006</v>
      </c>
      <c r="M34" s="86" t="s">
        <v>2856</v>
      </c>
      <c r="N34" t="s">
        <v>2856</v>
      </c>
      <c r="P34" t="s">
        <v>2471</v>
      </c>
      <c r="Q34" t="s">
        <v>2856</v>
      </c>
      <c r="R34" t="s">
        <v>2633</v>
      </c>
      <c r="T34" t="s">
        <v>2405</v>
      </c>
      <c r="BI34" s="34" t="str">
        <f>HYPERLINK("#일위대가목록!A3","NX1510 →")</f>
        <v>NX1510 →</v>
      </c>
    </row>
    <row r="35" spans="1:61" ht="18.399999999999999" hidden="1" customHeight="1" x14ac:dyDescent="0.15">
      <c r="A35" s="1"/>
      <c r="B35" s="87"/>
      <c r="C35" s="1"/>
      <c r="D35" s="1"/>
      <c r="E35" s="1"/>
      <c r="F35" s="1"/>
      <c r="G35" s="1"/>
      <c r="H35" s="1"/>
      <c r="I35" s="1"/>
      <c r="J35" s="1"/>
      <c r="K35" s="1"/>
      <c r="L35" s="1"/>
      <c r="M35" s="87"/>
    </row>
    <row r="36" spans="1:61" ht="18.399999999999999" hidden="1" customHeight="1" x14ac:dyDescent="0.15">
      <c r="A36" s="2" t="s">
        <v>677</v>
      </c>
      <c r="B36" s="87" t="s">
        <v>2586</v>
      </c>
      <c r="C36" s="2">
        <v>1</v>
      </c>
      <c r="D36" s="2" t="s">
        <v>556</v>
      </c>
      <c r="E36" s="184"/>
      <c r="F36" s="29">
        <f>H36+J36+L36</f>
        <v>49228</v>
      </c>
      <c r="G36" s="184"/>
      <c r="H36" s="29">
        <f>TRUNC(H37+H38,0)</f>
        <v>745</v>
      </c>
      <c r="I36" s="184"/>
      <c r="J36" s="29">
        <f>TRUNC(J37+J38,0)</f>
        <v>48243</v>
      </c>
      <c r="K36" s="184"/>
      <c r="L36" s="29">
        <f>TRUNC(L37+L38,0)</f>
        <v>240</v>
      </c>
      <c r="M36" s="86" t="s">
        <v>2856</v>
      </c>
      <c r="N36" t="s">
        <v>2856</v>
      </c>
      <c r="O36" t="s">
        <v>1528</v>
      </c>
    </row>
    <row r="37" spans="1:61" ht="18.399999999999999" hidden="1" customHeight="1" x14ac:dyDescent="0.15">
      <c r="A37" s="2" t="s">
        <v>210</v>
      </c>
      <c r="B37" s="87" t="s">
        <v>1702</v>
      </c>
      <c r="C37" s="2">
        <v>1</v>
      </c>
      <c r="D37" s="2" t="s">
        <v>556</v>
      </c>
      <c r="E37" s="27">
        <f>G37+I37+K37</f>
        <v>48760</v>
      </c>
      <c r="F37" s="28">
        <f>H37+J37+L37</f>
        <v>48760</v>
      </c>
      <c r="G37" s="27">
        <f>일위대가목록!F206</f>
        <v>661</v>
      </c>
      <c r="H37" s="28">
        <f>TRUNC(G37*C37,1)</f>
        <v>661</v>
      </c>
      <c r="I37" s="27">
        <f>일위대가목록!H206</f>
        <v>47966</v>
      </c>
      <c r="J37" s="28">
        <f>TRUNC(I37*C37,1)</f>
        <v>47966</v>
      </c>
      <c r="K37" s="27">
        <f>일위대가목록!J206</f>
        <v>133</v>
      </c>
      <c r="L37" s="28">
        <f>TRUNC(K37*C37,1)</f>
        <v>133</v>
      </c>
      <c r="M37" s="86" t="s">
        <v>2856</v>
      </c>
      <c r="N37" t="s">
        <v>2856</v>
      </c>
      <c r="P37" t="s">
        <v>334</v>
      </c>
      <c r="Q37" t="s">
        <v>2856</v>
      </c>
      <c r="R37" t="s">
        <v>2272</v>
      </c>
      <c r="T37" t="s">
        <v>1778</v>
      </c>
      <c r="BI37" s="34" t="str">
        <f>HYPERLINK("#일위대가목록!A201","NT1045 →")</f>
        <v>NT1045 →</v>
      </c>
    </row>
    <row r="38" spans="1:61" ht="18.399999999999999" hidden="1" customHeight="1" x14ac:dyDescent="0.15">
      <c r="A38" s="2" t="s">
        <v>1701</v>
      </c>
      <c r="B38" s="87" t="s">
        <v>1482</v>
      </c>
      <c r="C38" s="2">
        <v>0.08</v>
      </c>
      <c r="D38" s="2" t="s">
        <v>2825</v>
      </c>
      <c r="E38" s="27">
        <f>G38+I38+K38</f>
        <v>5859</v>
      </c>
      <c r="F38" s="28">
        <f>H38+J38+L38</f>
        <v>468.6</v>
      </c>
      <c r="G38" s="27">
        <f>일위대가목록!F3</f>
        <v>1054</v>
      </c>
      <c r="H38" s="28">
        <f>TRUNC(G38*C38,1)</f>
        <v>84.3</v>
      </c>
      <c r="I38" s="27">
        <f>일위대가목록!H3</f>
        <v>3467</v>
      </c>
      <c r="J38" s="28">
        <f>TRUNC(I38*C38,1)</f>
        <v>277.3</v>
      </c>
      <c r="K38" s="27">
        <f>일위대가목록!J3</f>
        <v>1338</v>
      </c>
      <c r="L38" s="28">
        <f>TRUNC(K38*C38,1)</f>
        <v>107</v>
      </c>
      <c r="M38" s="86" t="s">
        <v>2856</v>
      </c>
      <c r="N38" t="s">
        <v>2856</v>
      </c>
      <c r="P38" t="s">
        <v>2471</v>
      </c>
      <c r="Q38" t="s">
        <v>2856</v>
      </c>
      <c r="R38" t="s">
        <v>2633</v>
      </c>
      <c r="T38" t="s">
        <v>2405</v>
      </c>
      <c r="BI38" s="34" t="str">
        <f>HYPERLINK("#일위대가목록!A3","NX1510 →")</f>
        <v>NX1510 →</v>
      </c>
    </row>
    <row r="39" spans="1:61" ht="18.399999999999999" hidden="1" customHeight="1" x14ac:dyDescent="0.15">
      <c r="A39" s="1"/>
      <c r="B39" s="87"/>
      <c r="C39" s="1"/>
      <c r="D39" s="1"/>
      <c r="E39" s="1"/>
      <c r="F39" s="1"/>
      <c r="G39" s="1"/>
      <c r="H39" s="1"/>
      <c r="I39" s="1"/>
      <c r="J39" s="1"/>
      <c r="K39" s="1"/>
      <c r="L39" s="1"/>
      <c r="M39" s="87"/>
    </row>
    <row r="40" spans="1:61" ht="18.399999999999999" hidden="1" customHeight="1" x14ac:dyDescent="0.15">
      <c r="A40" s="2" t="s">
        <v>100</v>
      </c>
      <c r="B40" s="87" t="s">
        <v>1281</v>
      </c>
      <c r="C40" s="2">
        <v>1</v>
      </c>
      <c r="D40" s="2" t="s">
        <v>556</v>
      </c>
      <c r="E40" s="184"/>
      <c r="F40" s="29">
        <f>H40+J40+L40</f>
        <v>35329</v>
      </c>
      <c r="G40" s="184"/>
      <c r="H40" s="29">
        <f>TRUNC(H41+H42,0)</f>
        <v>490</v>
      </c>
      <c r="I40" s="184"/>
      <c r="J40" s="29">
        <f>TRUNC(J41+J42,0)</f>
        <v>34684</v>
      </c>
      <c r="K40" s="184"/>
      <c r="L40" s="29">
        <f>TRUNC(L41+L42,0)</f>
        <v>155</v>
      </c>
      <c r="M40" s="86" t="s">
        <v>2856</v>
      </c>
      <c r="N40" t="s">
        <v>2856</v>
      </c>
      <c r="O40" t="s">
        <v>340</v>
      </c>
    </row>
    <row r="41" spans="1:61" ht="18.399999999999999" hidden="1" customHeight="1" x14ac:dyDescent="0.15">
      <c r="A41" s="2" t="s">
        <v>210</v>
      </c>
      <c r="B41" s="87" t="s">
        <v>1583</v>
      </c>
      <c r="C41" s="2">
        <v>1</v>
      </c>
      <c r="D41" s="2" t="s">
        <v>556</v>
      </c>
      <c r="E41" s="27">
        <f>G41+I41+K41</f>
        <v>35038</v>
      </c>
      <c r="F41" s="28">
        <f>H41+J41+L41</f>
        <v>35038</v>
      </c>
      <c r="G41" s="27">
        <f>일위대가목록!F208</f>
        <v>438</v>
      </c>
      <c r="H41" s="28">
        <f>TRUNC(G41*C41,1)</f>
        <v>438</v>
      </c>
      <c r="I41" s="27">
        <f>일위대가목록!H208</f>
        <v>34511</v>
      </c>
      <c r="J41" s="28">
        <f>TRUNC(I41*C41,1)</f>
        <v>34511</v>
      </c>
      <c r="K41" s="27">
        <f>일위대가목록!J208</f>
        <v>89</v>
      </c>
      <c r="L41" s="28">
        <f>TRUNC(K41*C41,1)</f>
        <v>89</v>
      </c>
      <c r="M41" s="86" t="s">
        <v>2856</v>
      </c>
      <c r="N41" t="s">
        <v>2856</v>
      </c>
      <c r="P41" t="s">
        <v>334</v>
      </c>
      <c r="Q41" t="s">
        <v>2856</v>
      </c>
      <c r="R41" t="s">
        <v>761</v>
      </c>
      <c r="T41" t="s">
        <v>1778</v>
      </c>
      <c r="BI41" s="34" t="str">
        <f>HYPERLINK("#일위대가목록!A203","NT1040 →")</f>
        <v>NT1040 →</v>
      </c>
    </row>
    <row r="42" spans="1:61" ht="18.399999999999999" hidden="1" customHeight="1" x14ac:dyDescent="0.15">
      <c r="A42" s="2" t="s">
        <v>1701</v>
      </c>
      <c r="B42" s="87" t="s">
        <v>1482</v>
      </c>
      <c r="C42" s="2">
        <v>0.05</v>
      </c>
      <c r="D42" s="2" t="s">
        <v>2825</v>
      </c>
      <c r="E42" s="27">
        <f>G42+I42+K42</f>
        <v>5859</v>
      </c>
      <c r="F42" s="28">
        <f>H42+J42+L42</f>
        <v>292.89999999999998</v>
      </c>
      <c r="G42" s="27">
        <f>일위대가목록!F3</f>
        <v>1054</v>
      </c>
      <c r="H42" s="28">
        <f>TRUNC(G42*C42,1)</f>
        <v>52.7</v>
      </c>
      <c r="I42" s="27">
        <f>일위대가목록!H3</f>
        <v>3467</v>
      </c>
      <c r="J42" s="28">
        <f>TRUNC(I42*C42,1)</f>
        <v>173.3</v>
      </c>
      <c r="K42" s="27">
        <f>일위대가목록!J3</f>
        <v>1338</v>
      </c>
      <c r="L42" s="28">
        <f>TRUNC(K42*C42,1)</f>
        <v>66.900000000000006</v>
      </c>
      <c r="M42" s="86" t="s">
        <v>2856</v>
      </c>
      <c r="N42" t="s">
        <v>2856</v>
      </c>
      <c r="P42" t="s">
        <v>2471</v>
      </c>
      <c r="Q42" t="s">
        <v>2856</v>
      </c>
      <c r="R42" t="s">
        <v>2633</v>
      </c>
      <c r="T42" t="s">
        <v>2405</v>
      </c>
      <c r="BI42" s="34" t="str">
        <f>HYPERLINK("#일위대가목록!A3","NX1510 →")</f>
        <v>NX1510 →</v>
      </c>
    </row>
    <row r="43" spans="1:61" ht="18.399999999999999" hidden="1" customHeight="1" x14ac:dyDescent="0.15">
      <c r="A43" s="1"/>
      <c r="B43" s="87"/>
      <c r="C43" s="1"/>
      <c r="D43" s="1"/>
      <c r="E43" s="1"/>
      <c r="F43" s="1"/>
      <c r="G43" s="1"/>
      <c r="H43" s="1"/>
      <c r="I43" s="1"/>
      <c r="J43" s="1"/>
      <c r="K43" s="1"/>
      <c r="L43" s="1"/>
      <c r="M43" s="87"/>
    </row>
    <row r="44" spans="1:61" ht="18.399999999999999" hidden="1" customHeight="1" x14ac:dyDescent="0.15">
      <c r="A44" s="2" t="s">
        <v>1194</v>
      </c>
      <c r="B44" s="87" t="s">
        <v>490</v>
      </c>
      <c r="C44" s="2">
        <v>1</v>
      </c>
      <c r="D44" s="2" t="s">
        <v>556</v>
      </c>
      <c r="E44" s="184"/>
      <c r="F44" s="29">
        <f>H44+J44+L44</f>
        <v>16038</v>
      </c>
      <c r="G44" s="184"/>
      <c r="H44" s="29">
        <f>TRUNC(H45+H46,0)</f>
        <v>941</v>
      </c>
      <c r="I44" s="184"/>
      <c r="J44" s="29">
        <f>TRUNC(J45+J46,0)</f>
        <v>14018</v>
      </c>
      <c r="K44" s="184"/>
      <c r="L44" s="29">
        <f>TRUNC(L45+L46,0)</f>
        <v>1079</v>
      </c>
      <c r="M44" s="86" t="s">
        <v>2856</v>
      </c>
      <c r="N44" t="s">
        <v>2856</v>
      </c>
      <c r="O44" t="s">
        <v>2791</v>
      </c>
    </row>
    <row r="45" spans="1:61" ht="18.399999999999999" hidden="1" customHeight="1" x14ac:dyDescent="0.15">
      <c r="A45" s="2" t="s">
        <v>210</v>
      </c>
      <c r="B45" s="87" t="s">
        <v>585</v>
      </c>
      <c r="C45" s="2">
        <v>1</v>
      </c>
      <c r="D45" s="2" t="s">
        <v>556</v>
      </c>
      <c r="E45" s="27">
        <f>G45+I45+K45</f>
        <v>11411</v>
      </c>
      <c r="F45" s="28">
        <f>H45+J45+L45</f>
        <v>11411</v>
      </c>
      <c r="G45" s="27">
        <f>일위대가목록!F203</f>
        <v>109</v>
      </c>
      <c r="H45" s="28">
        <f>TRUNC(G45*C45,1)</f>
        <v>109</v>
      </c>
      <c r="I45" s="27">
        <f>일위대가목록!H203</f>
        <v>11280</v>
      </c>
      <c r="J45" s="28">
        <f>TRUNC(I45*C45,1)</f>
        <v>11280</v>
      </c>
      <c r="K45" s="27">
        <f>일위대가목록!J203</f>
        <v>22</v>
      </c>
      <c r="L45" s="28">
        <f>TRUNC(K45*C45,1)</f>
        <v>22</v>
      </c>
      <c r="M45" s="86" t="s">
        <v>2856</v>
      </c>
      <c r="N45" t="s">
        <v>2856</v>
      </c>
      <c r="P45" t="s">
        <v>334</v>
      </c>
      <c r="Q45" t="s">
        <v>2856</v>
      </c>
      <c r="R45" t="s">
        <v>1579</v>
      </c>
      <c r="T45" t="s">
        <v>1778</v>
      </c>
      <c r="BI45" s="34" t="str">
        <f>HYPERLINK("#일위대가목록!A198","NT1015 →")</f>
        <v>NT1015 →</v>
      </c>
    </row>
    <row r="46" spans="1:61" ht="18.399999999999999" hidden="1" customHeight="1" x14ac:dyDescent="0.15">
      <c r="A46" s="2" t="s">
        <v>1701</v>
      </c>
      <c r="B46" s="87" t="s">
        <v>1482</v>
      </c>
      <c r="C46" s="2">
        <v>0.79</v>
      </c>
      <c r="D46" s="2" t="s">
        <v>2825</v>
      </c>
      <c r="E46" s="27">
        <f>G46+I46+K46</f>
        <v>5859</v>
      </c>
      <c r="F46" s="28">
        <f>H46+J46+L46</f>
        <v>4628.5</v>
      </c>
      <c r="G46" s="27">
        <f>일위대가목록!F3</f>
        <v>1054</v>
      </c>
      <c r="H46" s="28">
        <f>TRUNC(G46*C46,1)</f>
        <v>832.6</v>
      </c>
      <c r="I46" s="27">
        <f>일위대가목록!H3</f>
        <v>3467</v>
      </c>
      <c r="J46" s="28">
        <f>TRUNC(I46*C46,1)</f>
        <v>2738.9</v>
      </c>
      <c r="K46" s="27">
        <f>일위대가목록!J3</f>
        <v>1338</v>
      </c>
      <c r="L46" s="28">
        <f>TRUNC(K46*C46,1)</f>
        <v>1057</v>
      </c>
      <c r="M46" s="86" t="s">
        <v>2856</v>
      </c>
      <c r="N46" t="s">
        <v>2856</v>
      </c>
      <c r="P46" t="s">
        <v>2471</v>
      </c>
      <c r="Q46" t="s">
        <v>2856</v>
      </c>
      <c r="R46" t="s">
        <v>2633</v>
      </c>
      <c r="T46" t="s">
        <v>2405</v>
      </c>
      <c r="BI46" s="34" t="str">
        <f>HYPERLINK("#일위대가목록!A3","NX1510 →")</f>
        <v>NX1510 →</v>
      </c>
    </row>
    <row r="47" spans="1:61" ht="18.399999999999999" hidden="1" customHeight="1" x14ac:dyDescent="0.15">
      <c r="A47" s="1"/>
      <c r="B47" s="87"/>
      <c r="C47" s="1"/>
      <c r="D47" s="1"/>
      <c r="E47" s="1"/>
      <c r="F47" s="1"/>
      <c r="G47" s="1"/>
      <c r="H47" s="1"/>
      <c r="I47" s="1"/>
      <c r="J47" s="1"/>
      <c r="K47" s="1"/>
      <c r="L47" s="1"/>
      <c r="M47" s="87"/>
    </row>
    <row r="48" spans="1:61" ht="18.399999999999999" hidden="1" customHeight="1" x14ac:dyDescent="0.15">
      <c r="A48" s="2" t="s">
        <v>120</v>
      </c>
      <c r="B48" s="87" t="s">
        <v>945</v>
      </c>
      <c r="C48" s="2">
        <v>1</v>
      </c>
      <c r="D48" s="2" t="s">
        <v>556</v>
      </c>
      <c r="E48" s="184"/>
      <c r="F48" s="29">
        <f>H48+J48+L48</f>
        <v>49228</v>
      </c>
      <c r="G48" s="184"/>
      <c r="H48" s="29">
        <f>TRUNC(H49+H50,0)</f>
        <v>745</v>
      </c>
      <c r="I48" s="184"/>
      <c r="J48" s="29">
        <f>TRUNC(J49+J50,0)</f>
        <v>48243</v>
      </c>
      <c r="K48" s="184"/>
      <c r="L48" s="29">
        <f>TRUNC(L49+L50,0)</f>
        <v>240</v>
      </c>
      <c r="M48" s="86" t="s">
        <v>2856</v>
      </c>
      <c r="N48" t="s">
        <v>2856</v>
      </c>
      <c r="O48" t="s">
        <v>1212</v>
      </c>
    </row>
    <row r="49" spans="1:61" ht="18.399999999999999" hidden="1" customHeight="1" x14ac:dyDescent="0.15">
      <c r="A49" s="2" t="s">
        <v>210</v>
      </c>
      <c r="B49" s="87" t="s">
        <v>1702</v>
      </c>
      <c r="C49" s="2">
        <v>1</v>
      </c>
      <c r="D49" s="2" t="s">
        <v>556</v>
      </c>
      <c r="E49" s="27">
        <f>G49+I49+K49</f>
        <v>48760</v>
      </c>
      <c r="F49" s="28">
        <f>H49+J49+L49</f>
        <v>48760</v>
      </c>
      <c r="G49" s="27">
        <f>일위대가목록!F206</f>
        <v>661</v>
      </c>
      <c r="H49" s="28">
        <f>TRUNC(G49*C49,1)</f>
        <v>661</v>
      </c>
      <c r="I49" s="27">
        <f>일위대가목록!H206</f>
        <v>47966</v>
      </c>
      <c r="J49" s="28">
        <f>TRUNC(I49*C49,1)</f>
        <v>47966</v>
      </c>
      <c r="K49" s="27">
        <f>일위대가목록!J206</f>
        <v>133</v>
      </c>
      <c r="L49" s="28">
        <f>TRUNC(K49*C49,1)</f>
        <v>133</v>
      </c>
      <c r="M49" s="86" t="s">
        <v>2856</v>
      </c>
      <c r="N49" t="s">
        <v>2856</v>
      </c>
      <c r="P49" t="s">
        <v>334</v>
      </c>
      <c r="Q49" t="s">
        <v>2856</v>
      </c>
      <c r="R49" t="s">
        <v>2272</v>
      </c>
      <c r="T49" t="s">
        <v>1778</v>
      </c>
      <c r="BI49" s="34" t="str">
        <f>HYPERLINK("#일위대가목록!A201","NT1045 →")</f>
        <v>NT1045 →</v>
      </c>
    </row>
    <row r="50" spans="1:61" ht="18.399999999999999" hidden="1" customHeight="1" x14ac:dyDescent="0.15">
      <c r="A50" s="2" t="s">
        <v>1701</v>
      </c>
      <c r="B50" s="87" t="s">
        <v>1482</v>
      </c>
      <c r="C50" s="2">
        <v>0.08</v>
      </c>
      <c r="D50" s="2" t="s">
        <v>2825</v>
      </c>
      <c r="E50" s="27">
        <f>G50+I50+K50</f>
        <v>5859</v>
      </c>
      <c r="F50" s="28">
        <f>H50+J50+L50</f>
        <v>468.6</v>
      </c>
      <c r="G50" s="27">
        <f>일위대가목록!F3</f>
        <v>1054</v>
      </c>
      <c r="H50" s="28">
        <f>TRUNC(G50*C50,1)</f>
        <v>84.3</v>
      </c>
      <c r="I50" s="27">
        <f>일위대가목록!H3</f>
        <v>3467</v>
      </c>
      <c r="J50" s="28">
        <f>TRUNC(I50*C50,1)</f>
        <v>277.3</v>
      </c>
      <c r="K50" s="27">
        <f>일위대가목록!J3</f>
        <v>1338</v>
      </c>
      <c r="L50" s="28">
        <f>TRUNC(K50*C50,1)</f>
        <v>107</v>
      </c>
      <c r="M50" s="86" t="s">
        <v>2856</v>
      </c>
      <c r="N50" t="s">
        <v>2856</v>
      </c>
      <c r="P50" t="s">
        <v>2471</v>
      </c>
      <c r="Q50" t="s">
        <v>2856</v>
      </c>
      <c r="R50" t="s">
        <v>2633</v>
      </c>
      <c r="T50" t="s">
        <v>2405</v>
      </c>
      <c r="BI50" s="34" t="str">
        <f>HYPERLINK("#일위대가목록!A3","NX1510 →")</f>
        <v>NX1510 →</v>
      </c>
    </row>
    <row r="51" spans="1:61" ht="18.399999999999999" hidden="1" customHeight="1" x14ac:dyDescent="0.15">
      <c r="A51" s="1"/>
      <c r="B51" s="87"/>
      <c r="C51" s="1"/>
      <c r="D51" s="1"/>
      <c r="E51" s="1"/>
      <c r="F51" s="1"/>
      <c r="G51" s="1"/>
      <c r="H51" s="1"/>
      <c r="I51" s="1"/>
      <c r="J51" s="1"/>
      <c r="K51" s="1"/>
      <c r="L51" s="1"/>
      <c r="M51" s="87"/>
    </row>
    <row r="52" spans="1:61" ht="18.399999999999999" hidden="1" customHeight="1" x14ac:dyDescent="0.15">
      <c r="A52" s="2" t="s">
        <v>2623</v>
      </c>
      <c r="B52" s="87" t="s">
        <v>2364</v>
      </c>
      <c r="C52" s="2">
        <v>1</v>
      </c>
      <c r="D52" s="2" t="s">
        <v>556</v>
      </c>
      <c r="E52" s="184"/>
      <c r="F52" s="29">
        <f>H52+J52+L52</f>
        <v>37556</v>
      </c>
      <c r="G52" s="184"/>
      <c r="H52" s="29">
        <f>TRUNC(H53+H54,0)</f>
        <v>891</v>
      </c>
      <c r="I52" s="184"/>
      <c r="J52" s="29">
        <f>TRUNC(J53+J54,0)</f>
        <v>36001</v>
      </c>
      <c r="K52" s="184"/>
      <c r="L52" s="29">
        <f>TRUNC(L53+L54,0)</f>
        <v>664</v>
      </c>
      <c r="M52" s="86" t="s">
        <v>2856</v>
      </c>
      <c r="N52" t="s">
        <v>2856</v>
      </c>
      <c r="O52" t="s">
        <v>2391</v>
      </c>
    </row>
    <row r="53" spans="1:61" ht="18.399999999999999" hidden="1" customHeight="1" x14ac:dyDescent="0.15">
      <c r="A53" s="2" t="s">
        <v>210</v>
      </c>
      <c r="B53" s="87" t="s">
        <v>1583</v>
      </c>
      <c r="C53" s="2">
        <v>1</v>
      </c>
      <c r="D53" s="2" t="s">
        <v>556</v>
      </c>
      <c r="E53" s="27">
        <f>G53+I53+K53</f>
        <v>35038</v>
      </c>
      <c r="F53" s="28">
        <f>H53+J53+L53</f>
        <v>35038</v>
      </c>
      <c r="G53" s="27">
        <f>일위대가목록!F208</f>
        <v>438</v>
      </c>
      <c r="H53" s="28">
        <f>TRUNC(G53*C53,1)</f>
        <v>438</v>
      </c>
      <c r="I53" s="27">
        <f>일위대가목록!H208</f>
        <v>34511</v>
      </c>
      <c r="J53" s="28">
        <f>TRUNC(I53*C53,1)</f>
        <v>34511</v>
      </c>
      <c r="K53" s="27">
        <f>일위대가목록!J208</f>
        <v>89</v>
      </c>
      <c r="L53" s="28">
        <f>TRUNC(K53*C53,1)</f>
        <v>89</v>
      </c>
      <c r="M53" s="86" t="s">
        <v>2856</v>
      </c>
      <c r="N53" t="s">
        <v>2856</v>
      </c>
      <c r="P53" t="s">
        <v>334</v>
      </c>
      <c r="Q53" t="s">
        <v>2856</v>
      </c>
      <c r="R53" t="s">
        <v>761</v>
      </c>
      <c r="T53" t="s">
        <v>1778</v>
      </c>
      <c r="BI53" s="34" t="str">
        <f>HYPERLINK("#일위대가목록!A203","NT1040 →")</f>
        <v>NT1040 →</v>
      </c>
    </row>
    <row r="54" spans="1:61" ht="18.399999999999999" hidden="1" customHeight="1" x14ac:dyDescent="0.15">
      <c r="A54" s="2" t="s">
        <v>1701</v>
      </c>
      <c r="B54" s="87" t="s">
        <v>1482</v>
      </c>
      <c r="C54" s="2">
        <v>0.43</v>
      </c>
      <c r="D54" s="2" t="s">
        <v>2825</v>
      </c>
      <c r="E54" s="27">
        <f>G54+I54+K54</f>
        <v>5859</v>
      </c>
      <c r="F54" s="28">
        <f>H54+J54+L54</f>
        <v>2519.3000000000002</v>
      </c>
      <c r="G54" s="27">
        <f>일위대가목록!F3</f>
        <v>1054</v>
      </c>
      <c r="H54" s="28">
        <f>TRUNC(G54*C54,1)</f>
        <v>453.2</v>
      </c>
      <c r="I54" s="27">
        <f>일위대가목록!H3</f>
        <v>3467</v>
      </c>
      <c r="J54" s="28">
        <f>TRUNC(I54*C54,1)</f>
        <v>1490.8</v>
      </c>
      <c r="K54" s="27">
        <f>일위대가목록!J3</f>
        <v>1338</v>
      </c>
      <c r="L54" s="28">
        <f>TRUNC(K54*C54,1)</f>
        <v>575.29999999999995</v>
      </c>
      <c r="M54" s="86" t="s">
        <v>2856</v>
      </c>
      <c r="N54" t="s">
        <v>2856</v>
      </c>
      <c r="P54" t="s">
        <v>2471</v>
      </c>
      <c r="Q54" t="s">
        <v>2856</v>
      </c>
      <c r="R54" t="s">
        <v>2633</v>
      </c>
      <c r="T54" t="s">
        <v>2405</v>
      </c>
      <c r="BI54" s="34" t="str">
        <f>HYPERLINK("#일위대가목록!A3","NX1510 →")</f>
        <v>NX1510 →</v>
      </c>
    </row>
    <row r="55" spans="1:61" ht="18.399999999999999" hidden="1" customHeight="1" x14ac:dyDescent="0.15">
      <c r="A55" s="1"/>
      <c r="B55" s="87"/>
      <c r="C55" s="1"/>
      <c r="D55" s="1"/>
      <c r="E55" s="1"/>
      <c r="F55" s="1"/>
      <c r="G55" s="1"/>
      <c r="H55" s="1"/>
      <c r="I55" s="1"/>
      <c r="J55" s="1"/>
      <c r="K55" s="1"/>
      <c r="L55" s="1"/>
      <c r="M55" s="87"/>
    </row>
    <row r="56" spans="1:61" ht="18.399999999999999" hidden="1" customHeight="1" x14ac:dyDescent="0.15">
      <c r="A56" s="2" t="s">
        <v>1585</v>
      </c>
      <c r="B56" s="87" t="s">
        <v>1558</v>
      </c>
      <c r="C56" s="2">
        <v>1</v>
      </c>
      <c r="D56" s="2" t="s">
        <v>556</v>
      </c>
      <c r="E56" s="184"/>
      <c r="F56" s="29">
        <f>H56+J56+L56</f>
        <v>59487</v>
      </c>
      <c r="G56" s="184"/>
      <c r="H56" s="29">
        <f>TRUNC(H57+H58,0)</f>
        <v>930</v>
      </c>
      <c r="I56" s="184"/>
      <c r="J56" s="29">
        <f>TRUNC(J57+J58,0)</f>
        <v>58257</v>
      </c>
      <c r="K56" s="184"/>
      <c r="L56" s="29">
        <f>TRUNC(L57+L58,0)</f>
        <v>300</v>
      </c>
      <c r="M56" s="86" t="s">
        <v>2856</v>
      </c>
      <c r="N56" t="s">
        <v>2856</v>
      </c>
      <c r="O56" t="s">
        <v>702</v>
      </c>
    </row>
    <row r="57" spans="1:61" ht="18.399999999999999" hidden="1" customHeight="1" x14ac:dyDescent="0.15">
      <c r="A57" s="2" t="s">
        <v>210</v>
      </c>
      <c r="B57" s="87" t="s">
        <v>1277</v>
      </c>
      <c r="C57" s="2">
        <v>1</v>
      </c>
      <c r="D57" s="2" t="s">
        <v>556</v>
      </c>
      <c r="E57" s="27">
        <f>G57+I57+K57</f>
        <v>58903</v>
      </c>
      <c r="F57" s="28">
        <f>H57+J57+L57</f>
        <v>58903</v>
      </c>
      <c r="G57" s="27">
        <f>일위대가목록!F207</f>
        <v>825</v>
      </c>
      <c r="H57" s="28">
        <f>TRUNC(G57*C57,1)</f>
        <v>825</v>
      </c>
      <c r="I57" s="27">
        <f>일위대가목록!H207</f>
        <v>57911</v>
      </c>
      <c r="J57" s="28">
        <f>TRUNC(I57*C57,1)</f>
        <v>57911</v>
      </c>
      <c r="K57" s="27">
        <f>일위대가목록!J207</f>
        <v>167</v>
      </c>
      <c r="L57" s="28">
        <f>TRUNC(K57*C57,1)</f>
        <v>167</v>
      </c>
      <c r="M57" s="86" t="s">
        <v>2856</v>
      </c>
      <c r="N57" t="s">
        <v>2856</v>
      </c>
      <c r="P57" t="s">
        <v>334</v>
      </c>
      <c r="Q57" t="s">
        <v>2856</v>
      </c>
      <c r="R57" t="s">
        <v>63</v>
      </c>
      <c r="T57" t="s">
        <v>1778</v>
      </c>
      <c r="BI57" s="34" t="str">
        <f>HYPERLINK("#일위대가목록!A202","NT1050 →")</f>
        <v>NT1050 →</v>
      </c>
    </row>
    <row r="58" spans="1:61" ht="18.399999999999999" hidden="1" customHeight="1" x14ac:dyDescent="0.15">
      <c r="A58" s="2" t="s">
        <v>1701</v>
      </c>
      <c r="B58" s="87" t="s">
        <v>1482</v>
      </c>
      <c r="C58" s="2">
        <v>0.1</v>
      </c>
      <c r="D58" s="2" t="s">
        <v>2825</v>
      </c>
      <c r="E58" s="27">
        <f>G58+I58+K58</f>
        <v>5859</v>
      </c>
      <c r="F58" s="28">
        <f>H58+J58+L58</f>
        <v>585.90000000000009</v>
      </c>
      <c r="G58" s="27">
        <f>일위대가목록!F3</f>
        <v>1054</v>
      </c>
      <c r="H58" s="28">
        <f>TRUNC(G58*C58,1)</f>
        <v>105.4</v>
      </c>
      <c r="I58" s="27">
        <f>일위대가목록!H3</f>
        <v>3467</v>
      </c>
      <c r="J58" s="28">
        <f>TRUNC(I58*C58,1)</f>
        <v>346.7</v>
      </c>
      <c r="K58" s="27">
        <f>일위대가목록!J3</f>
        <v>1338</v>
      </c>
      <c r="L58" s="28">
        <f>TRUNC(K58*C58,1)</f>
        <v>133.80000000000001</v>
      </c>
      <c r="M58" s="86" t="s">
        <v>2856</v>
      </c>
      <c r="N58" t="s">
        <v>2856</v>
      </c>
      <c r="P58" t="s">
        <v>2471</v>
      </c>
      <c r="Q58" t="s">
        <v>2856</v>
      </c>
      <c r="R58" t="s">
        <v>2633</v>
      </c>
      <c r="T58" t="s">
        <v>2405</v>
      </c>
      <c r="BI58" s="34" t="str">
        <f>HYPERLINK("#일위대가목록!A3","NX1510 →")</f>
        <v>NX1510 →</v>
      </c>
    </row>
    <row r="59" spans="1:61" ht="18.399999999999999" hidden="1" customHeight="1" x14ac:dyDescent="0.15">
      <c r="A59" s="1"/>
      <c r="B59" s="87"/>
      <c r="C59" s="1"/>
      <c r="D59" s="1"/>
      <c r="E59" s="1"/>
      <c r="F59" s="1"/>
      <c r="G59" s="1"/>
      <c r="H59" s="1"/>
      <c r="I59" s="1"/>
      <c r="J59" s="1"/>
      <c r="K59" s="1"/>
      <c r="L59" s="1"/>
      <c r="M59" s="87"/>
    </row>
    <row r="60" spans="1:61" ht="18.399999999999999" hidden="1" customHeight="1" x14ac:dyDescent="0.15">
      <c r="A60" s="2" t="s">
        <v>1242</v>
      </c>
      <c r="B60" s="87" t="s">
        <v>164</v>
      </c>
      <c r="C60" s="2">
        <v>1</v>
      </c>
      <c r="D60" s="2" t="s">
        <v>556</v>
      </c>
      <c r="E60" s="184"/>
      <c r="F60" s="29">
        <f>H60+J60+L60</f>
        <v>28813</v>
      </c>
      <c r="G60" s="184"/>
      <c r="H60" s="29">
        <f>TRUNC(H61+H62,0)</f>
        <v>384</v>
      </c>
      <c r="I60" s="184"/>
      <c r="J60" s="29">
        <f>TRUNC(J61+J62,0)</f>
        <v>28284</v>
      </c>
      <c r="K60" s="184"/>
      <c r="L60" s="29">
        <f>TRUNC(L61+L62,0)</f>
        <v>145</v>
      </c>
      <c r="M60" s="86" t="s">
        <v>2856</v>
      </c>
      <c r="N60" t="s">
        <v>2856</v>
      </c>
      <c r="O60" t="s">
        <v>2540</v>
      </c>
    </row>
    <row r="61" spans="1:61" ht="18.399999999999999" hidden="1" customHeight="1" x14ac:dyDescent="0.15">
      <c r="A61" s="2" t="s">
        <v>210</v>
      </c>
      <c r="B61" s="87" t="s">
        <v>297</v>
      </c>
      <c r="C61" s="2">
        <v>1</v>
      </c>
      <c r="D61" s="2" t="s">
        <v>556</v>
      </c>
      <c r="E61" s="27">
        <f>G61+I61+K61</f>
        <v>28462</v>
      </c>
      <c r="F61" s="28">
        <f>H61+J61+L61</f>
        <v>28462</v>
      </c>
      <c r="G61" s="27">
        <f>일위대가목록!F209</f>
        <v>321</v>
      </c>
      <c r="H61" s="28">
        <f>TRUNC(G61*C61,1)</f>
        <v>321</v>
      </c>
      <c r="I61" s="27">
        <f>일위대가목록!H209</f>
        <v>28076</v>
      </c>
      <c r="J61" s="28">
        <f>TRUNC(I61*C61,1)</f>
        <v>28076</v>
      </c>
      <c r="K61" s="27">
        <f>일위대가목록!J209</f>
        <v>65</v>
      </c>
      <c r="L61" s="28">
        <f>TRUNC(K61*C61,1)</f>
        <v>65</v>
      </c>
      <c r="M61" s="86" t="s">
        <v>2856</v>
      </c>
      <c r="N61" t="s">
        <v>2856</v>
      </c>
      <c r="P61" t="s">
        <v>334</v>
      </c>
      <c r="Q61" t="s">
        <v>2856</v>
      </c>
      <c r="R61" t="s">
        <v>1464</v>
      </c>
      <c r="T61" t="s">
        <v>1778</v>
      </c>
      <c r="BI61" s="34" t="str">
        <f>HYPERLINK("#일위대가목록!A204","NT1030 →")</f>
        <v>NT1030 →</v>
      </c>
    </row>
    <row r="62" spans="1:61" ht="18.399999999999999" hidden="1" customHeight="1" x14ac:dyDescent="0.15">
      <c r="A62" s="2" t="s">
        <v>1701</v>
      </c>
      <c r="B62" s="87" t="s">
        <v>1482</v>
      </c>
      <c r="C62" s="2">
        <v>0.06</v>
      </c>
      <c r="D62" s="2" t="s">
        <v>2825</v>
      </c>
      <c r="E62" s="27">
        <f>G62+I62+K62</f>
        <v>5859</v>
      </c>
      <c r="F62" s="28">
        <f>H62+J62+L62</f>
        <v>351.4</v>
      </c>
      <c r="G62" s="27">
        <f>일위대가목록!F3</f>
        <v>1054</v>
      </c>
      <c r="H62" s="28">
        <f>TRUNC(G62*C62,1)</f>
        <v>63.2</v>
      </c>
      <c r="I62" s="27">
        <f>일위대가목록!H3</f>
        <v>3467</v>
      </c>
      <c r="J62" s="28">
        <f>TRUNC(I62*C62,1)</f>
        <v>208</v>
      </c>
      <c r="K62" s="27">
        <f>일위대가목록!J3</f>
        <v>1338</v>
      </c>
      <c r="L62" s="28">
        <f>TRUNC(K62*C62,1)</f>
        <v>80.2</v>
      </c>
      <c r="M62" s="86" t="s">
        <v>2856</v>
      </c>
      <c r="N62" t="s">
        <v>2856</v>
      </c>
      <c r="P62" t="s">
        <v>2471</v>
      </c>
      <c r="Q62" t="s">
        <v>2856</v>
      </c>
      <c r="R62" t="s">
        <v>2633</v>
      </c>
      <c r="T62" t="s">
        <v>2405</v>
      </c>
      <c r="BI62" s="34" t="str">
        <f>HYPERLINK("#일위대가목록!A3","NX1510 →")</f>
        <v>NX1510 →</v>
      </c>
    </row>
    <row r="63" spans="1:61" ht="18.399999999999999" hidden="1" customHeight="1" x14ac:dyDescent="0.15">
      <c r="A63" s="1"/>
      <c r="B63" s="87"/>
      <c r="C63" s="1"/>
      <c r="D63" s="1"/>
      <c r="E63" s="1"/>
      <c r="F63" s="1"/>
      <c r="G63" s="1"/>
      <c r="H63" s="1"/>
      <c r="I63" s="1"/>
      <c r="J63" s="1"/>
      <c r="K63" s="1"/>
      <c r="L63" s="1"/>
      <c r="M63" s="87"/>
    </row>
    <row r="64" spans="1:61" ht="18.399999999999999" hidden="1" customHeight="1" x14ac:dyDescent="0.15">
      <c r="A64" s="2" t="s">
        <v>148</v>
      </c>
      <c r="B64" s="87" t="s">
        <v>18</v>
      </c>
      <c r="C64" s="2">
        <v>1</v>
      </c>
      <c r="D64" s="2" t="s">
        <v>556</v>
      </c>
      <c r="E64" s="184"/>
      <c r="F64" s="29">
        <f>H64+J64+L64</f>
        <v>22244</v>
      </c>
      <c r="G64" s="184"/>
      <c r="H64" s="29">
        <f>TRUNC(H65+H66,0)</f>
        <v>248</v>
      </c>
      <c r="I64" s="184"/>
      <c r="J64" s="29">
        <f>TRUNC(J65+J66,0)</f>
        <v>21912</v>
      </c>
      <c r="K64" s="184"/>
      <c r="L64" s="29">
        <f>TRUNC(L65+L66,0)</f>
        <v>84</v>
      </c>
      <c r="M64" s="86" t="s">
        <v>2856</v>
      </c>
      <c r="N64" t="s">
        <v>2856</v>
      </c>
      <c r="O64" t="s">
        <v>1318</v>
      </c>
    </row>
    <row r="65" spans="1:61" ht="18.399999999999999" hidden="1" customHeight="1" x14ac:dyDescent="0.15">
      <c r="A65" s="2" t="s">
        <v>210</v>
      </c>
      <c r="B65" s="87" t="s">
        <v>137</v>
      </c>
      <c r="C65" s="2">
        <v>1</v>
      </c>
      <c r="D65" s="2" t="s">
        <v>556</v>
      </c>
      <c r="E65" s="27">
        <f>G65+I65+K65</f>
        <v>22069</v>
      </c>
      <c r="F65" s="28">
        <f>H65+J65+L65</f>
        <v>22069</v>
      </c>
      <c r="G65" s="27">
        <f>일위대가목록!F210</f>
        <v>217</v>
      </c>
      <c r="H65" s="28">
        <f>TRUNC(G65*C65,1)</f>
        <v>217</v>
      </c>
      <c r="I65" s="27">
        <f>일위대가목록!H210</f>
        <v>21808</v>
      </c>
      <c r="J65" s="28">
        <f>TRUNC(I65*C65,1)</f>
        <v>21808</v>
      </c>
      <c r="K65" s="27">
        <f>일위대가목록!J210</f>
        <v>44</v>
      </c>
      <c r="L65" s="28">
        <f>TRUNC(K65*C65,1)</f>
        <v>44</v>
      </c>
      <c r="M65" s="86" t="s">
        <v>2856</v>
      </c>
      <c r="N65" t="s">
        <v>2856</v>
      </c>
      <c r="P65" t="s">
        <v>334</v>
      </c>
      <c r="Q65" t="s">
        <v>2856</v>
      </c>
      <c r="R65" t="s">
        <v>2167</v>
      </c>
      <c r="T65" t="s">
        <v>1778</v>
      </c>
      <c r="BI65" s="34" t="str">
        <f>HYPERLINK("#일위대가목록!A205","NT1020 →")</f>
        <v>NT1020 →</v>
      </c>
    </row>
    <row r="66" spans="1:61" ht="18.399999999999999" hidden="1" customHeight="1" x14ac:dyDescent="0.15">
      <c r="A66" s="2" t="s">
        <v>1701</v>
      </c>
      <c r="B66" s="87" t="s">
        <v>1482</v>
      </c>
      <c r="C66" s="2">
        <v>0.03</v>
      </c>
      <c r="D66" s="2" t="s">
        <v>2825</v>
      </c>
      <c r="E66" s="27">
        <f>G66+I66+K66</f>
        <v>5859</v>
      </c>
      <c r="F66" s="28">
        <f>H66+J66+L66</f>
        <v>175.7</v>
      </c>
      <c r="G66" s="27">
        <f>일위대가목록!F3</f>
        <v>1054</v>
      </c>
      <c r="H66" s="28">
        <f>TRUNC(G66*C66,1)</f>
        <v>31.6</v>
      </c>
      <c r="I66" s="27">
        <f>일위대가목록!H3</f>
        <v>3467</v>
      </c>
      <c r="J66" s="28">
        <f>TRUNC(I66*C66,1)</f>
        <v>104</v>
      </c>
      <c r="K66" s="27">
        <f>일위대가목록!J3</f>
        <v>1338</v>
      </c>
      <c r="L66" s="28">
        <f>TRUNC(K66*C66,1)</f>
        <v>40.1</v>
      </c>
      <c r="M66" s="86" t="s">
        <v>2856</v>
      </c>
      <c r="N66" t="s">
        <v>2856</v>
      </c>
      <c r="P66" t="s">
        <v>2471</v>
      </c>
      <c r="Q66" t="s">
        <v>2856</v>
      </c>
      <c r="R66" t="s">
        <v>2633</v>
      </c>
      <c r="T66" t="s">
        <v>2405</v>
      </c>
      <c r="BI66" s="34" t="str">
        <f>HYPERLINK("#일위대가목록!A3","NX1510 →")</f>
        <v>NX1510 →</v>
      </c>
    </row>
    <row r="67" spans="1:61" ht="18.399999999999999" hidden="1" customHeight="1" x14ac:dyDescent="0.15">
      <c r="A67" s="1"/>
      <c r="B67" s="87"/>
      <c r="C67" s="1"/>
      <c r="D67" s="1"/>
      <c r="E67" s="1"/>
      <c r="F67" s="1"/>
      <c r="G67" s="1"/>
      <c r="H67" s="1"/>
      <c r="I67" s="1"/>
      <c r="J67" s="1"/>
      <c r="K67" s="1"/>
      <c r="L67" s="1"/>
      <c r="M67" s="87"/>
    </row>
    <row r="68" spans="1:61" ht="18.399999999999999" hidden="1" customHeight="1" x14ac:dyDescent="0.15">
      <c r="A68" s="2" t="s">
        <v>22</v>
      </c>
      <c r="B68" s="87" t="s">
        <v>2797</v>
      </c>
      <c r="C68" s="2">
        <v>1</v>
      </c>
      <c r="D68" s="2" t="s">
        <v>556</v>
      </c>
      <c r="E68" s="184"/>
      <c r="F68" s="29">
        <f>H68+J68+L68</f>
        <v>22126</v>
      </c>
      <c r="G68" s="184"/>
      <c r="H68" s="29">
        <f>TRUNC(H69+H70,0)</f>
        <v>227</v>
      </c>
      <c r="I68" s="184"/>
      <c r="J68" s="29">
        <f>TRUNC(J69+J70,0)</f>
        <v>21842</v>
      </c>
      <c r="K68" s="184"/>
      <c r="L68" s="29">
        <f>TRUNC(L69+L70,0)</f>
        <v>57</v>
      </c>
      <c r="M68" s="86" t="s">
        <v>2856</v>
      </c>
      <c r="N68" t="s">
        <v>2856</v>
      </c>
      <c r="O68" t="s">
        <v>2315</v>
      </c>
    </row>
    <row r="69" spans="1:61" ht="18.399999999999999" hidden="1" customHeight="1" x14ac:dyDescent="0.15">
      <c r="A69" s="2" t="s">
        <v>210</v>
      </c>
      <c r="B69" s="87" t="s">
        <v>137</v>
      </c>
      <c r="C69" s="2">
        <v>1</v>
      </c>
      <c r="D69" s="2" t="s">
        <v>556</v>
      </c>
      <c r="E69" s="27">
        <f>G69+I69+K69</f>
        <v>22069</v>
      </c>
      <c r="F69" s="28">
        <f>H69+J69+L69</f>
        <v>22069</v>
      </c>
      <c r="G69" s="27">
        <f>일위대가목록!F210</f>
        <v>217</v>
      </c>
      <c r="H69" s="28">
        <f>TRUNC(G69*C69,1)</f>
        <v>217</v>
      </c>
      <c r="I69" s="27">
        <f>일위대가목록!H210</f>
        <v>21808</v>
      </c>
      <c r="J69" s="28">
        <f>TRUNC(I69*C69,1)</f>
        <v>21808</v>
      </c>
      <c r="K69" s="27">
        <f>일위대가목록!J210</f>
        <v>44</v>
      </c>
      <c r="L69" s="28">
        <f>TRUNC(K69*C69,1)</f>
        <v>44</v>
      </c>
      <c r="M69" s="86" t="s">
        <v>2856</v>
      </c>
      <c r="N69" t="s">
        <v>2856</v>
      </c>
      <c r="P69" t="s">
        <v>334</v>
      </c>
      <c r="Q69" t="s">
        <v>2856</v>
      </c>
      <c r="R69" t="s">
        <v>2167</v>
      </c>
      <c r="T69" t="s">
        <v>1778</v>
      </c>
      <c r="BI69" s="34" t="str">
        <f>HYPERLINK("#일위대가목록!A205","NT1020 →")</f>
        <v>NT1020 →</v>
      </c>
    </row>
    <row r="70" spans="1:61" ht="18.399999999999999" hidden="1" customHeight="1" x14ac:dyDescent="0.15">
      <c r="A70" s="2" t="s">
        <v>1701</v>
      </c>
      <c r="B70" s="87" t="s">
        <v>1482</v>
      </c>
      <c r="C70" s="2">
        <v>0.01</v>
      </c>
      <c r="D70" s="2" t="s">
        <v>2825</v>
      </c>
      <c r="E70" s="27">
        <f>G70+I70+K70</f>
        <v>5859</v>
      </c>
      <c r="F70" s="28">
        <f>H70+J70+L70</f>
        <v>58.400000000000006</v>
      </c>
      <c r="G70" s="27">
        <f>일위대가목록!F3</f>
        <v>1054</v>
      </c>
      <c r="H70" s="28">
        <f>TRUNC(G70*C70,1)</f>
        <v>10.5</v>
      </c>
      <c r="I70" s="27">
        <f>일위대가목록!H3</f>
        <v>3467</v>
      </c>
      <c r="J70" s="28">
        <f>TRUNC(I70*C70,1)</f>
        <v>34.6</v>
      </c>
      <c r="K70" s="27">
        <f>일위대가목록!J3</f>
        <v>1338</v>
      </c>
      <c r="L70" s="28">
        <f>TRUNC(K70*C70,1)</f>
        <v>13.3</v>
      </c>
      <c r="M70" s="86" t="s">
        <v>2856</v>
      </c>
      <c r="N70" t="s">
        <v>2856</v>
      </c>
      <c r="P70" t="s">
        <v>2471</v>
      </c>
      <c r="Q70" t="s">
        <v>2856</v>
      </c>
      <c r="R70" t="s">
        <v>2633</v>
      </c>
      <c r="T70" t="s">
        <v>2405</v>
      </c>
      <c r="BI70" s="34" t="str">
        <f>HYPERLINK("#일위대가목록!A3","NX1510 →")</f>
        <v>NX1510 →</v>
      </c>
    </row>
    <row r="71" spans="1:61" ht="18.399999999999999" hidden="1" customHeight="1" x14ac:dyDescent="0.15">
      <c r="A71" s="1"/>
      <c r="B71" s="87"/>
      <c r="C71" s="1"/>
      <c r="D71" s="1"/>
      <c r="E71" s="1"/>
      <c r="F71" s="1"/>
      <c r="G71" s="1"/>
      <c r="H71" s="1"/>
      <c r="I71" s="1"/>
      <c r="J71" s="1"/>
      <c r="K71" s="1"/>
      <c r="L71" s="1"/>
      <c r="M71" s="87"/>
    </row>
    <row r="72" spans="1:61" ht="18.399999999999999" hidden="1" customHeight="1" x14ac:dyDescent="0.15">
      <c r="A72" s="2" t="s">
        <v>647</v>
      </c>
      <c r="B72" s="87" t="s">
        <v>1592</v>
      </c>
      <c r="C72" s="2">
        <v>1</v>
      </c>
      <c r="D72" s="2" t="s">
        <v>556</v>
      </c>
      <c r="E72" s="184"/>
      <c r="F72" s="29">
        <f>H72+J72+L72</f>
        <v>11468</v>
      </c>
      <c r="G72" s="184"/>
      <c r="H72" s="29">
        <f>TRUNC(H73+H74,0)</f>
        <v>119</v>
      </c>
      <c r="I72" s="184"/>
      <c r="J72" s="29">
        <f>TRUNC(J73+J74,0)</f>
        <v>11314</v>
      </c>
      <c r="K72" s="184"/>
      <c r="L72" s="29">
        <f>TRUNC(L73+L74,0)</f>
        <v>35</v>
      </c>
      <c r="M72" s="86" t="s">
        <v>2856</v>
      </c>
      <c r="N72" t="s">
        <v>2856</v>
      </c>
      <c r="O72" t="s">
        <v>1016</v>
      </c>
    </row>
    <row r="73" spans="1:61" ht="18.399999999999999" hidden="1" customHeight="1" x14ac:dyDescent="0.15">
      <c r="A73" s="2" t="s">
        <v>210</v>
      </c>
      <c r="B73" s="87" t="s">
        <v>585</v>
      </c>
      <c r="C73" s="2">
        <v>1</v>
      </c>
      <c r="D73" s="2" t="s">
        <v>556</v>
      </c>
      <c r="E73" s="27">
        <f>G73+I73+K73</f>
        <v>11411</v>
      </c>
      <c r="F73" s="28">
        <f>H73+J73+L73</f>
        <v>11411</v>
      </c>
      <c r="G73" s="27">
        <f>일위대가목록!F203</f>
        <v>109</v>
      </c>
      <c r="H73" s="28">
        <f>TRUNC(G73*C73,1)</f>
        <v>109</v>
      </c>
      <c r="I73" s="27">
        <f>일위대가목록!H203</f>
        <v>11280</v>
      </c>
      <c r="J73" s="28">
        <f>TRUNC(I73*C73,1)</f>
        <v>11280</v>
      </c>
      <c r="K73" s="27">
        <f>일위대가목록!J203</f>
        <v>22</v>
      </c>
      <c r="L73" s="28">
        <f>TRUNC(K73*C73,1)</f>
        <v>22</v>
      </c>
      <c r="M73" s="86" t="s">
        <v>2856</v>
      </c>
      <c r="N73" t="s">
        <v>2856</v>
      </c>
      <c r="P73" t="s">
        <v>334</v>
      </c>
      <c r="Q73" t="s">
        <v>2856</v>
      </c>
      <c r="R73" t="s">
        <v>1579</v>
      </c>
      <c r="T73" t="s">
        <v>1778</v>
      </c>
      <c r="BI73" s="34" t="str">
        <f>HYPERLINK("#일위대가목록!A198","NT1015 →")</f>
        <v>NT1015 →</v>
      </c>
    </row>
    <row r="74" spans="1:61" ht="18.399999999999999" hidden="1" customHeight="1" x14ac:dyDescent="0.15">
      <c r="A74" s="2" t="s">
        <v>1701</v>
      </c>
      <c r="B74" s="87" t="s">
        <v>1482</v>
      </c>
      <c r="C74" s="2">
        <v>0.01</v>
      </c>
      <c r="D74" s="2" t="s">
        <v>2825</v>
      </c>
      <c r="E74" s="27">
        <f>G74+I74+K74</f>
        <v>5859</v>
      </c>
      <c r="F74" s="28">
        <f>H74+J74+L74</f>
        <v>58.400000000000006</v>
      </c>
      <c r="G74" s="27">
        <f>일위대가목록!F3</f>
        <v>1054</v>
      </c>
      <c r="H74" s="28">
        <f>TRUNC(G74*C74,1)</f>
        <v>10.5</v>
      </c>
      <c r="I74" s="27">
        <f>일위대가목록!H3</f>
        <v>3467</v>
      </c>
      <c r="J74" s="28">
        <f>TRUNC(I74*C74,1)</f>
        <v>34.6</v>
      </c>
      <c r="K74" s="27">
        <f>일위대가목록!J3</f>
        <v>1338</v>
      </c>
      <c r="L74" s="28">
        <f>TRUNC(K74*C74,1)</f>
        <v>13.3</v>
      </c>
      <c r="M74" s="86" t="s">
        <v>2856</v>
      </c>
      <c r="N74" t="s">
        <v>2856</v>
      </c>
      <c r="P74" t="s">
        <v>2471</v>
      </c>
      <c r="Q74" t="s">
        <v>2856</v>
      </c>
      <c r="R74" t="s">
        <v>2633</v>
      </c>
      <c r="T74" t="s">
        <v>2405</v>
      </c>
      <c r="BI74" s="34" t="str">
        <f>HYPERLINK("#일위대가목록!A3","NX1510 →")</f>
        <v>NX1510 →</v>
      </c>
    </row>
    <row r="75" spans="1:61" ht="18.399999999999999" hidden="1" customHeight="1" x14ac:dyDescent="0.15">
      <c r="A75" s="1"/>
      <c r="B75" s="87"/>
      <c r="C75" s="1"/>
      <c r="D75" s="1"/>
      <c r="E75" s="1"/>
      <c r="F75" s="1"/>
      <c r="G75" s="1"/>
      <c r="H75" s="1"/>
      <c r="I75" s="1"/>
      <c r="J75" s="1"/>
      <c r="K75" s="1"/>
      <c r="L75" s="1"/>
      <c r="M75" s="87"/>
    </row>
    <row r="76" spans="1:61" ht="18.399999999999999" hidden="1" customHeight="1" x14ac:dyDescent="0.15">
      <c r="A76" s="2" t="s">
        <v>468</v>
      </c>
      <c r="B76" s="87" t="s">
        <v>527</v>
      </c>
      <c r="C76" s="2">
        <v>1</v>
      </c>
      <c r="D76" s="2" t="s">
        <v>556</v>
      </c>
      <c r="E76" s="184"/>
      <c r="F76" s="29">
        <f>H76+J76+L76</f>
        <v>725</v>
      </c>
      <c r="G76" s="184"/>
      <c r="H76" s="29">
        <f>TRUNC(H77+H78,0)</f>
        <v>10</v>
      </c>
      <c r="I76" s="184"/>
      <c r="J76" s="29">
        <f>TRUNC(J77+J78,0)</f>
        <v>702</v>
      </c>
      <c r="K76" s="184"/>
      <c r="L76" s="29">
        <f>TRUNC(L77+L78,0)</f>
        <v>13</v>
      </c>
      <c r="M76" s="86" t="s">
        <v>2856</v>
      </c>
      <c r="N76" t="s">
        <v>2856</v>
      </c>
      <c r="O76" t="s">
        <v>2246</v>
      </c>
    </row>
    <row r="77" spans="1:61" ht="18.399999999999999" hidden="1" customHeight="1" x14ac:dyDescent="0.15">
      <c r="A77" s="2" t="s">
        <v>342</v>
      </c>
      <c r="B77" s="87" t="s">
        <v>1467</v>
      </c>
      <c r="C77" s="2">
        <v>1</v>
      </c>
      <c r="D77" s="2" t="s">
        <v>556</v>
      </c>
      <c r="E77" s="27">
        <f>G77+I77+K77</f>
        <v>668</v>
      </c>
      <c r="F77" s="28">
        <f>H77+J77+L77</f>
        <v>668</v>
      </c>
      <c r="G77" s="27">
        <f>일위대가목록!F211</f>
        <v>0</v>
      </c>
      <c r="H77" s="28">
        <f>TRUNC(G77*C77,1)</f>
        <v>0</v>
      </c>
      <c r="I77" s="27">
        <f>일위대가목록!H211</f>
        <v>668</v>
      </c>
      <c r="J77" s="28">
        <f>TRUNC(I77*C77,1)</f>
        <v>668</v>
      </c>
      <c r="K77" s="27">
        <f>일위대가목록!J211</f>
        <v>0</v>
      </c>
      <c r="L77" s="28">
        <f>TRUNC(K77*C77,1)</f>
        <v>0</v>
      </c>
      <c r="M77" s="86" t="s">
        <v>2856</v>
      </c>
      <c r="N77" t="s">
        <v>2856</v>
      </c>
      <c r="P77" t="s">
        <v>334</v>
      </c>
      <c r="Q77" t="s">
        <v>2856</v>
      </c>
      <c r="R77" t="s">
        <v>2548</v>
      </c>
      <c r="T77" t="s">
        <v>1778</v>
      </c>
      <c r="BI77" s="34" t="str">
        <f>HYPERLINK("#일위대가목록!A206","NT1300-08 →")</f>
        <v>NT1300-08 →</v>
      </c>
    </row>
    <row r="78" spans="1:61" ht="18.399999999999999" hidden="1" customHeight="1" x14ac:dyDescent="0.15">
      <c r="A78" s="2" t="s">
        <v>1701</v>
      </c>
      <c r="B78" s="87" t="s">
        <v>1482</v>
      </c>
      <c r="C78" s="2">
        <v>0.01</v>
      </c>
      <c r="D78" s="2" t="s">
        <v>2825</v>
      </c>
      <c r="E78" s="27">
        <f>G78+I78+K78</f>
        <v>5859</v>
      </c>
      <c r="F78" s="28">
        <f>H78+J78+L78</f>
        <v>58.400000000000006</v>
      </c>
      <c r="G78" s="27">
        <f>일위대가목록!F3</f>
        <v>1054</v>
      </c>
      <c r="H78" s="28">
        <f>TRUNC(G78*C78,1)</f>
        <v>10.5</v>
      </c>
      <c r="I78" s="27">
        <f>일위대가목록!H3</f>
        <v>3467</v>
      </c>
      <c r="J78" s="28">
        <f>TRUNC(I78*C78,1)</f>
        <v>34.6</v>
      </c>
      <c r="K78" s="27">
        <f>일위대가목록!J3</f>
        <v>1338</v>
      </c>
      <c r="L78" s="28">
        <f>TRUNC(K78*C78,1)</f>
        <v>13.3</v>
      </c>
      <c r="M78" s="86" t="s">
        <v>2856</v>
      </c>
      <c r="N78" t="s">
        <v>2856</v>
      </c>
      <c r="P78" t="s">
        <v>2471</v>
      </c>
      <c r="Q78" t="s">
        <v>2856</v>
      </c>
      <c r="R78" t="s">
        <v>2633</v>
      </c>
      <c r="T78" t="s">
        <v>2405</v>
      </c>
      <c r="BI78" s="34" t="str">
        <f>HYPERLINK("#일위대가목록!A3","NX1510 →")</f>
        <v>NX1510 →</v>
      </c>
    </row>
    <row r="79" spans="1:61" ht="18.399999999999999" hidden="1" customHeight="1" x14ac:dyDescent="0.15">
      <c r="A79" s="1"/>
      <c r="B79" s="87"/>
      <c r="C79" s="1"/>
      <c r="D79" s="1"/>
      <c r="E79" s="1"/>
      <c r="F79" s="1"/>
      <c r="G79" s="1"/>
      <c r="H79" s="1"/>
      <c r="I79" s="1"/>
      <c r="J79" s="1"/>
      <c r="K79" s="1"/>
      <c r="L79" s="1"/>
      <c r="M79" s="87"/>
    </row>
    <row r="80" spans="1:61" ht="18.399999999999999" hidden="1" customHeight="1" x14ac:dyDescent="0.15">
      <c r="A80" s="2" t="s">
        <v>2718</v>
      </c>
      <c r="B80" s="87" t="s">
        <v>1737</v>
      </c>
      <c r="C80" s="2">
        <v>1</v>
      </c>
      <c r="D80" s="2" t="s">
        <v>556</v>
      </c>
      <c r="E80" s="184"/>
      <c r="F80" s="29">
        <f>H80+J80+L80</f>
        <v>11468</v>
      </c>
      <c r="G80" s="184"/>
      <c r="H80" s="29">
        <f>TRUNC(H81+H82,0)</f>
        <v>119</v>
      </c>
      <c r="I80" s="184"/>
      <c r="J80" s="29">
        <f>TRUNC(J81+J82,0)</f>
        <v>11314</v>
      </c>
      <c r="K80" s="184"/>
      <c r="L80" s="29">
        <f>TRUNC(L81+L82,0)</f>
        <v>35</v>
      </c>
      <c r="M80" s="86" t="s">
        <v>2856</v>
      </c>
      <c r="N80" t="s">
        <v>2856</v>
      </c>
      <c r="O80" t="s">
        <v>1070</v>
      </c>
    </row>
    <row r="81" spans="1:61" ht="18.399999999999999" hidden="1" customHeight="1" x14ac:dyDescent="0.15">
      <c r="A81" s="2" t="s">
        <v>210</v>
      </c>
      <c r="B81" s="87" t="s">
        <v>2338</v>
      </c>
      <c r="C81" s="2">
        <v>1</v>
      </c>
      <c r="D81" s="2" t="s">
        <v>556</v>
      </c>
      <c r="E81" s="27">
        <f>G81+I81+K81</f>
        <v>11411</v>
      </c>
      <c r="F81" s="28">
        <f>H81+J81+L81</f>
        <v>11411</v>
      </c>
      <c r="G81" s="27">
        <f>일위대가목록!F203</f>
        <v>109</v>
      </c>
      <c r="H81" s="28">
        <f>TRUNC(G81*C81,1)</f>
        <v>109</v>
      </c>
      <c r="I81" s="27">
        <f>일위대가목록!H203</f>
        <v>11280</v>
      </c>
      <c r="J81" s="28">
        <f>TRUNC(I81*C81,1)</f>
        <v>11280</v>
      </c>
      <c r="K81" s="27">
        <f>일위대가목록!J203</f>
        <v>22</v>
      </c>
      <c r="L81" s="28">
        <f>TRUNC(K81*C81,1)</f>
        <v>22</v>
      </c>
      <c r="M81" s="86" t="s">
        <v>2856</v>
      </c>
      <c r="N81" t="s">
        <v>2856</v>
      </c>
      <c r="P81" t="s">
        <v>334</v>
      </c>
      <c r="Q81" t="s">
        <v>2856</v>
      </c>
      <c r="R81" t="s">
        <v>1579</v>
      </c>
      <c r="T81" t="s">
        <v>1778</v>
      </c>
      <c r="BI81" s="34" t="str">
        <f>HYPERLINK("#일위대가목록!A198","NT1015 →")</f>
        <v>NT1015 →</v>
      </c>
    </row>
    <row r="82" spans="1:61" ht="18.399999999999999" hidden="1" customHeight="1" x14ac:dyDescent="0.15">
      <c r="A82" s="2" t="s">
        <v>1701</v>
      </c>
      <c r="B82" s="87" t="s">
        <v>1482</v>
      </c>
      <c r="C82" s="2">
        <v>0.01</v>
      </c>
      <c r="D82" s="2" t="s">
        <v>2825</v>
      </c>
      <c r="E82" s="27">
        <f>G82+I82+K82</f>
        <v>5859</v>
      </c>
      <c r="F82" s="28">
        <f>H82+J82+L82</f>
        <v>58.400000000000006</v>
      </c>
      <c r="G82" s="27">
        <f>일위대가목록!F3</f>
        <v>1054</v>
      </c>
      <c r="H82" s="28">
        <f>TRUNC(G82*C82,1)</f>
        <v>10.5</v>
      </c>
      <c r="I82" s="27">
        <f>일위대가목록!H3</f>
        <v>3467</v>
      </c>
      <c r="J82" s="28">
        <f>TRUNC(I82*C82,1)</f>
        <v>34.6</v>
      </c>
      <c r="K82" s="27">
        <f>일위대가목록!J3</f>
        <v>1338</v>
      </c>
      <c r="L82" s="28">
        <f>TRUNC(K82*C82,1)</f>
        <v>13.3</v>
      </c>
      <c r="M82" s="86" t="s">
        <v>2856</v>
      </c>
      <c r="N82" t="s">
        <v>2856</v>
      </c>
      <c r="P82" t="s">
        <v>2471</v>
      </c>
      <c r="Q82" t="s">
        <v>2856</v>
      </c>
      <c r="R82" t="s">
        <v>2633</v>
      </c>
      <c r="T82" t="s">
        <v>2405</v>
      </c>
      <c r="BI82" s="34" t="str">
        <f>HYPERLINK("#일위대가목록!A3","NX1510 →")</f>
        <v>NX1510 →</v>
      </c>
    </row>
    <row r="83" spans="1:61" ht="18.399999999999999" hidden="1" customHeight="1" x14ac:dyDescent="0.15">
      <c r="A83" s="1"/>
      <c r="B83" s="87"/>
      <c r="C83" s="1"/>
      <c r="D83" s="1"/>
      <c r="E83" s="1"/>
      <c r="F83" s="1"/>
      <c r="G83" s="1"/>
      <c r="H83" s="1"/>
      <c r="I83" s="1"/>
      <c r="J83" s="1"/>
      <c r="K83" s="1"/>
      <c r="L83" s="1"/>
      <c r="M83" s="87"/>
    </row>
    <row r="84" spans="1:61" ht="18.399999999999999" hidden="1" customHeight="1" x14ac:dyDescent="0.15">
      <c r="A84" s="2" t="s">
        <v>1718</v>
      </c>
      <c r="B84" s="87" t="s">
        <v>1323</v>
      </c>
      <c r="C84" s="2">
        <v>1</v>
      </c>
      <c r="D84" s="2" t="s">
        <v>556</v>
      </c>
      <c r="E84" s="184"/>
      <c r="F84" s="29">
        <f>H84+J84+L84</f>
        <v>8062</v>
      </c>
      <c r="G84" s="184"/>
      <c r="H84" s="29">
        <f>TRUNC(H85+H86,0)</f>
        <v>67</v>
      </c>
      <c r="I84" s="184"/>
      <c r="J84" s="29">
        <f>TRUNC(J85+J86,0)</f>
        <v>7971</v>
      </c>
      <c r="K84" s="184"/>
      <c r="L84" s="29">
        <f>TRUNC(L85+L86,0)</f>
        <v>24</v>
      </c>
      <c r="M84" s="86" t="s">
        <v>2856</v>
      </c>
      <c r="N84" t="s">
        <v>2856</v>
      </c>
      <c r="O84" t="s">
        <v>671</v>
      </c>
    </row>
    <row r="85" spans="1:61" ht="18.399999999999999" hidden="1" customHeight="1" x14ac:dyDescent="0.15">
      <c r="A85" s="2" t="s">
        <v>210</v>
      </c>
      <c r="B85" s="87" t="s">
        <v>1777</v>
      </c>
      <c r="C85" s="2">
        <v>1</v>
      </c>
      <c r="D85" s="2" t="s">
        <v>556</v>
      </c>
      <c r="E85" s="27">
        <f>G85+I85+K85</f>
        <v>8005</v>
      </c>
      <c r="F85" s="28">
        <f>H85+J85+L85</f>
        <v>8005</v>
      </c>
      <c r="G85" s="27">
        <f>일위대가목록!F212</f>
        <v>57</v>
      </c>
      <c r="H85" s="28">
        <f>TRUNC(G85*C85,1)</f>
        <v>57</v>
      </c>
      <c r="I85" s="27">
        <f>일위대가목록!H212</f>
        <v>7937</v>
      </c>
      <c r="J85" s="28">
        <f>TRUNC(I85*C85,1)</f>
        <v>7937</v>
      </c>
      <c r="K85" s="27">
        <f>일위대가목록!J212</f>
        <v>11</v>
      </c>
      <c r="L85" s="28">
        <f>TRUNC(K85*C85,1)</f>
        <v>11</v>
      </c>
      <c r="M85" s="86" t="s">
        <v>2856</v>
      </c>
      <c r="N85" t="s">
        <v>2856</v>
      </c>
      <c r="P85" t="s">
        <v>334</v>
      </c>
      <c r="Q85" t="s">
        <v>2856</v>
      </c>
      <c r="R85" t="s">
        <v>701</v>
      </c>
      <c r="T85" t="s">
        <v>1778</v>
      </c>
      <c r="BI85" s="34" t="str">
        <f>HYPERLINK("#일위대가목록!A207","NT1000 →")</f>
        <v>NT1000 →</v>
      </c>
    </row>
    <row r="86" spans="1:61" ht="18.399999999999999" hidden="1" customHeight="1" x14ac:dyDescent="0.15">
      <c r="A86" s="2" t="s">
        <v>1701</v>
      </c>
      <c r="B86" s="87" t="s">
        <v>1482</v>
      </c>
      <c r="C86" s="2">
        <v>0.01</v>
      </c>
      <c r="D86" s="2" t="s">
        <v>2825</v>
      </c>
      <c r="E86" s="27">
        <f>G86+I86+K86</f>
        <v>5859</v>
      </c>
      <c r="F86" s="28">
        <f>H86+J86+L86</f>
        <v>58.400000000000006</v>
      </c>
      <c r="G86" s="27">
        <f>일위대가목록!F3</f>
        <v>1054</v>
      </c>
      <c r="H86" s="28">
        <f>TRUNC(G86*C86,1)</f>
        <v>10.5</v>
      </c>
      <c r="I86" s="27">
        <f>일위대가목록!H3</f>
        <v>3467</v>
      </c>
      <c r="J86" s="28">
        <f>TRUNC(I86*C86,1)</f>
        <v>34.6</v>
      </c>
      <c r="K86" s="27">
        <f>일위대가목록!J3</f>
        <v>1338</v>
      </c>
      <c r="L86" s="28">
        <f>TRUNC(K86*C86,1)</f>
        <v>13.3</v>
      </c>
      <c r="M86" s="86" t="s">
        <v>2856</v>
      </c>
      <c r="N86" t="s">
        <v>2856</v>
      </c>
      <c r="P86" t="s">
        <v>2471</v>
      </c>
      <c r="Q86" t="s">
        <v>2856</v>
      </c>
      <c r="R86" t="s">
        <v>2633</v>
      </c>
      <c r="T86" t="s">
        <v>2405</v>
      </c>
      <c r="BI86" s="34" t="str">
        <f>HYPERLINK("#일위대가목록!A3","NX1510 →")</f>
        <v>NX1510 →</v>
      </c>
    </row>
    <row r="87" spans="1:61" ht="18.399999999999999" hidden="1" customHeight="1" x14ac:dyDescent="0.15">
      <c r="A87" s="1"/>
      <c r="B87" s="87"/>
      <c r="C87" s="1"/>
      <c r="D87" s="1"/>
      <c r="E87" s="1"/>
      <c r="F87" s="1"/>
      <c r="G87" s="1"/>
      <c r="H87" s="1"/>
      <c r="I87" s="1"/>
      <c r="J87" s="1"/>
      <c r="K87" s="1"/>
      <c r="L87" s="1"/>
      <c r="M87" s="87"/>
    </row>
    <row r="88" spans="1:61" ht="18.399999999999999" hidden="1" customHeight="1" x14ac:dyDescent="0.15">
      <c r="A88" s="2" t="s">
        <v>2078</v>
      </c>
      <c r="B88" s="87" t="s">
        <v>1558</v>
      </c>
      <c r="C88" s="2">
        <v>1</v>
      </c>
      <c r="D88" s="2" t="s">
        <v>556</v>
      </c>
      <c r="E88" s="184"/>
      <c r="F88" s="29">
        <f>H88+J88+L88</f>
        <v>59487</v>
      </c>
      <c r="G88" s="184"/>
      <c r="H88" s="29">
        <f>TRUNC(H89+H90,0)</f>
        <v>930</v>
      </c>
      <c r="I88" s="184"/>
      <c r="J88" s="29">
        <f>TRUNC(J89+J90,0)</f>
        <v>58257</v>
      </c>
      <c r="K88" s="184"/>
      <c r="L88" s="29">
        <f>TRUNC(L89+L90,0)</f>
        <v>300</v>
      </c>
      <c r="M88" s="86" t="s">
        <v>2856</v>
      </c>
      <c r="N88" t="s">
        <v>2856</v>
      </c>
      <c r="O88" t="s">
        <v>1904</v>
      </c>
    </row>
    <row r="89" spans="1:61" ht="18.399999999999999" hidden="1" customHeight="1" x14ac:dyDescent="0.15">
      <c r="A89" s="2" t="s">
        <v>210</v>
      </c>
      <c r="B89" s="87" t="s">
        <v>1277</v>
      </c>
      <c r="C89" s="2">
        <v>1</v>
      </c>
      <c r="D89" s="2" t="s">
        <v>556</v>
      </c>
      <c r="E89" s="27">
        <f>G89+I89+K89</f>
        <v>58903</v>
      </c>
      <c r="F89" s="28">
        <f>H89+J89+L89</f>
        <v>58903</v>
      </c>
      <c r="G89" s="27">
        <f>일위대가목록!F207</f>
        <v>825</v>
      </c>
      <c r="H89" s="28">
        <f>TRUNC(G89*C89,1)</f>
        <v>825</v>
      </c>
      <c r="I89" s="27">
        <f>일위대가목록!H207</f>
        <v>57911</v>
      </c>
      <c r="J89" s="28">
        <f>TRUNC(I89*C89,1)</f>
        <v>57911</v>
      </c>
      <c r="K89" s="27">
        <f>일위대가목록!J207</f>
        <v>167</v>
      </c>
      <c r="L89" s="28">
        <f>TRUNC(K89*C89,1)</f>
        <v>167</v>
      </c>
      <c r="M89" s="86" t="s">
        <v>2856</v>
      </c>
      <c r="N89" t="s">
        <v>2856</v>
      </c>
      <c r="P89" t="s">
        <v>334</v>
      </c>
      <c r="Q89" t="s">
        <v>2856</v>
      </c>
      <c r="R89" t="s">
        <v>63</v>
      </c>
      <c r="T89" t="s">
        <v>1778</v>
      </c>
      <c r="BI89" s="34" t="str">
        <f>HYPERLINK("#일위대가목록!A202","NT1050 →")</f>
        <v>NT1050 →</v>
      </c>
    </row>
    <row r="90" spans="1:61" ht="18.399999999999999" hidden="1" customHeight="1" x14ac:dyDescent="0.15">
      <c r="A90" s="2" t="s">
        <v>1701</v>
      </c>
      <c r="B90" s="87" t="s">
        <v>1482</v>
      </c>
      <c r="C90" s="2">
        <v>0.1</v>
      </c>
      <c r="D90" s="2" t="s">
        <v>2825</v>
      </c>
      <c r="E90" s="27">
        <f>G90+I90+K90</f>
        <v>5859</v>
      </c>
      <c r="F90" s="28">
        <f>H90+J90+L90</f>
        <v>585.90000000000009</v>
      </c>
      <c r="G90" s="27">
        <f>일위대가목록!F3</f>
        <v>1054</v>
      </c>
      <c r="H90" s="28">
        <f>TRUNC(G90*C90,1)</f>
        <v>105.4</v>
      </c>
      <c r="I90" s="27">
        <f>일위대가목록!H3</f>
        <v>3467</v>
      </c>
      <c r="J90" s="28">
        <f>TRUNC(I90*C90,1)</f>
        <v>346.7</v>
      </c>
      <c r="K90" s="27">
        <f>일위대가목록!J3</f>
        <v>1338</v>
      </c>
      <c r="L90" s="28">
        <f>TRUNC(K90*C90,1)</f>
        <v>133.80000000000001</v>
      </c>
      <c r="M90" s="86" t="s">
        <v>2856</v>
      </c>
      <c r="N90" t="s">
        <v>2856</v>
      </c>
      <c r="P90" t="s">
        <v>2471</v>
      </c>
      <c r="Q90" t="s">
        <v>2856</v>
      </c>
      <c r="R90" t="s">
        <v>2633</v>
      </c>
      <c r="T90" t="s">
        <v>2405</v>
      </c>
      <c r="BI90" s="34" t="str">
        <f>HYPERLINK("#일위대가목록!A3","NX1510 →")</f>
        <v>NX1510 →</v>
      </c>
    </row>
    <row r="91" spans="1:61" ht="18.399999999999999" hidden="1" customHeight="1" x14ac:dyDescent="0.15">
      <c r="A91" s="1"/>
      <c r="B91" s="87"/>
      <c r="C91" s="1"/>
      <c r="D91" s="1"/>
      <c r="E91" s="1"/>
      <c r="F91" s="1"/>
      <c r="G91" s="1"/>
      <c r="H91" s="1"/>
      <c r="I91" s="1"/>
      <c r="J91" s="1"/>
      <c r="K91" s="1"/>
      <c r="L91" s="1"/>
      <c r="M91" s="87"/>
    </row>
    <row r="92" spans="1:61" ht="18.399999999999999" hidden="1" customHeight="1" x14ac:dyDescent="0.15">
      <c r="A92" s="2" t="s">
        <v>1652</v>
      </c>
      <c r="B92" s="87" t="s">
        <v>2244</v>
      </c>
      <c r="C92" s="2">
        <v>1</v>
      </c>
      <c r="D92" s="2" t="s">
        <v>556</v>
      </c>
      <c r="E92" s="184"/>
      <c r="F92" s="29">
        <f>H92+J92+L92</f>
        <v>28637</v>
      </c>
      <c r="G92" s="184"/>
      <c r="H92" s="29">
        <f>TRUNC(H93+H94,0)</f>
        <v>352</v>
      </c>
      <c r="I92" s="184"/>
      <c r="J92" s="29">
        <f>TRUNC(J93+J94,0)</f>
        <v>28180</v>
      </c>
      <c r="K92" s="184"/>
      <c r="L92" s="29">
        <f>TRUNC(L93+L94,0)</f>
        <v>105</v>
      </c>
      <c r="M92" s="86" t="s">
        <v>2856</v>
      </c>
      <c r="N92" t="s">
        <v>2856</v>
      </c>
      <c r="O92" t="s">
        <v>187</v>
      </c>
    </row>
    <row r="93" spans="1:61" ht="18.399999999999999" hidden="1" customHeight="1" x14ac:dyDescent="0.15">
      <c r="A93" s="2" t="s">
        <v>210</v>
      </c>
      <c r="B93" s="87" t="s">
        <v>297</v>
      </c>
      <c r="C93" s="2">
        <v>1</v>
      </c>
      <c r="D93" s="2" t="s">
        <v>556</v>
      </c>
      <c r="E93" s="27">
        <f>G93+I93+K93</f>
        <v>28462</v>
      </c>
      <c r="F93" s="28">
        <f>H93+J93+L93</f>
        <v>28462</v>
      </c>
      <c r="G93" s="27">
        <f>일위대가목록!F209</f>
        <v>321</v>
      </c>
      <c r="H93" s="28">
        <f>TRUNC(G93*C93,1)</f>
        <v>321</v>
      </c>
      <c r="I93" s="27">
        <f>일위대가목록!H209</f>
        <v>28076</v>
      </c>
      <c r="J93" s="28">
        <f>TRUNC(I93*C93,1)</f>
        <v>28076</v>
      </c>
      <c r="K93" s="27">
        <f>일위대가목록!J209</f>
        <v>65</v>
      </c>
      <c r="L93" s="28">
        <f>TRUNC(K93*C93,1)</f>
        <v>65</v>
      </c>
      <c r="M93" s="86" t="s">
        <v>2856</v>
      </c>
      <c r="N93" t="s">
        <v>2856</v>
      </c>
      <c r="P93" t="s">
        <v>334</v>
      </c>
      <c r="Q93" t="s">
        <v>2856</v>
      </c>
      <c r="R93" t="s">
        <v>1464</v>
      </c>
      <c r="T93" t="s">
        <v>1778</v>
      </c>
      <c r="BI93" s="34" t="str">
        <f>HYPERLINK("#일위대가목록!A204","NT1030 →")</f>
        <v>NT1030 →</v>
      </c>
    </row>
    <row r="94" spans="1:61" ht="18.399999999999999" hidden="1" customHeight="1" x14ac:dyDescent="0.15">
      <c r="A94" s="2" t="s">
        <v>1701</v>
      </c>
      <c r="B94" s="87" t="s">
        <v>1482</v>
      </c>
      <c r="C94" s="2">
        <v>0.03</v>
      </c>
      <c r="D94" s="2" t="s">
        <v>2825</v>
      </c>
      <c r="E94" s="27">
        <f>G94+I94+K94</f>
        <v>5859</v>
      </c>
      <c r="F94" s="28">
        <f>H94+J94+L94</f>
        <v>175.7</v>
      </c>
      <c r="G94" s="27">
        <f>일위대가목록!F3</f>
        <v>1054</v>
      </c>
      <c r="H94" s="28">
        <f>TRUNC(G94*C94,1)</f>
        <v>31.6</v>
      </c>
      <c r="I94" s="27">
        <f>일위대가목록!H3</f>
        <v>3467</v>
      </c>
      <c r="J94" s="28">
        <f>TRUNC(I94*C94,1)</f>
        <v>104</v>
      </c>
      <c r="K94" s="27">
        <f>일위대가목록!J3</f>
        <v>1338</v>
      </c>
      <c r="L94" s="28">
        <f>TRUNC(K94*C94,1)</f>
        <v>40.1</v>
      </c>
      <c r="M94" s="86" t="s">
        <v>2856</v>
      </c>
      <c r="N94" t="s">
        <v>2856</v>
      </c>
      <c r="P94" t="s">
        <v>2471</v>
      </c>
      <c r="Q94" t="s">
        <v>2856</v>
      </c>
      <c r="R94" t="s">
        <v>2633</v>
      </c>
      <c r="T94" t="s">
        <v>2405</v>
      </c>
      <c r="BI94" s="34" t="str">
        <f>HYPERLINK("#일위대가목록!A3","NX1510 →")</f>
        <v>NX1510 →</v>
      </c>
    </row>
    <row r="95" spans="1:61" ht="18.399999999999999" hidden="1" customHeight="1" x14ac:dyDescent="0.15">
      <c r="A95" s="1"/>
      <c r="B95" s="87"/>
      <c r="C95" s="1"/>
      <c r="D95" s="1"/>
      <c r="E95" s="1"/>
      <c r="F95" s="1"/>
      <c r="G95" s="1"/>
      <c r="H95" s="1"/>
      <c r="I95" s="1"/>
      <c r="J95" s="1"/>
      <c r="K95" s="1"/>
      <c r="L95" s="1"/>
      <c r="M95" s="87"/>
    </row>
    <row r="96" spans="1:61" ht="18.399999999999999" hidden="1" customHeight="1" x14ac:dyDescent="0.15">
      <c r="A96" s="2" t="s">
        <v>606</v>
      </c>
      <c r="B96" s="87" t="s">
        <v>1323</v>
      </c>
      <c r="C96" s="2">
        <v>1</v>
      </c>
      <c r="D96" s="2" t="s">
        <v>556</v>
      </c>
      <c r="E96" s="184"/>
      <c r="F96" s="29">
        <f>H96+J96+L96</f>
        <v>8062</v>
      </c>
      <c r="G96" s="184"/>
      <c r="H96" s="29">
        <f>TRUNC(H97+H98,0)</f>
        <v>67</v>
      </c>
      <c r="I96" s="184"/>
      <c r="J96" s="29">
        <f>TRUNC(J97+J98,0)</f>
        <v>7971</v>
      </c>
      <c r="K96" s="184"/>
      <c r="L96" s="29">
        <f>TRUNC(L97+L98,0)</f>
        <v>24</v>
      </c>
      <c r="M96" s="86" t="s">
        <v>2856</v>
      </c>
      <c r="N96" t="s">
        <v>2856</v>
      </c>
      <c r="O96" t="s">
        <v>1507</v>
      </c>
    </row>
    <row r="97" spans="1:61" ht="18.399999999999999" hidden="1" customHeight="1" x14ac:dyDescent="0.15">
      <c r="A97" s="2" t="s">
        <v>210</v>
      </c>
      <c r="B97" s="87" t="s">
        <v>1777</v>
      </c>
      <c r="C97" s="2">
        <v>1</v>
      </c>
      <c r="D97" s="2" t="s">
        <v>556</v>
      </c>
      <c r="E97" s="27">
        <f>G97+I97+K97</f>
        <v>8005</v>
      </c>
      <c r="F97" s="28">
        <f>H97+J97+L97</f>
        <v>8005</v>
      </c>
      <c r="G97" s="27">
        <f>일위대가목록!F212</f>
        <v>57</v>
      </c>
      <c r="H97" s="28">
        <f>TRUNC(G97*C97,1)</f>
        <v>57</v>
      </c>
      <c r="I97" s="27">
        <f>일위대가목록!H212</f>
        <v>7937</v>
      </c>
      <c r="J97" s="28">
        <f>TRUNC(I97*C97,1)</f>
        <v>7937</v>
      </c>
      <c r="K97" s="27">
        <f>일위대가목록!J212</f>
        <v>11</v>
      </c>
      <c r="L97" s="28">
        <f>TRUNC(K97*C97,1)</f>
        <v>11</v>
      </c>
      <c r="M97" s="86" t="s">
        <v>2856</v>
      </c>
      <c r="N97" t="s">
        <v>2856</v>
      </c>
      <c r="P97" t="s">
        <v>334</v>
      </c>
      <c r="Q97" t="s">
        <v>2856</v>
      </c>
      <c r="R97" t="s">
        <v>701</v>
      </c>
      <c r="T97" t="s">
        <v>1778</v>
      </c>
      <c r="BI97" s="34" t="str">
        <f>HYPERLINK("#일위대가목록!A207","NT1000 →")</f>
        <v>NT1000 →</v>
      </c>
    </row>
    <row r="98" spans="1:61" ht="18.399999999999999" hidden="1" customHeight="1" x14ac:dyDescent="0.15">
      <c r="A98" s="2" t="s">
        <v>1701</v>
      </c>
      <c r="B98" s="87" t="s">
        <v>1482</v>
      </c>
      <c r="C98" s="2">
        <v>0.01</v>
      </c>
      <c r="D98" s="2" t="s">
        <v>2825</v>
      </c>
      <c r="E98" s="27">
        <f>G98+I98+K98</f>
        <v>5859</v>
      </c>
      <c r="F98" s="28">
        <f>H98+J98+L98</f>
        <v>58.400000000000006</v>
      </c>
      <c r="G98" s="27">
        <f>일위대가목록!F3</f>
        <v>1054</v>
      </c>
      <c r="H98" s="28">
        <f>TRUNC(G98*C98,1)</f>
        <v>10.5</v>
      </c>
      <c r="I98" s="27">
        <f>일위대가목록!H3</f>
        <v>3467</v>
      </c>
      <c r="J98" s="28">
        <f>TRUNC(I98*C98,1)</f>
        <v>34.6</v>
      </c>
      <c r="K98" s="27">
        <f>일위대가목록!J3</f>
        <v>1338</v>
      </c>
      <c r="L98" s="28">
        <f>TRUNC(K98*C98,1)</f>
        <v>13.3</v>
      </c>
      <c r="M98" s="86" t="s">
        <v>2856</v>
      </c>
      <c r="N98" t="s">
        <v>2856</v>
      </c>
      <c r="P98" t="s">
        <v>2471</v>
      </c>
      <c r="Q98" t="s">
        <v>2856</v>
      </c>
      <c r="R98" t="s">
        <v>2633</v>
      </c>
      <c r="T98" t="s">
        <v>2405</v>
      </c>
      <c r="BI98" s="34" t="str">
        <f>HYPERLINK("#일위대가목록!A3","NX1510 →")</f>
        <v>NX1510 →</v>
      </c>
    </row>
    <row r="99" spans="1:61" ht="18.399999999999999" hidden="1" customHeight="1" x14ac:dyDescent="0.15">
      <c r="A99" s="1"/>
      <c r="B99" s="87"/>
      <c r="C99" s="1"/>
      <c r="D99" s="1"/>
      <c r="E99" s="1"/>
      <c r="F99" s="1"/>
      <c r="G99" s="1"/>
      <c r="H99" s="1"/>
      <c r="I99" s="1"/>
      <c r="J99" s="1"/>
      <c r="K99" s="1"/>
      <c r="L99" s="1"/>
      <c r="M99" s="87"/>
    </row>
    <row r="100" spans="1:61" ht="18.399999999999999" hidden="1" customHeight="1" x14ac:dyDescent="0.15">
      <c r="A100" s="2" t="s">
        <v>1795</v>
      </c>
      <c r="B100" s="87" t="s">
        <v>1567</v>
      </c>
      <c r="C100" s="2">
        <v>1</v>
      </c>
      <c r="D100" s="2" t="s">
        <v>556</v>
      </c>
      <c r="E100" s="184"/>
      <c r="F100" s="29">
        <f>H100+J100+L100</f>
        <v>35329</v>
      </c>
      <c r="G100" s="184"/>
      <c r="H100" s="29">
        <f>TRUNC(H101+H102,0)</f>
        <v>490</v>
      </c>
      <c r="I100" s="184"/>
      <c r="J100" s="29">
        <f>TRUNC(J101+J102,0)</f>
        <v>34684</v>
      </c>
      <c r="K100" s="184"/>
      <c r="L100" s="29">
        <f>TRUNC(L101+L102,0)</f>
        <v>155</v>
      </c>
      <c r="M100" s="86" t="s">
        <v>2856</v>
      </c>
      <c r="N100" t="s">
        <v>2856</v>
      </c>
      <c r="O100" t="s">
        <v>391</v>
      </c>
    </row>
    <row r="101" spans="1:61" ht="18.399999999999999" hidden="1" customHeight="1" x14ac:dyDescent="0.15">
      <c r="A101" s="2" t="s">
        <v>210</v>
      </c>
      <c r="B101" s="87" t="s">
        <v>1583</v>
      </c>
      <c r="C101" s="2">
        <v>1</v>
      </c>
      <c r="D101" s="2" t="s">
        <v>556</v>
      </c>
      <c r="E101" s="27">
        <f>G101+I101+K101</f>
        <v>35038</v>
      </c>
      <c r="F101" s="28">
        <f>H101+J101+L101</f>
        <v>35038</v>
      </c>
      <c r="G101" s="27">
        <f>일위대가목록!F208</f>
        <v>438</v>
      </c>
      <c r="H101" s="28">
        <f>TRUNC(G101*C101,1)</f>
        <v>438</v>
      </c>
      <c r="I101" s="27">
        <f>일위대가목록!H208</f>
        <v>34511</v>
      </c>
      <c r="J101" s="28">
        <f>TRUNC(I101*C101,1)</f>
        <v>34511</v>
      </c>
      <c r="K101" s="27">
        <f>일위대가목록!J208</f>
        <v>89</v>
      </c>
      <c r="L101" s="28">
        <f>TRUNC(K101*C101,1)</f>
        <v>89</v>
      </c>
      <c r="M101" s="86" t="s">
        <v>2856</v>
      </c>
      <c r="N101" t="s">
        <v>2856</v>
      </c>
      <c r="P101" t="s">
        <v>334</v>
      </c>
      <c r="Q101" t="s">
        <v>2856</v>
      </c>
      <c r="R101" t="s">
        <v>761</v>
      </c>
      <c r="T101" t="s">
        <v>1778</v>
      </c>
      <c r="BI101" s="34" t="str">
        <f>HYPERLINK("#일위대가목록!A203","NT1040 →")</f>
        <v>NT1040 →</v>
      </c>
    </row>
    <row r="102" spans="1:61" ht="18.399999999999999" hidden="1" customHeight="1" x14ac:dyDescent="0.15">
      <c r="A102" s="2" t="s">
        <v>1701</v>
      </c>
      <c r="B102" s="87" t="s">
        <v>1482</v>
      </c>
      <c r="C102" s="2">
        <v>0.05</v>
      </c>
      <c r="D102" s="2" t="s">
        <v>2825</v>
      </c>
      <c r="E102" s="27">
        <f>G102+I102+K102</f>
        <v>5859</v>
      </c>
      <c r="F102" s="28">
        <f>H102+J102+L102</f>
        <v>292.89999999999998</v>
      </c>
      <c r="G102" s="27">
        <f>일위대가목록!F3</f>
        <v>1054</v>
      </c>
      <c r="H102" s="28">
        <f>TRUNC(G102*C102,1)</f>
        <v>52.7</v>
      </c>
      <c r="I102" s="27">
        <f>일위대가목록!H3</f>
        <v>3467</v>
      </c>
      <c r="J102" s="28">
        <f>TRUNC(I102*C102,1)</f>
        <v>173.3</v>
      </c>
      <c r="K102" s="27">
        <f>일위대가목록!J3</f>
        <v>1338</v>
      </c>
      <c r="L102" s="28">
        <f>TRUNC(K102*C102,1)</f>
        <v>66.900000000000006</v>
      </c>
      <c r="M102" s="86" t="s">
        <v>2856</v>
      </c>
      <c r="N102" t="s">
        <v>2856</v>
      </c>
      <c r="P102" t="s">
        <v>2471</v>
      </c>
      <c r="Q102" t="s">
        <v>2856</v>
      </c>
      <c r="R102" t="s">
        <v>2633</v>
      </c>
      <c r="T102" t="s">
        <v>2405</v>
      </c>
      <c r="BI102" s="34" t="str">
        <f>HYPERLINK("#일위대가목록!A3","NX1510 →")</f>
        <v>NX1510 →</v>
      </c>
    </row>
    <row r="103" spans="1:61" ht="18.399999999999999" hidden="1" customHeight="1" x14ac:dyDescent="0.15">
      <c r="A103" s="1"/>
      <c r="B103" s="8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87"/>
    </row>
    <row r="104" spans="1:61" ht="18.399999999999999" hidden="1" customHeight="1" x14ac:dyDescent="0.15">
      <c r="A104" s="2" t="s">
        <v>173</v>
      </c>
      <c r="B104" s="87" t="s">
        <v>2816</v>
      </c>
      <c r="C104" s="2">
        <v>1</v>
      </c>
      <c r="D104" s="2" t="s">
        <v>556</v>
      </c>
      <c r="E104" s="184"/>
      <c r="F104" s="29">
        <f>H104+J104+L104</f>
        <v>1628103</v>
      </c>
      <c r="G104" s="184"/>
      <c r="H104" s="29">
        <f>TRUNC(H105+H106,0)</f>
        <v>35140</v>
      </c>
      <c r="I104" s="184"/>
      <c r="J104" s="29">
        <f>TRUNC(J105+J106,0)</f>
        <v>1581763</v>
      </c>
      <c r="K104" s="184"/>
      <c r="L104" s="29">
        <f>TRUNC(L105+L106,0)</f>
        <v>11200</v>
      </c>
      <c r="M104" s="86" t="s">
        <v>2856</v>
      </c>
      <c r="N104" t="s">
        <v>2856</v>
      </c>
      <c r="O104" t="s">
        <v>1988</v>
      </c>
    </row>
    <row r="105" spans="1:61" ht="18.399999999999999" hidden="1" customHeight="1" x14ac:dyDescent="0.15">
      <c r="A105" s="2" t="s">
        <v>210</v>
      </c>
      <c r="B105" s="87" t="s">
        <v>1848</v>
      </c>
      <c r="C105" s="2">
        <v>1</v>
      </c>
      <c r="D105" s="2" t="s">
        <v>556</v>
      </c>
      <c r="E105" s="27">
        <f>G105+I105+K105</f>
        <v>1606660</v>
      </c>
      <c r="F105" s="28">
        <f>H105+J105+L105</f>
        <v>1606660</v>
      </c>
      <c r="G105" s="27">
        <f>일위대가목록!F213</f>
        <v>31283</v>
      </c>
      <c r="H105" s="28">
        <f>TRUNC(G105*C105,1)</f>
        <v>31283</v>
      </c>
      <c r="I105" s="27">
        <f>일위대가목록!H213</f>
        <v>1569074</v>
      </c>
      <c r="J105" s="28">
        <f>TRUNC(I105*C105,1)</f>
        <v>1569074</v>
      </c>
      <c r="K105" s="27">
        <f>일위대가목록!J213</f>
        <v>6303</v>
      </c>
      <c r="L105" s="28">
        <f>TRUNC(K105*C105,1)</f>
        <v>6303</v>
      </c>
      <c r="M105" s="86" t="s">
        <v>2856</v>
      </c>
      <c r="N105" t="s">
        <v>2856</v>
      </c>
      <c r="P105" t="s">
        <v>334</v>
      </c>
      <c r="Q105" t="s">
        <v>2856</v>
      </c>
      <c r="R105" t="s">
        <v>550</v>
      </c>
      <c r="T105" t="s">
        <v>1778</v>
      </c>
      <c r="BI105" s="34" t="str">
        <f>HYPERLINK("#일위대가목록!A208","NT1150 →")</f>
        <v>NT1150 →</v>
      </c>
    </row>
    <row r="106" spans="1:61" ht="18.399999999999999" hidden="1" customHeight="1" x14ac:dyDescent="0.15">
      <c r="A106" s="2" t="s">
        <v>1701</v>
      </c>
      <c r="B106" s="87" t="s">
        <v>1482</v>
      </c>
      <c r="C106" s="2">
        <v>3.66</v>
      </c>
      <c r="D106" s="2" t="s">
        <v>2825</v>
      </c>
      <c r="E106" s="27">
        <f>G106+I106+K106</f>
        <v>5859</v>
      </c>
      <c r="F106" s="28">
        <f>H106+J106+L106</f>
        <v>21443.8</v>
      </c>
      <c r="G106" s="27">
        <f>일위대가목록!F3</f>
        <v>1054</v>
      </c>
      <c r="H106" s="28">
        <f>TRUNC(G106*C106,1)</f>
        <v>3857.6</v>
      </c>
      <c r="I106" s="27">
        <f>일위대가목록!H3</f>
        <v>3467</v>
      </c>
      <c r="J106" s="28">
        <f>TRUNC(I106*C106,1)</f>
        <v>12689.2</v>
      </c>
      <c r="K106" s="27">
        <f>일위대가목록!J3</f>
        <v>1338</v>
      </c>
      <c r="L106" s="28">
        <f>TRUNC(K106*C106,1)</f>
        <v>4897</v>
      </c>
      <c r="M106" s="86" t="s">
        <v>2856</v>
      </c>
      <c r="N106" t="s">
        <v>2856</v>
      </c>
      <c r="P106" t="s">
        <v>2471</v>
      </c>
      <c r="Q106" t="s">
        <v>2856</v>
      </c>
      <c r="R106" t="s">
        <v>2633</v>
      </c>
      <c r="T106" t="s">
        <v>2405</v>
      </c>
      <c r="BI106" s="34" t="str">
        <f>HYPERLINK("#일위대가목록!A3","NX1510 →")</f>
        <v>NX1510 →</v>
      </c>
    </row>
    <row r="107" spans="1:61" ht="18.399999999999999" hidden="1" customHeight="1" x14ac:dyDescent="0.15">
      <c r="A107" s="1"/>
      <c r="B107" s="8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87"/>
    </row>
    <row r="108" spans="1:61" ht="18.399999999999999" hidden="1" customHeight="1" x14ac:dyDescent="0.15">
      <c r="A108" s="2" t="s">
        <v>814</v>
      </c>
      <c r="B108" s="87" t="s">
        <v>1855</v>
      </c>
      <c r="C108" s="2">
        <v>1</v>
      </c>
      <c r="D108" s="2" t="s">
        <v>556</v>
      </c>
      <c r="E108" s="184"/>
      <c r="F108" s="29">
        <f>H108+J108+L108</f>
        <v>191123</v>
      </c>
      <c r="G108" s="184"/>
      <c r="H108" s="29">
        <f>TRUNC(H109+H110,0)</f>
        <v>3719</v>
      </c>
      <c r="I108" s="184"/>
      <c r="J108" s="29">
        <f>TRUNC(J109+J110,0)</f>
        <v>186092</v>
      </c>
      <c r="K108" s="184"/>
      <c r="L108" s="29">
        <f>TRUNC(L109+L110,0)</f>
        <v>1312</v>
      </c>
      <c r="M108" s="86" t="s">
        <v>2856</v>
      </c>
      <c r="N108" t="s">
        <v>2856</v>
      </c>
      <c r="O108" t="s">
        <v>88</v>
      </c>
    </row>
    <row r="109" spans="1:61" ht="18.399999999999999" hidden="1" customHeight="1" x14ac:dyDescent="0.15">
      <c r="A109" s="2" t="s">
        <v>210</v>
      </c>
      <c r="B109" s="87" t="s">
        <v>730</v>
      </c>
      <c r="C109" s="2">
        <v>1</v>
      </c>
      <c r="D109" s="2" t="s">
        <v>556</v>
      </c>
      <c r="E109" s="27">
        <f>G109+I109+K109</f>
        <v>188194</v>
      </c>
      <c r="F109" s="28">
        <f>H109+J109+L109</f>
        <v>188194</v>
      </c>
      <c r="G109" s="27">
        <f>일위대가목록!F214</f>
        <v>3192</v>
      </c>
      <c r="H109" s="28">
        <f>TRUNC(G109*C109,1)</f>
        <v>3192</v>
      </c>
      <c r="I109" s="27">
        <f>일위대가목록!H214</f>
        <v>184359</v>
      </c>
      <c r="J109" s="28">
        <f>TRUNC(I109*C109,1)</f>
        <v>184359</v>
      </c>
      <c r="K109" s="27">
        <f>일위대가목록!J214</f>
        <v>643</v>
      </c>
      <c r="L109" s="28">
        <f>TRUNC(K109*C109,1)</f>
        <v>643</v>
      </c>
      <c r="M109" s="86" t="s">
        <v>2856</v>
      </c>
      <c r="N109" t="s">
        <v>2856</v>
      </c>
      <c r="P109" t="s">
        <v>334</v>
      </c>
      <c r="Q109" t="s">
        <v>2856</v>
      </c>
      <c r="R109" t="s">
        <v>2229</v>
      </c>
      <c r="T109" t="s">
        <v>1778</v>
      </c>
      <c r="BI109" s="34" t="str">
        <f>HYPERLINK("#일위대가목록!A209","NT1085 →")</f>
        <v>NT1085 →</v>
      </c>
    </row>
    <row r="110" spans="1:61" ht="18.399999999999999" hidden="1" customHeight="1" x14ac:dyDescent="0.15">
      <c r="A110" s="2" t="s">
        <v>1701</v>
      </c>
      <c r="B110" s="87" t="s">
        <v>1482</v>
      </c>
      <c r="C110" s="2">
        <v>0.5</v>
      </c>
      <c r="D110" s="2" t="s">
        <v>2825</v>
      </c>
      <c r="E110" s="27">
        <f>G110+I110+K110</f>
        <v>5859</v>
      </c>
      <c r="F110" s="28">
        <f>H110+J110+L110</f>
        <v>2929.5</v>
      </c>
      <c r="G110" s="27">
        <f>일위대가목록!F3</f>
        <v>1054</v>
      </c>
      <c r="H110" s="28">
        <f>TRUNC(G110*C110,1)</f>
        <v>527</v>
      </c>
      <c r="I110" s="27">
        <f>일위대가목록!H3</f>
        <v>3467</v>
      </c>
      <c r="J110" s="28">
        <f>TRUNC(I110*C110,1)</f>
        <v>1733.5</v>
      </c>
      <c r="K110" s="27">
        <f>일위대가목록!J3</f>
        <v>1338</v>
      </c>
      <c r="L110" s="28">
        <f>TRUNC(K110*C110,1)</f>
        <v>669</v>
      </c>
      <c r="M110" s="86" t="s">
        <v>2856</v>
      </c>
      <c r="N110" t="s">
        <v>2856</v>
      </c>
      <c r="P110" t="s">
        <v>2471</v>
      </c>
      <c r="Q110" t="s">
        <v>2856</v>
      </c>
      <c r="R110" t="s">
        <v>2633</v>
      </c>
      <c r="T110" t="s">
        <v>2405</v>
      </c>
      <c r="BI110" s="34" t="str">
        <f>HYPERLINK("#일위대가목록!A3","NX1510 →")</f>
        <v>NX1510 →</v>
      </c>
    </row>
    <row r="111" spans="1:61" ht="18.399999999999999" hidden="1" customHeight="1" x14ac:dyDescent="0.15">
      <c r="A111" s="1"/>
      <c r="B111" s="8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87"/>
    </row>
    <row r="112" spans="1:61" ht="18.399999999999999" hidden="1" customHeight="1" x14ac:dyDescent="0.15">
      <c r="A112" s="2" t="s">
        <v>1173</v>
      </c>
      <c r="B112" s="87" t="s">
        <v>824</v>
      </c>
      <c r="C112" s="2">
        <v>1</v>
      </c>
      <c r="D112" s="2" t="s">
        <v>556</v>
      </c>
      <c r="E112" s="184"/>
      <c r="F112" s="29">
        <f>H112+J112+L112</f>
        <v>59722</v>
      </c>
      <c r="G112" s="184"/>
      <c r="H112" s="29">
        <f>TRUNC(H113+H114,0)</f>
        <v>972</v>
      </c>
      <c r="I112" s="184"/>
      <c r="J112" s="29">
        <f>TRUNC(J113+J114,0)</f>
        <v>58396</v>
      </c>
      <c r="K112" s="184"/>
      <c r="L112" s="29">
        <f>TRUNC(L113+L114,0)</f>
        <v>354</v>
      </c>
      <c r="M112" s="86" t="s">
        <v>2856</v>
      </c>
      <c r="N112" t="s">
        <v>2856</v>
      </c>
      <c r="O112" t="s">
        <v>1756</v>
      </c>
    </row>
    <row r="113" spans="1:61" ht="18.399999999999999" hidden="1" customHeight="1" x14ac:dyDescent="0.15">
      <c r="A113" s="2" t="s">
        <v>210</v>
      </c>
      <c r="B113" s="87" t="s">
        <v>1277</v>
      </c>
      <c r="C113" s="2">
        <v>1</v>
      </c>
      <c r="D113" s="2" t="s">
        <v>556</v>
      </c>
      <c r="E113" s="27">
        <f>G113+I113+K113</f>
        <v>58903</v>
      </c>
      <c r="F113" s="28">
        <f>H113+J113+L113</f>
        <v>58903</v>
      </c>
      <c r="G113" s="27">
        <f>일위대가목록!F207</f>
        <v>825</v>
      </c>
      <c r="H113" s="28">
        <f>TRUNC(G113*C113,1)</f>
        <v>825</v>
      </c>
      <c r="I113" s="27">
        <f>일위대가목록!H207</f>
        <v>57911</v>
      </c>
      <c r="J113" s="28">
        <f>TRUNC(I113*C113,1)</f>
        <v>57911</v>
      </c>
      <c r="K113" s="27">
        <f>일위대가목록!J207</f>
        <v>167</v>
      </c>
      <c r="L113" s="28">
        <f>TRUNC(K113*C113,1)</f>
        <v>167</v>
      </c>
      <c r="M113" s="86" t="s">
        <v>2856</v>
      </c>
      <c r="N113" t="s">
        <v>2856</v>
      </c>
      <c r="P113" t="s">
        <v>334</v>
      </c>
      <c r="Q113" t="s">
        <v>2856</v>
      </c>
      <c r="R113" t="s">
        <v>63</v>
      </c>
      <c r="T113" t="s">
        <v>1778</v>
      </c>
      <c r="BI113" s="34" t="str">
        <f>HYPERLINK("#일위대가목록!A202","NT1050 →")</f>
        <v>NT1050 →</v>
      </c>
    </row>
    <row r="114" spans="1:61" ht="18.399999999999999" hidden="1" customHeight="1" x14ac:dyDescent="0.15">
      <c r="A114" s="2" t="s">
        <v>1701</v>
      </c>
      <c r="B114" s="87" t="s">
        <v>1482</v>
      </c>
      <c r="C114" s="2">
        <v>0.14000000000000001</v>
      </c>
      <c r="D114" s="2" t="s">
        <v>2825</v>
      </c>
      <c r="E114" s="27">
        <f>G114+I114+K114</f>
        <v>5859</v>
      </c>
      <c r="F114" s="28">
        <f>H114+J114+L114</f>
        <v>820.09999999999991</v>
      </c>
      <c r="G114" s="27">
        <f>일위대가목록!F3</f>
        <v>1054</v>
      </c>
      <c r="H114" s="28">
        <f>TRUNC(G114*C114,1)</f>
        <v>147.5</v>
      </c>
      <c r="I114" s="27">
        <f>일위대가목록!H3</f>
        <v>3467</v>
      </c>
      <c r="J114" s="28">
        <f>TRUNC(I114*C114,1)</f>
        <v>485.3</v>
      </c>
      <c r="K114" s="27">
        <f>일위대가목록!J3</f>
        <v>1338</v>
      </c>
      <c r="L114" s="28">
        <f>TRUNC(K114*C114,1)</f>
        <v>187.3</v>
      </c>
      <c r="M114" s="86" t="s">
        <v>2856</v>
      </c>
      <c r="N114" t="s">
        <v>2856</v>
      </c>
      <c r="P114" t="s">
        <v>2471</v>
      </c>
      <c r="Q114" t="s">
        <v>2856</v>
      </c>
      <c r="R114" t="s">
        <v>2633</v>
      </c>
      <c r="T114" t="s">
        <v>2405</v>
      </c>
      <c r="BI114" s="34" t="str">
        <f>HYPERLINK("#일위대가목록!A3","NX1510 →")</f>
        <v>NX1510 →</v>
      </c>
    </row>
    <row r="115" spans="1:61" ht="18.399999999999999" hidden="1" customHeight="1" x14ac:dyDescent="0.15">
      <c r="A115" s="1"/>
      <c r="B115" s="8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87"/>
    </row>
    <row r="116" spans="1:61" ht="18.399999999999999" hidden="1" customHeight="1" x14ac:dyDescent="0.15">
      <c r="A116" s="2" t="s">
        <v>499</v>
      </c>
      <c r="B116" s="87" t="s">
        <v>648</v>
      </c>
      <c r="C116" s="2">
        <v>1</v>
      </c>
      <c r="D116" s="2" t="s">
        <v>556</v>
      </c>
      <c r="E116" s="184"/>
      <c r="F116" s="29">
        <f>H116+J116+L116</f>
        <v>191123</v>
      </c>
      <c r="G116" s="184"/>
      <c r="H116" s="29">
        <f>TRUNC(H117+H118,0)</f>
        <v>3719</v>
      </c>
      <c r="I116" s="184"/>
      <c r="J116" s="29">
        <f>TRUNC(J117+J118,0)</f>
        <v>186092</v>
      </c>
      <c r="K116" s="184"/>
      <c r="L116" s="29">
        <f>TRUNC(L117+L118,0)</f>
        <v>1312</v>
      </c>
      <c r="M116" s="86" t="s">
        <v>2856</v>
      </c>
      <c r="N116" t="s">
        <v>2856</v>
      </c>
      <c r="O116" t="s">
        <v>163</v>
      </c>
    </row>
    <row r="117" spans="1:61" ht="18.399999999999999" hidden="1" customHeight="1" x14ac:dyDescent="0.15">
      <c r="A117" s="2" t="s">
        <v>210</v>
      </c>
      <c r="B117" s="87" t="s">
        <v>730</v>
      </c>
      <c r="C117" s="2">
        <v>1</v>
      </c>
      <c r="D117" s="2" t="s">
        <v>556</v>
      </c>
      <c r="E117" s="27">
        <f>G117+I117+K117</f>
        <v>188194</v>
      </c>
      <c r="F117" s="28">
        <f>H117+J117+L117</f>
        <v>188194</v>
      </c>
      <c r="G117" s="27">
        <f>일위대가목록!F214</f>
        <v>3192</v>
      </c>
      <c r="H117" s="28">
        <f>TRUNC(G117*C117,1)</f>
        <v>3192</v>
      </c>
      <c r="I117" s="27">
        <f>일위대가목록!H214</f>
        <v>184359</v>
      </c>
      <c r="J117" s="28">
        <f>TRUNC(I117*C117,1)</f>
        <v>184359</v>
      </c>
      <c r="K117" s="27">
        <f>일위대가목록!J214</f>
        <v>643</v>
      </c>
      <c r="L117" s="28">
        <f>TRUNC(K117*C117,1)</f>
        <v>643</v>
      </c>
      <c r="M117" s="86" t="s">
        <v>2856</v>
      </c>
      <c r="N117" t="s">
        <v>2856</v>
      </c>
      <c r="P117" t="s">
        <v>334</v>
      </c>
      <c r="Q117" t="s">
        <v>2856</v>
      </c>
      <c r="R117" t="s">
        <v>2229</v>
      </c>
      <c r="T117" t="s">
        <v>1778</v>
      </c>
      <c r="BI117" s="34" t="str">
        <f>HYPERLINK("#일위대가목록!A209","NT1085 →")</f>
        <v>NT1085 →</v>
      </c>
    </row>
    <row r="118" spans="1:61" ht="18.399999999999999" hidden="1" customHeight="1" x14ac:dyDescent="0.15">
      <c r="A118" s="2" t="s">
        <v>1701</v>
      </c>
      <c r="B118" s="87" t="s">
        <v>1482</v>
      </c>
      <c r="C118" s="2">
        <v>0.5</v>
      </c>
      <c r="D118" s="2" t="s">
        <v>2825</v>
      </c>
      <c r="E118" s="27">
        <f>G118+I118+K118</f>
        <v>5859</v>
      </c>
      <c r="F118" s="28">
        <f>H118+J118+L118</f>
        <v>2929.5</v>
      </c>
      <c r="G118" s="27">
        <f>일위대가목록!F3</f>
        <v>1054</v>
      </c>
      <c r="H118" s="28">
        <f>TRUNC(G118*C118,1)</f>
        <v>527</v>
      </c>
      <c r="I118" s="27">
        <f>일위대가목록!H3</f>
        <v>3467</v>
      </c>
      <c r="J118" s="28">
        <f>TRUNC(I118*C118,1)</f>
        <v>1733.5</v>
      </c>
      <c r="K118" s="27">
        <f>일위대가목록!J3</f>
        <v>1338</v>
      </c>
      <c r="L118" s="28">
        <f>TRUNC(K118*C118,1)</f>
        <v>669</v>
      </c>
      <c r="M118" s="86" t="s">
        <v>2856</v>
      </c>
      <c r="N118" t="s">
        <v>2856</v>
      </c>
      <c r="P118" t="s">
        <v>2471</v>
      </c>
      <c r="Q118" t="s">
        <v>2856</v>
      </c>
      <c r="R118" t="s">
        <v>2633</v>
      </c>
      <c r="T118" t="s">
        <v>2405</v>
      </c>
      <c r="BI118" s="34" t="str">
        <f>HYPERLINK("#일위대가목록!A3","NX1510 →")</f>
        <v>NX1510 →</v>
      </c>
    </row>
    <row r="119" spans="1:61" ht="18.399999999999999" hidden="1" customHeight="1" x14ac:dyDescent="0.15">
      <c r="A119" s="1"/>
      <c r="B119" s="8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87"/>
    </row>
    <row r="120" spans="1:61" ht="18.399999999999999" hidden="1" customHeight="1" x14ac:dyDescent="0.15">
      <c r="A120" s="2" t="s">
        <v>287</v>
      </c>
      <c r="B120" s="87" t="s">
        <v>2116</v>
      </c>
      <c r="C120" s="2">
        <v>1</v>
      </c>
      <c r="D120" s="2" t="s">
        <v>556</v>
      </c>
      <c r="E120" s="184"/>
      <c r="F120" s="29">
        <f>H120+J120+L120</f>
        <v>49111</v>
      </c>
      <c r="G120" s="184"/>
      <c r="H120" s="29">
        <f>TRUNC(H121+H122,0)</f>
        <v>724</v>
      </c>
      <c r="I120" s="184"/>
      <c r="J120" s="29">
        <f>TRUNC(J121+J122,0)</f>
        <v>48174</v>
      </c>
      <c r="K120" s="184"/>
      <c r="L120" s="29">
        <f>TRUNC(L121+L122,0)</f>
        <v>213</v>
      </c>
      <c r="M120" s="86" t="s">
        <v>2856</v>
      </c>
      <c r="N120" t="s">
        <v>2856</v>
      </c>
      <c r="O120" t="s">
        <v>1696</v>
      </c>
    </row>
    <row r="121" spans="1:61" ht="18.399999999999999" hidden="1" customHeight="1" x14ac:dyDescent="0.15">
      <c r="A121" s="2" t="s">
        <v>210</v>
      </c>
      <c r="B121" s="87" t="s">
        <v>1702</v>
      </c>
      <c r="C121" s="2">
        <v>1</v>
      </c>
      <c r="D121" s="2" t="s">
        <v>556</v>
      </c>
      <c r="E121" s="27">
        <f>G121+I121+K121</f>
        <v>48760</v>
      </c>
      <c r="F121" s="28">
        <f>H121+J121+L121</f>
        <v>48760</v>
      </c>
      <c r="G121" s="27">
        <f>일위대가목록!F206</f>
        <v>661</v>
      </c>
      <c r="H121" s="28">
        <f>TRUNC(G121*C121,1)</f>
        <v>661</v>
      </c>
      <c r="I121" s="27">
        <f>일위대가목록!H206</f>
        <v>47966</v>
      </c>
      <c r="J121" s="28">
        <f>TRUNC(I121*C121,1)</f>
        <v>47966</v>
      </c>
      <c r="K121" s="27">
        <f>일위대가목록!J206</f>
        <v>133</v>
      </c>
      <c r="L121" s="28">
        <f>TRUNC(K121*C121,1)</f>
        <v>133</v>
      </c>
      <c r="M121" s="86" t="s">
        <v>2856</v>
      </c>
      <c r="N121" t="s">
        <v>2856</v>
      </c>
      <c r="P121" t="s">
        <v>334</v>
      </c>
      <c r="Q121" t="s">
        <v>2856</v>
      </c>
      <c r="R121" t="s">
        <v>2272</v>
      </c>
      <c r="T121" t="s">
        <v>1778</v>
      </c>
      <c r="BI121" s="34" t="str">
        <f>HYPERLINK("#일위대가목록!A201","NT1045 →")</f>
        <v>NT1045 →</v>
      </c>
    </row>
    <row r="122" spans="1:61" ht="18.399999999999999" hidden="1" customHeight="1" x14ac:dyDescent="0.15">
      <c r="A122" s="2" t="s">
        <v>1701</v>
      </c>
      <c r="B122" s="87" t="s">
        <v>1482</v>
      </c>
      <c r="C122" s="2">
        <v>0.06</v>
      </c>
      <c r="D122" s="2" t="s">
        <v>2825</v>
      </c>
      <c r="E122" s="27">
        <f>G122+I122+K122</f>
        <v>5859</v>
      </c>
      <c r="F122" s="28">
        <f>H122+J122+L122</f>
        <v>351.4</v>
      </c>
      <c r="G122" s="27">
        <f>일위대가목록!F3</f>
        <v>1054</v>
      </c>
      <c r="H122" s="28">
        <f>TRUNC(G122*C122,1)</f>
        <v>63.2</v>
      </c>
      <c r="I122" s="27">
        <f>일위대가목록!H3</f>
        <v>3467</v>
      </c>
      <c r="J122" s="28">
        <f>TRUNC(I122*C122,1)</f>
        <v>208</v>
      </c>
      <c r="K122" s="27">
        <f>일위대가목록!J3</f>
        <v>1338</v>
      </c>
      <c r="L122" s="28">
        <f>TRUNC(K122*C122,1)</f>
        <v>80.2</v>
      </c>
      <c r="M122" s="86" t="s">
        <v>2856</v>
      </c>
      <c r="N122" t="s">
        <v>2856</v>
      </c>
      <c r="P122" t="s">
        <v>2471</v>
      </c>
      <c r="Q122" t="s">
        <v>2856</v>
      </c>
      <c r="R122" t="s">
        <v>2633</v>
      </c>
      <c r="T122" t="s">
        <v>2405</v>
      </c>
      <c r="BI122" s="34" t="str">
        <f>HYPERLINK("#일위대가목록!A3","NX1510 →")</f>
        <v>NX1510 →</v>
      </c>
    </row>
    <row r="123" spans="1:61" ht="18.399999999999999" hidden="1" customHeight="1" x14ac:dyDescent="0.15">
      <c r="A123" s="1"/>
      <c r="B123" s="8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87"/>
    </row>
    <row r="124" spans="1:61" ht="18.399999999999999" hidden="1" customHeight="1" x14ac:dyDescent="0.15">
      <c r="A124" s="2" t="s">
        <v>1050</v>
      </c>
      <c r="B124" s="87" t="s">
        <v>1581</v>
      </c>
      <c r="C124" s="2">
        <v>1</v>
      </c>
      <c r="D124" s="2" t="s">
        <v>556</v>
      </c>
      <c r="E124" s="184"/>
      <c r="F124" s="29">
        <f>H124+J124+L124</f>
        <v>59722</v>
      </c>
      <c r="G124" s="184"/>
      <c r="H124" s="29">
        <f>TRUNC(H125+H126,0)</f>
        <v>972</v>
      </c>
      <c r="I124" s="184"/>
      <c r="J124" s="29">
        <f>TRUNC(J125+J126,0)</f>
        <v>58396</v>
      </c>
      <c r="K124" s="184"/>
      <c r="L124" s="29">
        <f>TRUNC(L125+L126,0)</f>
        <v>354</v>
      </c>
      <c r="M124" s="86" t="s">
        <v>2856</v>
      </c>
      <c r="N124" t="s">
        <v>2856</v>
      </c>
      <c r="O124" t="s">
        <v>1393</v>
      </c>
    </row>
    <row r="125" spans="1:61" ht="18.399999999999999" hidden="1" customHeight="1" x14ac:dyDescent="0.15">
      <c r="A125" s="2" t="s">
        <v>210</v>
      </c>
      <c r="B125" s="87" t="s">
        <v>1277</v>
      </c>
      <c r="C125" s="2">
        <v>1</v>
      </c>
      <c r="D125" s="2" t="s">
        <v>556</v>
      </c>
      <c r="E125" s="27">
        <f>G125+I125+K125</f>
        <v>58903</v>
      </c>
      <c r="F125" s="28">
        <f>H125+J125+L125</f>
        <v>58903</v>
      </c>
      <c r="G125" s="27">
        <f>일위대가목록!F207</f>
        <v>825</v>
      </c>
      <c r="H125" s="28">
        <f>TRUNC(G125*C125,1)</f>
        <v>825</v>
      </c>
      <c r="I125" s="27">
        <f>일위대가목록!H207</f>
        <v>57911</v>
      </c>
      <c r="J125" s="28">
        <f>TRUNC(I125*C125,1)</f>
        <v>57911</v>
      </c>
      <c r="K125" s="27">
        <f>일위대가목록!J207</f>
        <v>167</v>
      </c>
      <c r="L125" s="28">
        <f>TRUNC(K125*C125,1)</f>
        <v>167</v>
      </c>
      <c r="M125" s="86" t="s">
        <v>2856</v>
      </c>
      <c r="N125" t="s">
        <v>2856</v>
      </c>
      <c r="P125" t="s">
        <v>334</v>
      </c>
      <c r="Q125" t="s">
        <v>2856</v>
      </c>
      <c r="R125" t="s">
        <v>63</v>
      </c>
      <c r="T125" t="s">
        <v>1778</v>
      </c>
      <c r="BI125" s="34" t="str">
        <f>HYPERLINK("#일위대가목록!A202","NT1050 →")</f>
        <v>NT1050 →</v>
      </c>
    </row>
    <row r="126" spans="1:61" ht="18.399999999999999" hidden="1" customHeight="1" x14ac:dyDescent="0.15">
      <c r="A126" s="2" t="s">
        <v>1701</v>
      </c>
      <c r="B126" s="87" t="s">
        <v>1482</v>
      </c>
      <c r="C126" s="2">
        <v>0.14000000000000001</v>
      </c>
      <c r="D126" s="2" t="s">
        <v>2825</v>
      </c>
      <c r="E126" s="27">
        <f>G126+I126+K126</f>
        <v>5859</v>
      </c>
      <c r="F126" s="28">
        <f>H126+J126+L126</f>
        <v>820.09999999999991</v>
      </c>
      <c r="G126" s="27">
        <f>일위대가목록!F3</f>
        <v>1054</v>
      </c>
      <c r="H126" s="28">
        <f>TRUNC(G126*C126,1)</f>
        <v>147.5</v>
      </c>
      <c r="I126" s="27">
        <f>일위대가목록!H3</f>
        <v>3467</v>
      </c>
      <c r="J126" s="28">
        <f>TRUNC(I126*C126,1)</f>
        <v>485.3</v>
      </c>
      <c r="K126" s="27">
        <f>일위대가목록!J3</f>
        <v>1338</v>
      </c>
      <c r="L126" s="28">
        <f>TRUNC(K126*C126,1)</f>
        <v>187.3</v>
      </c>
      <c r="M126" s="86" t="s">
        <v>2856</v>
      </c>
      <c r="N126" t="s">
        <v>2856</v>
      </c>
      <c r="P126" t="s">
        <v>2471</v>
      </c>
      <c r="Q126" t="s">
        <v>2856</v>
      </c>
      <c r="R126" t="s">
        <v>2633</v>
      </c>
      <c r="T126" t="s">
        <v>2405</v>
      </c>
      <c r="BI126" s="34" t="str">
        <f>HYPERLINK("#일위대가목록!A3","NX1510 →")</f>
        <v>NX1510 →</v>
      </c>
    </row>
    <row r="127" spans="1:61" ht="18.399999999999999" hidden="1" customHeight="1" x14ac:dyDescent="0.15">
      <c r="A127" s="1"/>
      <c r="B127" s="8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87"/>
    </row>
    <row r="128" spans="1:61" ht="18.399999999999999" hidden="1" customHeight="1" x14ac:dyDescent="0.15">
      <c r="A128" s="2" t="s">
        <v>1664</v>
      </c>
      <c r="B128" s="87" t="s">
        <v>804</v>
      </c>
      <c r="C128" s="2">
        <v>1</v>
      </c>
      <c r="D128" s="2" t="s">
        <v>556</v>
      </c>
      <c r="E128" s="184"/>
      <c r="F128" s="29">
        <f>H128+J128+L128</f>
        <v>22244</v>
      </c>
      <c r="G128" s="184"/>
      <c r="H128" s="29">
        <f>TRUNC(H129+H130,0)</f>
        <v>248</v>
      </c>
      <c r="I128" s="184"/>
      <c r="J128" s="29">
        <f>TRUNC(J129+J130,0)</f>
        <v>21912</v>
      </c>
      <c r="K128" s="184"/>
      <c r="L128" s="29">
        <f>TRUNC(L129+L130,0)</f>
        <v>84</v>
      </c>
      <c r="M128" s="86" t="s">
        <v>2856</v>
      </c>
      <c r="N128" t="s">
        <v>2856</v>
      </c>
      <c r="O128" t="s">
        <v>2615</v>
      </c>
    </row>
    <row r="129" spans="1:61" ht="18.399999999999999" hidden="1" customHeight="1" x14ac:dyDescent="0.15">
      <c r="A129" s="2" t="s">
        <v>210</v>
      </c>
      <c r="B129" s="87" t="s">
        <v>137</v>
      </c>
      <c r="C129" s="2">
        <v>1</v>
      </c>
      <c r="D129" s="2" t="s">
        <v>556</v>
      </c>
      <c r="E129" s="27">
        <f>G129+I129+K129</f>
        <v>22069</v>
      </c>
      <c r="F129" s="28">
        <f>H129+J129+L129</f>
        <v>22069</v>
      </c>
      <c r="G129" s="27">
        <f>일위대가목록!F210</f>
        <v>217</v>
      </c>
      <c r="H129" s="28">
        <f>TRUNC(G129*C129,1)</f>
        <v>217</v>
      </c>
      <c r="I129" s="27">
        <f>일위대가목록!H210</f>
        <v>21808</v>
      </c>
      <c r="J129" s="28">
        <f>TRUNC(I129*C129,1)</f>
        <v>21808</v>
      </c>
      <c r="K129" s="27">
        <f>일위대가목록!J210</f>
        <v>44</v>
      </c>
      <c r="L129" s="28">
        <f>TRUNC(K129*C129,1)</f>
        <v>44</v>
      </c>
      <c r="M129" s="86" t="s">
        <v>2856</v>
      </c>
      <c r="N129" t="s">
        <v>2856</v>
      </c>
      <c r="P129" t="s">
        <v>334</v>
      </c>
      <c r="Q129" t="s">
        <v>2856</v>
      </c>
      <c r="R129" t="s">
        <v>2167</v>
      </c>
      <c r="T129" t="s">
        <v>1778</v>
      </c>
      <c r="BI129" s="34" t="str">
        <f>HYPERLINK("#일위대가목록!A205","NT1020 →")</f>
        <v>NT1020 →</v>
      </c>
    </row>
    <row r="130" spans="1:61" ht="18.399999999999999" hidden="1" customHeight="1" x14ac:dyDescent="0.15">
      <c r="A130" s="2" t="s">
        <v>1701</v>
      </c>
      <c r="B130" s="87" t="s">
        <v>1482</v>
      </c>
      <c r="C130" s="2">
        <v>0.03</v>
      </c>
      <c r="D130" s="2" t="s">
        <v>2825</v>
      </c>
      <c r="E130" s="27">
        <f>G130+I130+K130</f>
        <v>5859</v>
      </c>
      <c r="F130" s="28">
        <f>H130+J130+L130</f>
        <v>175.7</v>
      </c>
      <c r="G130" s="27">
        <f>일위대가목록!F3</f>
        <v>1054</v>
      </c>
      <c r="H130" s="28">
        <f>TRUNC(G130*C130,1)</f>
        <v>31.6</v>
      </c>
      <c r="I130" s="27">
        <f>일위대가목록!H3</f>
        <v>3467</v>
      </c>
      <c r="J130" s="28">
        <f>TRUNC(I130*C130,1)</f>
        <v>104</v>
      </c>
      <c r="K130" s="27">
        <f>일위대가목록!J3</f>
        <v>1338</v>
      </c>
      <c r="L130" s="28">
        <f>TRUNC(K130*C130,1)</f>
        <v>40.1</v>
      </c>
      <c r="M130" s="86" t="s">
        <v>2856</v>
      </c>
      <c r="N130" t="s">
        <v>2856</v>
      </c>
      <c r="P130" t="s">
        <v>2471</v>
      </c>
      <c r="Q130" t="s">
        <v>2856</v>
      </c>
      <c r="R130" t="s">
        <v>2633</v>
      </c>
      <c r="T130" t="s">
        <v>2405</v>
      </c>
      <c r="BI130" s="34" t="str">
        <f>HYPERLINK("#일위대가목록!A3","NX1510 →")</f>
        <v>NX1510 →</v>
      </c>
    </row>
    <row r="131" spans="1:61" ht="18.399999999999999" hidden="1" customHeight="1" x14ac:dyDescent="0.15">
      <c r="A131" s="1"/>
      <c r="B131" s="8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87"/>
    </row>
    <row r="132" spans="1:61" ht="18.399999999999999" hidden="1" customHeight="1" x14ac:dyDescent="0.15">
      <c r="A132" s="2" t="s">
        <v>2324</v>
      </c>
      <c r="B132" s="87" t="s">
        <v>1638</v>
      </c>
      <c r="C132" s="2">
        <v>1</v>
      </c>
      <c r="D132" s="2" t="s">
        <v>556</v>
      </c>
      <c r="E132" s="184"/>
      <c r="F132" s="29">
        <f>H132+J132+L132</f>
        <v>339946</v>
      </c>
      <c r="G132" s="184"/>
      <c r="H132" s="29">
        <f>TRUNC(H133+H134,0)</f>
        <v>6873</v>
      </c>
      <c r="I132" s="184"/>
      <c r="J132" s="29">
        <f>TRUNC(J133+J134,0)</f>
        <v>330708</v>
      </c>
      <c r="K132" s="184"/>
      <c r="L132" s="29">
        <f>TRUNC(L133+L134,0)</f>
        <v>2365</v>
      </c>
      <c r="M132" s="86" t="s">
        <v>2856</v>
      </c>
      <c r="N132" t="s">
        <v>2856</v>
      </c>
      <c r="O132" t="s">
        <v>911</v>
      </c>
    </row>
    <row r="133" spans="1:61" ht="18.399999999999999" hidden="1" customHeight="1" x14ac:dyDescent="0.15">
      <c r="A133" s="2" t="s">
        <v>210</v>
      </c>
      <c r="B133" s="87" t="s">
        <v>1925</v>
      </c>
      <c r="C133" s="2">
        <v>1</v>
      </c>
      <c r="D133" s="2" t="s">
        <v>556</v>
      </c>
      <c r="E133" s="27">
        <f>G133+I133+K133</f>
        <v>334850</v>
      </c>
      <c r="F133" s="28">
        <f>H133+J133+L133</f>
        <v>334850</v>
      </c>
      <c r="G133" s="27">
        <f>일위대가목록!F215</f>
        <v>5957</v>
      </c>
      <c r="H133" s="28">
        <f>TRUNC(G133*C133,1)</f>
        <v>5957</v>
      </c>
      <c r="I133" s="27">
        <f>일위대가목록!H215</f>
        <v>327692</v>
      </c>
      <c r="J133" s="28">
        <f>TRUNC(I133*C133,1)</f>
        <v>327692</v>
      </c>
      <c r="K133" s="27">
        <f>일위대가목록!J215</f>
        <v>1201</v>
      </c>
      <c r="L133" s="28">
        <f>TRUNC(K133*C133,1)</f>
        <v>1201</v>
      </c>
      <c r="M133" s="86" t="s">
        <v>2856</v>
      </c>
      <c r="N133" t="s">
        <v>2856</v>
      </c>
      <c r="P133" t="s">
        <v>334</v>
      </c>
      <c r="Q133" t="s">
        <v>2856</v>
      </c>
      <c r="R133" t="s">
        <v>1332</v>
      </c>
      <c r="T133" t="s">
        <v>1778</v>
      </c>
      <c r="BI133" s="34" t="str">
        <f>HYPERLINK("#일위대가목록!A210","NT1100 →")</f>
        <v>NT1100 →</v>
      </c>
    </row>
    <row r="134" spans="1:61" ht="18.399999999999999" hidden="1" customHeight="1" x14ac:dyDescent="0.15">
      <c r="A134" s="2" t="s">
        <v>1701</v>
      </c>
      <c r="B134" s="87" t="s">
        <v>1482</v>
      </c>
      <c r="C134" s="2">
        <v>0.87</v>
      </c>
      <c r="D134" s="2" t="s">
        <v>2825</v>
      </c>
      <c r="E134" s="27">
        <f>G134+I134+K134</f>
        <v>5859</v>
      </c>
      <c r="F134" s="28">
        <f>H134+J134+L134</f>
        <v>5097.1000000000004</v>
      </c>
      <c r="G134" s="27">
        <f>일위대가목록!F3</f>
        <v>1054</v>
      </c>
      <c r="H134" s="28">
        <f>TRUNC(G134*C134,1)</f>
        <v>916.9</v>
      </c>
      <c r="I134" s="27">
        <f>일위대가목록!H3</f>
        <v>3467</v>
      </c>
      <c r="J134" s="28">
        <f>TRUNC(I134*C134,1)</f>
        <v>3016.2</v>
      </c>
      <c r="K134" s="27">
        <f>일위대가목록!J3</f>
        <v>1338</v>
      </c>
      <c r="L134" s="28">
        <f>TRUNC(K134*C134,1)</f>
        <v>1164</v>
      </c>
      <c r="M134" s="86" t="s">
        <v>2856</v>
      </c>
      <c r="N134" t="s">
        <v>2856</v>
      </c>
      <c r="P134" t="s">
        <v>2471</v>
      </c>
      <c r="Q134" t="s">
        <v>2856</v>
      </c>
      <c r="R134" t="s">
        <v>2633</v>
      </c>
      <c r="T134" t="s">
        <v>2405</v>
      </c>
      <c r="BI134" s="34" t="str">
        <f>HYPERLINK("#일위대가목록!A3","NX1510 →")</f>
        <v>NX1510 →</v>
      </c>
    </row>
    <row r="135" spans="1:61" ht="18.399999999999999" hidden="1" customHeight="1" x14ac:dyDescent="0.15">
      <c r="A135" s="1"/>
      <c r="B135" s="8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87"/>
    </row>
    <row r="136" spans="1:61" ht="18.399999999999999" hidden="1" customHeight="1" x14ac:dyDescent="0.15">
      <c r="A136" s="2" t="s">
        <v>746</v>
      </c>
      <c r="B136" s="87" t="s">
        <v>1048</v>
      </c>
      <c r="C136" s="2">
        <v>1</v>
      </c>
      <c r="D136" s="2" t="s">
        <v>556</v>
      </c>
      <c r="E136" s="184"/>
      <c r="F136" s="29">
        <f>H136+J136+L136</f>
        <v>22244</v>
      </c>
      <c r="G136" s="184"/>
      <c r="H136" s="29">
        <f>TRUNC(H137+H138,0)</f>
        <v>248</v>
      </c>
      <c r="I136" s="184"/>
      <c r="J136" s="29">
        <f>TRUNC(J137+J138,0)</f>
        <v>21912</v>
      </c>
      <c r="K136" s="184"/>
      <c r="L136" s="29">
        <f>TRUNC(L137+L138,0)</f>
        <v>84</v>
      </c>
      <c r="M136" s="86" t="s">
        <v>2856</v>
      </c>
      <c r="N136" t="s">
        <v>2856</v>
      </c>
      <c r="O136" t="s">
        <v>2222</v>
      </c>
    </row>
    <row r="137" spans="1:61" ht="18.399999999999999" hidden="1" customHeight="1" x14ac:dyDescent="0.15">
      <c r="A137" s="2" t="s">
        <v>210</v>
      </c>
      <c r="B137" s="87" t="s">
        <v>137</v>
      </c>
      <c r="C137" s="2">
        <v>1</v>
      </c>
      <c r="D137" s="2" t="s">
        <v>556</v>
      </c>
      <c r="E137" s="27">
        <f>G137+I137+K137</f>
        <v>22069</v>
      </c>
      <c r="F137" s="28">
        <f>H137+J137+L137</f>
        <v>22069</v>
      </c>
      <c r="G137" s="27">
        <f>일위대가목록!F210</f>
        <v>217</v>
      </c>
      <c r="H137" s="28">
        <f>TRUNC(G137*C137,1)</f>
        <v>217</v>
      </c>
      <c r="I137" s="27">
        <f>일위대가목록!H210</f>
        <v>21808</v>
      </c>
      <c r="J137" s="28">
        <f>TRUNC(I137*C137,1)</f>
        <v>21808</v>
      </c>
      <c r="K137" s="27">
        <f>일위대가목록!J210</f>
        <v>44</v>
      </c>
      <c r="L137" s="28">
        <f>TRUNC(K137*C137,1)</f>
        <v>44</v>
      </c>
      <c r="M137" s="86" t="s">
        <v>2856</v>
      </c>
      <c r="N137" t="s">
        <v>2856</v>
      </c>
      <c r="P137" t="s">
        <v>334</v>
      </c>
      <c r="Q137" t="s">
        <v>2856</v>
      </c>
      <c r="R137" t="s">
        <v>2167</v>
      </c>
      <c r="T137" t="s">
        <v>1778</v>
      </c>
      <c r="BI137" s="34" t="str">
        <f>HYPERLINK("#일위대가목록!A205","NT1020 →")</f>
        <v>NT1020 →</v>
      </c>
    </row>
    <row r="138" spans="1:61" ht="18.399999999999999" hidden="1" customHeight="1" x14ac:dyDescent="0.15">
      <c r="A138" s="2" t="s">
        <v>1701</v>
      </c>
      <c r="B138" s="87" t="s">
        <v>1482</v>
      </c>
      <c r="C138" s="2">
        <v>0.03</v>
      </c>
      <c r="D138" s="2" t="s">
        <v>2825</v>
      </c>
      <c r="E138" s="27">
        <f>G138+I138+K138</f>
        <v>5859</v>
      </c>
      <c r="F138" s="28">
        <f>H138+J138+L138</f>
        <v>175.7</v>
      </c>
      <c r="G138" s="27">
        <f>일위대가목록!F3</f>
        <v>1054</v>
      </c>
      <c r="H138" s="28">
        <f>TRUNC(G138*C138,1)</f>
        <v>31.6</v>
      </c>
      <c r="I138" s="27">
        <f>일위대가목록!H3</f>
        <v>3467</v>
      </c>
      <c r="J138" s="28">
        <f>TRUNC(I138*C138,1)</f>
        <v>104</v>
      </c>
      <c r="K138" s="27">
        <f>일위대가목록!J3</f>
        <v>1338</v>
      </c>
      <c r="L138" s="28">
        <f>TRUNC(K138*C138,1)</f>
        <v>40.1</v>
      </c>
      <c r="M138" s="86" t="s">
        <v>2856</v>
      </c>
      <c r="N138" t="s">
        <v>2856</v>
      </c>
      <c r="P138" t="s">
        <v>2471</v>
      </c>
      <c r="Q138" t="s">
        <v>2856</v>
      </c>
      <c r="R138" t="s">
        <v>2633</v>
      </c>
      <c r="T138" t="s">
        <v>2405</v>
      </c>
      <c r="BI138" s="34" t="str">
        <f>HYPERLINK("#일위대가목록!A3","NX1510 →")</f>
        <v>NX1510 →</v>
      </c>
    </row>
    <row r="139" spans="1:61" ht="18.399999999999999" hidden="1" customHeight="1" x14ac:dyDescent="0.15">
      <c r="A139" s="1"/>
      <c r="B139" s="8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87"/>
    </row>
    <row r="140" spans="1:61" ht="18.399999999999999" hidden="1" customHeight="1" x14ac:dyDescent="0.15">
      <c r="A140" s="2" t="s">
        <v>2521</v>
      </c>
      <c r="B140" s="87" t="s">
        <v>1072</v>
      </c>
      <c r="C140" s="2">
        <v>1</v>
      </c>
      <c r="D140" s="2" t="s">
        <v>556</v>
      </c>
      <c r="E140" s="184"/>
      <c r="F140" s="29">
        <f>H140+J140+L140</f>
        <v>28637</v>
      </c>
      <c r="G140" s="184"/>
      <c r="H140" s="29">
        <f>TRUNC(H141+H142,0)</f>
        <v>352</v>
      </c>
      <c r="I140" s="184"/>
      <c r="J140" s="29">
        <f>TRUNC(J141+J142,0)</f>
        <v>28180</v>
      </c>
      <c r="K140" s="184"/>
      <c r="L140" s="29">
        <f>TRUNC(L141+L142,0)</f>
        <v>105</v>
      </c>
      <c r="M140" s="86" t="s">
        <v>2856</v>
      </c>
      <c r="N140" t="s">
        <v>2856</v>
      </c>
      <c r="O140" t="s">
        <v>1137</v>
      </c>
    </row>
    <row r="141" spans="1:61" ht="18.399999999999999" hidden="1" customHeight="1" x14ac:dyDescent="0.15">
      <c r="A141" s="2" t="s">
        <v>210</v>
      </c>
      <c r="B141" s="87" t="s">
        <v>297</v>
      </c>
      <c r="C141" s="2">
        <v>1</v>
      </c>
      <c r="D141" s="2" t="s">
        <v>556</v>
      </c>
      <c r="E141" s="27">
        <f>G141+I141+K141</f>
        <v>28462</v>
      </c>
      <c r="F141" s="28">
        <f>H141+J141+L141</f>
        <v>28462</v>
      </c>
      <c r="G141" s="27">
        <f>일위대가목록!F209</f>
        <v>321</v>
      </c>
      <c r="H141" s="28">
        <f>TRUNC(G141*C141,1)</f>
        <v>321</v>
      </c>
      <c r="I141" s="27">
        <f>일위대가목록!H209</f>
        <v>28076</v>
      </c>
      <c r="J141" s="28">
        <f>TRUNC(I141*C141,1)</f>
        <v>28076</v>
      </c>
      <c r="K141" s="27">
        <f>일위대가목록!J209</f>
        <v>65</v>
      </c>
      <c r="L141" s="28">
        <f>TRUNC(K141*C141,1)</f>
        <v>65</v>
      </c>
      <c r="M141" s="86" t="s">
        <v>2856</v>
      </c>
      <c r="N141" t="s">
        <v>2856</v>
      </c>
      <c r="P141" t="s">
        <v>334</v>
      </c>
      <c r="Q141" t="s">
        <v>2856</v>
      </c>
      <c r="R141" t="s">
        <v>1464</v>
      </c>
      <c r="T141" t="s">
        <v>1778</v>
      </c>
      <c r="BI141" s="34" t="str">
        <f>HYPERLINK("#일위대가목록!A204","NT1030 →")</f>
        <v>NT1030 →</v>
      </c>
    </row>
    <row r="142" spans="1:61" ht="18.399999999999999" hidden="1" customHeight="1" x14ac:dyDescent="0.15">
      <c r="A142" s="2" t="s">
        <v>1701</v>
      </c>
      <c r="B142" s="87" t="s">
        <v>1482</v>
      </c>
      <c r="C142" s="2">
        <v>0.03</v>
      </c>
      <c r="D142" s="2" t="s">
        <v>2825</v>
      </c>
      <c r="E142" s="27">
        <f>G142+I142+K142</f>
        <v>5859</v>
      </c>
      <c r="F142" s="28">
        <f>H142+J142+L142</f>
        <v>175.7</v>
      </c>
      <c r="G142" s="27">
        <f>일위대가목록!F3</f>
        <v>1054</v>
      </c>
      <c r="H142" s="28">
        <f>TRUNC(G142*C142,1)</f>
        <v>31.6</v>
      </c>
      <c r="I142" s="27">
        <f>일위대가목록!H3</f>
        <v>3467</v>
      </c>
      <c r="J142" s="28">
        <f>TRUNC(I142*C142,1)</f>
        <v>104</v>
      </c>
      <c r="K142" s="27">
        <f>일위대가목록!J3</f>
        <v>1338</v>
      </c>
      <c r="L142" s="28">
        <f>TRUNC(K142*C142,1)</f>
        <v>40.1</v>
      </c>
      <c r="M142" s="86" t="s">
        <v>2856</v>
      </c>
      <c r="N142" t="s">
        <v>2856</v>
      </c>
      <c r="P142" t="s">
        <v>2471</v>
      </c>
      <c r="Q142" t="s">
        <v>2856</v>
      </c>
      <c r="R142" t="s">
        <v>2633</v>
      </c>
      <c r="T142" t="s">
        <v>2405</v>
      </c>
      <c r="BI142" s="34" t="str">
        <f>HYPERLINK("#일위대가목록!A3","NX1510 →")</f>
        <v>NX1510 →</v>
      </c>
    </row>
    <row r="143" spans="1:61" ht="18.399999999999999" hidden="1" customHeight="1" x14ac:dyDescent="0.15">
      <c r="A143" s="1"/>
      <c r="B143" s="8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87"/>
    </row>
    <row r="144" spans="1:61" ht="18.399999999999999" hidden="1" customHeight="1" x14ac:dyDescent="0.15">
      <c r="A144" s="2" t="s">
        <v>2365</v>
      </c>
      <c r="B144" s="87" t="s">
        <v>2676</v>
      </c>
      <c r="C144" s="2">
        <v>1</v>
      </c>
      <c r="D144" s="2" t="s">
        <v>556</v>
      </c>
      <c r="E144" s="184"/>
      <c r="F144" s="29">
        <f>H144+J144+L144</f>
        <v>190302</v>
      </c>
      <c r="G144" s="184"/>
      <c r="H144" s="29">
        <f>TRUNC(H145+H146,0)</f>
        <v>3571</v>
      </c>
      <c r="I144" s="184"/>
      <c r="J144" s="29">
        <f>TRUNC(J145+J146,0)</f>
        <v>185607</v>
      </c>
      <c r="K144" s="184"/>
      <c r="L144" s="29">
        <f>TRUNC(L145+L146,0)</f>
        <v>1124</v>
      </c>
      <c r="M144" s="86" t="s">
        <v>2856</v>
      </c>
      <c r="N144" t="s">
        <v>2856</v>
      </c>
      <c r="O144" t="s">
        <v>2715</v>
      </c>
    </row>
    <row r="145" spans="1:61" ht="18.399999999999999" hidden="1" customHeight="1" x14ac:dyDescent="0.15">
      <c r="A145" s="2" t="s">
        <v>210</v>
      </c>
      <c r="B145" s="87" t="s">
        <v>730</v>
      </c>
      <c r="C145" s="2">
        <v>1</v>
      </c>
      <c r="D145" s="2" t="s">
        <v>556</v>
      </c>
      <c r="E145" s="27">
        <f>G145+I145+K145</f>
        <v>188194</v>
      </c>
      <c r="F145" s="28">
        <f>H145+J145+L145</f>
        <v>188194</v>
      </c>
      <c r="G145" s="27">
        <f>일위대가목록!F214</f>
        <v>3192</v>
      </c>
      <c r="H145" s="28">
        <f>TRUNC(G145*C145,1)</f>
        <v>3192</v>
      </c>
      <c r="I145" s="27">
        <f>일위대가목록!H214</f>
        <v>184359</v>
      </c>
      <c r="J145" s="28">
        <f>TRUNC(I145*C145,1)</f>
        <v>184359</v>
      </c>
      <c r="K145" s="27">
        <f>일위대가목록!J214</f>
        <v>643</v>
      </c>
      <c r="L145" s="28">
        <f>TRUNC(K145*C145,1)</f>
        <v>643</v>
      </c>
      <c r="M145" s="86" t="s">
        <v>2856</v>
      </c>
      <c r="N145" t="s">
        <v>2856</v>
      </c>
      <c r="P145" t="s">
        <v>334</v>
      </c>
      <c r="Q145" t="s">
        <v>2856</v>
      </c>
      <c r="R145" t="s">
        <v>2229</v>
      </c>
      <c r="T145" t="s">
        <v>1778</v>
      </c>
      <c r="BI145" s="34" t="str">
        <f>HYPERLINK("#일위대가목록!A209","NT1085 →")</f>
        <v>NT1085 →</v>
      </c>
    </row>
    <row r="146" spans="1:61" ht="18.399999999999999" hidden="1" customHeight="1" x14ac:dyDescent="0.15">
      <c r="A146" s="2" t="s">
        <v>1701</v>
      </c>
      <c r="B146" s="87" t="s">
        <v>1482</v>
      </c>
      <c r="C146" s="2">
        <v>0.36</v>
      </c>
      <c r="D146" s="2" t="s">
        <v>2825</v>
      </c>
      <c r="E146" s="27">
        <f>G146+I146+K146</f>
        <v>5859</v>
      </c>
      <c r="F146" s="28">
        <f>H146+J146+L146</f>
        <v>2109.1</v>
      </c>
      <c r="G146" s="27">
        <f>일위대가목록!F3</f>
        <v>1054</v>
      </c>
      <c r="H146" s="28">
        <f>TRUNC(G146*C146,1)</f>
        <v>379.4</v>
      </c>
      <c r="I146" s="27">
        <f>일위대가목록!H3</f>
        <v>3467</v>
      </c>
      <c r="J146" s="28">
        <f>TRUNC(I146*C146,1)</f>
        <v>1248.0999999999999</v>
      </c>
      <c r="K146" s="27">
        <f>일위대가목록!J3</f>
        <v>1338</v>
      </c>
      <c r="L146" s="28">
        <f>TRUNC(K146*C146,1)</f>
        <v>481.6</v>
      </c>
      <c r="M146" s="86" t="s">
        <v>2856</v>
      </c>
      <c r="N146" t="s">
        <v>2856</v>
      </c>
      <c r="P146" t="s">
        <v>2471</v>
      </c>
      <c r="Q146" t="s">
        <v>2856</v>
      </c>
      <c r="R146" t="s">
        <v>2633</v>
      </c>
      <c r="T146" t="s">
        <v>2405</v>
      </c>
      <c r="BI146" s="34" t="str">
        <f>HYPERLINK("#일위대가목록!A3","NX1510 →")</f>
        <v>NX1510 →</v>
      </c>
    </row>
    <row r="147" spans="1:61" ht="18.399999999999999" hidden="1" customHeight="1" x14ac:dyDescent="0.15">
      <c r="A147" s="1"/>
      <c r="B147" s="8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87"/>
    </row>
    <row r="148" spans="1:61" ht="18.399999999999999" hidden="1" customHeight="1" x14ac:dyDescent="0.15">
      <c r="A148" s="2" t="s">
        <v>1787</v>
      </c>
      <c r="B148" s="87" t="s">
        <v>489</v>
      </c>
      <c r="C148" s="2">
        <v>1</v>
      </c>
      <c r="D148" s="2" t="s">
        <v>556</v>
      </c>
      <c r="E148" s="184"/>
      <c r="F148" s="29">
        <f>H148+J148+L148</f>
        <v>91691</v>
      </c>
      <c r="G148" s="184"/>
      <c r="H148" s="29">
        <f>TRUNC(H149+H150,0)</f>
        <v>1614</v>
      </c>
      <c r="I148" s="184"/>
      <c r="J148" s="29">
        <f>TRUNC(J149+J150,0)</f>
        <v>89527</v>
      </c>
      <c r="K148" s="184"/>
      <c r="L148" s="29">
        <f>TRUNC(L149+L150,0)</f>
        <v>550</v>
      </c>
      <c r="M148" s="86" t="s">
        <v>2856</v>
      </c>
      <c r="N148" t="s">
        <v>2856</v>
      </c>
      <c r="O148" t="s">
        <v>807</v>
      </c>
    </row>
    <row r="149" spans="1:61" ht="18.399999999999999" hidden="1" customHeight="1" x14ac:dyDescent="0.15">
      <c r="A149" s="2" t="s">
        <v>210</v>
      </c>
      <c r="B149" s="87" t="s">
        <v>2828</v>
      </c>
      <c r="C149" s="2">
        <v>1</v>
      </c>
      <c r="D149" s="2" t="s">
        <v>556</v>
      </c>
      <c r="E149" s="27">
        <f>G149+I149+K149</f>
        <v>90521</v>
      </c>
      <c r="F149" s="28">
        <f>H149+J149+L149</f>
        <v>90521</v>
      </c>
      <c r="G149" s="27">
        <f>일위대가목록!F204</f>
        <v>1404</v>
      </c>
      <c r="H149" s="28">
        <f>TRUNC(G149*C149,1)</f>
        <v>1404</v>
      </c>
      <c r="I149" s="27">
        <f>일위대가목록!H204</f>
        <v>88834</v>
      </c>
      <c r="J149" s="28">
        <f>TRUNC(I149*C149,1)</f>
        <v>88834</v>
      </c>
      <c r="K149" s="27">
        <f>일위대가목록!J204</f>
        <v>283</v>
      </c>
      <c r="L149" s="28">
        <f>TRUNC(K149*C149,1)</f>
        <v>283</v>
      </c>
      <c r="M149" s="86" t="s">
        <v>2856</v>
      </c>
      <c r="N149" t="s">
        <v>2856</v>
      </c>
      <c r="P149" t="s">
        <v>334</v>
      </c>
      <c r="Q149" t="s">
        <v>2856</v>
      </c>
      <c r="R149" t="s">
        <v>2218</v>
      </c>
      <c r="T149" t="s">
        <v>1778</v>
      </c>
      <c r="BI149" s="34" t="str">
        <f>HYPERLINK("#일위대가목록!A199","NT1060 →")</f>
        <v>NT1060 →</v>
      </c>
    </row>
    <row r="150" spans="1:61" ht="18.399999999999999" hidden="1" customHeight="1" x14ac:dyDescent="0.15">
      <c r="A150" s="2" t="s">
        <v>1701</v>
      </c>
      <c r="B150" s="87" t="s">
        <v>1482</v>
      </c>
      <c r="C150" s="2">
        <v>0.2</v>
      </c>
      <c r="D150" s="2" t="s">
        <v>2825</v>
      </c>
      <c r="E150" s="27">
        <f>G150+I150+K150</f>
        <v>5859</v>
      </c>
      <c r="F150" s="28">
        <f>H150+J150+L150</f>
        <v>1171.8000000000002</v>
      </c>
      <c r="G150" s="27">
        <f>일위대가목록!F3</f>
        <v>1054</v>
      </c>
      <c r="H150" s="28">
        <f>TRUNC(G150*C150,1)</f>
        <v>210.8</v>
      </c>
      <c r="I150" s="27">
        <f>일위대가목록!H3</f>
        <v>3467</v>
      </c>
      <c r="J150" s="28">
        <f>TRUNC(I150*C150,1)</f>
        <v>693.4</v>
      </c>
      <c r="K150" s="27">
        <f>일위대가목록!J3</f>
        <v>1338</v>
      </c>
      <c r="L150" s="28">
        <f>TRUNC(K150*C150,1)</f>
        <v>267.60000000000002</v>
      </c>
      <c r="M150" s="86" t="s">
        <v>2856</v>
      </c>
      <c r="N150" t="s">
        <v>2856</v>
      </c>
      <c r="P150" t="s">
        <v>2471</v>
      </c>
      <c r="Q150" t="s">
        <v>2856</v>
      </c>
      <c r="R150" t="s">
        <v>2633</v>
      </c>
      <c r="T150" t="s">
        <v>2405</v>
      </c>
      <c r="BI150" s="34" t="str">
        <f>HYPERLINK("#일위대가목록!A3","NX1510 →")</f>
        <v>NX1510 →</v>
      </c>
    </row>
    <row r="151" spans="1:61" ht="18.399999999999999" hidden="1" customHeight="1" x14ac:dyDescent="0.15">
      <c r="A151" s="1"/>
      <c r="B151" s="8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87"/>
    </row>
    <row r="152" spans="1:61" ht="18.399999999999999" hidden="1" customHeight="1" x14ac:dyDescent="0.15">
      <c r="A152" s="2" t="s">
        <v>2498</v>
      </c>
      <c r="B152" s="87" t="s">
        <v>1104</v>
      </c>
      <c r="C152" s="2">
        <v>1</v>
      </c>
      <c r="D152" s="2" t="s">
        <v>556</v>
      </c>
      <c r="E152" s="184"/>
      <c r="F152" s="29">
        <f>H152+J152+L152</f>
        <v>22244</v>
      </c>
      <c r="G152" s="184"/>
      <c r="H152" s="29">
        <f>TRUNC(H153+H154,0)</f>
        <v>248</v>
      </c>
      <c r="I152" s="184"/>
      <c r="J152" s="29">
        <f>TRUNC(J153+J154,0)</f>
        <v>21912</v>
      </c>
      <c r="K152" s="184"/>
      <c r="L152" s="29">
        <f>TRUNC(L153+L154,0)</f>
        <v>84</v>
      </c>
      <c r="M152" s="86" t="s">
        <v>2856</v>
      </c>
      <c r="N152" t="s">
        <v>2856</v>
      </c>
      <c r="O152" t="s">
        <v>2485</v>
      </c>
    </row>
    <row r="153" spans="1:61" ht="18.399999999999999" hidden="1" customHeight="1" x14ac:dyDescent="0.15">
      <c r="A153" s="2" t="s">
        <v>210</v>
      </c>
      <c r="B153" s="87" t="s">
        <v>137</v>
      </c>
      <c r="C153" s="2">
        <v>1</v>
      </c>
      <c r="D153" s="2" t="s">
        <v>556</v>
      </c>
      <c r="E153" s="27">
        <f>G153+I153+K153</f>
        <v>22069</v>
      </c>
      <c r="F153" s="28">
        <f>H153+J153+L153</f>
        <v>22069</v>
      </c>
      <c r="G153" s="27">
        <f>일위대가목록!F210</f>
        <v>217</v>
      </c>
      <c r="H153" s="28">
        <f>TRUNC(G153*C153,1)</f>
        <v>217</v>
      </c>
      <c r="I153" s="27">
        <f>일위대가목록!H210</f>
        <v>21808</v>
      </c>
      <c r="J153" s="28">
        <f>TRUNC(I153*C153,1)</f>
        <v>21808</v>
      </c>
      <c r="K153" s="27">
        <f>일위대가목록!J210</f>
        <v>44</v>
      </c>
      <c r="L153" s="28">
        <f>TRUNC(K153*C153,1)</f>
        <v>44</v>
      </c>
      <c r="M153" s="86" t="s">
        <v>2856</v>
      </c>
      <c r="N153" t="s">
        <v>2856</v>
      </c>
      <c r="P153" t="s">
        <v>334</v>
      </c>
      <c r="Q153" t="s">
        <v>2856</v>
      </c>
      <c r="R153" t="s">
        <v>2167</v>
      </c>
      <c r="T153" t="s">
        <v>1778</v>
      </c>
      <c r="BI153" s="34" t="str">
        <f>HYPERLINK("#일위대가목록!A205","NT1020 →")</f>
        <v>NT1020 →</v>
      </c>
    </row>
    <row r="154" spans="1:61" ht="18.399999999999999" hidden="1" customHeight="1" x14ac:dyDescent="0.15">
      <c r="A154" s="2" t="s">
        <v>1701</v>
      </c>
      <c r="B154" s="87" t="s">
        <v>1482</v>
      </c>
      <c r="C154" s="2">
        <v>0.03</v>
      </c>
      <c r="D154" s="2" t="s">
        <v>2825</v>
      </c>
      <c r="E154" s="27">
        <f>G154+I154+K154</f>
        <v>5859</v>
      </c>
      <c r="F154" s="28">
        <f>H154+J154+L154</f>
        <v>175.7</v>
      </c>
      <c r="G154" s="27">
        <f>일위대가목록!F3</f>
        <v>1054</v>
      </c>
      <c r="H154" s="28">
        <f>TRUNC(G154*C154,1)</f>
        <v>31.6</v>
      </c>
      <c r="I154" s="27">
        <f>일위대가목록!H3</f>
        <v>3467</v>
      </c>
      <c r="J154" s="28">
        <f>TRUNC(I154*C154,1)</f>
        <v>104</v>
      </c>
      <c r="K154" s="27">
        <f>일위대가목록!J3</f>
        <v>1338</v>
      </c>
      <c r="L154" s="28">
        <f>TRUNC(K154*C154,1)</f>
        <v>40.1</v>
      </c>
      <c r="M154" s="86" t="s">
        <v>2856</v>
      </c>
      <c r="N154" t="s">
        <v>2856</v>
      </c>
      <c r="P154" t="s">
        <v>2471</v>
      </c>
      <c r="Q154" t="s">
        <v>2856</v>
      </c>
      <c r="R154" t="s">
        <v>2633</v>
      </c>
      <c r="T154" t="s">
        <v>2405</v>
      </c>
      <c r="BI154" s="34" t="str">
        <f>HYPERLINK("#일위대가목록!A3","NX1510 →")</f>
        <v>NX1510 →</v>
      </c>
    </row>
    <row r="155" spans="1:61" ht="18.399999999999999" hidden="1" customHeight="1" x14ac:dyDescent="0.15">
      <c r="A155" s="1"/>
      <c r="B155" s="8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87"/>
    </row>
    <row r="156" spans="1:61" ht="18.399999999999999" hidden="1" customHeight="1" x14ac:dyDescent="0.15">
      <c r="A156" s="2" t="s">
        <v>182</v>
      </c>
      <c r="B156" s="87" t="s">
        <v>2228</v>
      </c>
      <c r="C156" s="2">
        <v>1</v>
      </c>
      <c r="D156" s="2" t="s">
        <v>556</v>
      </c>
      <c r="E156" s="184"/>
      <c r="F156" s="29">
        <f>H156+J156+L156</f>
        <v>35329</v>
      </c>
      <c r="G156" s="184"/>
      <c r="H156" s="29">
        <f>TRUNC(H157+H158,0)</f>
        <v>490</v>
      </c>
      <c r="I156" s="184"/>
      <c r="J156" s="29">
        <f>TRUNC(J157+J158,0)</f>
        <v>34684</v>
      </c>
      <c r="K156" s="184"/>
      <c r="L156" s="29">
        <f>TRUNC(L157+L158,0)</f>
        <v>155</v>
      </c>
      <c r="M156" s="86" t="s">
        <v>2856</v>
      </c>
      <c r="N156" t="s">
        <v>2856</v>
      </c>
      <c r="O156" t="s">
        <v>862</v>
      </c>
    </row>
    <row r="157" spans="1:61" ht="18.399999999999999" hidden="1" customHeight="1" x14ac:dyDescent="0.15">
      <c r="A157" s="2" t="s">
        <v>210</v>
      </c>
      <c r="B157" s="87" t="s">
        <v>1583</v>
      </c>
      <c r="C157" s="2">
        <v>1</v>
      </c>
      <c r="D157" s="2" t="s">
        <v>556</v>
      </c>
      <c r="E157" s="27">
        <f>G157+I157+K157</f>
        <v>35038</v>
      </c>
      <c r="F157" s="28">
        <f>H157+J157+L157</f>
        <v>35038</v>
      </c>
      <c r="G157" s="27">
        <f>일위대가목록!F208</f>
        <v>438</v>
      </c>
      <c r="H157" s="28">
        <f>TRUNC(G157*C157,1)</f>
        <v>438</v>
      </c>
      <c r="I157" s="27">
        <f>일위대가목록!H208</f>
        <v>34511</v>
      </c>
      <c r="J157" s="28">
        <f>TRUNC(I157*C157,1)</f>
        <v>34511</v>
      </c>
      <c r="K157" s="27">
        <f>일위대가목록!J208</f>
        <v>89</v>
      </c>
      <c r="L157" s="28">
        <f>TRUNC(K157*C157,1)</f>
        <v>89</v>
      </c>
      <c r="M157" s="86" t="s">
        <v>2856</v>
      </c>
      <c r="N157" t="s">
        <v>2856</v>
      </c>
      <c r="P157" t="s">
        <v>334</v>
      </c>
      <c r="Q157" t="s">
        <v>2856</v>
      </c>
      <c r="R157" t="s">
        <v>761</v>
      </c>
      <c r="T157" t="s">
        <v>1778</v>
      </c>
      <c r="BI157" s="34" t="str">
        <f>HYPERLINK("#일위대가목록!A203","NT1040 →")</f>
        <v>NT1040 →</v>
      </c>
    </row>
    <row r="158" spans="1:61" ht="18.399999999999999" hidden="1" customHeight="1" x14ac:dyDescent="0.15">
      <c r="A158" s="2" t="s">
        <v>1701</v>
      </c>
      <c r="B158" s="87" t="s">
        <v>1482</v>
      </c>
      <c r="C158" s="2">
        <v>0.05</v>
      </c>
      <c r="D158" s="2" t="s">
        <v>2825</v>
      </c>
      <c r="E158" s="27">
        <f>G158+I158+K158</f>
        <v>5859</v>
      </c>
      <c r="F158" s="28">
        <f>H158+J158+L158</f>
        <v>292.89999999999998</v>
      </c>
      <c r="G158" s="27">
        <f>일위대가목록!F3</f>
        <v>1054</v>
      </c>
      <c r="H158" s="28">
        <f>TRUNC(G158*C158,1)</f>
        <v>52.7</v>
      </c>
      <c r="I158" s="27">
        <f>일위대가목록!H3</f>
        <v>3467</v>
      </c>
      <c r="J158" s="28">
        <f>TRUNC(I158*C158,1)</f>
        <v>173.3</v>
      </c>
      <c r="K158" s="27">
        <f>일위대가목록!J3</f>
        <v>1338</v>
      </c>
      <c r="L158" s="28">
        <f>TRUNC(K158*C158,1)</f>
        <v>66.900000000000006</v>
      </c>
      <c r="M158" s="86" t="s">
        <v>2856</v>
      </c>
      <c r="N158" t="s">
        <v>2856</v>
      </c>
      <c r="P158" t="s">
        <v>2471</v>
      </c>
      <c r="Q158" t="s">
        <v>2856</v>
      </c>
      <c r="R158" t="s">
        <v>2633</v>
      </c>
      <c r="T158" t="s">
        <v>2405</v>
      </c>
      <c r="BI158" s="34" t="str">
        <f>HYPERLINK("#일위대가목록!A3","NX1510 →")</f>
        <v>NX1510 →</v>
      </c>
    </row>
    <row r="159" spans="1:61" ht="18.399999999999999" hidden="1" customHeight="1" x14ac:dyDescent="0.15">
      <c r="A159" s="1"/>
      <c r="B159" s="8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87"/>
    </row>
    <row r="160" spans="1:61" ht="18.399999999999999" hidden="1" customHeight="1" x14ac:dyDescent="0.15">
      <c r="A160" s="2" t="s">
        <v>1625</v>
      </c>
      <c r="B160" s="87" t="s">
        <v>929</v>
      </c>
      <c r="C160" s="2">
        <v>1</v>
      </c>
      <c r="D160" s="2" t="s">
        <v>556</v>
      </c>
      <c r="E160" s="184"/>
      <c r="F160" s="29">
        <f>H160+J160+L160</f>
        <v>91516</v>
      </c>
      <c r="G160" s="184"/>
      <c r="H160" s="29">
        <f>TRUNC(H161+H162,0)</f>
        <v>1583</v>
      </c>
      <c r="I160" s="184"/>
      <c r="J160" s="29">
        <f>TRUNC(J161+J162,0)</f>
        <v>89423</v>
      </c>
      <c r="K160" s="184"/>
      <c r="L160" s="29">
        <f>TRUNC(L161+L162,0)</f>
        <v>510</v>
      </c>
      <c r="M160" s="86" t="s">
        <v>2856</v>
      </c>
      <c r="N160" t="s">
        <v>2856</v>
      </c>
      <c r="O160" t="s">
        <v>2407</v>
      </c>
    </row>
    <row r="161" spans="1:61" ht="18.399999999999999" hidden="1" customHeight="1" x14ac:dyDescent="0.15">
      <c r="A161" s="2" t="s">
        <v>210</v>
      </c>
      <c r="B161" s="87" t="s">
        <v>2828</v>
      </c>
      <c r="C161" s="2">
        <v>1</v>
      </c>
      <c r="D161" s="2" t="s">
        <v>556</v>
      </c>
      <c r="E161" s="27">
        <f>G161+I161+K161</f>
        <v>90521</v>
      </c>
      <c r="F161" s="28">
        <f>H161+J161+L161</f>
        <v>90521</v>
      </c>
      <c r="G161" s="27">
        <f>일위대가목록!F204</f>
        <v>1404</v>
      </c>
      <c r="H161" s="28">
        <f>TRUNC(G161*C161,1)</f>
        <v>1404</v>
      </c>
      <c r="I161" s="27">
        <f>일위대가목록!H204</f>
        <v>88834</v>
      </c>
      <c r="J161" s="28">
        <f>TRUNC(I161*C161,1)</f>
        <v>88834</v>
      </c>
      <c r="K161" s="27">
        <f>일위대가목록!J204</f>
        <v>283</v>
      </c>
      <c r="L161" s="28">
        <f>TRUNC(K161*C161,1)</f>
        <v>283</v>
      </c>
      <c r="M161" s="86" t="s">
        <v>2856</v>
      </c>
      <c r="N161" t="s">
        <v>2856</v>
      </c>
      <c r="P161" t="s">
        <v>334</v>
      </c>
      <c r="Q161" t="s">
        <v>2856</v>
      </c>
      <c r="R161" t="s">
        <v>2218</v>
      </c>
      <c r="T161" t="s">
        <v>1778</v>
      </c>
      <c r="BI161" s="34" t="str">
        <f>HYPERLINK("#일위대가목록!A199","NT1060 →")</f>
        <v>NT1060 →</v>
      </c>
    </row>
    <row r="162" spans="1:61" ht="18.399999999999999" hidden="1" customHeight="1" x14ac:dyDescent="0.15">
      <c r="A162" s="2" t="s">
        <v>1701</v>
      </c>
      <c r="B162" s="87" t="s">
        <v>1482</v>
      </c>
      <c r="C162" s="2">
        <v>0.17</v>
      </c>
      <c r="D162" s="2" t="s">
        <v>2825</v>
      </c>
      <c r="E162" s="27">
        <f>G162+I162+K162</f>
        <v>5859</v>
      </c>
      <c r="F162" s="28">
        <f>H162+J162+L162</f>
        <v>995.8</v>
      </c>
      <c r="G162" s="27">
        <f>일위대가목록!F3</f>
        <v>1054</v>
      </c>
      <c r="H162" s="28">
        <f>TRUNC(G162*C162,1)</f>
        <v>179.1</v>
      </c>
      <c r="I162" s="27">
        <f>일위대가목록!H3</f>
        <v>3467</v>
      </c>
      <c r="J162" s="28">
        <f>TRUNC(I162*C162,1)</f>
        <v>589.29999999999995</v>
      </c>
      <c r="K162" s="27">
        <f>일위대가목록!J3</f>
        <v>1338</v>
      </c>
      <c r="L162" s="28">
        <f>TRUNC(K162*C162,1)</f>
        <v>227.4</v>
      </c>
      <c r="M162" s="86" t="s">
        <v>2856</v>
      </c>
      <c r="N162" t="s">
        <v>2856</v>
      </c>
      <c r="P162" t="s">
        <v>2471</v>
      </c>
      <c r="Q162" t="s">
        <v>2856</v>
      </c>
      <c r="R162" t="s">
        <v>2633</v>
      </c>
      <c r="T162" t="s">
        <v>2405</v>
      </c>
      <c r="BI162" s="34" t="str">
        <f>HYPERLINK("#일위대가목록!A3","NX1510 →")</f>
        <v>NX1510 →</v>
      </c>
    </row>
    <row r="163" spans="1:61" ht="18.399999999999999" hidden="1" customHeight="1" x14ac:dyDescent="0.15">
      <c r="A163" s="1"/>
      <c r="B163" s="8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87"/>
    </row>
    <row r="164" spans="1:61" ht="18.399999999999999" hidden="1" customHeight="1" x14ac:dyDescent="0.15">
      <c r="A164" s="2" t="s">
        <v>2404</v>
      </c>
      <c r="B164" s="87" t="s">
        <v>1581</v>
      </c>
      <c r="C164" s="2">
        <v>1</v>
      </c>
      <c r="D164" s="2" t="s">
        <v>556</v>
      </c>
      <c r="E164" s="184"/>
      <c r="F164" s="29">
        <f>H164+J164+L164</f>
        <v>59722</v>
      </c>
      <c r="G164" s="184"/>
      <c r="H164" s="29">
        <f>TRUNC(H165+H166,0)</f>
        <v>972</v>
      </c>
      <c r="I164" s="184"/>
      <c r="J164" s="29">
        <f>TRUNC(J165+J166,0)</f>
        <v>58396</v>
      </c>
      <c r="K164" s="184"/>
      <c r="L164" s="29">
        <f>TRUNC(L165+L166,0)</f>
        <v>354</v>
      </c>
      <c r="M164" s="86" t="s">
        <v>2856</v>
      </c>
      <c r="N164" t="s">
        <v>2856</v>
      </c>
      <c r="O164" t="s">
        <v>2139</v>
      </c>
    </row>
    <row r="165" spans="1:61" ht="18.399999999999999" hidden="1" customHeight="1" x14ac:dyDescent="0.15">
      <c r="A165" s="2" t="s">
        <v>210</v>
      </c>
      <c r="B165" s="87" t="s">
        <v>1277</v>
      </c>
      <c r="C165" s="2">
        <v>1</v>
      </c>
      <c r="D165" s="2" t="s">
        <v>556</v>
      </c>
      <c r="E165" s="27">
        <f>G165+I165+K165</f>
        <v>58903</v>
      </c>
      <c r="F165" s="28">
        <f>H165+J165+L165</f>
        <v>58903</v>
      </c>
      <c r="G165" s="27">
        <f>일위대가목록!F207</f>
        <v>825</v>
      </c>
      <c r="H165" s="28">
        <f>TRUNC(G165*C165,1)</f>
        <v>825</v>
      </c>
      <c r="I165" s="27">
        <f>일위대가목록!H207</f>
        <v>57911</v>
      </c>
      <c r="J165" s="28">
        <f>TRUNC(I165*C165,1)</f>
        <v>57911</v>
      </c>
      <c r="K165" s="27">
        <f>일위대가목록!J207</f>
        <v>167</v>
      </c>
      <c r="L165" s="28">
        <f>TRUNC(K165*C165,1)</f>
        <v>167</v>
      </c>
      <c r="M165" s="86" t="s">
        <v>2856</v>
      </c>
      <c r="N165" t="s">
        <v>2856</v>
      </c>
      <c r="P165" t="s">
        <v>334</v>
      </c>
      <c r="Q165" t="s">
        <v>2856</v>
      </c>
      <c r="R165" t="s">
        <v>63</v>
      </c>
      <c r="T165" t="s">
        <v>1778</v>
      </c>
      <c r="BI165" s="34" t="str">
        <f>HYPERLINK("#일위대가목록!A202","NT1050 →")</f>
        <v>NT1050 →</v>
      </c>
    </row>
    <row r="166" spans="1:61" ht="18.399999999999999" hidden="1" customHeight="1" x14ac:dyDescent="0.15">
      <c r="A166" s="2" t="s">
        <v>1701</v>
      </c>
      <c r="B166" s="87" t="s">
        <v>1482</v>
      </c>
      <c r="C166" s="2">
        <v>0.14000000000000001</v>
      </c>
      <c r="D166" s="2" t="s">
        <v>2825</v>
      </c>
      <c r="E166" s="27">
        <f>G166+I166+K166</f>
        <v>5859</v>
      </c>
      <c r="F166" s="28">
        <f>H166+J166+L166</f>
        <v>820.09999999999991</v>
      </c>
      <c r="G166" s="27">
        <f>일위대가목록!F3</f>
        <v>1054</v>
      </c>
      <c r="H166" s="28">
        <f>TRUNC(G166*C166,1)</f>
        <v>147.5</v>
      </c>
      <c r="I166" s="27">
        <f>일위대가목록!H3</f>
        <v>3467</v>
      </c>
      <c r="J166" s="28">
        <f>TRUNC(I166*C166,1)</f>
        <v>485.3</v>
      </c>
      <c r="K166" s="27">
        <f>일위대가목록!J3</f>
        <v>1338</v>
      </c>
      <c r="L166" s="28">
        <f>TRUNC(K166*C166,1)</f>
        <v>187.3</v>
      </c>
      <c r="M166" s="86" t="s">
        <v>2856</v>
      </c>
      <c r="N166" t="s">
        <v>2856</v>
      </c>
      <c r="P166" t="s">
        <v>2471</v>
      </c>
      <c r="Q166" t="s">
        <v>2856</v>
      </c>
      <c r="R166" t="s">
        <v>2633</v>
      </c>
      <c r="T166" t="s">
        <v>2405</v>
      </c>
      <c r="BI166" s="34" t="str">
        <f>HYPERLINK("#일위대가목록!A3","NX1510 →")</f>
        <v>NX1510 →</v>
      </c>
    </row>
    <row r="167" spans="1:61" ht="18.399999999999999" hidden="1" customHeight="1" x14ac:dyDescent="0.15">
      <c r="A167" s="1"/>
      <c r="B167" s="8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87"/>
    </row>
    <row r="168" spans="1:61" ht="18.399999999999999" hidden="1" customHeight="1" x14ac:dyDescent="0.15">
      <c r="A168" s="2" t="s">
        <v>319</v>
      </c>
      <c r="B168" s="87" t="s">
        <v>2790</v>
      </c>
      <c r="C168" s="2">
        <v>1</v>
      </c>
      <c r="D168" s="2" t="s">
        <v>556</v>
      </c>
      <c r="E168" s="184"/>
      <c r="F168" s="29">
        <f>H168+J168+L168</f>
        <v>28637</v>
      </c>
      <c r="G168" s="184"/>
      <c r="H168" s="29">
        <f>TRUNC(H169+H170,0)</f>
        <v>352</v>
      </c>
      <c r="I168" s="184"/>
      <c r="J168" s="29">
        <f>TRUNC(J169+J170,0)</f>
        <v>28180</v>
      </c>
      <c r="K168" s="184"/>
      <c r="L168" s="29">
        <f>TRUNC(L169+L170,0)</f>
        <v>105</v>
      </c>
      <c r="M168" s="86" t="s">
        <v>2856</v>
      </c>
      <c r="N168" t="s">
        <v>2856</v>
      </c>
      <c r="O168" t="s">
        <v>451</v>
      </c>
    </row>
    <row r="169" spans="1:61" ht="18.399999999999999" hidden="1" customHeight="1" x14ac:dyDescent="0.15">
      <c r="A169" s="2" t="s">
        <v>210</v>
      </c>
      <c r="B169" s="87" t="s">
        <v>297</v>
      </c>
      <c r="C169" s="2">
        <v>1</v>
      </c>
      <c r="D169" s="2" t="s">
        <v>556</v>
      </c>
      <c r="E169" s="27">
        <f>G169+I169+K169</f>
        <v>28462</v>
      </c>
      <c r="F169" s="28">
        <f>H169+J169+L169</f>
        <v>28462</v>
      </c>
      <c r="G169" s="27">
        <f>일위대가목록!F209</f>
        <v>321</v>
      </c>
      <c r="H169" s="28">
        <f>TRUNC(G169*C169,1)</f>
        <v>321</v>
      </c>
      <c r="I169" s="27">
        <f>일위대가목록!H209</f>
        <v>28076</v>
      </c>
      <c r="J169" s="28">
        <f>TRUNC(I169*C169,1)</f>
        <v>28076</v>
      </c>
      <c r="K169" s="27">
        <f>일위대가목록!J209</f>
        <v>65</v>
      </c>
      <c r="L169" s="28">
        <f>TRUNC(K169*C169,1)</f>
        <v>65</v>
      </c>
      <c r="M169" s="86" t="s">
        <v>2856</v>
      </c>
      <c r="N169" t="s">
        <v>2856</v>
      </c>
      <c r="P169" t="s">
        <v>334</v>
      </c>
      <c r="Q169" t="s">
        <v>2856</v>
      </c>
      <c r="R169" t="s">
        <v>1464</v>
      </c>
      <c r="T169" t="s">
        <v>1778</v>
      </c>
      <c r="BI169" s="34" t="str">
        <f>HYPERLINK("#일위대가목록!A204","NT1030 →")</f>
        <v>NT1030 →</v>
      </c>
    </row>
    <row r="170" spans="1:61" ht="18.399999999999999" hidden="1" customHeight="1" x14ac:dyDescent="0.15">
      <c r="A170" s="2" t="s">
        <v>1701</v>
      </c>
      <c r="B170" s="87" t="s">
        <v>1482</v>
      </c>
      <c r="C170" s="2">
        <v>0.03</v>
      </c>
      <c r="D170" s="2" t="s">
        <v>2825</v>
      </c>
      <c r="E170" s="27">
        <f>G170+I170+K170</f>
        <v>5859</v>
      </c>
      <c r="F170" s="28">
        <f>H170+J170+L170</f>
        <v>175.7</v>
      </c>
      <c r="G170" s="27">
        <f>일위대가목록!F3</f>
        <v>1054</v>
      </c>
      <c r="H170" s="28">
        <f>TRUNC(G170*C170,1)</f>
        <v>31.6</v>
      </c>
      <c r="I170" s="27">
        <f>일위대가목록!H3</f>
        <v>3467</v>
      </c>
      <c r="J170" s="28">
        <f>TRUNC(I170*C170,1)</f>
        <v>104</v>
      </c>
      <c r="K170" s="27">
        <f>일위대가목록!J3</f>
        <v>1338</v>
      </c>
      <c r="L170" s="28">
        <f>TRUNC(K170*C170,1)</f>
        <v>40.1</v>
      </c>
      <c r="M170" s="86" t="s">
        <v>2856</v>
      </c>
      <c r="N170" t="s">
        <v>2856</v>
      </c>
      <c r="P170" t="s">
        <v>2471</v>
      </c>
      <c r="Q170" t="s">
        <v>2856</v>
      </c>
      <c r="R170" t="s">
        <v>2633</v>
      </c>
      <c r="T170" t="s">
        <v>2405</v>
      </c>
      <c r="BI170" s="34" t="str">
        <f>HYPERLINK("#일위대가목록!A3","NX1510 →")</f>
        <v>NX1510 →</v>
      </c>
    </row>
    <row r="171" spans="1:61" ht="18.399999999999999" hidden="1" customHeight="1" x14ac:dyDescent="0.15">
      <c r="A171" s="1"/>
      <c r="B171" s="8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87"/>
    </row>
    <row r="172" spans="1:61" ht="18.399999999999999" hidden="1" customHeight="1" x14ac:dyDescent="0.15">
      <c r="A172" s="2" t="s">
        <v>2366</v>
      </c>
      <c r="B172" s="87" t="s">
        <v>2228</v>
      </c>
      <c r="C172" s="2">
        <v>1</v>
      </c>
      <c r="D172" s="2" t="s">
        <v>556</v>
      </c>
      <c r="E172" s="184"/>
      <c r="F172" s="29">
        <f>H172+J172+L172</f>
        <v>35329</v>
      </c>
      <c r="G172" s="184"/>
      <c r="H172" s="29">
        <f>TRUNC(H173+H174,0)</f>
        <v>490</v>
      </c>
      <c r="I172" s="184"/>
      <c r="J172" s="29">
        <f>TRUNC(J173+J174,0)</f>
        <v>34684</v>
      </c>
      <c r="K172" s="184"/>
      <c r="L172" s="29">
        <f>TRUNC(L173+L174,0)</f>
        <v>155</v>
      </c>
      <c r="M172" s="86" t="s">
        <v>2856</v>
      </c>
      <c r="N172" t="s">
        <v>2856</v>
      </c>
      <c r="O172" t="s">
        <v>1642</v>
      </c>
    </row>
    <row r="173" spans="1:61" ht="18.399999999999999" hidden="1" customHeight="1" x14ac:dyDescent="0.15">
      <c r="A173" s="2" t="s">
        <v>210</v>
      </c>
      <c r="B173" s="87" t="s">
        <v>1583</v>
      </c>
      <c r="C173" s="2">
        <v>1</v>
      </c>
      <c r="D173" s="2" t="s">
        <v>556</v>
      </c>
      <c r="E173" s="27">
        <f>G173+I173+K173</f>
        <v>35038</v>
      </c>
      <c r="F173" s="28">
        <f>H173+J173+L173</f>
        <v>35038</v>
      </c>
      <c r="G173" s="27">
        <f>일위대가목록!F208</f>
        <v>438</v>
      </c>
      <c r="H173" s="28">
        <f>TRUNC(G173*C173,1)</f>
        <v>438</v>
      </c>
      <c r="I173" s="27">
        <f>일위대가목록!H208</f>
        <v>34511</v>
      </c>
      <c r="J173" s="28">
        <f>TRUNC(I173*C173,1)</f>
        <v>34511</v>
      </c>
      <c r="K173" s="27">
        <f>일위대가목록!J208</f>
        <v>89</v>
      </c>
      <c r="L173" s="28">
        <f>TRUNC(K173*C173,1)</f>
        <v>89</v>
      </c>
      <c r="M173" s="86" t="s">
        <v>2856</v>
      </c>
      <c r="N173" t="s">
        <v>2856</v>
      </c>
      <c r="P173" t="s">
        <v>334</v>
      </c>
      <c r="Q173" t="s">
        <v>2856</v>
      </c>
      <c r="R173" t="s">
        <v>761</v>
      </c>
      <c r="T173" t="s">
        <v>1778</v>
      </c>
      <c r="BI173" s="34" t="str">
        <f>HYPERLINK("#일위대가목록!A203","NT1040 →")</f>
        <v>NT1040 →</v>
      </c>
    </row>
    <row r="174" spans="1:61" ht="18.399999999999999" hidden="1" customHeight="1" x14ac:dyDescent="0.15">
      <c r="A174" s="2" t="s">
        <v>1701</v>
      </c>
      <c r="B174" s="87" t="s">
        <v>1482</v>
      </c>
      <c r="C174" s="2">
        <v>0.05</v>
      </c>
      <c r="D174" s="2" t="s">
        <v>2825</v>
      </c>
      <c r="E174" s="27">
        <f>G174+I174+K174</f>
        <v>5859</v>
      </c>
      <c r="F174" s="28">
        <f>H174+J174+L174</f>
        <v>292.89999999999998</v>
      </c>
      <c r="G174" s="27">
        <f>일위대가목록!F3</f>
        <v>1054</v>
      </c>
      <c r="H174" s="28">
        <f>TRUNC(G174*C174,1)</f>
        <v>52.7</v>
      </c>
      <c r="I174" s="27">
        <f>일위대가목록!H3</f>
        <v>3467</v>
      </c>
      <c r="J174" s="28">
        <f>TRUNC(I174*C174,1)</f>
        <v>173.3</v>
      </c>
      <c r="K174" s="27">
        <f>일위대가목록!J3</f>
        <v>1338</v>
      </c>
      <c r="L174" s="28">
        <f>TRUNC(K174*C174,1)</f>
        <v>66.900000000000006</v>
      </c>
      <c r="M174" s="86" t="s">
        <v>2856</v>
      </c>
      <c r="N174" t="s">
        <v>2856</v>
      </c>
      <c r="P174" t="s">
        <v>2471</v>
      </c>
      <c r="Q174" t="s">
        <v>2856</v>
      </c>
      <c r="R174" t="s">
        <v>2633</v>
      </c>
      <c r="T174" t="s">
        <v>2405</v>
      </c>
      <c r="BI174" s="34" t="str">
        <f>HYPERLINK("#일위대가목록!A3","NX1510 →")</f>
        <v>NX1510 →</v>
      </c>
    </row>
    <row r="175" spans="1:61" ht="18.399999999999999" hidden="1" customHeight="1" x14ac:dyDescent="0.15">
      <c r="A175" s="1"/>
      <c r="B175" s="8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87"/>
    </row>
    <row r="176" spans="1:61" ht="18.399999999999999" hidden="1" customHeight="1" x14ac:dyDescent="0.15">
      <c r="A176" s="2" t="s">
        <v>784</v>
      </c>
      <c r="B176" s="87" t="s">
        <v>1125</v>
      </c>
      <c r="C176" s="2">
        <v>1</v>
      </c>
      <c r="D176" s="2" t="s">
        <v>556</v>
      </c>
      <c r="E176" s="184"/>
      <c r="F176" s="29">
        <f>H176+J176+L176</f>
        <v>28637</v>
      </c>
      <c r="G176" s="184"/>
      <c r="H176" s="29">
        <f>TRUNC(H177+H178,0)</f>
        <v>352</v>
      </c>
      <c r="I176" s="184"/>
      <c r="J176" s="29">
        <f>TRUNC(J177+J178,0)</f>
        <v>28180</v>
      </c>
      <c r="K176" s="184"/>
      <c r="L176" s="29">
        <f>TRUNC(L177+L178,0)</f>
        <v>105</v>
      </c>
      <c r="M176" s="86" t="s">
        <v>2856</v>
      </c>
      <c r="N176" t="s">
        <v>2856</v>
      </c>
      <c r="O176" t="s">
        <v>55</v>
      </c>
    </row>
    <row r="177" spans="1:61" ht="18.399999999999999" hidden="1" customHeight="1" x14ac:dyDescent="0.15">
      <c r="A177" s="2" t="s">
        <v>210</v>
      </c>
      <c r="B177" s="87" t="s">
        <v>297</v>
      </c>
      <c r="C177" s="2">
        <v>1</v>
      </c>
      <c r="D177" s="2" t="s">
        <v>556</v>
      </c>
      <c r="E177" s="27">
        <f>G177+I177+K177</f>
        <v>28462</v>
      </c>
      <c r="F177" s="28">
        <f>H177+J177+L177</f>
        <v>28462</v>
      </c>
      <c r="G177" s="27">
        <f>일위대가목록!F209</f>
        <v>321</v>
      </c>
      <c r="H177" s="28">
        <f>TRUNC(G177*C177,1)</f>
        <v>321</v>
      </c>
      <c r="I177" s="27">
        <f>일위대가목록!H209</f>
        <v>28076</v>
      </c>
      <c r="J177" s="28">
        <f>TRUNC(I177*C177,1)</f>
        <v>28076</v>
      </c>
      <c r="K177" s="27">
        <f>일위대가목록!J209</f>
        <v>65</v>
      </c>
      <c r="L177" s="28">
        <f>TRUNC(K177*C177,1)</f>
        <v>65</v>
      </c>
      <c r="M177" s="86" t="s">
        <v>2856</v>
      </c>
      <c r="N177" t="s">
        <v>2856</v>
      </c>
      <c r="P177" t="s">
        <v>334</v>
      </c>
      <c r="Q177" t="s">
        <v>2856</v>
      </c>
      <c r="R177" t="s">
        <v>1464</v>
      </c>
      <c r="T177" t="s">
        <v>1778</v>
      </c>
      <c r="BI177" s="34" t="str">
        <f>HYPERLINK("#일위대가목록!A204","NT1030 →")</f>
        <v>NT1030 →</v>
      </c>
    </row>
    <row r="178" spans="1:61" ht="18.399999999999999" hidden="1" customHeight="1" x14ac:dyDescent="0.15">
      <c r="A178" s="2" t="s">
        <v>1701</v>
      </c>
      <c r="B178" s="87" t="s">
        <v>1482</v>
      </c>
      <c r="C178" s="2">
        <v>0.03</v>
      </c>
      <c r="D178" s="2" t="s">
        <v>2825</v>
      </c>
      <c r="E178" s="27">
        <f>G178+I178+K178</f>
        <v>5859</v>
      </c>
      <c r="F178" s="28">
        <f>H178+J178+L178</f>
        <v>175.7</v>
      </c>
      <c r="G178" s="27">
        <f>일위대가목록!F3</f>
        <v>1054</v>
      </c>
      <c r="H178" s="28">
        <f>TRUNC(G178*C178,1)</f>
        <v>31.6</v>
      </c>
      <c r="I178" s="27">
        <f>일위대가목록!H3</f>
        <v>3467</v>
      </c>
      <c r="J178" s="28">
        <f>TRUNC(I178*C178,1)</f>
        <v>104</v>
      </c>
      <c r="K178" s="27">
        <f>일위대가목록!J3</f>
        <v>1338</v>
      </c>
      <c r="L178" s="28">
        <f>TRUNC(K178*C178,1)</f>
        <v>40.1</v>
      </c>
      <c r="M178" s="86" t="s">
        <v>2856</v>
      </c>
      <c r="N178" t="s">
        <v>2856</v>
      </c>
      <c r="P178" t="s">
        <v>2471</v>
      </c>
      <c r="Q178" t="s">
        <v>2856</v>
      </c>
      <c r="R178" t="s">
        <v>2633</v>
      </c>
      <c r="T178" t="s">
        <v>2405</v>
      </c>
      <c r="BI178" s="34" t="str">
        <f>HYPERLINK("#일위대가목록!A3","NX1510 →")</f>
        <v>NX1510 →</v>
      </c>
    </row>
    <row r="179" spans="1:61" ht="18.399999999999999" hidden="1" customHeight="1" x14ac:dyDescent="0.15">
      <c r="A179" s="1"/>
      <c r="B179" s="8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87"/>
    </row>
    <row r="180" spans="1:61" ht="18.399999999999999" hidden="1" customHeight="1" x14ac:dyDescent="0.15">
      <c r="A180" s="2" t="s">
        <v>1337</v>
      </c>
      <c r="B180" s="87" t="s">
        <v>318</v>
      </c>
      <c r="C180" s="2">
        <v>1</v>
      </c>
      <c r="D180" s="2" t="s">
        <v>556</v>
      </c>
      <c r="E180" s="184"/>
      <c r="F180" s="29">
        <f>H180+J180+L180</f>
        <v>339946</v>
      </c>
      <c r="G180" s="184"/>
      <c r="H180" s="29">
        <f>TRUNC(H181+H182,0)</f>
        <v>6873</v>
      </c>
      <c r="I180" s="184"/>
      <c r="J180" s="29">
        <f>TRUNC(J181+J182,0)</f>
        <v>330708</v>
      </c>
      <c r="K180" s="184"/>
      <c r="L180" s="29">
        <f>TRUNC(L181+L182,0)</f>
        <v>2365</v>
      </c>
      <c r="M180" s="86" t="s">
        <v>2856</v>
      </c>
      <c r="N180" t="s">
        <v>2856</v>
      </c>
      <c r="O180" t="s">
        <v>1857</v>
      </c>
    </row>
    <row r="181" spans="1:61" ht="18.399999999999999" hidden="1" customHeight="1" x14ac:dyDescent="0.15">
      <c r="A181" s="2" t="s">
        <v>210</v>
      </c>
      <c r="B181" s="87" t="s">
        <v>1925</v>
      </c>
      <c r="C181" s="2">
        <v>1</v>
      </c>
      <c r="D181" s="2" t="s">
        <v>556</v>
      </c>
      <c r="E181" s="27">
        <f>G181+I181+K181</f>
        <v>334850</v>
      </c>
      <c r="F181" s="28">
        <f>H181+J181+L181</f>
        <v>334850</v>
      </c>
      <c r="G181" s="27">
        <f>일위대가목록!F215</f>
        <v>5957</v>
      </c>
      <c r="H181" s="28">
        <f>TRUNC(G181*C181,1)</f>
        <v>5957</v>
      </c>
      <c r="I181" s="27">
        <f>일위대가목록!H215</f>
        <v>327692</v>
      </c>
      <c r="J181" s="28">
        <f>TRUNC(I181*C181,1)</f>
        <v>327692</v>
      </c>
      <c r="K181" s="27">
        <f>일위대가목록!J215</f>
        <v>1201</v>
      </c>
      <c r="L181" s="28">
        <f>TRUNC(K181*C181,1)</f>
        <v>1201</v>
      </c>
      <c r="M181" s="86" t="s">
        <v>2856</v>
      </c>
      <c r="N181" t="s">
        <v>2856</v>
      </c>
      <c r="P181" t="s">
        <v>334</v>
      </c>
      <c r="Q181" t="s">
        <v>2856</v>
      </c>
      <c r="R181" t="s">
        <v>1332</v>
      </c>
      <c r="T181" t="s">
        <v>1778</v>
      </c>
      <c r="BI181" s="34" t="str">
        <f>HYPERLINK("#일위대가목록!A210","NT1100 →")</f>
        <v>NT1100 →</v>
      </c>
    </row>
    <row r="182" spans="1:61" ht="18.399999999999999" hidden="1" customHeight="1" x14ac:dyDescent="0.15">
      <c r="A182" s="2" t="s">
        <v>1701</v>
      </c>
      <c r="B182" s="87" t="s">
        <v>1482</v>
      </c>
      <c r="C182" s="2">
        <v>0.87</v>
      </c>
      <c r="D182" s="2" t="s">
        <v>2825</v>
      </c>
      <c r="E182" s="27">
        <f>G182+I182+K182</f>
        <v>5859</v>
      </c>
      <c r="F182" s="28">
        <f>H182+J182+L182</f>
        <v>5097.1000000000004</v>
      </c>
      <c r="G182" s="27">
        <f>일위대가목록!F3</f>
        <v>1054</v>
      </c>
      <c r="H182" s="28">
        <f>TRUNC(G182*C182,1)</f>
        <v>916.9</v>
      </c>
      <c r="I182" s="27">
        <f>일위대가목록!H3</f>
        <v>3467</v>
      </c>
      <c r="J182" s="28">
        <f>TRUNC(I182*C182,1)</f>
        <v>3016.2</v>
      </c>
      <c r="K182" s="27">
        <f>일위대가목록!J3</f>
        <v>1338</v>
      </c>
      <c r="L182" s="28">
        <f>TRUNC(K182*C182,1)</f>
        <v>1164</v>
      </c>
      <c r="M182" s="86" t="s">
        <v>2856</v>
      </c>
      <c r="N182" t="s">
        <v>2856</v>
      </c>
      <c r="P182" t="s">
        <v>2471</v>
      </c>
      <c r="Q182" t="s">
        <v>2856</v>
      </c>
      <c r="R182" t="s">
        <v>2633</v>
      </c>
      <c r="T182" t="s">
        <v>2405</v>
      </c>
      <c r="BI182" s="34" t="str">
        <f>HYPERLINK("#일위대가목록!A3","NX1510 →")</f>
        <v>NX1510 →</v>
      </c>
    </row>
    <row r="183" spans="1:61" ht="18.399999999999999" hidden="1" customHeight="1" x14ac:dyDescent="0.15">
      <c r="A183" s="1"/>
      <c r="B183" s="8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87"/>
    </row>
    <row r="184" spans="1:61" ht="18.399999999999999" hidden="1" customHeight="1" x14ac:dyDescent="0.15">
      <c r="A184" s="2" t="s">
        <v>242</v>
      </c>
      <c r="B184" s="87" t="s">
        <v>1374</v>
      </c>
      <c r="C184" s="2">
        <v>1</v>
      </c>
      <c r="D184" s="2" t="s">
        <v>556</v>
      </c>
      <c r="E184" s="184"/>
      <c r="F184" s="29">
        <f>H184+J184+L184</f>
        <v>120377</v>
      </c>
      <c r="G184" s="184"/>
      <c r="H184" s="29">
        <f>TRUNC(H185+H186,0)</f>
        <v>2112</v>
      </c>
      <c r="I184" s="184"/>
      <c r="J184" s="29">
        <f>TRUNC(J185+J186,0)</f>
        <v>117592</v>
      </c>
      <c r="K184" s="184"/>
      <c r="L184" s="29">
        <f>TRUNC(L185+L186,0)</f>
        <v>673</v>
      </c>
      <c r="M184" s="86" t="s">
        <v>2856</v>
      </c>
      <c r="N184" t="s">
        <v>2856</v>
      </c>
      <c r="O184" t="s">
        <v>512</v>
      </c>
    </row>
    <row r="185" spans="1:61" ht="18.399999999999999" hidden="1" customHeight="1" x14ac:dyDescent="0.15">
      <c r="A185" s="2" t="s">
        <v>210</v>
      </c>
      <c r="B185" s="87" t="s">
        <v>1618</v>
      </c>
      <c r="C185" s="2">
        <v>1</v>
      </c>
      <c r="D185" s="2" t="s">
        <v>556</v>
      </c>
      <c r="E185" s="27">
        <f>G185+I185+K185</f>
        <v>119090</v>
      </c>
      <c r="F185" s="28">
        <f>H185+J185+L185</f>
        <v>119090</v>
      </c>
      <c r="G185" s="27">
        <f>일위대가목록!F216</f>
        <v>1881</v>
      </c>
      <c r="H185" s="28">
        <f>TRUNC(G185*C185,1)</f>
        <v>1881</v>
      </c>
      <c r="I185" s="27">
        <f>일위대가목록!H216</f>
        <v>116830</v>
      </c>
      <c r="J185" s="28">
        <f>TRUNC(I185*C185,1)</f>
        <v>116830</v>
      </c>
      <c r="K185" s="27">
        <f>일위대가목록!J216</f>
        <v>379</v>
      </c>
      <c r="L185" s="28">
        <f>TRUNC(K185*C185,1)</f>
        <v>379</v>
      </c>
      <c r="M185" s="86" t="s">
        <v>2856</v>
      </c>
      <c r="N185" t="s">
        <v>2856</v>
      </c>
      <c r="P185" t="s">
        <v>334</v>
      </c>
      <c r="Q185" t="s">
        <v>2856</v>
      </c>
      <c r="R185" t="s">
        <v>1508</v>
      </c>
      <c r="T185" t="s">
        <v>1778</v>
      </c>
      <c r="BI185" s="34" t="str">
        <f>HYPERLINK("#일위대가목록!A211","NT1070 →")</f>
        <v>NT1070 →</v>
      </c>
    </row>
    <row r="186" spans="1:61" ht="18.399999999999999" hidden="1" customHeight="1" x14ac:dyDescent="0.15">
      <c r="A186" s="2" t="s">
        <v>1701</v>
      </c>
      <c r="B186" s="87" t="s">
        <v>1482</v>
      </c>
      <c r="C186" s="2">
        <v>0.22</v>
      </c>
      <c r="D186" s="2" t="s">
        <v>2825</v>
      </c>
      <c r="E186" s="27">
        <f>G186+I186+K186</f>
        <v>5859</v>
      </c>
      <c r="F186" s="28">
        <f>H186+J186+L186</f>
        <v>1288.8</v>
      </c>
      <c r="G186" s="27">
        <f>일위대가목록!F3</f>
        <v>1054</v>
      </c>
      <c r="H186" s="28">
        <f>TRUNC(G186*C186,1)</f>
        <v>231.8</v>
      </c>
      <c r="I186" s="27">
        <f>일위대가목록!H3</f>
        <v>3467</v>
      </c>
      <c r="J186" s="28">
        <f>TRUNC(I186*C186,1)</f>
        <v>762.7</v>
      </c>
      <c r="K186" s="27">
        <f>일위대가목록!J3</f>
        <v>1338</v>
      </c>
      <c r="L186" s="28">
        <f>TRUNC(K186*C186,1)</f>
        <v>294.3</v>
      </c>
      <c r="M186" s="86" t="s">
        <v>2856</v>
      </c>
      <c r="N186" t="s">
        <v>2856</v>
      </c>
      <c r="P186" t="s">
        <v>2471</v>
      </c>
      <c r="Q186" t="s">
        <v>2856</v>
      </c>
      <c r="R186" t="s">
        <v>2633</v>
      </c>
      <c r="T186" t="s">
        <v>2405</v>
      </c>
      <c r="BI186" s="34" t="str">
        <f>HYPERLINK("#일위대가목록!A3","NX1510 →")</f>
        <v>NX1510 →</v>
      </c>
    </row>
    <row r="187" spans="1:61" ht="18.399999999999999" hidden="1" customHeight="1" x14ac:dyDescent="0.15">
      <c r="A187" s="1"/>
      <c r="B187" s="8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87"/>
    </row>
    <row r="188" spans="1:61" ht="18.399999999999999" hidden="1" customHeight="1" x14ac:dyDescent="0.15">
      <c r="A188" s="2" t="s">
        <v>2732</v>
      </c>
      <c r="B188" s="87" t="s">
        <v>253</v>
      </c>
      <c r="C188" s="2">
        <v>1</v>
      </c>
      <c r="D188" s="2" t="s">
        <v>556</v>
      </c>
      <c r="E188" s="184"/>
      <c r="F188" s="29">
        <f>H188+J188+L188</f>
        <v>59487</v>
      </c>
      <c r="G188" s="184"/>
      <c r="H188" s="29">
        <f>TRUNC(H189+H190,0)</f>
        <v>930</v>
      </c>
      <c r="I188" s="184"/>
      <c r="J188" s="29">
        <f>TRUNC(J189+J190,0)</f>
        <v>58257</v>
      </c>
      <c r="K188" s="184"/>
      <c r="L188" s="29">
        <f>TRUNC(L189+L190,0)</f>
        <v>300</v>
      </c>
      <c r="M188" s="86" t="s">
        <v>2856</v>
      </c>
      <c r="N188" t="s">
        <v>2856</v>
      </c>
      <c r="O188" t="s">
        <v>1542</v>
      </c>
    </row>
    <row r="189" spans="1:61" ht="18.399999999999999" hidden="1" customHeight="1" x14ac:dyDescent="0.15">
      <c r="A189" s="2" t="s">
        <v>210</v>
      </c>
      <c r="B189" s="87" t="s">
        <v>1277</v>
      </c>
      <c r="C189" s="2">
        <v>1</v>
      </c>
      <c r="D189" s="2" t="s">
        <v>556</v>
      </c>
      <c r="E189" s="27">
        <f>G189+I189+K189</f>
        <v>58903</v>
      </c>
      <c r="F189" s="28">
        <f>H189+J189+L189</f>
        <v>58903</v>
      </c>
      <c r="G189" s="27">
        <f>일위대가목록!F207</f>
        <v>825</v>
      </c>
      <c r="H189" s="28">
        <f>TRUNC(G189*C189,1)</f>
        <v>825</v>
      </c>
      <c r="I189" s="27">
        <f>일위대가목록!H207</f>
        <v>57911</v>
      </c>
      <c r="J189" s="28">
        <f>TRUNC(I189*C189,1)</f>
        <v>57911</v>
      </c>
      <c r="K189" s="27">
        <f>일위대가목록!J207</f>
        <v>167</v>
      </c>
      <c r="L189" s="28">
        <f>TRUNC(K189*C189,1)</f>
        <v>167</v>
      </c>
      <c r="M189" s="86" t="s">
        <v>2856</v>
      </c>
      <c r="N189" t="s">
        <v>2856</v>
      </c>
      <c r="P189" t="s">
        <v>334</v>
      </c>
      <c r="Q189" t="s">
        <v>2856</v>
      </c>
      <c r="R189" t="s">
        <v>63</v>
      </c>
      <c r="T189" t="s">
        <v>1778</v>
      </c>
      <c r="BI189" s="34" t="str">
        <f>HYPERLINK("#일위대가목록!A202","NT1050 →")</f>
        <v>NT1050 →</v>
      </c>
    </row>
    <row r="190" spans="1:61" ht="18.399999999999999" hidden="1" customHeight="1" x14ac:dyDescent="0.15">
      <c r="A190" s="2" t="s">
        <v>1701</v>
      </c>
      <c r="B190" s="87" t="s">
        <v>1482</v>
      </c>
      <c r="C190" s="2">
        <v>0.1</v>
      </c>
      <c r="D190" s="2" t="s">
        <v>2825</v>
      </c>
      <c r="E190" s="27">
        <f>G190+I190+K190</f>
        <v>5859</v>
      </c>
      <c r="F190" s="28">
        <f>H190+J190+L190</f>
        <v>585.90000000000009</v>
      </c>
      <c r="G190" s="27">
        <f>일위대가목록!F3</f>
        <v>1054</v>
      </c>
      <c r="H190" s="28">
        <f>TRUNC(G190*C190,1)</f>
        <v>105.4</v>
      </c>
      <c r="I190" s="27">
        <f>일위대가목록!H3</f>
        <v>3467</v>
      </c>
      <c r="J190" s="28">
        <f>TRUNC(I190*C190,1)</f>
        <v>346.7</v>
      </c>
      <c r="K190" s="27">
        <f>일위대가목록!J3</f>
        <v>1338</v>
      </c>
      <c r="L190" s="28">
        <f>TRUNC(K190*C190,1)</f>
        <v>133.80000000000001</v>
      </c>
      <c r="M190" s="86" t="s">
        <v>2856</v>
      </c>
      <c r="N190" t="s">
        <v>2856</v>
      </c>
      <c r="P190" t="s">
        <v>2471</v>
      </c>
      <c r="Q190" t="s">
        <v>2856</v>
      </c>
      <c r="R190" t="s">
        <v>2633</v>
      </c>
      <c r="T190" t="s">
        <v>2405</v>
      </c>
      <c r="BI190" s="34" t="str">
        <f>HYPERLINK("#일위대가목록!A3","NX1510 →")</f>
        <v>NX1510 →</v>
      </c>
    </row>
    <row r="191" spans="1:61" ht="18.399999999999999" hidden="1" customHeight="1" x14ac:dyDescent="0.15">
      <c r="A191" s="1"/>
      <c r="B191" s="8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87"/>
    </row>
    <row r="192" spans="1:61" ht="18.399999999999999" hidden="1" customHeight="1" x14ac:dyDescent="0.15">
      <c r="A192" s="2" t="s">
        <v>1091</v>
      </c>
      <c r="B192" s="87" t="s">
        <v>2189</v>
      </c>
      <c r="C192" s="2">
        <v>1</v>
      </c>
      <c r="D192" s="2" t="s">
        <v>556</v>
      </c>
      <c r="E192" s="184"/>
      <c r="F192" s="29">
        <f t="shared" ref="F192:F198" si="0">H192+J192+L192</f>
        <v>622988</v>
      </c>
      <c r="G192" s="184"/>
      <c r="H192" s="29">
        <f>TRUNC(H193+H194+H196+H197+H198,0)</f>
        <v>74150</v>
      </c>
      <c r="I192" s="184"/>
      <c r="J192" s="29">
        <f>TRUNC(J193+J194+J196+J197+J198,0)</f>
        <v>443066</v>
      </c>
      <c r="K192" s="184"/>
      <c r="L192" s="29">
        <f>TRUNC(L193+L194+L196+L197+L198,0)</f>
        <v>105772</v>
      </c>
      <c r="M192" s="86" t="s">
        <v>2856</v>
      </c>
      <c r="N192" t="s">
        <v>2856</v>
      </c>
      <c r="O192" t="s">
        <v>1623</v>
      </c>
    </row>
    <row r="193" spans="1:61" ht="18.399999999999999" hidden="1" customHeight="1" x14ac:dyDescent="0.15">
      <c r="A193" s="2" t="s">
        <v>1869</v>
      </c>
      <c r="B193" s="87" t="s">
        <v>2192</v>
      </c>
      <c r="C193" s="2">
        <v>1</v>
      </c>
      <c r="D193" s="2" t="s">
        <v>556</v>
      </c>
      <c r="E193" s="27">
        <f t="shared" ref="E193:E198" si="1">G193+I193+K193</f>
        <v>598895</v>
      </c>
      <c r="F193" s="28">
        <f t="shared" si="0"/>
        <v>598895</v>
      </c>
      <c r="G193" s="27">
        <f>일위대가목록!F217</f>
        <v>50057</v>
      </c>
      <c r="H193" s="28">
        <f t="shared" ref="H193:H198" si="2">TRUNC(G193*C193,1)</f>
        <v>50057</v>
      </c>
      <c r="I193" s="27">
        <f>일위대가목록!H217</f>
        <v>443066</v>
      </c>
      <c r="J193" s="28">
        <f>TRUNC(I193*C193,1)</f>
        <v>443066</v>
      </c>
      <c r="K193" s="27">
        <f>일위대가목록!J217</f>
        <v>105772</v>
      </c>
      <c r="L193" s="28">
        <f>TRUNC(K193*C193,1)</f>
        <v>105772</v>
      </c>
      <c r="M193" s="86" t="s">
        <v>2856</v>
      </c>
      <c r="N193" t="s">
        <v>2856</v>
      </c>
      <c r="P193" t="s">
        <v>334</v>
      </c>
      <c r="Q193" t="s">
        <v>2856</v>
      </c>
      <c r="R193" t="s">
        <v>2141</v>
      </c>
      <c r="T193" t="s">
        <v>1778</v>
      </c>
      <c r="BI193" s="34" t="str">
        <f>HYPERLINK("#일위대가목록!A212","NT205-25 →")</f>
        <v>NT205-25 →</v>
      </c>
    </row>
    <row r="194" spans="1:61" ht="18.399999999999999" hidden="1" customHeight="1" x14ac:dyDescent="0.15">
      <c r="A194" s="2" t="s">
        <v>300</v>
      </c>
      <c r="B194" s="87" t="s">
        <v>1807</v>
      </c>
      <c r="C194" s="2">
        <v>1</v>
      </c>
      <c r="D194" s="2" t="s">
        <v>1302</v>
      </c>
      <c r="E194" s="27">
        <f t="shared" si="1"/>
        <v>17700</v>
      </c>
      <c r="F194" s="28">
        <f t="shared" si="0"/>
        <v>17700</v>
      </c>
      <c r="G194" s="27">
        <f>자재조서!E132</f>
        <v>17700</v>
      </c>
      <c r="H194" s="28">
        <f t="shared" si="2"/>
        <v>17700</v>
      </c>
      <c r="I194" s="27">
        <v>0</v>
      </c>
      <c r="J194" s="28"/>
      <c r="K194" s="27">
        <v>0</v>
      </c>
      <c r="L194" s="28"/>
      <c r="M194" s="86" t="s">
        <v>2856</v>
      </c>
      <c r="N194" t="s">
        <v>2856</v>
      </c>
      <c r="P194" t="s">
        <v>1616</v>
      </c>
      <c r="Q194" t="s">
        <v>2856</v>
      </c>
      <c r="R194" t="s">
        <v>1011</v>
      </c>
      <c r="BI194" s="34" t="str">
        <f>HYPERLINK("#자재조서!A126","MTP-039 →")</f>
        <v>MTP-039 →</v>
      </c>
    </row>
    <row r="195" spans="1:61" ht="18.399999999999999" hidden="1" customHeight="1" x14ac:dyDescent="0.15">
      <c r="A195" s="2" t="s">
        <v>261</v>
      </c>
      <c r="B195" s="87" t="s">
        <v>2437</v>
      </c>
      <c r="C195" s="2">
        <v>30</v>
      </c>
      <c r="D195" s="2" t="s">
        <v>1674</v>
      </c>
      <c r="E195" s="27">
        <f t="shared" si="1"/>
        <v>433</v>
      </c>
      <c r="F195" s="28">
        <f t="shared" si="0"/>
        <v>12990</v>
      </c>
      <c r="G195" s="27">
        <f>자재조서!E129</f>
        <v>433</v>
      </c>
      <c r="H195" s="28">
        <f t="shared" si="2"/>
        <v>12990</v>
      </c>
      <c r="I195" s="27">
        <v>0</v>
      </c>
      <c r="J195" s="28"/>
      <c r="K195" s="27">
        <v>0</v>
      </c>
      <c r="L195" s="28"/>
      <c r="M195" s="86" t="s">
        <v>2856</v>
      </c>
      <c r="N195" t="s">
        <v>2856</v>
      </c>
      <c r="P195" t="s">
        <v>2471</v>
      </c>
      <c r="Q195" t="s">
        <v>1839</v>
      </c>
      <c r="R195" t="s">
        <v>1422</v>
      </c>
      <c r="BI195" s="34" t="str">
        <f>HYPERLINK("#자재조서!A123","MTP-010 →")</f>
        <v>MTP-010 →</v>
      </c>
    </row>
    <row r="196" spans="1:61" ht="18.399999999999999" hidden="1" customHeight="1" x14ac:dyDescent="0.15">
      <c r="A196" s="2" t="s">
        <v>2029</v>
      </c>
      <c r="B196" s="87" t="s">
        <v>1936</v>
      </c>
      <c r="C196" s="2">
        <v>40.299999999999997</v>
      </c>
      <c r="D196" s="2" t="s">
        <v>1086</v>
      </c>
      <c r="E196" s="27">
        <f t="shared" si="1"/>
        <v>40</v>
      </c>
      <c r="F196" s="28">
        <f t="shared" si="0"/>
        <v>1612</v>
      </c>
      <c r="G196" s="27">
        <f>자재조서!E137</f>
        <v>40</v>
      </c>
      <c r="H196" s="28">
        <f t="shared" si="2"/>
        <v>1612</v>
      </c>
      <c r="I196" s="27">
        <v>0</v>
      </c>
      <c r="J196" s="28"/>
      <c r="K196" s="27">
        <v>0</v>
      </c>
      <c r="L196" s="28"/>
      <c r="M196" s="86" t="s">
        <v>2856</v>
      </c>
      <c r="N196" t="s">
        <v>2856</v>
      </c>
      <c r="P196" t="s">
        <v>1741</v>
      </c>
      <c r="Q196" t="s">
        <v>2856</v>
      </c>
      <c r="R196" t="s">
        <v>316</v>
      </c>
      <c r="BI196" s="34" t="str">
        <f>HYPERLINK("#자재조서!A131","MTP-121 →")</f>
        <v>MTP-121 →</v>
      </c>
    </row>
    <row r="197" spans="1:61" ht="18.399999999999999" hidden="1" customHeight="1" x14ac:dyDescent="0.15">
      <c r="A197" s="2" t="s">
        <v>694</v>
      </c>
      <c r="B197" s="87" t="s">
        <v>1038</v>
      </c>
      <c r="C197" s="2">
        <v>13.2</v>
      </c>
      <c r="D197" s="2" t="s">
        <v>1086</v>
      </c>
      <c r="E197" s="27">
        <f t="shared" si="1"/>
        <v>150</v>
      </c>
      <c r="F197" s="28">
        <f t="shared" si="0"/>
        <v>1980</v>
      </c>
      <c r="G197" s="27">
        <f>자재조서!E136</f>
        <v>150</v>
      </c>
      <c r="H197" s="28">
        <f t="shared" si="2"/>
        <v>1980</v>
      </c>
      <c r="I197" s="27">
        <v>0</v>
      </c>
      <c r="J197" s="28"/>
      <c r="K197" s="27">
        <v>0</v>
      </c>
      <c r="L197" s="28"/>
      <c r="M197" s="86" t="s">
        <v>2856</v>
      </c>
      <c r="N197" t="s">
        <v>2856</v>
      </c>
      <c r="P197" t="s">
        <v>1036</v>
      </c>
      <c r="Q197" t="s">
        <v>2856</v>
      </c>
      <c r="R197" t="s">
        <v>794</v>
      </c>
      <c r="BI197" s="34" t="str">
        <f>HYPERLINK("#자재조서!A130","MTP-110 →")</f>
        <v>MTP-110 →</v>
      </c>
    </row>
    <row r="198" spans="1:61" ht="18.399999999999999" hidden="1" customHeight="1" x14ac:dyDescent="0.15">
      <c r="A198" s="2" t="s">
        <v>1734</v>
      </c>
      <c r="B198" s="87" t="s">
        <v>2741</v>
      </c>
      <c r="C198" s="2">
        <v>2.25</v>
      </c>
      <c r="D198" s="2" t="s">
        <v>1674</v>
      </c>
      <c r="E198" s="27">
        <f t="shared" si="1"/>
        <v>1245</v>
      </c>
      <c r="F198" s="28">
        <f t="shared" si="0"/>
        <v>2801.2</v>
      </c>
      <c r="G198" s="27">
        <f>자재조서!E138</f>
        <v>1245</v>
      </c>
      <c r="H198" s="28">
        <f t="shared" si="2"/>
        <v>2801.2</v>
      </c>
      <c r="I198" s="27">
        <v>0</v>
      </c>
      <c r="J198" s="28"/>
      <c r="K198" s="27">
        <v>0</v>
      </c>
      <c r="L198" s="28"/>
      <c r="M198" s="86" t="s">
        <v>2856</v>
      </c>
      <c r="N198" t="s">
        <v>2856</v>
      </c>
      <c r="P198" t="s">
        <v>286</v>
      </c>
      <c r="Q198" t="s">
        <v>2856</v>
      </c>
      <c r="R198" t="s">
        <v>1046</v>
      </c>
      <c r="BI198" s="34" t="str">
        <f>HYPERLINK("#자재조서!A132","MTP-131 →")</f>
        <v>MTP-131 →</v>
      </c>
    </row>
    <row r="199" spans="1:61" ht="18.399999999999999" hidden="1" customHeight="1" x14ac:dyDescent="0.15">
      <c r="A199" s="1"/>
      <c r="B199" s="8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87"/>
    </row>
    <row r="200" spans="1:61" ht="18.399999999999999" hidden="1" customHeight="1" x14ac:dyDescent="0.15">
      <c r="A200" s="2" t="s">
        <v>2302</v>
      </c>
      <c r="B200" s="87" t="s">
        <v>1660</v>
      </c>
      <c r="C200" s="2">
        <v>1</v>
      </c>
      <c r="D200" s="2" t="s">
        <v>556</v>
      </c>
      <c r="E200" s="184"/>
      <c r="F200" s="29">
        <f t="shared" ref="F200:F206" si="3">H200+J200+L200</f>
        <v>635833</v>
      </c>
      <c r="G200" s="184"/>
      <c r="H200" s="29">
        <f>TRUNC(H201+H202+H204+H205+H206,0)</f>
        <v>86995</v>
      </c>
      <c r="I200" s="184"/>
      <c r="J200" s="29">
        <f>TRUNC(J201+J202+J204+J205+J206,0)</f>
        <v>443066</v>
      </c>
      <c r="K200" s="184"/>
      <c r="L200" s="29">
        <f>TRUNC(L201+L202+L204+L205+L206,0)</f>
        <v>105772</v>
      </c>
      <c r="M200" s="86" t="s">
        <v>2856</v>
      </c>
      <c r="N200" t="s">
        <v>2856</v>
      </c>
      <c r="O200" t="s">
        <v>463</v>
      </c>
    </row>
    <row r="201" spans="1:61" ht="18.399999999999999" hidden="1" customHeight="1" x14ac:dyDescent="0.15">
      <c r="A201" s="2" t="s">
        <v>1869</v>
      </c>
      <c r="B201" s="87" t="s">
        <v>2192</v>
      </c>
      <c r="C201" s="2">
        <v>1</v>
      </c>
      <c r="D201" s="2" t="s">
        <v>556</v>
      </c>
      <c r="E201" s="27">
        <f t="shared" ref="E201:E206" si="4">G201+I201+K201</f>
        <v>598895</v>
      </c>
      <c r="F201" s="28">
        <f t="shared" si="3"/>
        <v>598895</v>
      </c>
      <c r="G201" s="27">
        <f>일위대가목록!F217</f>
        <v>50057</v>
      </c>
      <c r="H201" s="28">
        <f t="shared" ref="H201:H206" si="5">TRUNC(G201*C201,1)</f>
        <v>50057</v>
      </c>
      <c r="I201" s="27">
        <f>일위대가목록!H217</f>
        <v>443066</v>
      </c>
      <c r="J201" s="28">
        <f>TRUNC(I201*C201,1)</f>
        <v>443066</v>
      </c>
      <c r="K201" s="27">
        <f>일위대가목록!J217</f>
        <v>105772</v>
      </c>
      <c r="L201" s="28">
        <f>TRUNC(K201*C201,1)</f>
        <v>105772</v>
      </c>
      <c r="M201" s="86" t="s">
        <v>2856</v>
      </c>
      <c r="N201" t="s">
        <v>2856</v>
      </c>
      <c r="P201" t="s">
        <v>334</v>
      </c>
      <c r="Q201" t="s">
        <v>2856</v>
      </c>
      <c r="R201" t="s">
        <v>2141</v>
      </c>
      <c r="T201" t="s">
        <v>1778</v>
      </c>
      <c r="BI201" s="34" t="str">
        <f>HYPERLINK("#일위대가목록!A212","NT205-25 →")</f>
        <v>NT205-25 →</v>
      </c>
    </row>
    <row r="202" spans="1:61" ht="18.399999999999999" hidden="1" customHeight="1" x14ac:dyDescent="0.15">
      <c r="A202" s="2" t="s">
        <v>834</v>
      </c>
      <c r="B202" s="87" t="s">
        <v>816</v>
      </c>
      <c r="C202" s="2">
        <v>1</v>
      </c>
      <c r="D202" s="2" t="s">
        <v>1302</v>
      </c>
      <c r="E202" s="27">
        <f t="shared" si="4"/>
        <v>24700</v>
      </c>
      <c r="F202" s="28">
        <f t="shared" si="3"/>
        <v>24700</v>
      </c>
      <c r="G202" s="27">
        <f>자재조서!E131</f>
        <v>24700</v>
      </c>
      <c r="H202" s="28">
        <f t="shared" si="5"/>
        <v>24700</v>
      </c>
      <c r="I202" s="27">
        <v>0</v>
      </c>
      <c r="J202" s="28"/>
      <c r="K202" s="27">
        <v>0</v>
      </c>
      <c r="L202" s="28"/>
      <c r="M202" s="86" t="s">
        <v>2856</v>
      </c>
      <c r="N202" t="s">
        <v>2856</v>
      </c>
      <c r="P202" t="s">
        <v>2471</v>
      </c>
      <c r="Q202" t="s">
        <v>2856</v>
      </c>
      <c r="R202" t="s">
        <v>2314</v>
      </c>
      <c r="BI202" s="34" t="str">
        <f>HYPERLINK("#자재조서!A125","MTP-038 →")</f>
        <v>MTP-038 →</v>
      </c>
    </row>
    <row r="203" spans="1:61" ht="18.399999999999999" hidden="1" customHeight="1" x14ac:dyDescent="0.15">
      <c r="A203" s="2" t="s">
        <v>261</v>
      </c>
      <c r="B203" s="87" t="s">
        <v>2437</v>
      </c>
      <c r="C203" s="2">
        <v>40</v>
      </c>
      <c r="D203" s="2" t="s">
        <v>1674</v>
      </c>
      <c r="E203" s="27">
        <f t="shared" si="4"/>
        <v>433</v>
      </c>
      <c r="F203" s="28">
        <f t="shared" si="3"/>
        <v>17320</v>
      </c>
      <c r="G203" s="27">
        <f>자재조서!E129</f>
        <v>433</v>
      </c>
      <c r="H203" s="28">
        <f t="shared" si="5"/>
        <v>17320</v>
      </c>
      <c r="I203" s="27">
        <v>0</v>
      </c>
      <c r="J203" s="28"/>
      <c r="K203" s="27">
        <v>0</v>
      </c>
      <c r="L203" s="28"/>
      <c r="M203" s="86" t="s">
        <v>2856</v>
      </c>
      <c r="N203" t="s">
        <v>2856</v>
      </c>
      <c r="P203" t="s">
        <v>1741</v>
      </c>
      <c r="Q203" t="s">
        <v>1839</v>
      </c>
      <c r="R203" t="s">
        <v>1422</v>
      </c>
      <c r="BI203" s="34" t="str">
        <f>HYPERLINK("#자재조서!A123","MTP-010 →")</f>
        <v>MTP-010 →</v>
      </c>
    </row>
    <row r="204" spans="1:61" ht="18.399999999999999" hidden="1" customHeight="1" x14ac:dyDescent="0.15">
      <c r="A204" s="2" t="s">
        <v>2029</v>
      </c>
      <c r="B204" s="87" t="s">
        <v>1936</v>
      </c>
      <c r="C204" s="2">
        <v>71.2</v>
      </c>
      <c r="D204" s="2" t="s">
        <v>1086</v>
      </c>
      <c r="E204" s="27">
        <f t="shared" si="4"/>
        <v>40</v>
      </c>
      <c r="F204" s="28">
        <f t="shared" si="3"/>
        <v>2848</v>
      </c>
      <c r="G204" s="27">
        <f>자재조서!E137</f>
        <v>40</v>
      </c>
      <c r="H204" s="28">
        <f t="shared" si="5"/>
        <v>2848</v>
      </c>
      <c r="I204" s="27">
        <v>0</v>
      </c>
      <c r="J204" s="28"/>
      <c r="K204" s="27">
        <v>0</v>
      </c>
      <c r="L204" s="28"/>
      <c r="M204" s="86" t="s">
        <v>2856</v>
      </c>
      <c r="N204" t="s">
        <v>2856</v>
      </c>
      <c r="P204" t="s">
        <v>1036</v>
      </c>
      <c r="Q204" t="s">
        <v>2856</v>
      </c>
      <c r="R204" t="s">
        <v>316</v>
      </c>
      <c r="BI204" s="34" t="str">
        <f>HYPERLINK("#자재조서!A131","MTP-121 →")</f>
        <v>MTP-121 →</v>
      </c>
    </row>
    <row r="205" spans="1:61" ht="18.399999999999999" hidden="1" customHeight="1" x14ac:dyDescent="0.15">
      <c r="A205" s="2" t="s">
        <v>694</v>
      </c>
      <c r="B205" s="87" t="s">
        <v>1038</v>
      </c>
      <c r="C205" s="2">
        <v>26</v>
      </c>
      <c r="D205" s="2" t="s">
        <v>1086</v>
      </c>
      <c r="E205" s="27">
        <f t="shared" si="4"/>
        <v>150</v>
      </c>
      <c r="F205" s="28">
        <f t="shared" si="3"/>
        <v>3900</v>
      </c>
      <c r="G205" s="27">
        <f>자재조서!E136</f>
        <v>150</v>
      </c>
      <c r="H205" s="28">
        <f t="shared" si="5"/>
        <v>3900</v>
      </c>
      <c r="I205" s="27">
        <v>0</v>
      </c>
      <c r="J205" s="28"/>
      <c r="K205" s="27">
        <v>0</v>
      </c>
      <c r="L205" s="28"/>
      <c r="M205" s="86" t="s">
        <v>2856</v>
      </c>
      <c r="N205" t="s">
        <v>2856</v>
      </c>
      <c r="P205" t="s">
        <v>286</v>
      </c>
      <c r="Q205" t="s">
        <v>2856</v>
      </c>
      <c r="R205" t="s">
        <v>794</v>
      </c>
      <c r="BI205" s="34" t="str">
        <f>HYPERLINK("#자재조서!A130","MTP-110 →")</f>
        <v>MTP-110 →</v>
      </c>
    </row>
    <row r="206" spans="1:61" ht="18.399999999999999" hidden="1" customHeight="1" x14ac:dyDescent="0.15">
      <c r="A206" s="2" t="s">
        <v>1734</v>
      </c>
      <c r="B206" s="87" t="s">
        <v>2741</v>
      </c>
      <c r="C206" s="2">
        <v>4.41</v>
      </c>
      <c r="D206" s="2" t="s">
        <v>1674</v>
      </c>
      <c r="E206" s="27">
        <f t="shared" si="4"/>
        <v>1245</v>
      </c>
      <c r="F206" s="28">
        <f t="shared" si="3"/>
        <v>5490.4</v>
      </c>
      <c r="G206" s="27">
        <f>자재조서!E138</f>
        <v>1245</v>
      </c>
      <c r="H206" s="28">
        <f t="shared" si="5"/>
        <v>5490.4</v>
      </c>
      <c r="I206" s="27">
        <v>0</v>
      </c>
      <c r="J206" s="28"/>
      <c r="K206" s="27">
        <v>0</v>
      </c>
      <c r="L206" s="28"/>
      <c r="M206" s="86" t="s">
        <v>2856</v>
      </c>
      <c r="N206" t="s">
        <v>2856</v>
      </c>
      <c r="P206" t="s">
        <v>2428</v>
      </c>
      <c r="Q206" t="s">
        <v>2856</v>
      </c>
      <c r="R206" t="s">
        <v>1046</v>
      </c>
      <c r="BI206" s="34" t="str">
        <f>HYPERLINK("#자재조서!A132","MTP-131 →")</f>
        <v>MTP-131 →</v>
      </c>
    </row>
    <row r="207" spans="1:61" ht="18.399999999999999" hidden="1" customHeight="1" x14ac:dyDescent="0.15">
      <c r="A207" s="1"/>
      <c r="B207" s="8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87"/>
    </row>
    <row r="208" spans="1:61" ht="18.399999999999999" hidden="1" customHeight="1" x14ac:dyDescent="0.15">
      <c r="A208" s="2" t="s">
        <v>2691</v>
      </c>
      <c r="B208" s="87" t="s">
        <v>2483</v>
      </c>
      <c r="C208" s="2">
        <v>1</v>
      </c>
      <c r="D208" s="2" t="s">
        <v>556</v>
      </c>
      <c r="E208" s="184"/>
      <c r="F208" s="29">
        <f t="shared" ref="F208:F214" si="6">H208+J208+L208</f>
        <v>622988</v>
      </c>
      <c r="G208" s="184"/>
      <c r="H208" s="29">
        <f>TRUNC(H209+H210+H212+H213+H214,0)</f>
        <v>74150</v>
      </c>
      <c r="I208" s="184"/>
      <c r="J208" s="29">
        <f>TRUNC(J209+J210+J212+J213+J214,0)</f>
        <v>443066</v>
      </c>
      <c r="K208" s="184"/>
      <c r="L208" s="29">
        <f>TRUNC(L209+L210+L212+L213+L214,0)</f>
        <v>105772</v>
      </c>
      <c r="M208" s="86" t="s">
        <v>2856</v>
      </c>
      <c r="N208" t="s">
        <v>2856</v>
      </c>
      <c r="O208" t="s">
        <v>2121</v>
      </c>
    </row>
    <row r="209" spans="1:61" ht="18.399999999999999" hidden="1" customHeight="1" x14ac:dyDescent="0.15">
      <c r="A209" s="2" t="s">
        <v>1869</v>
      </c>
      <c r="B209" s="87" t="s">
        <v>2192</v>
      </c>
      <c r="C209" s="2">
        <v>1</v>
      </c>
      <c r="D209" s="2" t="s">
        <v>556</v>
      </c>
      <c r="E209" s="27">
        <f t="shared" ref="E209:E214" si="7">G209+I209+K209</f>
        <v>598895</v>
      </c>
      <c r="F209" s="28">
        <f t="shared" si="6"/>
        <v>598895</v>
      </c>
      <c r="G209" s="27">
        <f>일위대가목록!F217</f>
        <v>50057</v>
      </c>
      <c r="H209" s="28">
        <f t="shared" ref="H209:H214" si="8">TRUNC(G209*C209,1)</f>
        <v>50057</v>
      </c>
      <c r="I209" s="27">
        <f>일위대가목록!H217</f>
        <v>443066</v>
      </c>
      <c r="J209" s="28">
        <f>TRUNC(I209*C209,1)</f>
        <v>443066</v>
      </c>
      <c r="K209" s="27">
        <f>일위대가목록!J217</f>
        <v>105772</v>
      </c>
      <c r="L209" s="28">
        <f>TRUNC(K209*C209,1)</f>
        <v>105772</v>
      </c>
      <c r="M209" s="86" t="s">
        <v>2856</v>
      </c>
      <c r="N209" t="s">
        <v>2856</v>
      </c>
      <c r="P209" t="s">
        <v>334</v>
      </c>
      <c r="Q209" t="s">
        <v>2856</v>
      </c>
      <c r="R209" t="s">
        <v>2141</v>
      </c>
      <c r="T209" t="s">
        <v>1778</v>
      </c>
      <c r="BI209" s="34" t="str">
        <f>HYPERLINK("#일위대가목록!A212","NT205-25 →")</f>
        <v>NT205-25 →</v>
      </c>
    </row>
    <row r="210" spans="1:61" ht="18.399999999999999" hidden="1" customHeight="1" x14ac:dyDescent="0.15">
      <c r="A210" s="2" t="s">
        <v>300</v>
      </c>
      <c r="B210" s="87" t="s">
        <v>1807</v>
      </c>
      <c r="C210" s="2">
        <v>1</v>
      </c>
      <c r="D210" s="2" t="s">
        <v>1302</v>
      </c>
      <c r="E210" s="27">
        <f t="shared" si="7"/>
        <v>17700</v>
      </c>
      <c r="F210" s="28">
        <f t="shared" si="6"/>
        <v>17700</v>
      </c>
      <c r="G210" s="27">
        <f>자재조서!E132</f>
        <v>17700</v>
      </c>
      <c r="H210" s="28">
        <f t="shared" si="8"/>
        <v>17700</v>
      </c>
      <c r="I210" s="27">
        <v>0</v>
      </c>
      <c r="J210" s="28"/>
      <c r="K210" s="27">
        <v>0</v>
      </c>
      <c r="L210" s="28"/>
      <c r="M210" s="86" t="s">
        <v>2856</v>
      </c>
      <c r="N210" t="s">
        <v>2856</v>
      </c>
      <c r="P210" t="s">
        <v>2471</v>
      </c>
      <c r="Q210" t="s">
        <v>2856</v>
      </c>
      <c r="R210" t="s">
        <v>1011</v>
      </c>
      <c r="BI210" s="34" t="str">
        <f>HYPERLINK("#자재조서!A126","MTP-039 →")</f>
        <v>MTP-039 →</v>
      </c>
    </row>
    <row r="211" spans="1:61" ht="18.399999999999999" hidden="1" customHeight="1" x14ac:dyDescent="0.15">
      <c r="A211" s="2" t="s">
        <v>261</v>
      </c>
      <c r="B211" s="87" t="s">
        <v>2437</v>
      </c>
      <c r="C211" s="2">
        <v>30</v>
      </c>
      <c r="D211" s="2" t="s">
        <v>1674</v>
      </c>
      <c r="E211" s="27">
        <f t="shared" si="7"/>
        <v>433</v>
      </c>
      <c r="F211" s="28">
        <f t="shared" si="6"/>
        <v>12990</v>
      </c>
      <c r="G211" s="27">
        <f>자재조서!E129</f>
        <v>433</v>
      </c>
      <c r="H211" s="28">
        <f t="shared" si="8"/>
        <v>12990</v>
      </c>
      <c r="I211" s="27">
        <v>0</v>
      </c>
      <c r="J211" s="28"/>
      <c r="K211" s="27">
        <v>0</v>
      </c>
      <c r="L211" s="28"/>
      <c r="M211" s="86" t="s">
        <v>2856</v>
      </c>
      <c r="N211" t="s">
        <v>2856</v>
      </c>
      <c r="P211" t="s">
        <v>1741</v>
      </c>
      <c r="Q211" t="s">
        <v>1839</v>
      </c>
      <c r="R211" t="s">
        <v>1422</v>
      </c>
      <c r="BI211" s="34" t="str">
        <f>HYPERLINK("#자재조서!A123","MTP-010 →")</f>
        <v>MTP-010 →</v>
      </c>
    </row>
    <row r="212" spans="1:61" ht="18.399999999999999" hidden="1" customHeight="1" x14ac:dyDescent="0.15">
      <c r="A212" s="2" t="s">
        <v>2029</v>
      </c>
      <c r="B212" s="87" t="s">
        <v>1936</v>
      </c>
      <c r="C212" s="2">
        <v>40.299999999999997</v>
      </c>
      <c r="D212" s="2" t="s">
        <v>1086</v>
      </c>
      <c r="E212" s="27">
        <f t="shared" si="7"/>
        <v>40</v>
      </c>
      <c r="F212" s="28">
        <f t="shared" si="6"/>
        <v>1612</v>
      </c>
      <c r="G212" s="27">
        <f>자재조서!E137</f>
        <v>40</v>
      </c>
      <c r="H212" s="28">
        <f t="shared" si="8"/>
        <v>1612</v>
      </c>
      <c r="I212" s="27">
        <v>0</v>
      </c>
      <c r="J212" s="28"/>
      <c r="K212" s="27">
        <v>0</v>
      </c>
      <c r="L212" s="28"/>
      <c r="M212" s="86" t="s">
        <v>2856</v>
      </c>
      <c r="N212" t="s">
        <v>2856</v>
      </c>
      <c r="P212" t="s">
        <v>1036</v>
      </c>
      <c r="Q212" t="s">
        <v>2856</v>
      </c>
      <c r="R212" t="s">
        <v>316</v>
      </c>
      <c r="BI212" s="34" t="str">
        <f>HYPERLINK("#자재조서!A131","MTP-121 →")</f>
        <v>MTP-121 →</v>
      </c>
    </row>
    <row r="213" spans="1:61" ht="18.399999999999999" hidden="1" customHeight="1" x14ac:dyDescent="0.15">
      <c r="A213" s="2" t="s">
        <v>694</v>
      </c>
      <c r="B213" s="87" t="s">
        <v>1038</v>
      </c>
      <c r="C213" s="2">
        <v>13.2</v>
      </c>
      <c r="D213" s="2" t="s">
        <v>1086</v>
      </c>
      <c r="E213" s="27">
        <f t="shared" si="7"/>
        <v>150</v>
      </c>
      <c r="F213" s="28">
        <f t="shared" si="6"/>
        <v>1980</v>
      </c>
      <c r="G213" s="27">
        <f>자재조서!E136</f>
        <v>150</v>
      </c>
      <c r="H213" s="28">
        <f t="shared" si="8"/>
        <v>1980</v>
      </c>
      <c r="I213" s="27">
        <v>0</v>
      </c>
      <c r="J213" s="28"/>
      <c r="K213" s="27">
        <v>0</v>
      </c>
      <c r="L213" s="28"/>
      <c r="M213" s="86" t="s">
        <v>2856</v>
      </c>
      <c r="N213" t="s">
        <v>2856</v>
      </c>
      <c r="P213" t="s">
        <v>286</v>
      </c>
      <c r="Q213" t="s">
        <v>2856</v>
      </c>
      <c r="R213" t="s">
        <v>794</v>
      </c>
      <c r="BI213" s="34" t="str">
        <f>HYPERLINK("#자재조서!A130","MTP-110 →")</f>
        <v>MTP-110 →</v>
      </c>
    </row>
    <row r="214" spans="1:61" ht="18.399999999999999" hidden="1" customHeight="1" x14ac:dyDescent="0.15">
      <c r="A214" s="2" t="s">
        <v>1734</v>
      </c>
      <c r="B214" s="87" t="s">
        <v>2741</v>
      </c>
      <c r="C214" s="2">
        <v>2.25</v>
      </c>
      <c r="D214" s="2" t="s">
        <v>1674</v>
      </c>
      <c r="E214" s="27">
        <f t="shared" si="7"/>
        <v>1245</v>
      </c>
      <c r="F214" s="28">
        <f t="shared" si="6"/>
        <v>2801.2</v>
      </c>
      <c r="G214" s="27">
        <f>자재조서!E138</f>
        <v>1245</v>
      </c>
      <c r="H214" s="28">
        <f t="shared" si="8"/>
        <v>2801.2</v>
      </c>
      <c r="I214" s="27">
        <v>0</v>
      </c>
      <c r="J214" s="28"/>
      <c r="K214" s="27">
        <v>0</v>
      </c>
      <c r="L214" s="28"/>
      <c r="M214" s="86" t="s">
        <v>2856</v>
      </c>
      <c r="N214" t="s">
        <v>2856</v>
      </c>
      <c r="P214" t="s">
        <v>2428</v>
      </c>
      <c r="Q214" t="s">
        <v>2856</v>
      </c>
      <c r="R214" t="s">
        <v>1046</v>
      </c>
      <c r="BI214" s="34" t="str">
        <f>HYPERLINK("#자재조서!A132","MTP-131 →")</f>
        <v>MTP-131 →</v>
      </c>
    </row>
    <row r="215" spans="1:61" ht="18.399999999999999" hidden="1" customHeight="1" x14ac:dyDescent="0.15">
      <c r="A215" s="1"/>
      <c r="B215" s="8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87"/>
    </row>
    <row r="216" spans="1:61" ht="18.399999999999999" hidden="1" customHeight="1" x14ac:dyDescent="0.15">
      <c r="A216" s="2" t="s">
        <v>1441</v>
      </c>
      <c r="B216" s="87" t="s">
        <v>2447</v>
      </c>
      <c r="C216" s="2">
        <v>1</v>
      </c>
      <c r="D216" s="2" t="s">
        <v>556</v>
      </c>
      <c r="E216" s="184"/>
      <c r="F216" s="29">
        <f t="shared" ref="F216:F222" si="9">H216+J216+L216</f>
        <v>1210755</v>
      </c>
      <c r="G216" s="184"/>
      <c r="H216" s="29">
        <f>TRUNC(H217+H218+H220+H221+H222,0)</f>
        <v>144943</v>
      </c>
      <c r="I216" s="184"/>
      <c r="J216" s="29">
        <f>TRUNC(J217+J218+J220+J221+J222,0)</f>
        <v>785059</v>
      </c>
      <c r="K216" s="184"/>
      <c r="L216" s="29">
        <f>TRUNC(L217+L218+L220+L221+L222,0)</f>
        <v>280753</v>
      </c>
      <c r="M216" s="86" t="s">
        <v>2856</v>
      </c>
      <c r="N216" t="s">
        <v>2856</v>
      </c>
      <c r="O216" t="s">
        <v>327</v>
      </c>
    </row>
    <row r="217" spans="1:61" ht="18.399999999999999" hidden="1" customHeight="1" x14ac:dyDescent="0.15">
      <c r="A217" s="2" t="s">
        <v>1869</v>
      </c>
      <c r="B217" s="87" t="s">
        <v>2526</v>
      </c>
      <c r="C217" s="2">
        <v>1</v>
      </c>
      <c r="D217" s="2" t="s">
        <v>556</v>
      </c>
      <c r="E217" s="27">
        <f t="shared" ref="E217:E222" si="10">G217+I217+K217</f>
        <v>1170507</v>
      </c>
      <c r="F217" s="28">
        <f t="shared" si="9"/>
        <v>1170507</v>
      </c>
      <c r="G217" s="27">
        <f>일위대가목록!F218</f>
        <v>104695</v>
      </c>
      <c r="H217" s="28">
        <f t="shared" ref="H217:H222" si="11">TRUNC(G217*C217,1)</f>
        <v>104695</v>
      </c>
      <c r="I217" s="27">
        <f>일위대가목록!H218</f>
        <v>785059</v>
      </c>
      <c r="J217" s="28">
        <f>TRUNC(I217*C217,1)</f>
        <v>785059</v>
      </c>
      <c r="K217" s="27">
        <f>일위대가목록!J218</f>
        <v>280753</v>
      </c>
      <c r="L217" s="28">
        <f>TRUNC(K217*C217,1)</f>
        <v>280753</v>
      </c>
      <c r="M217" s="86" t="s">
        <v>2856</v>
      </c>
      <c r="N217" t="s">
        <v>2856</v>
      </c>
      <c r="P217" t="s">
        <v>334</v>
      </c>
      <c r="Q217" t="s">
        <v>2856</v>
      </c>
      <c r="R217" t="s">
        <v>2845</v>
      </c>
      <c r="T217" t="s">
        <v>1778</v>
      </c>
      <c r="BI217" s="34" t="str">
        <f>HYPERLINK("#일위대가목록!A213","NT205-35 →")</f>
        <v>NT205-35 →</v>
      </c>
    </row>
    <row r="218" spans="1:61" ht="18.399999999999999" hidden="1" customHeight="1" x14ac:dyDescent="0.15">
      <c r="A218" s="2" t="s">
        <v>834</v>
      </c>
      <c r="B218" s="87" t="s">
        <v>816</v>
      </c>
      <c r="C218" s="2">
        <v>1</v>
      </c>
      <c r="D218" s="2" t="s">
        <v>1302</v>
      </c>
      <c r="E218" s="27">
        <f t="shared" si="10"/>
        <v>24700</v>
      </c>
      <c r="F218" s="28">
        <f t="shared" si="9"/>
        <v>24700</v>
      </c>
      <c r="G218" s="27">
        <f>자재조서!E131</f>
        <v>24700</v>
      </c>
      <c r="H218" s="28">
        <f t="shared" si="11"/>
        <v>24700</v>
      </c>
      <c r="I218" s="27">
        <v>0</v>
      </c>
      <c r="J218" s="28"/>
      <c r="K218" s="27">
        <v>0</v>
      </c>
      <c r="L218" s="28"/>
      <c r="M218" s="86" t="s">
        <v>2856</v>
      </c>
      <c r="N218" t="s">
        <v>2856</v>
      </c>
      <c r="P218" t="s">
        <v>2471</v>
      </c>
      <c r="Q218" t="s">
        <v>2856</v>
      </c>
      <c r="R218" t="s">
        <v>2314</v>
      </c>
      <c r="BI218" s="34" t="str">
        <f>HYPERLINK("#자재조서!A125","MTP-038 →")</f>
        <v>MTP-038 →</v>
      </c>
    </row>
    <row r="219" spans="1:61" ht="18.399999999999999" hidden="1" customHeight="1" x14ac:dyDescent="0.15">
      <c r="A219" s="2" t="s">
        <v>261</v>
      </c>
      <c r="B219" s="87" t="s">
        <v>2437</v>
      </c>
      <c r="C219" s="2">
        <v>50</v>
      </c>
      <c r="D219" s="2" t="s">
        <v>1674</v>
      </c>
      <c r="E219" s="27">
        <f t="shared" si="10"/>
        <v>433</v>
      </c>
      <c r="F219" s="28">
        <f t="shared" si="9"/>
        <v>21650</v>
      </c>
      <c r="G219" s="27">
        <f>자재조서!E129</f>
        <v>433</v>
      </c>
      <c r="H219" s="28">
        <f t="shared" si="11"/>
        <v>21650</v>
      </c>
      <c r="I219" s="27">
        <v>0</v>
      </c>
      <c r="J219" s="28"/>
      <c r="K219" s="27">
        <v>0</v>
      </c>
      <c r="L219" s="28"/>
      <c r="M219" s="86" t="s">
        <v>2856</v>
      </c>
      <c r="N219" t="s">
        <v>2856</v>
      </c>
      <c r="P219" t="s">
        <v>1741</v>
      </c>
      <c r="Q219" t="s">
        <v>1839</v>
      </c>
      <c r="R219" t="s">
        <v>1422</v>
      </c>
      <c r="BI219" s="34" t="str">
        <f>HYPERLINK("#자재조서!A123","MTP-010 →")</f>
        <v>MTP-010 →</v>
      </c>
    </row>
    <row r="220" spans="1:61" ht="18.399999999999999" hidden="1" customHeight="1" x14ac:dyDescent="0.15">
      <c r="A220" s="2" t="s">
        <v>2029</v>
      </c>
      <c r="B220" s="87" t="s">
        <v>1936</v>
      </c>
      <c r="C220" s="2">
        <v>82.3</v>
      </c>
      <c r="D220" s="2" t="s">
        <v>1086</v>
      </c>
      <c r="E220" s="27">
        <f t="shared" si="10"/>
        <v>40</v>
      </c>
      <c r="F220" s="28">
        <f t="shared" si="9"/>
        <v>3292</v>
      </c>
      <c r="G220" s="27">
        <f>자재조서!E137</f>
        <v>40</v>
      </c>
      <c r="H220" s="28">
        <f t="shared" si="11"/>
        <v>3292</v>
      </c>
      <c r="I220" s="27">
        <v>0</v>
      </c>
      <c r="J220" s="28"/>
      <c r="K220" s="27">
        <v>0</v>
      </c>
      <c r="L220" s="28"/>
      <c r="M220" s="86" t="s">
        <v>2856</v>
      </c>
      <c r="N220" t="s">
        <v>2856</v>
      </c>
      <c r="P220" t="s">
        <v>1036</v>
      </c>
      <c r="Q220" t="s">
        <v>2856</v>
      </c>
      <c r="R220" t="s">
        <v>316</v>
      </c>
      <c r="BI220" s="34" t="str">
        <f>HYPERLINK("#자재조서!A131","MTP-121 →")</f>
        <v>MTP-121 →</v>
      </c>
    </row>
    <row r="221" spans="1:61" ht="18.399999999999999" hidden="1" customHeight="1" x14ac:dyDescent="0.15">
      <c r="A221" s="2" t="s">
        <v>694</v>
      </c>
      <c r="B221" s="87" t="s">
        <v>1038</v>
      </c>
      <c r="C221" s="2">
        <v>33.9</v>
      </c>
      <c r="D221" s="2" t="s">
        <v>1086</v>
      </c>
      <c r="E221" s="27">
        <f t="shared" si="10"/>
        <v>150</v>
      </c>
      <c r="F221" s="28">
        <f t="shared" si="9"/>
        <v>5085</v>
      </c>
      <c r="G221" s="27">
        <f>자재조서!E136</f>
        <v>150</v>
      </c>
      <c r="H221" s="28">
        <f t="shared" si="11"/>
        <v>5085</v>
      </c>
      <c r="I221" s="27">
        <v>0</v>
      </c>
      <c r="J221" s="28"/>
      <c r="K221" s="27">
        <v>0</v>
      </c>
      <c r="L221" s="28"/>
      <c r="M221" s="86" t="s">
        <v>2856</v>
      </c>
      <c r="N221" t="s">
        <v>2856</v>
      </c>
      <c r="P221" t="s">
        <v>286</v>
      </c>
      <c r="Q221" t="s">
        <v>2856</v>
      </c>
      <c r="R221" t="s">
        <v>794</v>
      </c>
      <c r="BI221" s="34" t="str">
        <f>HYPERLINK("#자재조서!A130","MTP-110 →")</f>
        <v>MTP-110 →</v>
      </c>
    </row>
    <row r="222" spans="1:61" ht="18.399999999999999" hidden="1" customHeight="1" x14ac:dyDescent="0.15">
      <c r="A222" s="2" t="s">
        <v>1734</v>
      </c>
      <c r="B222" s="87" t="s">
        <v>2741</v>
      </c>
      <c r="C222" s="2">
        <v>5.76</v>
      </c>
      <c r="D222" s="2" t="s">
        <v>1674</v>
      </c>
      <c r="E222" s="27">
        <f t="shared" si="10"/>
        <v>1245</v>
      </c>
      <c r="F222" s="28">
        <f t="shared" si="9"/>
        <v>7171.2</v>
      </c>
      <c r="G222" s="27">
        <f>자재조서!E138</f>
        <v>1245</v>
      </c>
      <c r="H222" s="28">
        <f t="shared" si="11"/>
        <v>7171.2</v>
      </c>
      <c r="I222" s="27">
        <v>0</v>
      </c>
      <c r="J222" s="28"/>
      <c r="K222" s="27">
        <v>0</v>
      </c>
      <c r="L222" s="28"/>
      <c r="M222" s="86" t="s">
        <v>2856</v>
      </c>
      <c r="N222" t="s">
        <v>2856</v>
      </c>
      <c r="P222" t="s">
        <v>2428</v>
      </c>
      <c r="Q222" t="s">
        <v>2856</v>
      </c>
      <c r="R222" t="s">
        <v>1046</v>
      </c>
      <c r="BI222" s="34" t="str">
        <f>HYPERLINK("#자재조서!A132","MTP-131 →")</f>
        <v>MTP-131 →</v>
      </c>
    </row>
    <row r="223" spans="1:61" ht="18.399999999999999" hidden="1" customHeight="1" x14ac:dyDescent="0.15">
      <c r="A223" s="1"/>
      <c r="B223" s="87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87"/>
    </row>
    <row r="224" spans="1:61" ht="18.399999999999999" hidden="1" customHeight="1" x14ac:dyDescent="0.15">
      <c r="A224" s="2" t="s">
        <v>2544</v>
      </c>
      <c r="B224" s="87" t="s">
        <v>1721</v>
      </c>
      <c r="C224" s="2">
        <v>1</v>
      </c>
      <c r="D224" s="2" t="s">
        <v>556</v>
      </c>
      <c r="E224" s="184"/>
      <c r="F224" s="29">
        <f t="shared" ref="F224:F230" si="12">H224+J224+L224</f>
        <v>859723</v>
      </c>
      <c r="G224" s="184"/>
      <c r="H224" s="29">
        <f>TRUNC(H225+H226+H228+H229+H230,0)</f>
        <v>106503</v>
      </c>
      <c r="I224" s="184"/>
      <c r="J224" s="29">
        <f>TRUNC(J225+J226+J228+J229+J230,0)</f>
        <v>598140</v>
      </c>
      <c r="K224" s="184"/>
      <c r="L224" s="29">
        <f>TRUNC(L225+L226+L228+L229+L230,0)</f>
        <v>155080</v>
      </c>
      <c r="M224" s="86" t="s">
        <v>2856</v>
      </c>
      <c r="N224" t="s">
        <v>2856</v>
      </c>
      <c r="O224" t="s">
        <v>1514</v>
      </c>
    </row>
    <row r="225" spans="1:61" ht="18.399999999999999" hidden="1" customHeight="1" x14ac:dyDescent="0.15">
      <c r="A225" s="2" t="s">
        <v>1869</v>
      </c>
      <c r="B225" s="87" t="s">
        <v>581</v>
      </c>
      <c r="C225" s="2">
        <v>1</v>
      </c>
      <c r="D225" s="2" t="s">
        <v>556</v>
      </c>
      <c r="E225" s="27">
        <f t="shared" ref="E225:E230" si="13">G225+I225+K225</f>
        <v>822785</v>
      </c>
      <c r="F225" s="28">
        <f t="shared" si="12"/>
        <v>822785</v>
      </c>
      <c r="G225" s="27">
        <f>일위대가목록!F219</f>
        <v>69565</v>
      </c>
      <c r="H225" s="28">
        <f t="shared" ref="H225:H230" si="14">TRUNC(G225*C225,1)</f>
        <v>69565</v>
      </c>
      <c r="I225" s="27">
        <f>일위대가목록!H219</f>
        <v>598140</v>
      </c>
      <c r="J225" s="28">
        <f>TRUNC(I225*C225,1)</f>
        <v>598140</v>
      </c>
      <c r="K225" s="27">
        <f>일위대가목록!J219</f>
        <v>155080</v>
      </c>
      <c r="L225" s="28">
        <f>TRUNC(K225*C225,1)</f>
        <v>155080</v>
      </c>
      <c r="M225" s="86" t="s">
        <v>2856</v>
      </c>
      <c r="N225" t="s">
        <v>2856</v>
      </c>
      <c r="P225" t="s">
        <v>334</v>
      </c>
      <c r="Q225" t="s">
        <v>2856</v>
      </c>
      <c r="R225" t="s">
        <v>1268</v>
      </c>
      <c r="T225" t="s">
        <v>1778</v>
      </c>
      <c r="BI225" s="34" t="str">
        <f>HYPERLINK("#일위대가목록!A214","NT205-30 →")</f>
        <v>NT205-30 →</v>
      </c>
    </row>
    <row r="226" spans="1:61" ht="18.399999999999999" hidden="1" customHeight="1" x14ac:dyDescent="0.15">
      <c r="A226" s="2" t="s">
        <v>834</v>
      </c>
      <c r="B226" s="87" t="s">
        <v>816</v>
      </c>
      <c r="C226" s="2">
        <v>1</v>
      </c>
      <c r="D226" s="2" t="s">
        <v>1302</v>
      </c>
      <c r="E226" s="27">
        <f t="shared" si="13"/>
        <v>24700</v>
      </c>
      <c r="F226" s="28">
        <f t="shared" si="12"/>
        <v>24700</v>
      </c>
      <c r="G226" s="27">
        <f>자재조서!E131</f>
        <v>24700</v>
      </c>
      <c r="H226" s="28">
        <f t="shared" si="14"/>
        <v>24700</v>
      </c>
      <c r="I226" s="27">
        <v>0</v>
      </c>
      <c r="J226" s="28"/>
      <c r="K226" s="27">
        <v>0</v>
      </c>
      <c r="L226" s="28"/>
      <c r="M226" s="86" t="s">
        <v>2856</v>
      </c>
      <c r="N226" t="s">
        <v>2856</v>
      </c>
      <c r="P226" t="s">
        <v>2471</v>
      </c>
      <c r="Q226" t="s">
        <v>2856</v>
      </c>
      <c r="R226" t="s">
        <v>2314</v>
      </c>
      <c r="BI226" s="34" t="str">
        <f>HYPERLINK("#자재조서!A125","MTP-038 →")</f>
        <v>MTP-038 →</v>
      </c>
    </row>
    <row r="227" spans="1:61" ht="18.399999999999999" hidden="1" customHeight="1" x14ac:dyDescent="0.15">
      <c r="A227" s="2" t="s">
        <v>261</v>
      </c>
      <c r="B227" s="87" t="s">
        <v>2437</v>
      </c>
      <c r="C227" s="2">
        <v>40</v>
      </c>
      <c r="D227" s="2" t="s">
        <v>1674</v>
      </c>
      <c r="E227" s="27">
        <f t="shared" si="13"/>
        <v>433</v>
      </c>
      <c r="F227" s="28">
        <f t="shared" si="12"/>
        <v>17320</v>
      </c>
      <c r="G227" s="27">
        <f>자재조서!E129</f>
        <v>433</v>
      </c>
      <c r="H227" s="28">
        <f t="shared" si="14"/>
        <v>17320</v>
      </c>
      <c r="I227" s="27">
        <v>0</v>
      </c>
      <c r="J227" s="28"/>
      <c r="K227" s="27">
        <v>0</v>
      </c>
      <c r="L227" s="28"/>
      <c r="M227" s="86" t="s">
        <v>2856</v>
      </c>
      <c r="N227" t="s">
        <v>2856</v>
      </c>
      <c r="P227" t="s">
        <v>1741</v>
      </c>
      <c r="Q227" t="s">
        <v>1839</v>
      </c>
      <c r="R227" t="s">
        <v>1422</v>
      </c>
      <c r="BI227" s="34" t="str">
        <f>HYPERLINK("#자재조서!A123","MTP-010 →")</f>
        <v>MTP-010 →</v>
      </c>
    </row>
    <row r="228" spans="1:61" ht="18.399999999999999" hidden="1" customHeight="1" x14ac:dyDescent="0.15">
      <c r="A228" s="2" t="s">
        <v>2029</v>
      </c>
      <c r="B228" s="87" t="s">
        <v>1936</v>
      </c>
      <c r="C228" s="2">
        <v>71.2</v>
      </c>
      <c r="D228" s="2" t="s">
        <v>1086</v>
      </c>
      <c r="E228" s="27">
        <f t="shared" si="13"/>
        <v>40</v>
      </c>
      <c r="F228" s="28">
        <f t="shared" si="12"/>
        <v>2848</v>
      </c>
      <c r="G228" s="27">
        <f>자재조서!E137</f>
        <v>40</v>
      </c>
      <c r="H228" s="28">
        <f t="shared" si="14"/>
        <v>2848</v>
      </c>
      <c r="I228" s="27">
        <v>0</v>
      </c>
      <c r="J228" s="28"/>
      <c r="K228" s="27">
        <v>0</v>
      </c>
      <c r="L228" s="28"/>
      <c r="M228" s="86" t="s">
        <v>2856</v>
      </c>
      <c r="N228" t="s">
        <v>2856</v>
      </c>
      <c r="P228" t="s">
        <v>1036</v>
      </c>
      <c r="Q228" t="s">
        <v>2856</v>
      </c>
      <c r="R228" t="s">
        <v>316</v>
      </c>
      <c r="BI228" s="34" t="str">
        <f>HYPERLINK("#자재조서!A131","MTP-121 →")</f>
        <v>MTP-121 →</v>
      </c>
    </row>
    <row r="229" spans="1:61" ht="18.399999999999999" hidden="1" customHeight="1" x14ac:dyDescent="0.15">
      <c r="A229" s="2" t="s">
        <v>694</v>
      </c>
      <c r="B229" s="87" t="s">
        <v>1038</v>
      </c>
      <c r="C229" s="2">
        <v>26</v>
      </c>
      <c r="D229" s="2" t="s">
        <v>1086</v>
      </c>
      <c r="E229" s="27">
        <f t="shared" si="13"/>
        <v>150</v>
      </c>
      <c r="F229" s="28">
        <f t="shared" si="12"/>
        <v>3900</v>
      </c>
      <c r="G229" s="27">
        <f>자재조서!E136</f>
        <v>150</v>
      </c>
      <c r="H229" s="28">
        <f t="shared" si="14"/>
        <v>3900</v>
      </c>
      <c r="I229" s="27">
        <v>0</v>
      </c>
      <c r="J229" s="28"/>
      <c r="K229" s="27">
        <v>0</v>
      </c>
      <c r="L229" s="28"/>
      <c r="M229" s="86" t="s">
        <v>2856</v>
      </c>
      <c r="N229" t="s">
        <v>2856</v>
      </c>
      <c r="P229" t="s">
        <v>286</v>
      </c>
      <c r="Q229" t="s">
        <v>2856</v>
      </c>
      <c r="R229" t="s">
        <v>794</v>
      </c>
      <c r="BI229" s="34" t="str">
        <f>HYPERLINK("#자재조서!A130","MTP-110 →")</f>
        <v>MTP-110 →</v>
      </c>
    </row>
    <row r="230" spans="1:61" ht="18.399999999999999" hidden="1" customHeight="1" x14ac:dyDescent="0.15">
      <c r="A230" s="2" t="s">
        <v>1734</v>
      </c>
      <c r="B230" s="87" t="s">
        <v>2741</v>
      </c>
      <c r="C230" s="2">
        <v>4.41</v>
      </c>
      <c r="D230" s="2" t="s">
        <v>1674</v>
      </c>
      <c r="E230" s="27">
        <f t="shared" si="13"/>
        <v>1245</v>
      </c>
      <c r="F230" s="28">
        <f t="shared" si="12"/>
        <v>5490.4</v>
      </c>
      <c r="G230" s="27">
        <f>자재조서!E138</f>
        <v>1245</v>
      </c>
      <c r="H230" s="28">
        <f t="shared" si="14"/>
        <v>5490.4</v>
      </c>
      <c r="I230" s="27">
        <v>0</v>
      </c>
      <c r="J230" s="28"/>
      <c r="K230" s="27">
        <v>0</v>
      </c>
      <c r="L230" s="28"/>
      <c r="M230" s="86" t="s">
        <v>2856</v>
      </c>
      <c r="N230" t="s">
        <v>2856</v>
      </c>
      <c r="P230" t="s">
        <v>2428</v>
      </c>
      <c r="Q230" t="s">
        <v>2856</v>
      </c>
      <c r="R230" t="s">
        <v>1046</v>
      </c>
      <c r="BI230" s="34" t="str">
        <f>HYPERLINK("#자재조서!A132","MTP-131 →")</f>
        <v>MTP-131 →</v>
      </c>
    </row>
    <row r="231" spans="1:61" ht="18.399999999999999" hidden="1" customHeight="1" x14ac:dyDescent="0.15">
      <c r="A231" s="1"/>
      <c r="B231" s="87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87"/>
    </row>
    <row r="232" spans="1:61" ht="18.399999999999999" hidden="1" customHeight="1" x14ac:dyDescent="0.15">
      <c r="A232" s="2" t="s">
        <v>31</v>
      </c>
      <c r="B232" s="87" t="s">
        <v>1183</v>
      </c>
      <c r="C232" s="2">
        <v>1</v>
      </c>
      <c r="D232" s="2" t="s">
        <v>556</v>
      </c>
      <c r="E232" s="184"/>
      <c r="F232" s="29">
        <f t="shared" ref="F232:F238" si="15">H232+J232+L232</f>
        <v>631487</v>
      </c>
      <c r="G232" s="184"/>
      <c r="H232" s="29">
        <f>TRUNC(H233+H234+H236+H237+H238,0)</f>
        <v>82649</v>
      </c>
      <c r="I232" s="184"/>
      <c r="J232" s="29">
        <f>TRUNC(J233+J234+J236+J237+J238,0)</f>
        <v>443066</v>
      </c>
      <c r="K232" s="184"/>
      <c r="L232" s="29">
        <f>TRUNC(L233+L234+L236+L237+L238,0)</f>
        <v>105772</v>
      </c>
      <c r="M232" s="86" t="s">
        <v>2856</v>
      </c>
      <c r="N232" t="s">
        <v>2856</v>
      </c>
      <c r="O232" t="s">
        <v>543</v>
      </c>
    </row>
    <row r="233" spans="1:61" ht="18.399999999999999" hidden="1" customHeight="1" x14ac:dyDescent="0.15">
      <c r="A233" s="2" t="s">
        <v>1869</v>
      </c>
      <c r="B233" s="87" t="s">
        <v>2192</v>
      </c>
      <c r="C233" s="2">
        <v>1</v>
      </c>
      <c r="D233" s="2" t="s">
        <v>556</v>
      </c>
      <c r="E233" s="27">
        <f t="shared" ref="E233:E238" si="16">G233+I233+K233</f>
        <v>598895</v>
      </c>
      <c r="F233" s="28">
        <f t="shared" si="15"/>
        <v>598895</v>
      </c>
      <c r="G233" s="27">
        <f>일위대가목록!F217</f>
        <v>50057</v>
      </c>
      <c r="H233" s="28">
        <f t="shared" ref="H233:H238" si="17">TRUNC(G233*C233,1)</f>
        <v>50057</v>
      </c>
      <c r="I233" s="27">
        <f>일위대가목록!H217</f>
        <v>443066</v>
      </c>
      <c r="J233" s="28">
        <f>TRUNC(I233*C233,1)</f>
        <v>443066</v>
      </c>
      <c r="K233" s="27">
        <f>일위대가목록!J217</f>
        <v>105772</v>
      </c>
      <c r="L233" s="28">
        <f>TRUNC(K233*C233,1)</f>
        <v>105772</v>
      </c>
      <c r="M233" s="86" t="s">
        <v>2856</v>
      </c>
      <c r="N233" t="s">
        <v>2856</v>
      </c>
      <c r="P233" t="s">
        <v>334</v>
      </c>
      <c r="Q233" t="s">
        <v>2856</v>
      </c>
      <c r="R233" t="s">
        <v>2141</v>
      </c>
      <c r="T233" t="s">
        <v>1778</v>
      </c>
      <c r="BI233" s="34" t="str">
        <f>HYPERLINK("#일위대가목록!A212","NT205-25 →")</f>
        <v>NT205-25 →</v>
      </c>
    </row>
    <row r="234" spans="1:61" ht="18.399999999999999" hidden="1" customHeight="1" x14ac:dyDescent="0.15">
      <c r="A234" s="2" t="s">
        <v>834</v>
      </c>
      <c r="B234" s="87" t="s">
        <v>816</v>
      </c>
      <c r="C234" s="2">
        <v>1</v>
      </c>
      <c r="D234" s="2" t="s">
        <v>1302</v>
      </c>
      <c r="E234" s="27">
        <f t="shared" si="16"/>
        <v>24700</v>
      </c>
      <c r="F234" s="28">
        <f t="shared" si="15"/>
        <v>24700</v>
      </c>
      <c r="G234" s="27">
        <f>자재조서!E131</f>
        <v>24700</v>
      </c>
      <c r="H234" s="28">
        <f t="shared" si="17"/>
        <v>24700</v>
      </c>
      <c r="I234" s="27">
        <v>0</v>
      </c>
      <c r="J234" s="28"/>
      <c r="K234" s="27">
        <v>0</v>
      </c>
      <c r="L234" s="28"/>
      <c r="M234" s="86" t="s">
        <v>2856</v>
      </c>
      <c r="N234" t="s">
        <v>2856</v>
      </c>
      <c r="P234" t="s">
        <v>2471</v>
      </c>
      <c r="Q234" t="s">
        <v>2856</v>
      </c>
      <c r="R234" t="s">
        <v>2314</v>
      </c>
      <c r="BI234" s="34" t="str">
        <f>HYPERLINK("#자재조서!A125","MTP-038 →")</f>
        <v>MTP-038 →</v>
      </c>
    </row>
    <row r="235" spans="1:61" ht="18.399999999999999" hidden="1" customHeight="1" x14ac:dyDescent="0.15">
      <c r="A235" s="2" t="s">
        <v>261</v>
      </c>
      <c r="B235" s="87" t="s">
        <v>2437</v>
      </c>
      <c r="C235" s="2">
        <v>30</v>
      </c>
      <c r="D235" s="2" t="s">
        <v>1674</v>
      </c>
      <c r="E235" s="27">
        <f t="shared" si="16"/>
        <v>433</v>
      </c>
      <c r="F235" s="28">
        <f t="shared" si="15"/>
        <v>12990</v>
      </c>
      <c r="G235" s="27">
        <f>자재조서!E129</f>
        <v>433</v>
      </c>
      <c r="H235" s="28">
        <f t="shared" si="17"/>
        <v>12990</v>
      </c>
      <c r="I235" s="27">
        <v>0</v>
      </c>
      <c r="J235" s="28"/>
      <c r="K235" s="27">
        <v>0</v>
      </c>
      <c r="L235" s="28"/>
      <c r="M235" s="86" t="s">
        <v>2856</v>
      </c>
      <c r="N235" t="s">
        <v>2856</v>
      </c>
      <c r="P235" t="s">
        <v>1741</v>
      </c>
      <c r="Q235" t="s">
        <v>1839</v>
      </c>
      <c r="R235" t="s">
        <v>1422</v>
      </c>
      <c r="BI235" s="34" t="str">
        <f>HYPERLINK("#자재조서!A123","MTP-010 →")</f>
        <v>MTP-010 →</v>
      </c>
    </row>
    <row r="236" spans="1:61" ht="18.399999999999999" hidden="1" customHeight="1" x14ac:dyDescent="0.15">
      <c r="A236" s="2" t="s">
        <v>2029</v>
      </c>
      <c r="B236" s="87" t="s">
        <v>1936</v>
      </c>
      <c r="C236" s="2">
        <v>47.3</v>
      </c>
      <c r="D236" s="2" t="s">
        <v>1086</v>
      </c>
      <c r="E236" s="27">
        <f t="shared" si="16"/>
        <v>40</v>
      </c>
      <c r="F236" s="28">
        <f t="shared" si="15"/>
        <v>1892</v>
      </c>
      <c r="G236" s="27">
        <f>자재조서!E137</f>
        <v>40</v>
      </c>
      <c r="H236" s="28">
        <f t="shared" si="17"/>
        <v>1892</v>
      </c>
      <c r="I236" s="27">
        <v>0</v>
      </c>
      <c r="J236" s="28"/>
      <c r="K236" s="27">
        <v>0</v>
      </c>
      <c r="L236" s="28"/>
      <c r="M236" s="86" t="s">
        <v>2856</v>
      </c>
      <c r="N236" t="s">
        <v>2856</v>
      </c>
      <c r="P236" t="s">
        <v>1036</v>
      </c>
      <c r="Q236" t="s">
        <v>2856</v>
      </c>
      <c r="R236" t="s">
        <v>316</v>
      </c>
      <c r="BI236" s="34" t="str">
        <f>HYPERLINK("#자재조서!A131","MTP-121 →")</f>
        <v>MTP-121 →</v>
      </c>
    </row>
    <row r="237" spans="1:61" ht="18.399999999999999" hidden="1" customHeight="1" x14ac:dyDescent="0.15">
      <c r="A237" s="2" t="s">
        <v>694</v>
      </c>
      <c r="B237" s="87" t="s">
        <v>1038</v>
      </c>
      <c r="C237" s="2">
        <v>16.600000000000001</v>
      </c>
      <c r="D237" s="2" t="s">
        <v>1086</v>
      </c>
      <c r="E237" s="27">
        <f t="shared" si="16"/>
        <v>150</v>
      </c>
      <c r="F237" s="28">
        <f t="shared" si="15"/>
        <v>2490</v>
      </c>
      <c r="G237" s="27">
        <f>자재조서!E136</f>
        <v>150</v>
      </c>
      <c r="H237" s="28">
        <f t="shared" si="17"/>
        <v>2490</v>
      </c>
      <c r="I237" s="27">
        <v>0</v>
      </c>
      <c r="J237" s="28"/>
      <c r="K237" s="27">
        <v>0</v>
      </c>
      <c r="L237" s="28"/>
      <c r="M237" s="86" t="s">
        <v>2856</v>
      </c>
      <c r="N237" t="s">
        <v>2856</v>
      </c>
      <c r="P237" t="s">
        <v>286</v>
      </c>
      <c r="Q237" t="s">
        <v>2856</v>
      </c>
      <c r="R237" t="s">
        <v>794</v>
      </c>
      <c r="BI237" s="34" t="str">
        <f>HYPERLINK("#자재조서!A130","MTP-110 →")</f>
        <v>MTP-110 →</v>
      </c>
    </row>
    <row r="238" spans="1:61" ht="18.399999999999999" hidden="1" customHeight="1" x14ac:dyDescent="0.15">
      <c r="A238" s="2" t="s">
        <v>1734</v>
      </c>
      <c r="B238" s="87" t="s">
        <v>2741</v>
      </c>
      <c r="C238" s="2">
        <v>2.82</v>
      </c>
      <c r="D238" s="2" t="s">
        <v>1674</v>
      </c>
      <c r="E238" s="27">
        <f t="shared" si="16"/>
        <v>1245</v>
      </c>
      <c r="F238" s="28">
        <f t="shared" si="15"/>
        <v>3510.9</v>
      </c>
      <c r="G238" s="27">
        <f>자재조서!E138</f>
        <v>1245</v>
      </c>
      <c r="H238" s="28">
        <f t="shared" si="17"/>
        <v>3510.9</v>
      </c>
      <c r="I238" s="27">
        <v>0</v>
      </c>
      <c r="J238" s="28"/>
      <c r="K238" s="27">
        <v>0</v>
      </c>
      <c r="L238" s="28"/>
      <c r="M238" s="86" t="s">
        <v>2856</v>
      </c>
      <c r="N238" t="s">
        <v>2856</v>
      </c>
      <c r="P238" t="s">
        <v>2428</v>
      </c>
      <c r="Q238" t="s">
        <v>2856</v>
      </c>
      <c r="R238" t="s">
        <v>1046</v>
      </c>
      <c r="BI238" s="34" t="str">
        <f>HYPERLINK("#자재조서!A132","MTP-131 →")</f>
        <v>MTP-131 →</v>
      </c>
    </row>
    <row r="239" spans="1:61" ht="18.399999999999999" hidden="1" customHeight="1" x14ac:dyDescent="0.15">
      <c r="A239" s="1"/>
      <c r="B239" s="87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87"/>
    </row>
    <row r="240" spans="1:61" ht="18.399999999999999" hidden="1" customHeight="1" x14ac:dyDescent="0.15">
      <c r="A240" s="2" t="s">
        <v>1145</v>
      </c>
      <c r="B240" s="87" t="s">
        <v>395</v>
      </c>
      <c r="C240" s="2">
        <v>1</v>
      </c>
      <c r="D240" s="2" t="s">
        <v>556</v>
      </c>
      <c r="E240" s="184"/>
      <c r="F240" s="29">
        <f t="shared" ref="F240:F246" si="18">H240+J240+L240</f>
        <v>622988</v>
      </c>
      <c r="G240" s="184"/>
      <c r="H240" s="29">
        <f>TRUNC(H241+H242+H244+H245+H246,0)</f>
        <v>74150</v>
      </c>
      <c r="I240" s="184"/>
      <c r="J240" s="29">
        <f>TRUNC(J241+J242+J244+J245+J246,0)</f>
        <v>443066</v>
      </c>
      <c r="K240" s="184"/>
      <c r="L240" s="29">
        <f>TRUNC(L241+L242+L244+L245+L246,0)</f>
        <v>105772</v>
      </c>
      <c r="M240" s="86" t="s">
        <v>2856</v>
      </c>
      <c r="N240" t="s">
        <v>2856</v>
      </c>
      <c r="O240" t="s">
        <v>1829</v>
      </c>
    </row>
    <row r="241" spans="1:61" ht="18.399999999999999" hidden="1" customHeight="1" x14ac:dyDescent="0.15">
      <c r="A241" s="2" t="s">
        <v>1869</v>
      </c>
      <c r="B241" s="87" t="s">
        <v>2192</v>
      </c>
      <c r="C241" s="2">
        <v>1</v>
      </c>
      <c r="D241" s="2" t="s">
        <v>556</v>
      </c>
      <c r="E241" s="27">
        <f t="shared" ref="E241:E246" si="19">G241+I241+K241</f>
        <v>598895</v>
      </c>
      <c r="F241" s="28">
        <f t="shared" si="18"/>
        <v>598895</v>
      </c>
      <c r="G241" s="27">
        <f>일위대가목록!F217</f>
        <v>50057</v>
      </c>
      <c r="H241" s="28">
        <f t="shared" ref="H241:H246" si="20">TRUNC(G241*C241,1)</f>
        <v>50057</v>
      </c>
      <c r="I241" s="27">
        <f>일위대가목록!H217</f>
        <v>443066</v>
      </c>
      <c r="J241" s="28">
        <f>TRUNC(I241*C241,1)</f>
        <v>443066</v>
      </c>
      <c r="K241" s="27">
        <f>일위대가목록!J217</f>
        <v>105772</v>
      </c>
      <c r="L241" s="28">
        <f>TRUNC(K241*C241,1)</f>
        <v>105772</v>
      </c>
      <c r="M241" s="86" t="s">
        <v>2856</v>
      </c>
      <c r="N241" t="s">
        <v>2856</v>
      </c>
      <c r="P241" t="s">
        <v>334</v>
      </c>
      <c r="Q241" t="s">
        <v>2856</v>
      </c>
      <c r="R241" t="s">
        <v>2141</v>
      </c>
      <c r="T241" t="s">
        <v>1778</v>
      </c>
      <c r="BI241" s="34" t="str">
        <f>HYPERLINK("#일위대가목록!A212","NT205-25 →")</f>
        <v>NT205-25 →</v>
      </c>
    </row>
    <row r="242" spans="1:61" ht="18.399999999999999" hidden="1" customHeight="1" x14ac:dyDescent="0.15">
      <c r="A242" s="2" t="s">
        <v>300</v>
      </c>
      <c r="B242" s="87" t="s">
        <v>1807</v>
      </c>
      <c r="C242" s="2">
        <v>1</v>
      </c>
      <c r="D242" s="2" t="s">
        <v>1302</v>
      </c>
      <c r="E242" s="27">
        <f t="shared" si="19"/>
        <v>17700</v>
      </c>
      <c r="F242" s="28">
        <f t="shared" si="18"/>
        <v>17700</v>
      </c>
      <c r="G242" s="27">
        <f>자재조서!E132</f>
        <v>17700</v>
      </c>
      <c r="H242" s="28">
        <f t="shared" si="20"/>
        <v>17700</v>
      </c>
      <c r="I242" s="27">
        <v>0</v>
      </c>
      <c r="J242" s="28"/>
      <c r="K242" s="27">
        <v>0</v>
      </c>
      <c r="L242" s="28"/>
      <c r="M242" s="86" t="s">
        <v>2856</v>
      </c>
      <c r="N242" t="s">
        <v>2856</v>
      </c>
      <c r="P242" t="s">
        <v>2471</v>
      </c>
      <c r="Q242" t="s">
        <v>2856</v>
      </c>
      <c r="R242" t="s">
        <v>1011</v>
      </c>
      <c r="BI242" s="34" t="str">
        <f>HYPERLINK("#자재조서!A126","MTP-039 →")</f>
        <v>MTP-039 →</v>
      </c>
    </row>
    <row r="243" spans="1:61" ht="18.399999999999999" hidden="1" customHeight="1" x14ac:dyDescent="0.15">
      <c r="A243" s="2" t="s">
        <v>261</v>
      </c>
      <c r="B243" s="87" t="s">
        <v>2437</v>
      </c>
      <c r="C243" s="2">
        <v>30</v>
      </c>
      <c r="D243" s="2" t="s">
        <v>1674</v>
      </c>
      <c r="E243" s="27">
        <f t="shared" si="19"/>
        <v>433</v>
      </c>
      <c r="F243" s="28">
        <f t="shared" si="18"/>
        <v>12990</v>
      </c>
      <c r="G243" s="27">
        <f>자재조서!E129</f>
        <v>433</v>
      </c>
      <c r="H243" s="28">
        <f t="shared" si="20"/>
        <v>12990</v>
      </c>
      <c r="I243" s="27">
        <v>0</v>
      </c>
      <c r="J243" s="28"/>
      <c r="K243" s="27">
        <v>0</v>
      </c>
      <c r="L243" s="28"/>
      <c r="M243" s="86" t="s">
        <v>2856</v>
      </c>
      <c r="N243" t="s">
        <v>2856</v>
      </c>
      <c r="P243" t="s">
        <v>1741</v>
      </c>
      <c r="Q243" t="s">
        <v>1839</v>
      </c>
      <c r="R243" t="s">
        <v>1422</v>
      </c>
      <c r="BI243" s="34" t="str">
        <f>HYPERLINK("#자재조서!A123","MTP-010 →")</f>
        <v>MTP-010 →</v>
      </c>
    </row>
    <row r="244" spans="1:61" ht="18.399999999999999" hidden="1" customHeight="1" x14ac:dyDescent="0.15">
      <c r="A244" s="2" t="s">
        <v>2029</v>
      </c>
      <c r="B244" s="87" t="s">
        <v>1936</v>
      </c>
      <c r="C244" s="2">
        <v>40.299999999999997</v>
      </c>
      <c r="D244" s="2" t="s">
        <v>1086</v>
      </c>
      <c r="E244" s="27">
        <f t="shared" si="19"/>
        <v>40</v>
      </c>
      <c r="F244" s="28">
        <f t="shared" si="18"/>
        <v>1612</v>
      </c>
      <c r="G244" s="27">
        <f>자재조서!E137</f>
        <v>40</v>
      </c>
      <c r="H244" s="28">
        <f t="shared" si="20"/>
        <v>1612</v>
      </c>
      <c r="I244" s="27">
        <v>0</v>
      </c>
      <c r="J244" s="28"/>
      <c r="K244" s="27">
        <v>0</v>
      </c>
      <c r="L244" s="28"/>
      <c r="M244" s="86" t="s">
        <v>2856</v>
      </c>
      <c r="N244" t="s">
        <v>2856</v>
      </c>
      <c r="P244" t="s">
        <v>1036</v>
      </c>
      <c r="Q244" t="s">
        <v>2856</v>
      </c>
      <c r="R244" t="s">
        <v>316</v>
      </c>
      <c r="BI244" s="34" t="str">
        <f>HYPERLINK("#자재조서!A131","MTP-121 →")</f>
        <v>MTP-121 →</v>
      </c>
    </row>
    <row r="245" spans="1:61" ht="18.399999999999999" hidden="1" customHeight="1" x14ac:dyDescent="0.15">
      <c r="A245" s="2" t="s">
        <v>694</v>
      </c>
      <c r="B245" s="87" t="s">
        <v>1038</v>
      </c>
      <c r="C245" s="2">
        <v>13.2</v>
      </c>
      <c r="D245" s="2" t="s">
        <v>1086</v>
      </c>
      <c r="E245" s="27">
        <f t="shared" si="19"/>
        <v>150</v>
      </c>
      <c r="F245" s="28">
        <f t="shared" si="18"/>
        <v>1980</v>
      </c>
      <c r="G245" s="27">
        <f>자재조서!E136</f>
        <v>150</v>
      </c>
      <c r="H245" s="28">
        <f t="shared" si="20"/>
        <v>1980</v>
      </c>
      <c r="I245" s="27">
        <v>0</v>
      </c>
      <c r="J245" s="28"/>
      <c r="K245" s="27">
        <v>0</v>
      </c>
      <c r="L245" s="28"/>
      <c r="M245" s="86" t="s">
        <v>2856</v>
      </c>
      <c r="N245" t="s">
        <v>2856</v>
      </c>
      <c r="P245" t="s">
        <v>286</v>
      </c>
      <c r="Q245" t="s">
        <v>2856</v>
      </c>
      <c r="R245" t="s">
        <v>794</v>
      </c>
      <c r="BI245" s="34" t="str">
        <f>HYPERLINK("#자재조서!A130","MTP-110 →")</f>
        <v>MTP-110 →</v>
      </c>
    </row>
    <row r="246" spans="1:61" ht="18.399999999999999" hidden="1" customHeight="1" x14ac:dyDescent="0.15">
      <c r="A246" s="2" t="s">
        <v>1734</v>
      </c>
      <c r="B246" s="87" t="s">
        <v>2741</v>
      </c>
      <c r="C246" s="2">
        <v>2.25</v>
      </c>
      <c r="D246" s="2" t="s">
        <v>1674</v>
      </c>
      <c r="E246" s="27">
        <f t="shared" si="19"/>
        <v>1245</v>
      </c>
      <c r="F246" s="28">
        <f t="shared" si="18"/>
        <v>2801.2</v>
      </c>
      <c r="G246" s="27">
        <f>자재조서!E138</f>
        <v>1245</v>
      </c>
      <c r="H246" s="28">
        <f t="shared" si="20"/>
        <v>2801.2</v>
      </c>
      <c r="I246" s="27">
        <v>0</v>
      </c>
      <c r="J246" s="28"/>
      <c r="K246" s="27">
        <v>0</v>
      </c>
      <c r="L246" s="28"/>
      <c r="M246" s="86" t="s">
        <v>2856</v>
      </c>
      <c r="N246" t="s">
        <v>2856</v>
      </c>
      <c r="P246" t="s">
        <v>2428</v>
      </c>
      <c r="Q246" t="s">
        <v>2856</v>
      </c>
      <c r="R246" t="s">
        <v>1046</v>
      </c>
      <c r="BI246" s="34" t="str">
        <f>HYPERLINK("#자재조서!A132","MTP-131 →")</f>
        <v>MTP-131 →</v>
      </c>
    </row>
    <row r="247" spans="1:61" ht="18.399999999999999" hidden="1" customHeight="1" x14ac:dyDescent="0.15">
      <c r="A247" s="1"/>
      <c r="B247" s="87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87"/>
    </row>
    <row r="248" spans="1:61" ht="18.399999999999999" hidden="1" customHeight="1" x14ac:dyDescent="0.15">
      <c r="A248" s="2" t="s">
        <v>1512</v>
      </c>
      <c r="B248" s="87" t="s">
        <v>2159</v>
      </c>
      <c r="C248" s="2">
        <v>1</v>
      </c>
      <c r="D248" s="2" t="s">
        <v>556</v>
      </c>
      <c r="E248" s="184"/>
      <c r="F248" s="29">
        <f t="shared" ref="F248:F254" si="21">H248+J248+L248</f>
        <v>620822</v>
      </c>
      <c r="G248" s="184"/>
      <c r="H248" s="29">
        <f>TRUNC(H249+H250+H252+H253+H254,0)</f>
        <v>71984</v>
      </c>
      <c r="I248" s="184"/>
      <c r="J248" s="29">
        <f>TRUNC(J249+J250+J252+J253+J254,0)</f>
        <v>443066</v>
      </c>
      <c r="K248" s="184"/>
      <c r="L248" s="29">
        <f>TRUNC(L249+L250+L252+L253+L254,0)</f>
        <v>105772</v>
      </c>
      <c r="M248" s="86" t="s">
        <v>2856</v>
      </c>
      <c r="N248" t="s">
        <v>2856</v>
      </c>
      <c r="O248" t="s">
        <v>580</v>
      </c>
    </row>
    <row r="249" spans="1:61" ht="18.399999999999999" hidden="1" customHeight="1" x14ac:dyDescent="0.15">
      <c r="A249" s="2" t="s">
        <v>1869</v>
      </c>
      <c r="B249" s="87" t="s">
        <v>2192</v>
      </c>
      <c r="C249" s="2">
        <v>1</v>
      </c>
      <c r="D249" s="2" t="s">
        <v>556</v>
      </c>
      <c r="E249" s="27">
        <f t="shared" ref="E249:E254" si="22">G249+I249+K249</f>
        <v>598895</v>
      </c>
      <c r="F249" s="28">
        <f t="shared" si="21"/>
        <v>598895</v>
      </c>
      <c r="G249" s="27">
        <f>일위대가목록!F217</f>
        <v>50057</v>
      </c>
      <c r="H249" s="28">
        <f t="shared" ref="H249:H254" si="23">TRUNC(G249*C249,1)</f>
        <v>50057</v>
      </c>
      <c r="I249" s="27">
        <f>일위대가목록!H217</f>
        <v>443066</v>
      </c>
      <c r="J249" s="28">
        <f>TRUNC(I249*C249,1)</f>
        <v>443066</v>
      </c>
      <c r="K249" s="27">
        <f>일위대가목록!J217</f>
        <v>105772</v>
      </c>
      <c r="L249" s="28">
        <f>TRUNC(K249*C249,1)</f>
        <v>105772</v>
      </c>
      <c r="M249" s="86" t="s">
        <v>2856</v>
      </c>
      <c r="N249" t="s">
        <v>2856</v>
      </c>
      <c r="P249" t="s">
        <v>334</v>
      </c>
      <c r="Q249" t="s">
        <v>2856</v>
      </c>
      <c r="R249" t="s">
        <v>2141</v>
      </c>
      <c r="T249" t="s">
        <v>1778</v>
      </c>
      <c r="BI249" s="34" t="str">
        <f>HYPERLINK("#일위대가목록!A212","NT205-25 →")</f>
        <v>NT205-25 →</v>
      </c>
    </row>
    <row r="250" spans="1:61" ht="18.399999999999999" hidden="1" customHeight="1" x14ac:dyDescent="0.15">
      <c r="A250" s="2" t="s">
        <v>300</v>
      </c>
      <c r="B250" s="87" t="s">
        <v>1807</v>
      </c>
      <c r="C250" s="2">
        <v>1</v>
      </c>
      <c r="D250" s="2" t="s">
        <v>1302</v>
      </c>
      <c r="E250" s="27">
        <f t="shared" si="22"/>
        <v>17700</v>
      </c>
      <c r="F250" s="28">
        <f t="shared" si="21"/>
        <v>17700</v>
      </c>
      <c r="G250" s="27">
        <f>자재조서!E132</f>
        <v>17700</v>
      </c>
      <c r="H250" s="28">
        <f t="shared" si="23"/>
        <v>17700</v>
      </c>
      <c r="I250" s="27">
        <v>0</v>
      </c>
      <c r="J250" s="28"/>
      <c r="K250" s="27">
        <v>0</v>
      </c>
      <c r="L250" s="28"/>
      <c r="M250" s="86" t="s">
        <v>2856</v>
      </c>
      <c r="N250" t="s">
        <v>2856</v>
      </c>
      <c r="P250" t="s">
        <v>2471</v>
      </c>
      <c r="Q250" t="s">
        <v>2856</v>
      </c>
      <c r="R250" t="s">
        <v>1011</v>
      </c>
      <c r="BI250" s="34" t="str">
        <f>HYPERLINK("#자재조서!A126","MTP-039 →")</f>
        <v>MTP-039 →</v>
      </c>
    </row>
    <row r="251" spans="1:61" ht="18.399999999999999" hidden="1" customHeight="1" x14ac:dyDescent="0.15">
      <c r="A251" s="2" t="s">
        <v>261</v>
      </c>
      <c r="B251" s="87" t="s">
        <v>2437</v>
      </c>
      <c r="C251" s="2">
        <v>20</v>
      </c>
      <c r="D251" s="2" t="s">
        <v>1674</v>
      </c>
      <c r="E251" s="27">
        <f t="shared" si="22"/>
        <v>433</v>
      </c>
      <c r="F251" s="28">
        <f t="shared" si="21"/>
        <v>8660</v>
      </c>
      <c r="G251" s="27">
        <f>자재조서!E129</f>
        <v>433</v>
      </c>
      <c r="H251" s="28">
        <f t="shared" si="23"/>
        <v>8660</v>
      </c>
      <c r="I251" s="27">
        <v>0</v>
      </c>
      <c r="J251" s="28"/>
      <c r="K251" s="27">
        <v>0</v>
      </c>
      <c r="L251" s="28"/>
      <c r="M251" s="86" t="s">
        <v>2856</v>
      </c>
      <c r="N251" t="s">
        <v>2856</v>
      </c>
      <c r="P251" t="s">
        <v>1741</v>
      </c>
      <c r="Q251" t="s">
        <v>1839</v>
      </c>
      <c r="R251" t="s">
        <v>1422</v>
      </c>
      <c r="BI251" s="34" t="str">
        <f>HYPERLINK("#자재조서!A123","MTP-010 →")</f>
        <v>MTP-010 →</v>
      </c>
    </row>
    <row r="252" spans="1:61" ht="18.399999999999999" hidden="1" customHeight="1" x14ac:dyDescent="0.15">
      <c r="A252" s="2" t="s">
        <v>2029</v>
      </c>
      <c r="B252" s="87" t="s">
        <v>1936</v>
      </c>
      <c r="C252" s="2">
        <v>29</v>
      </c>
      <c r="D252" s="2" t="s">
        <v>1086</v>
      </c>
      <c r="E252" s="27">
        <f t="shared" si="22"/>
        <v>40</v>
      </c>
      <c r="F252" s="28">
        <f t="shared" si="21"/>
        <v>1160</v>
      </c>
      <c r="G252" s="27">
        <f>자재조서!E137</f>
        <v>40</v>
      </c>
      <c r="H252" s="28">
        <f t="shared" si="23"/>
        <v>1160</v>
      </c>
      <c r="I252" s="27">
        <v>0</v>
      </c>
      <c r="J252" s="28"/>
      <c r="K252" s="27">
        <v>0</v>
      </c>
      <c r="L252" s="28"/>
      <c r="M252" s="86" t="s">
        <v>2856</v>
      </c>
      <c r="N252" t="s">
        <v>2856</v>
      </c>
      <c r="P252" t="s">
        <v>1036</v>
      </c>
      <c r="Q252" t="s">
        <v>2856</v>
      </c>
      <c r="R252" t="s">
        <v>316</v>
      </c>
      <c r="BI252" s="34" t="str">
        <f>HYPERLINK("#자재조서!A131","MTP-121 →")</f>
        <v>MTP-121 →</v>
      </c>
    </row>
    <row r="253" spans="1:61" ht="18.399999999999999" hidden="1" customHeight="1" x14ac:dyDescent="0.15">
      <c r="A253" s="2" t="s">
        <v>694</v>
      </c>
      <c r="B253" s="87" t="s">
        <v>1038</v>
      </c>
      <c r="C253" s="2">
        <v>8.5</v>
      </c>
      <c r="D253" s="2" t="s">
        <v>1086</v>
      </c>
      <c r="E253" s="27">
        <f t="shared" si="22"/>
        <v>150</v>
      </c>
      <c r="F253" s="28">
        <f t="shared" si="21"/>
        <v>1275</v>
      </c>
      <c r="G253" s="27">
        <f>자재조서!E136</f>
        <v>150</v>
      </c>
      <c r="H253" s="28">
        <f t="shared" si="23"/>
        <v>1275</v>
      </c>
      <c r="I253" s="27">
        <v>0</v>
      </c>
      <c r="J253" s="28"/>
      <c r="K253" s="27">
        <v>0</v>
      </c>
      <c r="L253" s="28"/>
      <c r="M253" s="86" t="s">
        <v>2856</v>
      </c>
      <c r="N253" t="s">
        <v>2856</v>
      </c>
      <c r="P253" t="s">
        <v>286</v>
      </c>
      <c r="Q253" t="s">
        <v>2856</v>
      </c>
      <c r="R253" t="s">
        <v>794</v>
      </c>
      <c r="BI253" s="34" t="str">
        <f>HYPERLINK("#자재조서!A130","MTP-110 →")</f>
        <v>MTP-110 →</v>
      </c>
    </row>
    <row r="254" spans="1:61" ht="18.399999999999999" hidden="1" customHeight="1" x14ac:dyDescent="0.15">
      <c r="A254" s="2" t="s">
        <v>1734</v>
      </c>
      <c r="B254" s="87" t="s">
        <v>2741</v>
      </c>
      <c r="C254" s="2">
        <v>1.44</v>
      </c>
      <c r="D254" s="2" t="s">
        <v>1674</v>
      </c>
      <c r="E254" s="27">
        <f t="shared" si="22"/>
        <v>1245</v>
      </c>
      <c r="F254" s="28">
        <f t="shared" si="21"/>
        <v>1792.8</v>
      </c>
      <c r="G254" s="27">
        <f>자재조서!E138</f>
        <v>1245</v>
      </c>
      <c r="H254" s="28">
        <f t="shared" si="23"/>
        <v>1792.8</v>
      </c>
      <c r="I254" s="27">
        <v>0</v>
      </c>
      <c r="J254" s="28"/>
      <c r="K254" s="27">
        <v>0</v>
      </c>
      <c r="L254" s="28"/>
      <c r="M254" s="86" t="s">
        <v>2856</v>
      </c>
      <c r="N254" t="s">
        <v>2856</v>
      </c>
      <c r="P254" t="s">
        <v>2428</v>
      </c>
      <c r="Q254" t="s">
        <v>2856</v>
      </c>
      <c r="R254" t="s">
        <v>1046</v>
      </c>
      <c r="BI254" s="34" t="str">
        <f>HYPERLINK("#자재조서!A132","MTP-131 →")</f>
        <v>MTP-131 →</v>
      </c>
    </row>
    <row r="255" spans="1:61" ht="18.399999999999999" hidden="1" customHeight="1" x14ac:dyDescent="0.15">
      <c r="A255" s="1"/>
      <c r="B255" s="87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87"/>
    </row>
    <row r="256" spans="1:61" ht="18.399999999999999" hidden="1" customHeight="1" x14ac:dyDescent="0.15">
      <c r="A256" s="2" t="s">
        <v>2565</v>
      </c>
      <c r="B256" s="87" t="s">
        <v>2040</v>
      </c>
      <c r="C256" s="2">
        <v>1</v>
      </c>
      <c r="D256" s="2" t="s">
        <v>556</v>
      </c>
      <c r="E256" s="184"/>
      <c r="F256" s="29">
        <f t="shared" ref="F256:F262" si="24">H256+J256+L256</f>
        <v>206888</v>
      </c>
      <c r="G256" s="184"/>
      <c r="H256" s="29">
        <f>TRUNC(H257+H258+H260+H261+H262,0)</f>
        <v>28618</v>
      </c>
      <c r="I256" s="184"/>
      <c r="J256" s="29">
        <f>TRUNC(J257+J258+J260+J261+J262,0)</f>
        <v>161829</v>
      </c>
      <c r="K256" s="184"/>
      <c r="L256" s="29">
        <f>TRUNC(L257+L258+L260+L261+L262,0)</f>
        <v>16441</v>
      </c>
      <c r="M256" s="86" t="s">
        <v>2856</v>
      </c>
      <c r="N256" t="s">
        <v>2856</v>
      </c>
      <c r="O256" t="s">
        <v>1819</v>
      </c>
    </row>
    <row r="257" spans="1:61" ht="18.399999999999999" hidden="1" customHeight="1" x14ac:dyDescent="0.15">
      <c r="A257" s="2" t="s">
        <v>1869</v>
      </c>
      <c r="B257" s="87" t="s">
        <v>2572</v>
      </c>
      <c r="C257" s="2">
        <v>1</v>
      </c>
      <c r="D257" s="2" t="s">
        <v>556</v>
      </c>
      <c r="E257" s="27">
        <f t="shared" ref="E257:E262" si="25">G257+I257+K257</f>
        <v>195123</v>
      </c>
      <c r="F257" s="28">
        <f t="shared" si="24"/>
        <v>195123</v>
      </c>
      <c r="G257" s="27">
        <f>일위대가목록!F220</f>
        <v>16853</v>
      </c>
      <c r="H257" s="28">
        <f t="shared" ref="H257:H262" si="26">TRUNC(G257*C257,1)</f>
        <v>16853</v>
      </c>
      <c r="I257" s="27">
        <f>일위대가목록!H220</f>
        <v>161829</v>
      </c>
      <c r="J257" s="28">
        <f>TRUNC(I257*C257,1)</f>
        <v>161829</v>
      </c>
      <c r="K257" s="27">
        <f>일위대가목록!J220</f>
        <v>16441</v>
      </c>
      <c r="L257" s="28">
        <f>TRUNC(K257*C257,1)</f>
        <v>16441</v>
      </c>
      <c r="M257" s="86" t="s">
        <v>2856</v>
      </c>
      <c r="N257" t="s">
        <v>2856</v>
      </c>
      <c r="P257" t="s">
        <v>334</v>
      </c>
      <c r="Q257" t="s">
        <v>2856</v>
      </c>
      <c r="R257" t="s">
        <v>2611</v>
      </c>
      <c r="T257" t="s">
        <v>1778</v>
      </c>
      <c r="BI257" s="34" t="str">
        <f>HYPERLINK("#일위대가목록!A215","NT205-14 →")</f>
        <v>NT205-14 →</v>
      </c>
    </row>
    <row r="258" spans="1:61" ht="18.399999999999999" hidden="1" customHeight="1" x14ac:dyDescent="0.15">
      <c r="A258" s="2" t="s">
        <v>792</v>
      </c>
      <c r="B258" s="87" t="s">
        <v>2570</v>
      </c>
      <c r="C258" s="2">
        <v>1</v>
      </c>
      <c r="D258" s="2" t="s">
        <v>1302</v>
      </c>
      <c r="E258" s="27">
        <f t="shared" si="25"/>
        <v>10400</v>
      </c>
      <c r="F258" s="28">
        <f t="shared" si="24"/>
        <v>10400</v>
      </c>
      <c r="G258" s="27">
        <f>자재조서!E133</f>
        <v>10400</v>
      </c>
      <c r="H258" s="28">
        <f t="shared" si="26"/>
        <v>10400</v>
      </c>
      <c r="I258" s="27">
        <v>0</v>
      </c>
      <c r="J258" s="28"/>
      <c r="K258" s="27">
        <v>0</v>
      </c>
      <c r="L258" s="28"/>
      <c r="M258" s="86" t="s">
        <v>2856</v>
      </c>
      <c r="N258" t="s">
        <v>2856</v>
      </c>
      <c r="P258" t="s">
        <v>2471</v>
      </c>
      <c r="Q258" t="s">
        <v>2856</v>
      </c>
      <c r="R258" t="s">
        <v>627</v>
      </c>
      <c r="BI258" s="34" t="str">
        <f>HYPERLINK("#자재조서!A127","MTP-040 →")</f>
        <v>MTP-040 →</v>
      </c>
    </row>
    <row r="259" spans="1:61" ht="18.399999999999999" hidden="1" customHeight="1" x14ac:dyDescent="0.15">
      <c r="A259" s="2" t="s">
        <v>261</v>
      </c>
      <c r="B259" s="87" t="s">
        <v>2437</v>
      </c>
      <c r="C259" s="2">
        <v>15</v>
      </c>
      <c r="D259" s="2" t="s">
        <v>1674</v>
      </c>
      <c r="E259" s="27">
        <f t="shared" si="25"/>
        <v>433</v>
      </c>
      <c r="F259" s="28">
        <f t="shared" si="24"/>
        <v>6495</v>
      </c>
      <c r="G259" s="27">
        <f>자재조서!E129</f>
        <v>433</v>
      </c>
      <c r="H259" s="28">
        <f t="shared" si="26"/>
        <v>6495</v>
      </c>
      <c r="I259" s="27">
        <v>0</v>
      </c>
      <c r="J259" s="28"/>
      <c r="K259" s="27">
        <v>0</v>
      </c>
      <c r="L259" s="28"/>
      <c r="M259" s="86" t="s">
        <v>2856</v>
      </c>
      <c r="N259" t="s">
        <v>2856</v>
      </c>
      <c r="P259" t="s">
        <v>1741</v>
      </c>
      <c r="Q259" t="s">
        <v>1839</v>
      </c>
      <c r="R259" t="s">
        <v>1422</v>
      </c>
      <c r="BI259" s="34" t="str">
        <f>HYPERLINK("#자재조서!A123","MTP-010 →")</f>
        <v>MTP-010 →</v>
      </c>
    </row>
    <row r="260" spans="1:61" ht="18.399999999999999" hidden="1" customHeight="1" x14ac:dyDescent="0.15">
      <c r="A260" s="2" t="s">
        <v>2029</v>
      </c>
      <c r="B260" s="87" t="s">
        <v>1936</v>
      </c>
      <c r="C260" s="2">
        <v>10.4</v>
      </c>
      <c r="D260" s="2" t="s">
        <v>1086</v>
      </c>
      <c r="E260" s="27">
        <f t="shared" si="25"/>
        <v>40</v>
      </c>
      <c r="F260" s="28">
        <f t="shared" si="24"/>
        <v>416</v>
      </c>
      <c r="G260" s="27">
        <f>자재조서!E137</f>
        <v>40</v>
      </c>
      <c r="H260" s="28">
        <f t="shared" si="26"/>
        <v>416</v>
      </c>
      <c r="I260" s="27">
        <v>0</v>
      </c>
      <c r="J260" s="28"/>
      <c r="K260" s="27">
        <v>0</v>
      </c>
      <c r="L260" s="28"/>
      <c r="M260" s="86" t="s">
        <v>2856</v>
      </c>
      <c r="N260" t="s">
        <v>2856</v>
      </c>
      <c r="P260" t="s">
        <v>1036</v>
      </c>
      <c r="Q260" t="s">
        <v>2856</v>
      </c>
      <c r="R260" t="s">
        <v>316</v>
      </c>
      <c r="BI260" s="34" t="str">
        <f>HYPERLINK("#자재조서!A131","MTP-121 →")</f>
        <v>MTP-121 →</v>
      </c>
    </row>
    <row r="261" spans="1:61" ht="18.399999999999999" hidden="1" customHeight="1" x14ac:dyDescent="0.15">
      <c r="A261" s="2" t="s">
        <v>694</v>
      </c>
      <c r="B261" s="87" t="s">
        <v>1038</v>
      </c>
      <c r="C261" s="2">
        <v>2.1</v>
      </c>
      <c r="D261" s="2" t="s">
        <v>1086</v>
      </c>
      <c r="E261" s="27">
        <f t="shared" si="25"/>
        <v>150</v>
      </c>
      <c r="F261" s="28">
        <f t="shared" si="24"/>
        <v>315</v>
      </c>
      <c r="G261" s="27">
        <f>자재조서!E136</f>
        <v>150</v>
      </c>
      <c r="H261" s="28">
        <f t="shared" si="26"/>
        <v>315</v>
      </c>
      <c r="I261" s="27">
        <v>0</v>
      </c>
      <c r="J261" s="28"/>
      <c r="K261" s="27">
        <v>0</v>
      </c>
      <c r="L261" s="28"/>
      <c r="M261" s="86" t="s">
        <v>2856</v>
      </c>
      <c r="N261" t="s">
        <v>2856</v>
      </c>
      <c r="P261" t="s">
        <v>286</v>
      </c>
      <c r="Q261" t="s">
        <v>2856</v>
      </c>
      <c r="R261" t="s">
        <v>794</v>
      </c>
      <c r="BI261" s="34" t="str">
        <f>HYPERLINK("#자재조서!A130","MTP-110 →")</f>
        <v>MTP-110 →</v>
      </c>
    </row>
    <row r="262" spans="1:61" ht="18.399999999999999" hidden="1" customHeight="1" x14ac:dyDescent="0.15">
      <c r="A262" s="2" t="s">
        <v>1734</v>
      </c>
      <c r="B262" s="87" t="s">
        <v>2741</v>
      </c>
      <c r="C262" s="2">
        <v>0.51</v>
      </c>
      <c r="D262" s="2" t="s">
        <v>1674</v>
      </c>
      <c r="E262" s="27">
        <f t="shared" si="25"/>
        <v>1245</v>
      </c>
      <c r="F262" s="28">
        <f t="shared" si="24"/>
        <v>634.9</v>
      </c>
      <c r="G262" s="27">
        <f>자재조서!E138</f>
        <v>1245</v>
      </c>
      <c r="H262" s="28">
        <f t="shared" si="26"/>
        <v>634.9</v>
      </c>
      <c r="I262" s="27">
        <v>0</v>
      </c>
      <c r="J262" s="28"/>
      <c r="K262" s="27">
        <v>0</v>
      </c>
      <c r="L262" s="28"/>
      <c r="M262" s="86" t="s">
        <v>2856</v>
      </c>
      <c r="N262" t="s">
        <v>2856</v>
      </c>
      <c r="P262" t="s">
        <v>2428</v>
      </c>
      <c r="Q262" t="s">
        <v>2856</v>
      </c>
      <c r="R262" t="s">
        <v>1046</v>
      </c>
      <c r="BI262" s="34" t="str">
        <f>HYPERLINK("#자재조서!A132","MTP-131 →")</f>
        <v>MTP-131 →</v>
      </c>
    </row>
    <row r="263" spans="1:61" ht="18.399999999999999" hidden="1" customHeight="1" x14ac:dyDescent="0.15">
      <c r="A263" s="1"/>
      <c r="B263" s="87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87"/>
    </row>
    <row r="264" spans="1:61" ht="18.399999999999999" hidden="1" customHeight="1" x14ac:dyDescent="0.15">
      <c r="A264" s="2" t="s">
        <v>1262</v>
      </c>
      <c r="B264" s="87" t="s">
        <v>1374</v>
      </c>
      <c r="C264" s="2">
        <v>1</v>
      </c>
      <c r="D264" s="2" t="s">
        <v>556</v>
      </c>
      <c r="E264" s="184"/>
      <c r="F264" s="29">
        <f t="shared" ref="F264:F270" si="27">H264+J264+L264</f>
        <v>630473</v>
      </c>
      <c r="G264" s="184"/>
      <c r="H264" s="29">
        <f>TRUNC(H265+H266+H268+H269+H270,0)</f>
        <v>81635</v>
      </c>
      <c r="I264" s="184"/>
      <c r="J264" s="29">
        <f>TRUNC(J265+J266+J268+J269+J270,0)</f>
        <v>443066</v>
      </c>
      <c r="K264" s="184"/>
      <c r="L264" s="29">
        <f>TRUNC(L265+L266+L268+L269+L270,0)</f>
        <v>105772</v>
      </c>
      <c r="M264" s="86" t="s">
        <v>2856</v>
      </c>
      <c r="N264" t="s">
        <v>2856</v>
      </c>
      <c r="O264" t="s">
        <v>2328</v>
      </c>
    </row>
    <row r="265" spans="1:61" ht="18.399999999999999" hidden="1" customHeight="1" x14ac:dyDescent="0.15">
      <c r="A265" s="2" t="s">
        <v>1869</v>
      </c>
      <c r="B265" s="87" t="s">
        <v>2192</v>
      </c>
      <c r="C265" s="2">
        <v>1</v>
      </c>
      <c r="D265" s="2" t="s">
        <v>556</v>
      </c>
      <c r="E265" s="27">
        <f t="shared" ref="E265:E270" si="28">G265+I265+K265</f>
        <v>598895</v>
      </c>
      <c r="F265" s="28">
        <f t="shared" si="27"/>
        <v>598895</v>
      </c>
      <c r="G265" s="27">
        <f>일위대가목록!F217</f>
        <v>50057</v>
      </c>
      <c r="H265" s="28">
        <f t="shared" ref="H265:H270" si="29">TRUNC(G265*C265,1)</f>
        <v>50057</v>
      </c>
      <c r="I265" s="27">
        <f>일위대가목록!H217</f>
        <v>443066</v>
      </c>
      <c r="J265" s="28">
        <f>TRUNC(I265*C265,1)</f>
        <v>443066</v>
      </c>
      <c r="K265" s="27">
        <f>일위대가목록!J217</f>
        <v>105772</v>
      </c>
      <c r="L265" s="28">
        <f>TRUNC(K265*C265,1)</f>
        <v>105772</v>
      </c>
      <c r="M265" s="86" t="s">
        <v>2856</v>
      </c>
      <c r="N265" t="s">
        <v>2856</v>
      </c>
      <c r="P265" t="s">
        <v>334</v>
      </c>
      <c r="Q265" t="s">
        <v>2856</v>
      </c>
      <c r="R265" t="s">
        <v>2141</v>
      </c>
      <c r="T265" t="s">
        <v>1778</v>
      </c>
      <c r="BI265" s="34" t="str">
        <f>HYPERLINK("#일위대가목록!A212","NT205-25 →")</f>
        <v>NT205-25 →</v>
      </c>
    </row>
    <row r="266" spans="1:61" ht="18.399999999999999" hidden="1" customHeight="1" x14ac:dyDescent="0.15">
      <c r="A266" s="2" t="s">
        <v>834</v>
      </c>
      <c r="B266" s="87" t="s">
        <v>816</v>
      </c>
      <c r="C266" s="2">
        <v>1</v>
      </c>
      <c r="D266" s="2" t="s">
        <v>1302</v>
      </c>
      <c r="E266" s="27">
        <f t="shared" si="28"/>
        <v>24700</v>
      </c>
      <c r="F266" s="28">
        <f t="shared" si="27"/>
        <v>24700</v>
      </c>
      <c r="G266" s="27">
        <f>자재조서!E131</f>
        <v>24700</v>
      </c>
      <c r="H266" s="28">
        <f t="shared" si="29"/>
        <v>24700</v>
      </c>
      <c r="I266" s="27">
        <v>0</v>
      </c>
      <c r="J266" s="28"/>
      <c r="K266" s="27">
        <v>0</v>
      </c>
      <c r="L266" s="28"/>
      <c r="M266" s="86" t="s">
        <v>2856</v>
      </c>
      <c r="N266" t="s">
        <v>2856</v>
      </c>
      <c r="P266" t="s">
        <v>2471</v>
      </c>
      <c r="Q266" t="s">
        <v>2856</v>
      </c>
      <c r="R266" t="s">
        <v>2314</v>
      </c>
      <c r="BI266" s="34" t="str">
        <f>HYPERLINK("#자재조서!A125","MTP-038 →")</f>
        <v>MTP-038 →</v>
      </c>
    </row>
    <row r="267" spans="1:61" ht="18.399999999999999" hidden="1" customHeight="1" x14ac:dyDescent="0.15">
      <c r="A267" s="2" t="s">
        <v>261</v>
      </c>
      <c r="B267" s="87" t="s">
        <v>2437</v>
      </c>
      <c r="C267" s="2">
        <v>30</v>
      </c>
      <c r="D267" s="2" t="s">
        <v>1674</v>
      </c>
      <c r="E267" s="27">
        <f t="shared" si="28"/>
        <v>433</v>
      </c>
      <c r="F267" s="28">
        <f t="shared" si="27"/>
        <v>12990</v>
      </c>
      <c r="G267" s="27">
        <f>자재조서!E129</f>
        <v>433</v>
      </c>
      <c r="H267" s="28">
        <f t="shared" si="29"/>
        <v>12990</v>
      </c>
      <c r="I267" s="27">
        <v>0</v>
      </c>
      <c r="J267" s="28"/>
      <c r="K267" s="27">
        <v>0</v>
      </c>
      <c r="L267" s="28"/>
      <c r="M267" s="86" t="s">
        <v>2856</v>
      </c>
      <c r="N267" t="s">
        <v>2856</v>
      </c>
      <c r="P267" t="s">
        <v>1741</v>
      </c>
      <c r="Q267" t="s">
        <v>1839</v>
      </c>
      <c r="R267" t="s">
        <v>1422</v>
      </c>
      <c r="BI267" s="34" t="str">
        <f>HYPERLINK("#자재조서!A123","MTP-010 →")</f>
        <v>MTP-010 →</v>
      </c>
    </row>
    <row r="268" spans="1:61" ht="18.399999999999999" hidden="1" customHeight="1" x14ac:dyDescent="0.15">
      <c r="A268" s="2" t="s">
        <v>2029</v>
      </c>
      <c r="B268" s="87" t="s">
        <v>1936</v>
      </c>
      <c r="C268" s="2">
        <v>42.7</v>
      </c>
      <c r="D268" s="2" t="s">
        <v>1086</v>
      </c>
      <c r="E268" s="27">
        <f t="shared" si="28"/>
        <v>40</v>
      </c>
      <c r="F268" s="28">
        <f t="shared" si="27"/>
        <v>1708</v>
      </c>
      <c r="G268" s="27">
        <f>자재조서!E137</f>
        <v>40</v>
      </c>
      <c r="H268" s="28">
        <f t="shared" si="29"/>
        <v>1708</v>
      </c>
      <c r="I268" s="27">
        <v>0</v>
      </c>
      <c r="J268" s="28"/>
      <c r="K268" s="27">
        <v>0</v>
      </c>
      <c r="L268" s="28"/>
      <c r="M268" s="86" t="s">
        <v>2856</v>
      </c>
      <c r="N268" t="s">
        <v>2856</v>
      </c>
      <c r="P268" t="s">
        <v>1036</v>
      </c>
      <c r="Q268" t="s">
        <v>2856</v>
      </c>
      <c r="R268" t="s">
        <v>316</v>
      </c>
      <c r="BI268" s="34" t="str">
        <f>HYPERLINK("#자재조서!A131","MTP-121 →")</f>
        <v>MTP-121 →</v>
      </c>
    </row>
    <row r="269" spans="1:61" ht="18.399999999999999" hidden="1" customHeight="1" x14ac:dyDescent="0.15">
      <c r="A269" s="2" t="s">
        <v>694</v>
      </c>
      <c r="B269" s="87" t="s">
        <v>1038</v>
      </c>
      <c r="C269" s="2">
        <v>14.3</v>
      </c>
      <c r="D269" s="2" t="s">
        <v>1086</v>
      </c>
      <c r="E269" s="27">
        <f t="shared" si="28"/>
        <v>150</v>
      </c>
      <c r="F269" s="28">
        <f t="shared" si="27"/>
        <v>2145</v>
      </c>
      <c r="G269" s="27">
        <f>자재조서!E136</f>
        <v>150</v>
      </c>
      <c r="H269" s="28">
        <f t="shared" si="29"/>
        <v>2145</v>
      </c>
      <c r="I269" s="27">
        <v>0</v>
      </c>
      <c r="J269" s="28"/>
      <c r="K269" s="27">
        <v>0</v>
      </c>
      <c r="L269" s="28"/>
      <c r="M269" s="86" t="s">
        <v>2856</v>
      </c>
      <c r="N269" t="s">
        <v>2856</v>
      </c>
      <c r="P269" t="s">
        <v>286</v>
      </c>
      <c r="Q269" t="s">
        <v>2856</v>
      </c>
      <c r="R269" t="s">
        <v>794</v>
      </c>
      <c r="BI269" s="34" t="str">
        <f>HYPERLINK("#자재조서!A130","MTP-110 →")</f>
        <v>MTP-110 →</v>
      </c>
    </row>
    <row r="270" spans="1:61" ht="18.399999999999999" hidden="1" customHeight="1" x14ac:dyDescent="0.15">
      <c r="A270" s="2" t="s">
        <v>1734</v>
      </c>
      <c r="B270" s="87" t="s">
        <v>2741</v>
      </c>
      <c r="C270" s="2">
        <v>2.4300000000000002</v>
      </c>
      <c r="D270" s="2" t="s">
        <v>1674</v>
      </c>
      <c r="E270" s="27">
        <f t="shared" si="28"/>
        <v>1245</v>
      </c>
      <c r="F270" s="28">
        <f t="shared" si="27"/>
        <v>3025.3</v>
      </c>
      <c r="G270" s="27">
        <f>자재조서!E138</f>
        <v>1245</v>
      </c>
      <c r="H270" s="28">
        <f t="shared" si="29"/>
        <v>3025.3</v>
      </c>
      <c r="I270" s="27">
        <v>0</v>
      </c>
      <c r="J270" s="28"/>
      <c r="K270" s="27">
        <v>0</v>
      </c>
      <c r="L270" s="28"/>
      <c r="M270" s="86" t="s">
        <v>2856</v>
      </c>
      <c r="N270" t="s">
        <v>2856</v>
      </c>
      <c r="P270" t="s">
        <v>2428</v>
      </c>
      <c r="Q270" t="s">
        <v>2856</v>
      </c>
      <c r="R270" t="s">
        <v>1046</v>
      </c>
      <c r="BI270" s="34" t="str">
        <f>HYPERLINK("#자재조서!A132","MTP-131 →")</f>
        <v>MTP-131 →</v>
      </c>
    </row>
    <row r="271" spans="1:61" ht="18.399999999999999" hidden="1" customHeight="1" x14ac:dyDescent="0.15">
      <c r="A271" s="1"/>
      <c r="B271" s="87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87"/>
    </row>
    <row r="272" spans="1:61" ht="18.399999999999999" hidden="1" customHeight="1" x14ac:dyDescent="0.15">
      <c r="A272" s="2" t="s">
        <v>2634</v>
      </c>
      <c r="B272" s="87" t="s">
        <v>2079</v>
      </c>
      <c r="C272" s="2">
        <v>1</v>
      </c>
      <c r="D272" s="2" t="s">
        <v>556</v>
      </c>
      <c r="E272" s="184"/>
      <c r="F272" s="29">
        <f t="shared" ref="F272:F278" si="30">H272+J272+L272</f>
        <v>306244</v>
      </c>
      <c r="G272" s="184"/>
      <c r="H272" s="29">
        <f>TRUNC(H273+H274+H276+H277+H278,0)</f>
        <v>45801</v>
      </c>
      <c r="I272" s="184"/>
      <c r="J272" s="29">
        <f>TRUNC(J273+J274+J276+J277+J278,0)</f>
        <v>236423</v>
      </c>
      <c r="K272" s="184"/>
      <c r="L272" s="29">
        <f>TRUNC(L273+L274+L276+L277+L278,0)</f>
        <v>24020</v>
      </c>
      <c r="M272" s="86" t="s">
        <v>2856</v>
      </c>
      <c r="N272" t="s">
        <v>2856</v>
      </c>
      <c r="O272" t="s">
        <v>1201</v>
      </c>
    </row>
    <row r="273" spans="1:61" ht="18.399999999999999" hidden="1" customHeight="1" x14ac:dyDescent="0.15">
      <c r="A273" s="2" t="s">
        <v>1869</v>
      </c>
      <c r="B273" s="87" t="s">
        <v>2568</v>
      </c>
      <c r="C273" s="2">
        <v>1</v>
      </c>
      <c r="D273" s="2" t="s">
        <v>556</v>
      </c>
      <c r="E273" s="27">
        <f t="shared" ref="E273:E278" si="31">G273+I273+K273</f>
        <v>285065</v>
      </c>
      <c r="F273" s="28">
        <f t="shared" si="30"/>
        <v>285065</v>
      </c>
      <c r="G273" s="27">
        <f>일위대가목록!F221</f>
        <v>24622</v>
      </c>
      <c r="H273" s="28">
        <f t="shared" ref="H273:H278" si="32">TRUNC(G273*C273,1)</f>
        <v>24622</v>
      </c>
      <c r="I273" s="27">
        <f>일위대가목록!H221</f>
        <v>236423</v>
      </c>
      <c r="J273" s="28">
        <f>TRUNC(I273*C273,1)</f>
        <v>236423</v>
      </c>
      <c r="K273" s="27">
        <f>일위대가목록!J221</f>
        <v>24020</v>
      </c>
      <c r="L273" s="28">
        <f>TRUNC(K273*C273,1)</f>
        <v>24020</v>
      </c>
      <c r="M273" s="86" t="s">
        <v>2856</v>
      </c>
      <c r="N273" t="s">
        <v>2856</v>
      </c>
      <c r="P273" t="s">
        <v>334</v>
      </c>
      <c r="Q273" t="s">
        <v>2856</v>
      </c>
      <c r="R273" t="s">
        <v>520</v>
      </c>
      <c r="T273" t="s">
        <v>1778</v>
      </c>
      <c r="BI273" s="34" t="str">
        <f>HYPERLINK("#일위대가목록!A216","NT205-20 →")</f>
        <v>NT205-20 →</v>
      </c>
    </row>
    <row r="274" spans="1:61" ht="18.399999999999999" hidden="1" customHeight="1" x14ac:dyDescent="0.15">
      <c r="A274" s="2" t="s">
        <v>300</v>
      </c>
      <c r="B274" s="87" t="s">
        <v>1807</v>
      </c>
      <c r="C274" s="2">
        <v>1</v>
      </c>
      <c r="D274" s="2" t="s">
        <v>1302</v>
      </c>
      <c r="E274" s="27">
        <f t="shared" si="31"/>
        <v>17700</v>
      </c>
      <c r="F274" s="28">
        <f t="shared" si="30"/>
        <v>17700</v>
      </c>
      <c r="G274" s="27">
        <f>자재조서!E132</f>
        <v>17700</v>
      </c>
      <c r="H274" s="28">
        <f t="shared" si="32"/>
        <v>17700</v>
      </c>
      <c r="I274" s="27">
        <v>0</v>
      </c>
      <c r="J274" s="28"/>
      <c r="K274" s="27">
        <v>0</v>
      </c>
      <c r="L274" s="28"/>
      <c r="M274" s="86" t="s">
        <v>2856</v>
      </c>
      <c r="N274" t="s">
        <v>2856</v>
      </c>
      <c r="P274" t="s">
        <v>2471</v>
      </c>
      <c r="Q274" t="s">
        <v>2856</v>
      </c>
      <c r="R274" t="s">
        <v>1011</v>
      </c>
      <c r="BI274" s="34" t="str">
        <f>HYPERLINK("#자재조서!A126","MTP-039 →")</f>
        <v>MTP-039 →</v>
      </c>
    </row>
    <row r="275" spans="1:61" ht="18.399999999999999" hidden="1" customHeight="1" x14ac:dyDescent="0.15">
      <c r="A275" s="2" t="s">
        <v>261</v>
      </c>
      <c r="B275" s="87" t="s">
        <v>2437</v>
      </c>
      <c r="C275" s="2">
        <v>20</v>
      </c>
      <c r="D275" s="2" t="s">
        <v>1674</v>
      </c>
      <c r="E275" s="27">
        <f t="shared" si="31"/>
        <v>433</v>
      </c>
      <c r="F275" s="28">
        <f t="shared" si="30"/>
        <v>8660</v>
      </c>
      <c r="G275" s="27">
        <f>자재조서!E129</f>
        <v>433</v>
      </c>
      <c r="H275" s="28">
        <f t="shared" si="32"/>
        <v>8660</v>
      </c>
      <c r="I275" s="27">
        <v>0</v>
      </c>
      <c r="J275" s="28"/>
      <c r="K275" s="27">
        <v>0</v>
      </c>
      <c r="L275" s="28"/>
      <c r="M275" s="86" t="s">
        <v>2856</v>
      </c>
      <c r="N275" t="s">
        <v>2856</v>
      </c>
      <c r="P275" t="s">
        <v>1741</v>
      </c>
      <c r="Q275" t="s">
        <v>1839</v>
      </c>
      <c r="R275" t="s">
        <v>1422</v>
      </c>
      <c r="BI275" s="34" t="str">
        <f>HYPERLINK("#자재조서!A123","MTP-010 →")</f>
        <v>MTP-010 →</v>
      </c>
    </row>
    <row r="276" spans="1:61" ht="18.399999999999999" hidden="1" customHeight="1" x14ac:dyDescent="0.15">
      <c r="A276" s="2" t="s">
        <v>2029</v>
      </c>
      <c r="B276" s="87" t="s">
        <v>1936</v>
      </c>
      <c r="C276" s="2">
        <v>25</v>
      </c>
      <c r="D276" s="2" t="s">
        <v>1086</v>
      </c>
      <c r="E276" s="27">
        <f t="shared" si="31"/>
        <v>40</v>
      </c>
      <c r="F276" s="28">
        <f t="shared" si="30"/>
        <v>1000</v>
      </c>
      <c r="G276" s="27">
        <f>자재조서!E137</f>
        <v>40</v>
      </c>
      <c r="H276" s="28">
        <f t="shared" si="32"/>
        <v>1000</v>
      </c>
      <c r="I276" s="27">
        <v>0</v>
      </c>
      <c r="J276" s="28"/>
      <c r="K276" s="27">
        <v>0</v>
      </c>
      <c r="L276" s="28"/>
      <c r="M276" s="86" t="s">
        <v>2856</v>
      </c>
      <c r="N276" t="s">
        <v>2856</v>
      </c>
      <c r="P276" t="s">
        <v>1036</v>
      </c>
      <c r="Q276" t="s">
        <v>2856</v>
      </c>
      <c r="R276" t="s">
        <v>316</v>
      </c>
      <c r="BI276" s="34" t="str">
        <f>HYPERLINK("#자재조서!A131","MTP-121 →")</f>
        <v>MTP-121 →</v>
      </c>
    </row>
    <row r="277" spans="1:61" ht="18.399999999999999" hidden="1" customHeight="1" x14ac:dyDescent="0.15">
      <c r="A277" s="2" t="s">
        <v>694</v>
      </c>
      <c r="B277" s="87" t="s">
        <v>1038</v>
      </c>
      <c r="C277" s="2">
        <v>6.9</v>
      </c>
      <c r="D277" s="2" t="s">
        <v>1086</v>
      </c>
      <c r="E277" s="27">
        <f t="shared" si="31"/>
        <v>150</v>
      </c>
      <c r="F277" s="28">
        <f t="shared" si="30"/>
        <v>1035</v>
      </c>
      <c r="G277" s="27">
        <f>자재조서!E136</f>
        <v>150</v>
      </c>
      <c r="H277" s="28">
        <f t="shared" si="32"/>
        <v>1035</v>
      </c>
      <c r="I277" s="27">
        <v>0</v>
      </c>
      <c r="J277" s="28"/>
      <c r="K277" s="27">
        <v>0</v>
      </c>
      <c r="L277" s="28"/>
      <c r="M277" s="86" t="s">
        <v>2856</v>
      </c>
      <c r="N277" t="s">
        <v>2856</v>
      </c>
      <c r="P277" t="s">
        <v>286</v>
      </c>
      <c r="Q277" t="s">
        <v>2856</v>
      </c>
      <c r="R277" t="s">
        <v>794</v>
      </c>
      <c r="BI277" s="34" t="str">
        <f>HYPERLINK("#자재조서!A130","MTP-110 →")</f>
        <v>MTP-110 →</v>
      </c>
    </row>
    <row r="278" spans="1:61" ht="18.399999999999999" hidden="1" customHeight="1" x14ac:dyDescent="0.15">
      <c r="A278" s="2" t="s">
        <v>1734</v>
      </c>
      <c r="B278" s="87" t="s">
        <v>2741</v>
      </c>
      <c r="C278" s="2">
        <v>1.1599999999999999</v>
      </c>
      <c r="D278" s="2" t="s">
        <v>1674</v>
      </c>
      <c r="E278" s="27">
        <f t="shared" si="31"/>
        <v>1245</v>
      </c>
      <c r="F278" s="28">
        <f t="shared" si="30"/>
        <v>1444.2</v>
      </c>
      <c r="G278" s="27">
        <f>자재조서!E138</f>
        <v>1245</v>
      </c>
      <c r="H278" s="28">
        <f t="shared" si="32"/>
        <v>1444.2</v>
      </c>
      <c r="I278" s="27">
        <v>0</v>
      </c>
      <c r="J278" s="28"/>
      <c r="K278" s="27">
        <v>0</v>
      </c>
      <c r="L278" s="28"/>
      <c r="M278" s="86" t="s">
        <v>2856</v>
      </c>
      <c r="N278" t="s">
        <v>2856</v>
      </c>
      <c r="P278" t="s">
        <v>2428</v>
      </c>
      <c r="Q278" t="s">
        <v>2856</v>
      </c>
      <c r="R278" t="s">
        <v>1046</v>
      </c>
      <c r="BI278" s="34" t="str">
        <f>HYPERLINK("#자재조서!A132","MTP-131 →")</f>
        <v>MTP-131 →</v>
      </c>
    </row>
    <row r="279" spans="1:61" ht="18.399999999999999" hidden="1" customHeight="1" x14ac:dyDescent="0.15">
      <c r="A279" s="1"/>
      <c r="B279" s="87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87"/>
    </row>
    <row r="280" spans="1:61" ht="18.399999999999999" hidden="1" customHeight="1" x14ac:dyDescent="0.15">
      <c r="A280" s="2" t="s">
        <v>1392</v>
      </c>
      <c r="B280" s="87" t="s">
        <v>1581</v>
      </c>
      <c r="C280" s="2">
        <v>1</v>
      </c>
      <c r="D280" s="2" t="s">
        <v>556</v>
      </c>
      <c r="E280" s="184"/>
      <c r="F280" s="29">
        <f t="shared" ref="F280:F286" si="33">H280+J280+L280</f>
        <v>621638</v>
      </c>
      <c r="G280" s="184"/>
      <c r="H280" s="29">
        <f>TRUNC(H281+H282+H284+H285+H286,0)</f>
        <v>72800</v>
      </c>
      <c r="I280" s="184"/>
      <c r="J280" s="29">
        <f>TRUNC(J281+J282+J284+J285+J286,0)</f>
        <v>443066</v>
      </c>
      <c r="K280" s="184"/>
      <c r="L280" s="29">
        <f>TRUNC(L281+L282+L284+L285+L286,0)</f>
        <v>105772</v>
      </c>
      <c r="M280" s="86" t="s">
        <v>2856</v>
      </c>
      <c r="N280" t="s">
        <v>2856</v>
      </c>
      <c r="O280" t="s">
        <v>2824</v>
      </c>
    </row>
    <row r="281" spans="1:61" ht="18.399999999999999" hidden="1" customHeight="1" x14ac:dyDescent="0.15">
      <c r="A281" s="2" t="s">
        <v>1869</v>
      </c>
      <c r="B281" s="87" t="s">
        <v>2192</v>
      </c>
      <c r="C281" s="2">
        <v>1</v>
      </c>
      <c r="D281" s="2" t="s">
        <v>556</v>
      </c>
      <c r="E281" s="27">
        <f t="shared" ref="E281:E286" si="34">G281+I281+K281</f>
        <v>598895</v>
      </c>
      <c r="F281" s="28">
        <f t="shared" si="33"/>
        <v>598895</v>
      </c>
      <c r="G281" s="27">
        <f>일위대가목록!F217</f>
        <v>50057</v>
      </c>
      <c r="H281" s="28">
        <f t="shared" ref="H281:H286" si="35">TRUNC(G281*C281,1)</f>
        <v>50057</v>
      </c>
      <c r="I281" s="27">
        <f>일위대가목록!H217</f>
        <v>443066</v>
      </c>
      <c r="J281" s="28">
        <f>TRUNC(I281*C281,1)</f>
        <v>443066</v>
      </c>
      <c r="K281" s="27">
        <f>일위대가목록!J217</f>
        <v>105772</v>
      </c>
      <c r="L281" s="28">
        <f>TRUNC(K281*C281,1)</f>
        <v>105772</v>
      </c>
      <c r="M281" s="86" t="s">
        <v>2856</v>
      </c>
      <c r="N281" t="s">
        <v>2856</v>
      </c>
      <c r="P281" t="s">
        <v>334</v>
      </c>
      <c r="Q281" t="s">
        <v>2856</v>
      </c>
      <c r="R281" t="s">
        <v>2141</v>
      </c>
      <c r="T281" t="s">
        <v>1778</v>
      </c>
      <c r="BI281" s="34" t="str">
        <f>HYPERLINK("#일위대가목록!A212","NT205-25 →")</f>
        <v>NT205-25 →</v>
      </c>
    </row>
    <row r="282" spans="1:61" ht="18.399999999999999" hidden="1" customHeight="1" x14ac:dyDescent="0.15">
      <c r="A282" s="2" t="s">
        <v>300</v>
      </c>
      <c r="B282" s="87" t="s">
        <v>1807</v>
      </c>
      <c r="C282" s="2">
        <v>1</v>
      </c>
      <c r="D282" s="2" t="s">
        <v>1302</v>
      </c>
      <c r="E282" s="27">
        <f t="shared" si="34"/>
        <v>17700</v>
      </c>
      <c r="F282" s="28">
        <f t="shared" si="33"/>
        <v>17700</v>
      </c>
      <c r="G282" s="27">
        <f>자재조서!E132</f>
        <v>17700</v>
      </c>
      <c r="H282" s="28">
        <f t="shared" si="35"/>
        <v>17700</v>
      </c>
      <c r="I282" s="27">
        <v>0</v>
      </c>
      <c r="J282" s="28"/>
      <c r="K282" s="27">
        <v>0</v>
      </c>
      <c r="L282" s="28"/>
      <c r="M282" s="86" t="s">
        <v>2856</v>
      </c>
      <c r="N282" t="s">
        <v>2856</v>
      </c>
      <c r="P282" t="s">
        <v>2471</v>
      </c>
      <c r="Q282" t="s">
        <v>2856</v>
      </c>
      <c r="R282" t="s">
        <v>1011</v>
      </c>
      <c r="BI282" s="34" t="str">
        <f>HYPERLINK("#자재조서!A126","MTP-039 →")</f>
        <v>MTP-039 →</v>
      </c>
    </row>
    <row r="283" spans="1:61" ht="18.399999999999999" hidden="1" customHeight="1" x14ac:dyDescent="0.15">
      <c r="A283" s="2" t="s">
        <v>261</v>
      </c>
      <c r="B283" s="87" t="s">
        <v>2437</v>
      </c>
      <c r="C283" s="2">
        <v>20</v>
      </c>
      <c r="D283" s="2" t="s">
        <v>1674</v>
      </c>
      <c r="E283" s="27">
        <f t="shared" si="34"/>
        <v>433</v>
      </c>
      <c r="F283" s="28">
        <f t="shared" si="33"/>
        <v>8660</v>
      </c>
      <c r="G283" s="27">
        <f>자재조서!E129</f>
        <v>433</v>
      </c>
      <c r="H283" s="28">
        <f t="shared" si="35"/>
        <v>8660</v>
      </c>
      <c r="I283" s="27">
        <v>0</v>
      </c>
      <c r="J283" s="28"/>
      <c r="K283" s="27">
        <v>0</v>
      </c>
      <c r="L283" s="28"/>
      <c r="M283" s="86" t="s">
        <v>2856</v>
      </c>
      <c r="N283" t="s">
        <v>2856</v>
      </c>
      <c r="P283" t="s">
        <v>1741</v>
      </c>
      <c r="Q283" t="s">
        <v>1839</v>
      </c>
      <c r="R283" t="s">
        <v>1422</v>
      </c>
      <c r="BI283" s="34" t="str">
        <f>HYPERLINK("#자재조서!A123","MTP-010 →")</f>
        <v>MTP-010 →</v>
      </c>
    </row>
    <row r="284" spans="1:61" ht="18.399999999999999" hidden="1" customHeight="1" x14ac:dyDescent="0.15">
      <c r="A284" s="2" t="s">
        <v>2029</v>
      </c>
      <c r="B284" s="87" t="s">
        <v>1936</v>
      </c>
      <c r="C284" s="2">
        <v>33.299999999999997</v>
      </c>
      <c r="D284" s="2" t="s">
        <v>1086</v>
      </c>
      <c r="E284" s="27">
        <f t="shared" si="34"/>
        <v>40</v>
      </c>
      <c r="F284" s="28">
        <f t="shared" si="33"/>
        <v>1332</v>
      </c>
      <c r="G284" s="27">
        <f>자재조서!E137</f>
        <v>40</v>
      </c>
      <c r="H284" s="28">
        <f t="shared" si="35"/>
        <v>1332</v>
      </c>
      <c r="I284" s="27">
        <v>0</v>
      </c>
      <c r="J284" s="28"/>
      <c r="K284" s="27">
        <v>0</v>
      </c>
      <c r="L284" s="28"/>
      <c r="M284" s="86" t="s">
        <v>2856</v>
      </c>
      <c r="N284" t="s">
        <v>2856</v>
      </c>
      <c r="P284" t="s">
        <v>1036</v>
      </c>
      <c r="Q284" t="s">
        <v>2856</v>
      </c>
      <c r="R284" t="s">
        <v>316</v>
      </c>
      <c r="BI284" s="34" t="str">
        <f>HYPERLINK("#자재조서!A131","MTP-121 →")</f>
        <v>MTP-121 →</v>
      </c>
    </row>
    <row r="285" spans="1:61" ht="18.399999999999999" hidden="1" customHeight="1" x14ac:dyDescent="0.15">
      <c r="A285" s="2" t="s">
        <v>694</v>
      </c>
      <c r="B285" s="87" t="s">
        <v>1038</v>
      </c>
      <c r="C285" s="2">
        <v>10.3</v>
      </c>
      <c r="D285" s="2" t="s">
        <v>1086</v>
      </c>
      <c r="E285" s="27">
        <f t="shared" si="34"/>
        <v>150</v>
      </c>
      <c r="F285" s="28">
        <f t="shared" si="33"/>
        <v>1545</v>
      </c>
      <c r="G285" s="27">
        <f>자재조서!E136</f>
        <v>150</v>
      </c>
      <c r="H285" s="28">
        <f t="shared" si="35"/>
        <v>1545</v>
      </c>
      <c r="I285" s="27">
        <v>0</v>
      </c>
      <c r="J285" s="28"/>
      <c r="K285" s="27">
        <v>0</v>
      </c>
      <c r="L285" s="28"/>
      <c r="M285" s="86" t="s">
        <v>2856</v>
      </c>
      <c r="N285" t="s">
        <v>2856</v>
      </c>
      <c r="P285" t="s">
        <v>286</v>
      </c>
      <c r="Q285" t="s">
        <v>2856</v>
      </c>
      <c r="R285" t="s">
        <v>794</v>
      </c>
      <c r="BI285" s="34" t="str">
        <f>HYPERLINK("#자재조서!A130","MTP-110 →")</f>
        <v>MTP-110 →</v>
      </c>
    </row>
    <row r="286" spans="1:61" ht="18.399999999999999" hidden="1" customHeight="1" x14ac:dyDescent="0.15">
      <c r="A286" s="2" t="s">
        <v>1734</v>
      </c>
      <c r="B286" s="87" t="s">
        <v>2741</v>
      </c>
      <c r="C286" s="2">
        <v>1.74</v>
      </c>
      <c r="D286" s="2" t="s">
        <v>1674</v>
      </c>
      <c r="E286" s="27">
        <f t="shared" si="34"/>
        <v>1245</v>
      </c>
      <c r="F286" s="28">
        <f t="shared" si="33"/>
        <v>2166.3000000000002</v>
      </c>
      <c r="G286" s="27">
        <f>자재조서!E138</f>
        <v>1245</v>
      </c>
      <c r="H286" s="28">
        <f t="shared" si="35"/>
        <v>2166.3000000000002</v>
      </c>
      <c r="I286" s="27">
        <v>0</v>
      </c>
      <c r="J286" s="28"/>
      <c r="K286" s="27">
        <v>0</v>
      </c>
      <c r="L286" s="28"/>
      <c r="M286" s="86" t="s">
        <v>2856</v>
      </c>
      <c r="N286" t="s">
        <v>2856</v>
      </c>
      <c r="P286" t="s">
        <v>2428</v>
      </c>
      <c r="Q286" t="s">
        <v>2856</v>
      </c>
      <c r="R286" t="s">
        <v>1046</v>
      </c>
      <c r="BI286" s="34" t="str">
        <f>HYPERLINK("#자재조서!A132","MTP-131 →")</f>
        <v>MTP-131 →</v>
      </c>
    </row>
    <row r="287" spans="1:61" ht="18.399999999999999" hidden="1" customHeight="1" x14ac:dyDescent="0.15">
      <c r="A287" s="1"/>
      <c r="B287" s="87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87"/>
    </row>
    <row r="288" spans="1:61" ht="18.399999999999999" hidden="1" customHeight="1" x14ac:dyDescent="0.15">
      <c r="A288" s="2" t="s">
        <v>1248</v>
      </c>
      <c r="B288" s="87" t="s">
        <v>2586</v>
      </c>
      <c r="C288" s="2">
        <v>1</v>
      </c>
      <c r="D288" s="2" t="s">
        <v>556</v>
      </c>
      <c r="E288" s="184"/>
      <c r="F288" s="29">
        <f t="shared" ref="F288:F294" si="36">H288+J288+L288</f>
        <v>306244</v>
      </c>
      <c r="G288" s="184"/>
      <c r="H288" s="29">
        <f>TRUNC(H289+H290+H292+H293+H294,0)</f>
        <v>45801</v>
      </c>
      <c r="I288" s="184"/>
      <c r="J288" s="29">
        <f>TRUNC(J289+J290+J292+J293+J294,0)</f>
        <v>236423</v>
      </c>
      <c r="K288" s="184"/>
      <c r="L288" s="29">
        <f>TRUNC(L289+L290+L292+L293+L294,0)</f>
        <v>24020</v>
      </c>
      <c r="M288" s="86" t="s">
        <v>2856</v>
      </c>
      <c r="N288" t="s">
        <v>2856</v>
      </c>
      <c r="O288" t="s">
        <v>1082</v>
      </c>
    </row>
    <row r="289" spans="1:61" ht="18.399999999999999" hidden="1" customHeight="1" x14ac:dyDescent="0.15">
      <c r="A289" s="2" t="s">
        <v>1869</v>
      </c>
      <c r="B289" s="87" t="s">
        <v>2568</v>
      </c>
      <c r="C289" s="2">
        <v>1</v>
      </c>
      <c r="D289" s="2" t="s">
        <v>556</v>
      </c>
      <c r="E289" s="27">
        <f t="shared" ref="E289:E294" si="37">G289+I289+K289</f>
        <v>285065</v>
      </c>
      <c r="F289" s="28">
        <f t="shared" si="36"/>
        <v>285065</v>
      </c>
      <c r="G289" s="27">
        <f>일위대가목록!F221</f>
        <v>24622</v>
      </c>
      <c r="H289" s="28">
        <f t="shared" ref="H289:H294" si="38">TRUNC(G289*C289,1)</f>
        <v>24622</v>
      </c>
      <c r="I289" s="27">
        <f>일위대가목록!H221</f>
        <v>236423</v>
      </c>
      <c r="J289" s="28">
        <f>TRUNC(I289*C289,1)</f>
        <v>236423</v>
      </c>
      <c r="K289" s="27">
        <f>일위대가목록!J221</f>
        <v>24020</v>
      </c>
      <c r="L289" s="28">
        <f>TRUNC(K289*C289,1)</f>
        <v>24020</v>
      </c>
      <c r="M289" s="86" t="s">
        <v>2856</v>
      </c>
      <c r="N289" t="s">
        <v>2856</v>
      </c>
      <c r="P289" t="s">
        <v>334</v>
      </c>
      <c r="Q289" t="s">
        <v>2856</v>
      </c>
      <c r="R289" t="s">
        <v>520</v>
      </c>
      <c r="T289" t="s">
        <v>1778</v>
      </c>
      <c r="BI289" s="34" t="str">
        <f>HYPERLINK("#일위대가목록!A216","NT205-20 →")</f>
        <v>NT205-20 →</v>
      </c>
    </row>
    <row r="290" spans="1:61" ht="18.399999999999999" hidden="1" customHeight="1" x14ac:dyDescent="0.15">
      <c r="A290" s="2" t="s">
        <v>300</v>
      </c>
      <c r="B290" s="87" t="s">
        <v>1807</v>
      </c>
      <c r="C290" s="2">
        <v>1</v>
      </c>
      <c r="D290" s="2" t="s">
        <v>1302</v>
      </c>
      <c r="E290" s="27">
        <f t="shared" si="37"/>
        <v>17700</v>
      </c>
      <c r="F290" s="28">
        <f t="shared" si="36"/>
        <v>17700</v>
      </c>
      <c r="G290" s="27">
        <f>자재조서!E132</f>
        <v>17700</v>
      </c>
      <c r="H290" s="28">
        <f t="shared" si="38"/>
        <v>17700</v>
      </c>
      <c r="I290" s="27">
        <v>0</v>
      </c>
      <c r="J290" s="28"/>
      <c r="K290" s="27">
        <v>0</v>
      </c>
      <c r="L290" s="28"/>
      <c r="M290" s="86" t="s">
        <v>2856</v>
      </c>
      <c r="N290" t="s">
        <v>2856</v>
      </c>
      <c r="P290" t="s">
        <v>2471</v>
      </c>
      <c r="Q290" t="s">
        <v>2856</v>
      </c>
      <c r="R290" t="s">
        <v>1011</v>
      </c>
      <c r="BI290" s="34" t="str">
        <f>HYPERLINK("#자재조서!A126","MTP-039 →")</f>
        <v>MTP-039 →</v>
      </c>
    </row>
    <row r="291" spans="1:61" ht="18.399999999999999" hidden="1" customHeight="1" x14ac:dyDescent="0.15">
      <c r="A291" s="2" t="s">
        <v>261</v>
      </c>
      <c r="B291" s="87" t="s">
        <v>2437</v>
      </c>
      <c r="C291" s="2">
        <v>20</v>
      </c>
      <c r="D291" s="2" t="s">
        <v>1674</v>
      </c>
      <c r="E291" s="27">
        <f t="shared" si="37"/>
        <v>433</v>
      </c>
      <c r="F291" s="28">
        <f t="shared" si="36"/>
        <v>8660</v>
      </c>
      <c r="G291" s="27">
        <f>자재조서!E129</f>
        <v>433</v>
      </c>
      <c r="H291" s="28">
        <f t="shared" si="38"/>
        <v>8660</v>
      </c>
      <c r="I291" s="27">
        <v>0</v>
      </c>
      <c r="J291" s="28"/>
      <c r="K291" s="27">
        <v>0</v>
      </c>
      <c r="L291" s="28"/>
      <c r="M291" s="86" t="s">
        <v>2856</v>
      </c>
      <c r="N291" t="s">
        <v>2856</v>
      </c>
      <c r="P291" t="s">
        <v>1741</v>
      </c>
      <c r="Q291" t="s">
        <v>1839</v>
      </c>
      <c r="R291" t="s">
        <v>1422</v>
      </c>
      <c r="BI291" s="34" t="str">
        <f>HYPERLINK("#자재조서!A123","MTP-010 →")</f>
        <v>MTP-010 →</v>
      </c>
    </row>
    <row r="292" spans="1:61" ht="18.399999999999999" hidden="1" customHeight="1" x14ac:dyDescent="0.15">
      <c r="A292" s="2" t="s">
        <v>2029</v>
      </c>
      <c r="B292" s="87" t="s">
        <v>1936</v>
      </c>
      <c r="C292" s="2">
        <v>25</v>
      </c>
      <c r="D292" s="2" t="s">
        <v>1086</v>
      </c>
      <c r="E292" s="27">
        <f t="shared" si="37"/>
        <v>40</v>
      </c>
      <c r="F292" s="28">
        <f t="shared" si="36"/>
        <v>1000</v>
      </c>
      <c r="G292" s="27">
        <f>자재조서!E137</f>
        <v>40</v>
      </c>
      <c r="H292" s="28">
        <f t="shared" si="38"/>
        <v>1000</v>
      </c>
      <c r="I292" s="27">
        <v>0</v>
      </c>
      <c r="J292" s="28"/>
      <c r="K292" s="27">
        <v>0</v>
      </c>
      <c r="L292" s="28"/>
      <c r="M292" s="86" t="s">
        <v>2856</v>
      </c>
      <c r="N292" t="s">
        <v>2856</v>
      </c>
      <c r="P292" t="s">
        <v>1036</v>
      </c>
      <c r="Q292" t="s">
        <v>2856</v>
      </c>
      <c r="R292" t="s">
        <v>316</v>
      </c>
      <c r="BI292" s="34" t="str">
        <f>HYPERLINK("#자재조서!A131","MTP-121 →")</f>
        <v>MTP-121 →</v>
      </c>
    </row>
    <row r="293" spans="1:61" ht="18.399999999999999" hidden="1" customHeight="1" x14ac:dyDescent="0.15">
      <c r="A293" s="2" t="s">
        <v>694</v>
      </c>
      <c r="B293" s="87" t="s">
        <v>1038</v>
      </c>
      <c r="C293" s="2">
        <v>6.9</v>
      </c>
      <c r="D293" s="2" t="s">
        <v>1086</v>
      </c>
      <c r="E293" s="27">
        <f t="shared" si="37"/>
        <v>150</v>
      </c>
      <c r="F293" s="28">
        <f t="shared" si="36"/>
        <v>1035</v>
      </c>
      <c r="G293" s="27">
        <f>자재조서!E136</f>
        <v>150</v>
      </c>
      <c r="H293" s="28">
        <f t="shared" si="38"/>
        <v>1035</v>
      </c>
      <c r="I293" s="27">
        <v>0</v>
      </c>
      <c r="J293" s="28"/>
      <c r="K293" s="27">
        <v>0</v>
      </c>
      <c r="L293" s="28"/>
      <c r="M293" s="86" t="s">
        <v>2856</v>
      </c>
      <c r="N293" t="s">
        <v>2856</v>
      </c>
      <c r="P293" t="s">
        <v>286</v>
      </c>
      <c r="Q293" t="s">
        <v>2856</v>
      </c>
      <c r="R293" t="s">
        <v>794</v>
      </c>
      <c r="BI293" s="34" t="str">
        <f>HYPERLINK("#자재조서!A130","MTP-110 →")</f>
        <v>MTP-110 →</v>
      </c>
    </row>
    <row r="294" spans="1:61" ht="18.399999999999999" hidden="1" customHeight="1" x14ac:dyDescent="0.15">
      <c r="A294" s="2" t="s">
        <v>1734</v>
      </c>
      <c r="B294" s="87" t="s">
        <v>2741</v>
      </c>
      <c r="C294" s="2">
        <v>1.1599999999999999</v>
      </c>
      <c r="D294" s="2" t="s">
        <v>1674</v>
      </c>
      <c r="E294" s="27">
        <f t="shared" si="37"/>
        <v>1245</v>
      </c>
      <c r="F294" s="28">
        <f t="shared" si="36"/>
        <v>1444.2</v>
      </c>
      <c r="G294" s="27">
        <f>자재조서!E138</f>
        <v>1245</v>
      </c>
      <c r="H294" s="28">
        <f t="shared" si="38"/>
        <v>1444.2</v>
      </c>
      <c r="I294" s="27">
        <v>0</v>
      </c>
      <c r="J294" s="28"/>
      <c r="K294" s="27">
        <v>0</v>
      </c>
      <c r="L294" s="28"/>
      <c r="M294" s="86" t="s">
        <v>2856</v>
      </c>
      <c r="N294" t="s">
        <v>2856</v>
      </c>
      <c r="P294" t="s">
        <v>2428</v>
      </c>
      <c r="Q294" t="s">
        <v>2856</v>
      </c>
      <c r="R294" t="s">
        <v>1046</v>
      </c>
      <c r="BI294" s="34" t="str">
        <f>HYPERLINK("#자재조서!A132","MTP-131 →")</f>
        <v>MTP-131 →</v>
      </c>
    </row>
    <row r="295" spans="1:61" ht="18.399999999999999" hidden="1" customHeight="1" x14ac:dyDescent="0.15">
      <c r="A295" s="1"/>
      <c r="B295" s="87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87"/>
    </row>
    <row r="296" spans="1:61" ht="18.399999999999999" hidden="1" customHeight="1" x14ac:dyDescent="0.15">
      <c r="A296" s="2" t="s">
        <v>2318</v>
      </c>
      <c r="B296" s="87" t="s">
        <v>143</v>
      </c>
      <c r="C296" s="2">
        <v>1</v>
      </c>
      <c r="D296" s="2" t="s">
        <v>556</v>
      </c>
      <c r="E296" s="184"/>
      <c r="F296" s="29">
        <f t="shared" ref="F296:F302" si="39">H296+J296+L296</f>
        <v>1214598</v>
      </c>
      <c r="G296" s="184"/>
      <c r="H296" s="29">
        <f>TRUNC(H297+H298+H300+H301+H302,0)</f>
        <v>148786</v>
      </c>
      <c r="I296" s="184"/>
      <c r="J296" s="29">
        <f>TRUNC(J297+J298+J300+J301+J302,0)</f>
        <v>785059</v>
      </c>
      <c r="K296" s="184"/>
      <c r="L296" s="29">
        <f>TRUNC(L297+L298+L300+L301+L302,0)</f>
        <v>280753</v>
      </c>
      <c r="M296" s="86" t="s">
        <v>2856</v>
      </c>
      <c r="N296" t="s">
        <v>2856</v>
      </c>
      <c r="O296" t="s">
        <v>2251</v>
      </c>
    </row>
    <row r="297" spans="1:61" ht="18.399999999999999" hidden="1" customHeight="1" x14ac:dyDescent="0.15">
      <c r="A297" s="2" t="s">
        <v>1869</v>
      </c>
      <c r="B297" s="87" t="s">
        <v>2526</v>
      </c>
      <c r="C297" s="2">
        <v>1</v>
      </c>
      <c r="D297" s="2" t="s">
        <v>556</v>
      </c>
      <c r="E297" s="27">
        <f t="shared" ref="E297:E302" si="40">G297+I297+K297</f>
        <v>1170507</v>
      </c>
      <c r="F297" s="28">
        <f t="shared" si="39"/>
        <v>1170507</v>
      </c>
      <c r="G297" s="27">
        <f>일위대가목록!F218</f>
        <v>104695</v>
      </c>
      <c r="H297" s="28">
        <f t="shared" ref="H297:H302" si="41">TRUNC(G297*C297,1)</f>
        <v>104695</v>
      </c>
      <c r="I297" s="27">
        <f>일위대가목록!H218</f>
        <v>785059</v>
      </c>
      <c r="J297" s="28">
        <f>TRUNC(I297*C297,1)</f>
        <v>785059</v>
      </c>
      <c r="K297" s="27">
        <f>일위대가목록!J218</f>
        <v>280753</v>
      </c>
      <c r="L297" s="28">
        <f>TRUNC(K297*C297,1)</f>
        <v>280753</v>
      </c>
      <c r="M297" s="86" t="s">
        <v>2856</v>
      </c>
      <c r="N297" t="s">
        <v>2856</v>
      </c>
      <c r="P297" t="s">
        <v>334</v>
      </c>
      <c r="Q297" t="s">
        <v>2856</v>
      </c>
      <c r="R297" t="s">
        <v>2845</v>
      </c>
      <c r="T297" t="s">
        <v>1778</v>
      </c>
      <c r="BI297" s="34" t="str">
        <f>HYPERLINK("#일위대가목록!A213","NT205-35 →")</f>
        <v>NT205-35 →</v>
      </c>
    </row>
    <row r="298" spans="1:61" ht="18.399999999999999" hidden="1" customHeight="1" x14ac:dyDescent="0.15">
      <c r="A298" s="2" t="s">
        <v>834</v>
      </c>
      <c r="B298" s="87" t="s">
        <v>816</v>
      </c>
      <c r="C298" s="2">
        <v>1</v>
      </c>
      <c r="D298" s="2" t="s">
        <v>1302</v>
      </c>
      <c r="E298" s="27">
        <f t="shared" si="40"/>
        <v>24700</v>
      </c>
      <c r="F298" s="28">
        <f t="shared" si="39"/>
        <v>24700</v>
      </c>
      <c r="G298" s="27">
        <f>자재조서!E131</f>
        <v>24700</v>
      </c>
      <c r="H298" s="28">
        <f t="shared" si="41"/>
        <v>24700</v>
      </c>
      <c r="I298" s="27">
        <v>0</v>
      </c>
      <c r="J298" s="28"/>
      <c r="K298" s="27">
        <v>0</v>
      </c>
      <c r="L298" s="28"/>
      <c r="M298" s="86" t="s">
        <v>2856</v>
      </c>
      <c r="N298" t="s">
        <v>2856</v>
      </c>
      <c r="P298" t="s">
        <v>2471</v>
      </c>
      <c r="Q298" t="s">
        <v>2856</v>
      </c>
      <c r="R298" t="s">
        <v>2314</v>
      </c>
      <c r="BI298" s="34" t="str">
        <f>HYPERLINK("#자재조서!A125","MTP-038 →")</f>
        <v>MTP-038 →</v>
      </c>
    </row>
    <row r="299" spans="1:61" ht="18.399999999999999" hidden="1" customHeight="1" x14ac:dyDescent="0.15">
      <c r="A299" s="2" t="s">
        <v>261</v>
      </c>
      <c r="B299" s="87" t="s">
        <v>2437</v>
      </c>
      <c r="C299" s="2">
        <v>50</v>
      </c>
      <c r="D299" s="2" t="s">
        <v>1674</v>
      </c>
      <c r="E299" s="27">
        <f t="shared" si="40"/>
        <v>433</v>
      </c>
      <c r="F299" s="28">
        <f t="shared" si="39"/>
        <v>21650</v>
      </c>
      <c r="G299" s="27">
        <f>자재조서!E129</f>
        <v>433</v>
      </c>
      <c r="H299" s="28">
        <f t="shared" si="41"/>
        <v>21650</v>
      </c>
      <c r="I299" s="27">
        <v>0</v>
      </c>
      <c r="J299" s="28"/>
      <c r="K299" s="27">
        <v>0</v>
      </c>
      <c r="L299" s="28"/>
      <c r="M299" s="86" t="s">
        <v>2856</v>
      </c>
      <c r="N299" t="s">
        <v>2856</v>
      </c>
      <c r="P299" t="s">
        <v>1741</v>
      </c>
      <c r="Q299" t="s">
        <v>1839</v>
      </c>
      <c r="R299" t="s">
        <v>1422</v>
      </c>
      <c r="BI299" s="34" t="str">
        <f>HYPERLINK("#자재조서!A123","MTP-010 →")</f>
        <v>MTP-010 →</v>
      </c>
    </row>
    <row r="300" spans="1:61" ht="18.399999999999999" hidden="1" customHeight="1" x14ac:dyDescent="0.15">
      <c r="A300" s="2" t="s">
        <v>2029</v>
      </c>
      <c r="B300" s="87" t="s">
        <v>1936</v>
      </c>
      <c r="C300" s="2">
        <v>97</v>
      </c>
      <c r="D300" s="2" t="s">
        <v>1086</v>
      </c>
      <c r="E300" s="27">
        <f t="shared" si="40"/>
        <v>40</v>
      </c>
      <c r="F300" s="28">
        <f t="shared" si="39"/>
        <v>3880</v>
      </c>
      <c r="G300" s="27">
        <f>자재조서!E137</f>
        <v>40</v>
      </c>
      <c r="H300" s="28">
        <f t="shared" si="41"/>
        <v>3880</v>
      </c>
      <c r="I300" s="27">
        <v>0</v>
      </c>
      <c r="J300" s="28"/>
      <c r="K300" s="27">
        <v>0</v>
      </c>
      <c r="L300" s="28"/>
      <c r="M300" s="86" t="s">
        <v>2856</v>
      </c>
      <c r="N300" t="s">
        <v>2856</v>
      </c>
      <c r="P300" t="s">
        <v>1036</v>
      </c>
      <c r="Q300" t="s">
        <v>2856</v>
      </c>
      <c r="R300" t="s">
        <v>316</v>
      </c>
      <c r="BI300" s="34" t="str">
        <f>HYPERLINK("#자재조서!A131","MTP-121 →")</f>
        <v>MTP-121 →</v>
      </c>
    </row>
    <row r="301" spans="1:61" ht="18.399999999999999" hidden="1" customHeight="1" x14ac:dyDescent="0.15">
      <c r="A301" s="2" t="s">
        <v>694</v>
      </c>
      <c r="B301" s="87" t="s">
        <v>1038</v>
      </c>
      <c r="C301" s="2">
        <v>42.9</v>
      </c>
      <c r="D301" s="2" t="s">
        <v>1086</v>
      </c>
      <c r="E301" s="27">
        <f t="shared" si="40"/>
        <v>150</v>
      </c>
      <c r="F301" s="28">
        <f t="shared" si="39"/>
        <v>6435</v>
      </c>
      <c r="G301" s="27">
        <f>자재조서!E136</f>
        <v>150</v>
      </c>
      <c r="H301" s="28">
        <f t="shared" si="41"/>
        <v>6435</v>
      </c>
      <c r="I301" s="27">
        <v>0</v>
      </c>
      <c r="J301" s="28"/>
      <c r="K301" s="27">
        <v>0</v>
      </c>
      <c r="L301" s="28"/>
      <c r="M301" s="86" t="s">
        <v>2856</v>
      </c>
      <c r="N301" t="s">
        <v>2856</v>
      </c>
      <c r="P301" t="s">
        <v>286</v>
      </c>
      <c r="Q301" t="s">
        <v>2856</v>
      </c>
      <c r="R301" t="s">
        <v>794</v>
      </c>
      <c r="BI301" s="34" t="str">
        <f>HYPERLINK("#자재조서!A130","MTP-110 →")</f>
        <v>MTP-110 →</v>
      </c>
    </row>
    <row r="302" spans="1:61" ht="18.399999999999999" hidden="1" customHeight="1" x14ac:dyDescent="0.15">
      <c r="A302" s="2" t="s">
        <v>1734</v>
      </c>
      <c r="B302" s="87" t="s">
        <v>2741</v>
      </c>
      <c r="C302" s="2">
        <v>7.29</v>
      </c>
      <c r="D302" s="2" t="s">
        <v>1674</v>
      </c>
      <c r="E302" s="27">
        <f t="shared" si="40"/>
        <v>1245</v>
      </c>
      <c r="F302" s="28">
        <f t="shared" si="39"/>
        <v>9076</v>
      </c>
      <c r="G302" s="27">
        <f>자재조서!E138</f>
        <v>1245</v>
      </c>
      <c r="H302" s="28">
        <f t="shared" si="41"/>
        <v>9076</v>
      </c>
      <c r="I302" s="27">
        <v>0</v>
      </c>
      <c r="J302" s="28"/>
      <c r="K302" s="27">
        <v>0</v>
      </c>
      <c r="L302" s="28"/>
      <c r="M302" s="86" t="s">
        <v>2856</v>
      </c>
      <c r="N302" t="s">
        <v>2856</v>
      </c>
      <c r="P302" t="s">
        <v>2428</v>
      </c>
      <c r="Q302" t="s">
        <v>2856</v>
      </c>
      <c r="R302" t="s">
        <v>1046</v>
      </c>
      <c r="BI302" s="34" t="str">
        <f>HYPERLINK("#자재조서!A132","MTP-131 →")</f>
        <v>MTP-131 →</v>
      </c>
    </row>
    <row r="303" spans="1:61" ht="18.399999999999999" hidden="1" customHeight="1" x14ac:dyDescent="0.15">
      <c r="A303" s="1"/>
      <c r="B303" s="87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87"/>
    </row>
    <row r="304" spans="1:61" ht="18.399999999999999" hidden="1" customHeight="1" x14ac:dyDescent="0.15">
      <c r="A304" s="2" t="s">
        <v>1992</v>
      </c>
      <c r="B304" s="87" t="s">
        <v>2792</v>
      </c>
      <c r="C304" s="2">
        <v>1</v>
      </c>
      <c r="D304" s="2" t="s">
        <v>556</v>
      </c>
      <c r="E304" s="184"/>
      <c r="F304" s="29">
        <f t="shared" ref="F304:F310" si="42">H304+J304+L304</f>
        <v>1760791</v>
      </c>
      <c r="G304" s="184"/>
      <c r="H304" s="29">
        <f>TRUNC(H305+H306+H308+H309+H310,0)</f>
        <v>240840</v>
      </c>
      <c r="I304" s="184"/>
      <c r="J304" s="29">
        <f>TRUNC(J305+J306+J308+J309+J310,0)</f>
        <v>1017669</v>
      </c>
      <c r="K304" s="184"/>
      <c r="L304" s="29">
        <f>TRUNC(L305+L306+L308+L309+L310,0)</f>
        <v>502282</v>
      </c>
      <c r="M304" s="86" t="s">
        <v>2856</v>
      </c>
      <c r="N304" t="s">
        <v>2856</v>
      </c>
      <c r="O304" t="s">
        <v>1286</v>
      </c>
    </row>
    <row r="305" spans="1:61" ht="18.399999999999999" hidden="1" customHeight="1" x14ac:dyDescent="0.15">
      <c r="A305" s="2" t="s">
        <v>1869</v>
      </c>
      <c r="B305" s="87" t="s">
        <v>1301</v>
      </c>
      <c r="C305" s="2">
        <v>1</v>
      </c>
      <c r="D305" s="2" t="s">
        <v>556</v>
      </c>
      <c r="E305" s="27">
        <f t="shared" ref="E305:E310" si="43">G305+I305+K305</f>
        <v>1702511</v>
      </c>
      <c r="F305" s="28">
        <f t="shared" si="42"/>
        <v>1702511</v>
      </c>
      <c r="G305" s="27">
        <f>일위대가목록!F222</f>
        <v>182560</v>
      </c>
      <c r="H305" s="28">
        <f t="shared" ref="H305:H310" si="44">TRUNC(G305*C305,1)</f>
        <v>182560</v>
      </c>
      <c r="I305" s="27">
        <f>일위대가목록!H222</f>
        <v>1017669</v>
      </c>
      <c r="J305" s="28">
        <f>TRUNC(I305*C305,1)</f>
        <v>1017669</v>
      </c>
      <c r="K305" s="27">
        <f>일위대가목록!J222</f>
        <v>502282</v>
      </c>
      <c r="L305" s="28">
        <f>TRUNC(K305*C305,1)</f>
        <v>502282</v>
      </c>
      <c r="M305" s="86" t="s">
        <v>2856</v>
      </c>
      <c r="N305" t="s">
        <v>2856</v>
      </c>
      <c r="P305" t="s">
        <v>334</v>
      </c>
      <c r="Q305" t="s">
        <v>2856</v>
      </c>
      <c r="R305" t="s">
        <v>2037</v>
      </c>
      <c r="T305" t="s">
        <v>1778</v>
      </c>
      <c r="BI305" s="34" t="str">
        <f>HYPERLINK("#일위대가목록!A217","NT205-40 →")</f>
        <v>NT205-40 →</v>
      </c>
    </row>
    <row r="306" spans="1:61" ht="18.399999999999999" hidden="1" customHeight="1" x14ac:dyDescent="0.15">
      <c r="A306" s="2" t="s">
        <v>834</v>
      </c>
      <c r="B306" s="87" t="s">
        <v>816</v>
      </c>
      <c r="C306" s="2">
        <v>1</v>
      </c>
      <c r="D306" s="2" t="s">
        <v>1302</v>
      </c>
      <c r="E306" s="27">
        <f t="shared" si="43"/>
        <v>24700</v>
      </c>
      <c r="F306" s="28">
        <f t="shared" si="42"/>
        <v>24700</v>
      </c>
      <c r="G306" s="27">
        <f>자재조서!E131</f>
        <v>24700</v>
      </c>
      <c r="H306" s="28">
        <f t="shared" si="44"/>
        <v>24700</v>
      </c>
      <c r="I306" s="27">
        <v>0</v>
      </c>
      <c r="J306" s="28"/>
      <c r="K306" s="27">
        <v>0</v>
      </c>
      <c r="L306" s="28"/>
      <c r="M306" s="86" t="s">
        <v>2856</v>
      </c>
      <c r="N306" t="s">
        <v>2856</v>
      </c>
      <c r="P306" t="s">
        <v>2471</v>
      </c>
      <c r="Q306" t="s">
        <v>2856</v>
      </c>
      <c r="R306" t="s">
        <v>2314</v>
      </c>
      <c r="BI306" s="34" t="str">
        <f>HYPERLINK("#자재조서!A125","MTP-038 →")</f>
        <v>MTP-038 →</v>
      </c>
    </row>
    <row r="307" spans="1:61" ht="18.399999999999999" hidden="1" customHeight="1" x14ac:dyDescent="0.15">
      <c r="A307" s="2" t="s">
        <v>261</v>
      </c>
      <c r="B307" s="87" t="s">
        <v>2437</v>
      </c>
      <c r="C307" s="2">
        <v>50</v>
      </c>
      <c r="D307" s="2" t="s">
        <v>1674</v>
      </c>
      <c r="E307" s="27">
        <f t="shared" si="43"/>
        <v>433</v>
      </c>
      <c r="F307" s="28">
        <f t="shared" si="42"/>
        <v>21650</v>
      </c>
      <c r="G307" s="27">
        <f>자재조서!E129</f>
        <v>433</v>
      </c>
      <c r="H307" s="28">
        <f t="shared" si="44"/>
        <v>21650</v>
      </c>
      <c r="I307" s="27">
        <v>0</v>
      </c>
      <c r="J307" s="28"/>
      <c r="K307" s="27">
        <v>0</v>
      </c>
      <c r="L307" s="28"/>
      <c r="M307" s="86" t="s">
        <v>2856</v>
      </c>
      <c r="N307" t="s">
        <v>2856</v>
      </c>
      <c r="P307" t="s">
        <v>1741</v>
      </c>
      <c r="Q307" t="s">
        <v>1839</v>
      </c>
      <c r="R307" t="s">
        <v>1422</v>
      </c>
      <c r="BI307" s="34" t="str">
        <f>HYPERLINK("#자재조서!A123","MTP-010 →")</f>
        <v>MTP-010 →</v>
      </c>
    </row>
    <row r="308" spans="1:61" ht="18.399999999999999" hidden="1" customHeight="1" x14ac:dyDescent="0.15">
      <c r="A308" s="2" t="s">
        <v>2029</v>
      </c>
      <c r="B308" s="87" t="s">
        <v>1936</v>
      </c>
      <c r="C308" s="2">
        <v>150</v>
      </c>
      <c r="D308" s="2" t="s">
        <v>1086</v>
      </c>
      <c r="E308" s="27">
        <f t="shared" si="43"/>
        <v>40</v>
      </c>
      <c r="F308" s="28">
        <f t="shared" si="42"/>
        <v>6000</v>
      </c>
      <c r="G308" s="27">
        <f>자재조서!E137</f>
        <v>40</v>
      </c>
      <c r="H308" s="28">
        <f t="shared" si="44"/>
        <v>6000</v>
      </c>
      <c r="I308" s="27">
        <v>0</v>
      </c>
      <c r="J308" s="28"/>
      <c r="K308" s="27">
        <v>0</v>
      </c>
      <c r="L308" s="28"/>
      <c r="M308" s="86" t="s">
        <v>2856</v>
      </c>
      <c r="N308" t="s">
        <v>2856</v>
      </c>
      <c r="P308" t="s">
        <v>1036</v>
      </c>
      <c r="Q308" t="s">
        <v>2856</v>
      </c>
      <c r="R308" t="s">
        <v>316</v>
      </c>
      <c r="BI308" s="34" t="str">
        <f>HYPERLINK("#자재조서!A131","MTP-121 →")</f>
        <v>MTP-121 →</v>
      </c>
    </row>
    <row r="309" spans="1:61" ht="18.399999999999999" hidden="1" customHeight="1" x14ac:dyDescent="0.15">
      <c r="A309" s="2" t="s">
        <v>694</v>
      </c>
      <c r="B309" s="87" t="s">
        <v>1038</v>
      </c>
      <c r="C309" s="2">
        <v>76.3</v>
      </c>
      <c r="D309" s="2" t="s">
        <v>1086</v>
      </c>
      <c r="E309" s="27">
        <f t="shared" si="43"/>
        <v>150</v>
      </c>
      <c r="F309" s="28">
        <f t="shared" si="42"/>
        <v>11445</v>
      </c>
      <c r="G309" s="27">
        <f>자재조서!E136</f>
        <v>150</v>
      </c>
      <c r="H309" s="28">
        <f t="shared" si="44"/>
        <v>11445</v>
      </c>
      <c r="I309" s="27">
        <v>0</v>
      </c>
      <c r="J309" s="28"/>
      <c r="K309" s="27">
        <v>0</v>
      </c>
      <c r="L309" s="28"/>
      <c r="M309" s="86" t="s">
        <v>2856</v>
      </c>
      <c r="N309" t="s">
        <v>2856</v>
      </c>
      <c r="P309" t="s">
        <v>286</v>
      </c>
      <c r="Q309" t="s">
        <v>2856</v>
      </c>
      <c r="R309" t="s">
        <v>794</v>
      </c>
      <c r="BI309" s="34" t="str">
        <f>HYPERLINK("#자재조서!A130","MTP-110 →")</f>
        <v>MTP-110 →</v>
      </c>
    </row>
    <row r="310" spans="1:61" ht="18.399999999999999" hidden="1" customHeight="1" x14ac:dyDescent="0.15">
      <c r="A310" s="2" t="s">
        <v>1734</v>
      </c>
      <c r="B310" s="87" t="s">
        <v>2741</v>
      </c>
      <c r="C310" s="2">
        <v>12.96</v>
      </c>
      <c r="D310" s="2" t="s">
        <v>1674</v>
      </c>
      <c r="E310" s="27">
        <f t="shared" si="43"/>
        <v>1245</v>
      </c>
      <c r="F310" s="28">
        <f t="shared" si="42"/>
        <v>16135.2</v>
      </c>
      <c r="G310" s="27">
        <f>자재조서!E138</f>
        <v>1245</v>
      </c>
      <c r="H310" s="28">
        <f t="shared" si="44"/>
        <v>16135.2</v>
      </c>
      <c r="I310" s="27">
        <v>0</v>
      </c>
      <c r="J310" s="28"/>
      <c r="K310" s="27">
        <v>0</v>
      </c>
      <c r="L310" s="28"/>
      <c r="M310" s="86" t="s">
        <v>2856</v>
      </c>
      <c r="N310" t="s">
        <v>2856</v>
      </c>
      <c r="P310" t="s">
        <v>2428</v>
      </c>
      <c r="Q310" t="s">
        <v>2856</v>
      </c>
      <c r="R310" t="s">
        <v>1046</v>
      </c>
      <c r="BI310" s="34" t="str">
        <f>HYPERLINK("#자재조서!A132","MTP-131 →")</f>
        <v>MTP-131 →</v>
      </c>
    </row>
    <row r="311" spans="1:61" ht="18.399999999999999" hidden="1" customHeight="1" x14ac:dyDescent="0.15">
      <c r="A311" s="1"/>
      <c r="B311" s="87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87"/>
    </row>
    <row r="312" spans="1:61" ht="18.399999999999999" hidden="1" customHeight="1" x14ac:dyDescent="0.15">
      <c r="A312" s="2" t="s">
        <v>946</v>
      </c>
      <c r="B312" s="87" t="s">
        <v>2215</v>
      </c>
      <c r="C312" s="2">
        <v>1</v>
      </c>
      <c r="D312" s="2" t="s">
        <v>556</v>
      </c>
      <c r="E312" s="184"/>
      <c r="F312" s="29">
        <f t="shared" ref="F312:F318" si="45">H312+J312+L312</f>
        <v>1214598</v>
      </c>
      <c r="G312" s="184"/>
      <c r="H312" s="29">
        <f>TRUNC(H313+H314+H316+H317+H318,0)</f>
        <v>148786</v>
      </c>
      <c r="I312" s="184"/>
      <c r="J312" s="29">
        <f>TRUNC(J313+J314+J316+J317+J318,0)</f>
        <v>785059</v>
      </c>
      <c r="K312" s="184"/>
      <c r="L312" s="29">
        <f>TRUNC(L313+L314+L316+L317+L318,0)</f>
        <v>280753</v>
      </c>
      <c r="M312" s="86" t="s">
        <v>2856</v>
      </c>
      <c r="N312" t="s">
        <v>2856</v>
      </c>
      <c r="O312" t="s">
        <v>2563</v>
      </c>
    </row>
    <row r="313" spans="1:61" ht="18.399999999999999" hidden="1" customHeight="1" x14ac:dyDescent="0.15">
      <c r="A313" s="2" t="s">
        <v>1869</v>
      </c>
      <c r="B313" s="87" t="s">
        <v>2526</v>
      </c>
      <c r="C313" s="2">
        <v>1</v>
      </c>
      <c r="D313" s="2" t="s">
        <v>556</v>
      </c>
      <c r="E313" s="27">
        <f t="shared" ref="E313:E318" si="46">G313+I313+K313</f>
        <v>1170507</v>
      </c>
      <c r="F313" s="28">
        <f t="shared" si="45"/>
        <v>1170507</v>
      </c>
      <c r="G313" s="27">
        <f>일위대가목록!F218</f>
        <v>104695</v>
      </c>
      <c r="H313" s="28">
        <f t="shared" ref="H313:H318" si="47">TRUNC(G313*C313,1)</f>
        <v>104695</v>
      </c>
      <c r="I313" s="27">
        <f>일위대가목록!H218</f>
        <v>785059</v>
      </c>
      <c r="J313" s="28">
        <f>TRUNC(I313*C313,1)</f>
        <v>785059</v>
      </c>
      <c r="K313" s="27">
        <f>일위대가목록!J218</f>
        <v>280753</v>
      </c>
      <c r="L313" s="28">
        <f>TRUNC(K313*C313,1)</f>
        <v>280753</v>
      </c>
      <c r="M313" s="86" t="s">
        <v>2856</v>
      </c>
      <c r="N313" t="s">
        <v>2856</v>
      </c>
      <c r="P313" t="s">
        <v>334</v>
      </c>
      <c r="Q313" t="s">
        <v>2856</v>
      </c>
      <c r="R313" t="s">
        <v>2845</v>
      </c>
      <c r="T313" t="s">
        <v>1778</v>
      </c>
      <c r="BI313" s="34" t="str">
        <f>HYPERLINK("#일위대가목록!A213","NT205-35 →")</f>
        <v>NT205-35 →</v>
      </c>
    </row>
    <row r="314" spans="1:61" ht="18.399999999999999" hidden="1" customHeight="1" x14ac:dyDescent="0.15">
      <c r="A314" s="2" t="s">
        <v>834</v>
      </c>
      <c r="B314" s="87" t="s">
        <v>816</v>
      </c>
      <c r="C314" s="2">
        <v>1</v>
      </c>
      <c r="D314" s="2" t="s">
        <v>1302</v>
      </c>
      <c r="E314" s="27">
        <f t="shared" si="46"/>
        <v>24700</v>
      </c>
      <c r="F314" s="28">
        <f t="shared" si="45"/>
        <v>24700</v>
      </c>
      <c r="G314" s="27">
        <f>자재조서!E131</f>
        <v>24700</v>
      </c>
      <c r="H314" s="28">
        <f t="shared" si="47"/>
        <v>24700</v>
      </c>
      <c r="I314" s="27">
        <v>0</v>
      </c>
      <c r="J314" s="28"/>
      <c r="K314" s="27">
        <v>0</v>
      </c>
      <c r="L314" s="28"/>
      <c r="M314" s="86" t="s">
        <v>2856</v>
      </c>
      <c r="N314" t="s">
        <v>2856</v>
      </c>
      <c r="P314" t="s">
        <v>2471</v>
      </c>
      <c r="Q314" t="s">
        <v>2856</v>
      </c>
      <c r="R314" t="s">
        <v>2314</v>
      </c>
      <c r="BI314" s="34" t="str">
        <f>HYPERLINK("#자재조서!A125","MTP-038 →")</f>
        <v>MTP-038 →</v>
      </c>
    </row>
    <row r="315" spans="1:61" ht="18.399999999999999" hidden="1" customHeight="1" x14ac:dyDescent="0.15">
      <c r="A315" s="2" t="s">
        <v>261</v>
      </c>
      <c r="B315" s="87" t="s">
        <v>2437</v>
      </c>
      <c r="C315" s="2">
        <v>50</v>
      </c>
      <c r="D315" s="2" t="s">
        <v>1674</v>
      </c>
      <c r="E315" s="27">
        <f t="shared" si="46"/>
        <v>433</v>
      </c>
      <c r="F315" s="28">
        <f t="shared" si="45"/>
        <v>21650</v>
      </c>
      <c r="G315" s="27">
        <f>자재조서!E129</f>
        <v>433</v>
      </c>
      <c r="H315" s="28">
        <f t="shared" si="47"/>
        <v>21650</v>
      </c>
      <c r="I315" s="27">
        <v>0</v>
      </c>
      <c r="J315" s="28"/>
      <c r="K315" s="27">
        <v>0</v>
      </c>
      <c r="L315" s="28"/>
      <c r="M315" s="86" t="s">
        <v>2856</v>
      </c>
      <c r="N315" t="s">
        <v>2856</v>
      </c>
      <c r="P315" t="s">
        <v>1741</v>
      </c>
      <c r="Q315" t="s">
        <v>1839</v>
      </c>
      <c r="R315" t="s">
        <v>1422</v>
      </c>
      <c r="BI315" s="34" t="str">
        <f>HYPERLINK("#자재조서!A123","MTP-010 →")</f>
        <v>MTP-010 →</v>
      </c>
    </row>
    <row r="316" spans="1:61" ht="18.399999999999999" hidden="1" customHeight="1" x14ac:dyDescent="0.15">
      <c r="A316" s="2" t="s">
        <v>2029</v>
      </c>
      <c r="B316" s="87" t="s">
        <v>1936</v>
      </c>
      <c r="C316" s="2">
        <v>97</v>
      </c>
      <c r="D316" s="2" t="s">
        <v>1086</v>
      </c>
      <c r="E316" s="27">
        <f t="shared" si="46"/>
        <v>40</v>
      </c>
      <c r="F316" s="28">
        <f t="shared" si="45"/>
        <v>3880</v>
      </c>
      <c r="G316" s="27">
        <f>자재조서!E137</f>
        <v>40</v>
      </c>
      <c r="H316" s="28">
        <f t="shared" si="47"/>
        <v>3880</v>
      </c>
      <c r="I316" s="27">
        <v>0</v>
      </c>
      <c r="J316" s="28"/>
      <c r="K316" s="27">
        <v>0</v>
      </c>
      <c r="L316" s="28"/>
      <c r="M316" s="86" t="s">
        <v>2856</v>
      </c>
      <c r="N316" t="s">
        <v>2856</v>
      </c>
      <c r="P316" t="s">
        <v>1036</v>
      </c>
      <c r="Q316" t="s">
        <v>2856</v>
      </c>
      <c r="R316" t="s">
        <v>316</v>
      </c>
      <c r="BI316" s="34" t="str">
        <f>HYPERLINK("#자재조서!A131","MTP-121 →")</f>
        <v>MTP-121 →</v>
      </c>
    </row>
    <row r="317" spans="1:61" ht="18.399999999999999" hidden="1" customHeight="1" x14ac:dyDescent="0.15">
      <c r="A317" s="2" t="s">
        <v>694</v>
      </c>
      <c r="B317" s="87" t="s">
        <v>1038</v>
      </c>
      <c r="C317" s="2">
        <v>42.9</v>
      </c>
      <c r="D317" s="2" t="s">
        <v>1086</v>
      </c>
      <c r="E317" s="27">
        <f t="shared" si="46"/>
        <v>150</v>
      </c>
      <c r="F317" s="28">
        <f t="shared" si="45"/>
        <v>6435</v>
      </c>
      <c r="G317" s="27">
        <f>자재조서!E136</f>
        <v>150</v>
      </c>
      <c r="H317" s="28">
        <f t="shared" si="47"/>
        <v>6435</v>
      </c>
      <c r="I317" s="27">
        <v>0</v>
      </c>
      <c r="J317" s="28"/>
      <c r="K317" s="27">
        <v>0</v>
      </c>
      <c r="L317" s="28"/>
      <c r="M317" s="86" t="s">
        <v>2856</v>
      </c>
      <c r="N317" t="s">
        <v>2856</v>
      </c>
      <c r="P317" t="s">
        <v>286</v>
      </c>
      <c r="Q317" t="s">
        <v>2856</v>
      </c>
      <c r="R317" t="s">
        <v>794</v>
      </c>
      <c r="BI317" s="34" t="str">
        <f>HYPERLINK("#자재조서!A130","MTP-110 →")</f>
        <v>MTP-110 →</v>
      </c>
    </row>
    <row r="318" spans="1:61" ht="18.399999999999999" hidden="1" customHeight="1" x14ac:dyDescent="0.15">
      <c r="A318" s="2" t="s">
        <v>1734</v>
      </c>
      <c r="B318" s="87" t="s">
        <v>2741</v>
      </c>
      <c r="C318" s="2">
        <v>7.29</v>
      </c>
      <c r="D318" s="2" t="s">
        <v>1674</v>
      </c>
      <c r="E318" s="27">
        <f t="shared" si="46"/>
        <v>1245</v>
      </c>
      <c r="F318" s="28">
        <f t="shared" si="45"/>
        <v>9076</v>
      </c>
      <c r="G318" s="27">
        <f>자재조서!E138</f>
        <v>1245</v>
      </c>
      <c r="H318" s="28">
        <f t="shared" si="47"/>
        <v>9076</v>
      </c>
      <c r="I318" s="27">
        <v>0</v>
      </c>
      <c r="J318" s="28"/>
      <c r="K318" s="27">
        <v>0</v>
      </c>
      <c r="L318" s="28"/>
      <c r="M318" s="86" t="s">
        <v>2856</v>
      </c>
      <c r="N318" t="s">
        <v>2856</v>
      </c>
      <c r="P318" t="s">
        <v>2428</v>
      </c>
      <c r="Q318" t="s">
        <v>2856</v>
      </c>
      <c r="R318" t="s">
        <v>1046</v>
      </c>
      <c r="BI318" s="34" t="str">
        <f>HYPERLINK("#자재조서!A132","MTP-131 →")</f>
        <v>MTP-131 →</v>
      </c>
    </row>
    <row r="319" spans="1:61" ht="18.399999999999999" hidden="1" customHeight="1" x14ac:dyDescent="0.15">
      <c r="A319" s="1"/>
      <c r="B319" s="87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87"/>
    </row>
    <row r="320" spans="1:61" ht="18.399999999999999" hidden="1" customHeight="1" x14ac:dyDescent="0.15">
      <c r="A320" s="2" t="s">
        <v>2119</v>
      </c>
      <c r="B320" s="87" t="s">
        <v>2403</v>
      </c>
      <c r="C320" s="2">
        <v>1</v>
      </c>
      <c r="D320" s="2" t="s">
        <v>556</v>
      </c>
      <c r="E320" s="184"/>
      <c r="F320" s="29">
        <f t="shared" ref="F320:F326" si="48">H320+J320+L320</f>
        <v>165131</v>
      </c>
      <c r="G320" s="184"/>
      <c r="H320" s="29">
        <f>TRUNC(H321+H322+H324+H325+H326,0)</f>
        <v>24744</v>
      </c>
      <c r="I320" s="184"/>
      <c r="J320" s="29">
        <f>TRUNC(J321+J322+J324+J325+J326,0)</f>
        <v>127440</v>
      </c>
      <c r="K320" s="184"/>
      <c r="L320" s="29">
        <f>TRUNC(L321+L322+L324+L325+L326,0)</f>
        <v>12947</v>
      </c>
      <c r="M320" s="86" t="s">
        <v>2856</v>
      </c>
      <c r="N320" t="s">
        <v>2856</v>
      </c>
      <c r="O320" t="s">
        <v>1297</v>
      </c>
    </row>
    <row r="321" spans="1:61" ht="18.399999999999999" hidden="1" customHeight="1" x14ac:dyDescent="0.15">
      <c r="A321" s="2" t="s">
        <v>1869</v>
      </c>
      <c r="B321" s="87" t="s">
        <v>1635</v>
      </c>
      <c r="C321" s="2">
        <v>1</v>
      </c>
      <c r="D321" s="2" t="s">
        <v>556</v>
      </c>
      <c r="E321" s="27">
        <f t="shared" ref="E321:E326" si="49">G321+I321+K321</f>
        <v>153659</v>
      </c>
      <c r="F321" s="28">
        <f t="shared" si="48"/>
        <v>153659</v>
      </c>
      <c r="G321" s="27">
        <f>일위대가목록!F223</f>
        <v>13272</v>
      </c>
      <c r="H321" s="28">
        <f t="shared" ref="H321:H326" si="50">TRUNC(G321*C321,1)</f>
        <v>13272</v>
      </c>
      <c r="I321" s="27">
        <f>일위대가목록!H223</f>
        <v>127440</v>
      </c>
      <c r="J321" s="28">
        <f>TRUNC(I321*C321,1)</f>
        <v>127440</v>
      </c>
      <c r="K321" s="27">
        <f>일위대가목록!J223</f>
        <v>12947</v>
      </c>
      <c r="L321" s="28">
        <f>TRUNC(K321*C321,1)</f>
        <v>12947</v>
      </c>
      <c r="M321" s="86" t="s">
        <v>2856</v>
      </c>
      <c r="N321" t="s">
        <v>2856</v>
      </c>
      <c r="P321" t="s">
        <v>334</v>
      </c>
      <c r="Q321" t="s">
        <v>2856</v>
      </c>
      <c r="R321" t="s">
        <v>2486</v>
      </c>
      <c r="T321" t="s">
        <v>1778</v>
      </c>
      <c r="BI321" s="34" t="str">
        <f>HYPERLINK("#일위대가목록!A218","NT205-12 →")</f>
        <v>NT205-12 →</v>
      </c>
    </row>
    <row r="322" spans="1:61" ht="18.399999999999999" hidden="1" customHeight="1" x14ac:dyDescent="0.15">
      <c r="A322" s="2" t="s">
        <v>792</v>
      </c>
      <c r="B322" s="87" t="s">
        <v>2570</v>
      </c>
      <c r="C322" s="2">
        <v>1</v>
      </c>
      <c r="D322" s="2" t="s">
        <v>1302</v>
      </c>
      <c r="E322" s="27">
        <f t="shared" si="49"/>
        <v>10400</v>
      </c>
      <c r="F322" s="28">
        <f t="shared" si="48"/>
        <v>10400</v>
      </c>
      <c r="G322" s="27">
        <f>자재조서!E133</f>
        <v>10400</v>
      </c>
      <c r="H322" s="28">
        <f t="shared" si="50"/>
        <v>10400</v>
      </c>
      <c r="I322" s="27">
        <v>0</v>
      </c>
      <c r="J322" s="28"/>
      <c r="K322" s="27">
        <v>0</v>
      </c>
      <c r="L322" s="28"/>
      <c r="M322" s="86" t="s">
        <v>2856</v>
      </c>
      <c r="N322" t="s">
        <v>2856</v>
      </c>
      <c r="P322" t="s">
        <v>2471</v>
      </c>
      <c r="Q322" t="s">
        <v>2856</v>
      </c>
      <c r="R322" t="s">
        <v>627</v>
      </c>
      <c r="BI322" s="34" t="str">
        <f>HYPERLINK("#자재조서!A127","MTP-040 →")</f>
        <v>MTP-040 →</v>
      </c>
    </row>
    <row r="323" spans="1:61" ht="18.399999999999999" hidden="1" customHeight="1" x14ac:dyDescent="0.15">
      <c r="A323" s="2" t="s">
        <v>261</v>
      </c>
      <c r="B323" s="87" t="s">
        <v>2437</v>
      </c>
      <c r="C323" s="2">
        <v>10</v>
      </c>
      <c r="D323" s="2" t="s">
        <v>1674</v>
      </c>
      <c r="E323" s="27">
        <f t="shared" si="49"/>
        <v>433</v>
      </c>
      <c r="F323" s="28">
        <f t="shared" si="48"/>
        <v>4330</v>
      </c>
      <c r="G323" s="27">
        <f>자재조서!E129</f>
        <v>433</v>
      </c>
      <c r="H323" s="28">
        <f t="shared" si="50"/>
        <v>4330</v>
      </c>
      <c r="I323" s="27">
        <v>0</v>
      </c>
      <c r="J323" s="28"/>
      <c r="K323" s="27">
        <v>0</v>
      </c>
      <c r="L323" s="28"/>
      <c r="M323" s="86" t="s">
        <v>2856</v>
      </c>
      <c r="N323" t="s">
        <v>2856</v>
      </c>
      <c r="P323" t="s">
        <v>1741</v>
      </c>
      <c r="Q323" t="s">
        <v>1839</v>
      </c>
      <c r="R323" t="s">
        <v>1422</v>
      </c>
      <c r="BI323" s="34" t="str">
        <f>HYPERLINK("#자재조서!A123","MTP-010 →")</f>
        <v>MTP-010 →</v>
      </c>
    </row>
    <row r="324" spans="1:61" ht="18.399999999999999" hidden="1" customHeight="1" x14ac:dyDescent="0.15">
      <c r="A324" s="2" t="s">
        <v>2029</v>
      </c>
      <c r="B324" s="87" t="s">
        <v>1936</v>
      </c>
      <c r="C324" s="2">
        <v>5.7</v>
      </c>
      <c r="D324" s="2" t="s">
        <v>1086</v>
      </c>
      <c r="E324" s="27">
        <f t="shared" si="49"/>
        <v>40</v>
      </c>
      <c r="F324" s="28">
        <f t="shared" si="48"/>
        <v>228</v>
      </c>
      <c r="G324" s="27">
        <f>자재조서!E137</f>
        <v>40</v>
      </c>
      <c r="H324" s="28">
        <f t="shared" si="50"/>
        <v>228</v>
      </c>
      <c r="I324" s="27">
        <v>0</v>
      </c>
      <c r="J324" s="28"/>
      <c r="K324" s="27">
        <v>0</v>
      </c>
      <c r="L324" s="28"/>
      <c r="M324" s="86" t="s">
        <v>2856</v>
      </c>
      <c r="N324" t="s">
        <v>2856</v>
      </c>
      <c r="P324" t="s">
        <v>1036</v>
      </c>
      <c r="Q324" t="s">
        <v>2856</v>
      </c>
      <c r="R324" t="s">
        <v>316</v>
      </c>
      <c r="BI324" s="34" t="str">
        <f>HYPERLINK("#자재조서!A131","MTP-121 →")</f>
        <v>MTP-121 →</v>
      </c>
    </row>
    <row r="325" spans="1:61" ht="18.399999999999999" hidden="1" customHeight="1" x14ac:dyDescent="0.15">
      <c r="A325" s="2" t="s">
        <v>694</v>
      </c>
      <c r="B325" s="87" t="s">
        <v>1038</v>
      </c>
      <c r="C325" s="2">
        <v>1.4</v>
      </c>
      <c r="D325" s="2" t="s">
        <v>1086</v>
      </c>
      <c r="E325" s="27">
        <f t="shared" si="49"/>
        <v>150</v>
      </c>
      <c r="F325" s="28">
        <f t="shared" si="48"/>
        <v>210</v>
      </c>
      <c r="G325" s="27">
        <f>자재조서!E136</f>
        <v>150</v>
      </c>
      <c r="H325" s="28">
        <f t="shared" si="50"/>
        <v>210</v>
      </c>
      <c r="I325" s="27">
        <v>0</v>
      </c>
      <c r="J325" s="28"/>
      <c r="K325" s="27">
        <v>0</v>
      </c>
      <c r="L325" s="28"/>
      <c r="M325" s="86" t="s">
        <v>2856</v>
      </c>
      <c r="N325" t="s">
        <v>2856</v>
      </c>
      <c r="P325" t="s">
        <v>286</v>
      </c>
      <c r="Q325" t="s">
        <v>2856</v>
      </c>
      <c r="R325" t="s">
        <v>794</v>
      </c>
      <c r="BI325" s="34" t="str">
        <f>HYPERLINK("#자재조서!A130","MTP-110 →")</f>
        <v>MTP-110 →</v>
      </c>
    </row>
    <row r="326" spans="1:61" ht="18.399999999999999" hidden="1" customHeight="1" x14ac:dyDescent="0.15">
      <c r="A326" s="2" t="s">
        <v>1734</v>
      </c>
      <c r="B326" s="87" t="s">
        <v>2741</v>
      </c>
      <c r="C326" s="2">
        <v>0.51</v>
      </c>
      <c r="D326" s="2" t="s">
        <v>1674</v>
      </c>
      <c r="E326" s="27">
        <f t="shared" si="49"/>
        <v>1245</v>
      </c>
      <c r="F326" s="28">
        <f t="shared" si="48"/>
        <v>634.9</v>
      </c>
      <c r="G326" s="27">
        <f>자재조서!E138</f>
        <v>1245</v>
      </c>
      <c r="H326" s="28">
        <f t="shared" si="50"/>
        <v>634.9</v>
      </c>
      <c r="I326" s="27">
        <v>0</v>
      </c>
      <c r="J326" s="28"/>
      <c r="K326" s="27">
        <v>0</v>
      </c>
      <c r="L326" s="28"/>
      <c r="M326" s="86" t="s">
        <v>2856</v>
      </c>
      <c r="N326" t="s">
        <v>2856</v>
      </c>
      <c r="P326" t="s">
        <v>2428</v>
      </c>
      <c r="Q326" t="s">
        <v>2856</v>
      </c>
      <c r="R326" t="s">
        <v>1046</v>
      </c>
      <c r="BI326" s="34" t="str">
        <f>HYPERLINK("#자재조서!A132","MTP-131 →")</f>
        <v>MTP-131 →</v>
      </c>
    </row>
    <row r="327" spans="1:61" ht="18.399999999999999" hidden="1" customHeight="1" x14ac:dyDescent="0.15">
      <c r="A327" s="1"/>
      <c r="B327" s="87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87"/>
    </row>
    <row r="328" spans="1:61" ht="18.399999999999999" hidden="1" customHeight="1" x14ac:dyDescent="0.15">
      <c r="A328" s="2" t="s">
        <v>481</v>
      </c>
      <c r="B328" s="87" t="s">
        <v>2797</v>
      </c>
      <c r="C328" s="2">
        <v>1</v>
      </c>
      <c r="D328" s="2" t="s">
        <v>556</v>
      </c>
      <c r="E328" s="184"/>
      <c r="F328" s="29">
        <f t="shared" ref="F328:F334" si="51">H328+J328+L328</f>
        <v>165131</v>
      </c>
      <c r="G328" s="184"/>
      <c r="H328" s="29">
        <f>TRUNC(H329+H330+H332+H333+H334,0)</f>
        <v>24744</v>
      </c>
      <c r="I328" s="184"/>
      <c r="J328" s="29">
        <f>TRUNC(J329+J330+J332+J333+J334,0)</f>
        <v>127440</v>
      </c>
      <c r="K328" s="184"/>
      <c r="L328" s="29">
        <f>TRUNC(L329+L330+L332+L333+L334,0)</f>
        <v>12947</v>
      </c>
      <c r="M328" s="86" t="s">
        <v>2856</v>
      </c>
      <c r="N328" t="s">
        <v>2856</v>
      </c>
      <c r="O328" t="s">
        <v>2528</v>
      </c>
    </row>
    <row r="329" spans="1:61" ht="18.399999999999999" hidden="1" customHeight="1" x14ac:dyDescent="0.15">
      <c r="A329" s="2" t="s">
        <v>1869</v>
      </c>
      <c r="B329" s="87" t="s">
        <v>1635</v>
      </c>
      <c r="C329" s="2">
        <v>1</v>
      </c>
      <c r="D329" s="2" t="s">
        <v>556</v>
      </c>
      <c r="E329" s="27">
        <f t="shared" ref="E329:E334" si="52">G329+I329+K329</f>
        <v>153659</v>
      </c>
      <c r="F329" s="28">
        <f t="shared" si="51"/>
        <v>153659</v>
      </c>
      <c r="G329" s="27">
        <f>일위대가목록!F223</f>
        <v>13272</v>
      </c>
      <c r="H329" s="28">
        <f t="shared" ref="H329:H334" si="53">TRUNC(G329*C329,1)</f>
        <v>13272</v>
      </c>
      <c r="I329" s="27">
        <f>일위대가목록!H223</f>
        <v>127440</v>
      </c>
      <c r="J329" s="28">
        <f>TRUNC(I329*C329,1)</f>
        <v>127440</v>
      </c>
      <c r="K329" s="27">
        <f>일위대가목록!J223</f>
        <v>12947</v>
      </c>
      <c r="L329" s="28">
        <f>TRUNC(K329*C329,1)</f>
        <v>12947</v>
      </c>
      <c r="M329" s="86" t="s">
        <v>2856</v>
      </c>
      <c r="N329" t="s">
        <v>2856</v>
      </c>
      <c r="P329" t="s">
        <v>334</v>
      </c>
      <c r="Q329" t="s">
        <v>2856</v>
      </c>
      <c r="R329" t="s">
        <v>2486</v>
      </c>
      <c r="T329" t="s">
        <v>1778</v>
      </c>
      <c r="BI329" s="34" t="str">
        <f>HYPERLINK("#일위대가목록!A218","NT205-12 →")</f>
        <v>NT205-12 →</v>
      </c>
    </row>
    <row r="330" spans="1:61" ht="18.399999999999999" hidden="1" customHeight="1" x14ac:dyDescent="0.15">
      <c r="A330" s="2" t="s">
        <v>792</v>
      </c>
      <c r="B330" s="87" t="s">
        <v>2570</v>
      </c>
      <c r="C330" s="2">
        <v>1</v>
      </c>
      <c r="D330" s="2" t="s">
        <v>1302</v>
      </c>
      <c r="E330" s="27">
        <f t="shared" si="52"/>
        <v>10400</v>
      </c>
      <c r="F330" s="28">
        <f t="shared" si="51"/>
        <v>10400</v>
      </c>
      <c r="G330" s="27">
        <f>자재조서!E133</f>
        <v>10400</v>
      </c>
      <c r="H330" s="28">
        <f t="shared" si="53"/>
        <v>10400</v>
      </c>
      <c r="I330" s="27">
        <v>0</v>
      </c>
      <c r="J330" s="28"/>
      <c r="K330" s="27">
        <v>0</v>
      </c>
      <c r="L330" s="28"/>
      <c r="M330" s="86" t="s">
        <v>2856</v>
      </c>
      <c r="N330" t="s">
        <v>2856</v>
      </c>
      <c r="P330" t="s">
        <v>2471</v>
      </c>
      <c r="Q330" t="s">
        <v>2856</v>
      </c>
      <c r="R330" t="s">
        <v>627</v>
      </c>
      <c r="BI330" s="34" t="str">
        <f>HYPERLINK("#자재조서!A127","MTP-040 →")</f>
        <v>MTP-040 →</v>
      </c>
    </row>
    <row r="331" spans="1:61" ht="18.399999999999999" hidden="1" customHeight="1" x14ac:dyDescent="0.15">
      <c r="A331" s="2" t="s">
        <v>261</v>
      </c>
      <c r="B331" s="87" t="s">
        <v>2437</v>
      </c>
      <c r="C331" s="2">
        <v>10</v>
      </c>
      <c r="D331" s="2" t="s">
        <v>1674</v>
      </c>
      <c r="E331" s="27">
        <f t="shared" si="52"/>
        <v>433</v>
      </c>
      <c r="F331" s="28">
        <f t="shared" si="51"/>
        <v>4330</v>
      </c>
      <c r="G331" s="27">
        <f>자재조서!E129</f>
        <v>433</v>
      </c>
      <c r="H331" s="28">
        <f t="shared" si="53"/>
        <v>4330</v>
      </c>
      <c r="I331" s="27">
        <v>0</v>
      </c>
      <c r="J331" s="28"/>
      <c r="K331" s="27">
        <v>0</v>
      </c>
      <c r="L331" s="28"/>
      <c r="M331" s="86" t="s">
        <v>2856</v>
      </c>
      <c r="N331" t="s">
        <v>2856</v>
      </c>
      <c r="P331" t="s">
        <v>1741</v>
      </c>
      <c r="Q331" t="s">
        <v>1839</v>
      </c>
      <c r="R331" t="s">
        <v>1422</v>
      </c>
      <c r="BI331" s="34" t="str">
        <f>HYPERLINK("#자재조서!A123","MTP-010 →")</f>
        <v>MTP-010 →</v>
      </c>
    </row>
    <row r="332" spans="1:61" ht="18.399999999999999" hidden="1" customHeight="1" x14ac:dyDescent="0.15">
      <c r="A332" s="2" t="s">
        <v>2029</v>
      </c>
      <c r="B332" s="87" t="s">
        <v>1936</v>
      </c>
      <c r="C332" s="2">
        <v>5.7</v>
      </c>
      <c r="D332" s="2" t="s">
        <v>1086</v>
      </c>
      <c r="E332" s="27">
        <f t="shared" si="52"/>
        <v>40</v>
      </c>
      <c r="F332" s="28">
        <f t="shared" si="51"/>
        <v>228</v>
      </c>
      <c r="G332" s="27">
        <f>자재조서!E137</f>
        <v>40</v>
      </c>
      <c r="H332" s="28">
        <f t="shared" si="53"/>
        <v>228</v>
      </c>
      <c r="I332" s="27">
        <v>0</v>
      </c>
      <c r="J332" s="28"/>
      <c r="K332" s="27">
        <v>0</v>
      </c>
      <c r="L332" s="28"/>
      <c r="M332" s="86" t="s">
        <v>2856</v>
      </c>
      <c r="N332" t="s">
        <v>2856</v>
      </c>
      <c r="P332" t="s">
        <v>1036</v>
      </c>
      <c r="Q332" t="s">
        <v>2856</v>
      </c>
      <c r="R332" t="s">
        <v>316</v>
      </c>
      <c r="BI332" s="34" t="str">
        <f>HYPERLINK("#자재조서!A131","MTP-121 →")</f>
        <v>MTP-121 →</v>
      </c>
    </row>
    <row r="333" spans="1:61" ht="18.399999999999999" hidden="1" customHeight="1" x14ac:dyDescent="0.15">
      <c r="A333" s="2" t="s">
        <v>694</v>
      </c>
      <c r="B333" s="87" t="s">
        <v>1038</v>
      </c>
      <c r="C333" s="2">
        <v>1.4</v>
      </c>
      <c r="D333" s="2" t="s">
        <v>1086</v>
      </c>
      <c r="E333" s="27">
        <f t="shared" si="52"/>
        <v>150</v>
      </c>
      <c r="F333" s="28">
        <f t="shared" si="51"/>
        <v>210</v>
      </c>
      <c r="G333" s="27">
        <f>자재조서!E136</f>
        <v>150</v>
      </c>
      <c r="H333" s="28">
        <f t="shared" si="53"/>
        <v>210</v>
      </c>
      <c r="I333" s="27">
        <v>0</v>
      </c>
      <c r="J333" s="28"/>
      <c r="K333" s="27">
        <v>0</v>
      </c>
      <c r="L333" s="28"/>
      <c r="M333" s="86" t="s">
        <v>2856</v>
      </c>
      <c r="N333" t="s">
        <v>2856</v>
      </c>
      <c r="P333" t="s">
        <v>286</v>
      </c>
      <c r="Q333" t="s">
        <v>2856</v>
      </c>
      <c r="R333" t="s">
        <v>794</v>
      </c>
      <c r="BI333" s="34" t="str">
        <f>HYPERLINK("#자재조서!A130","MTP-110 →")</f>
        <v>MTP-110 →</v>
      </c>
    </row>
    <row r="334" spans="1:61" ht="18.399999999999999" hidden="1" customHeight="1" x14ac:dyDescent="0.15">
      <c r="A334" s="2" t="s">
        <v>1734</v>
      </c>
      <c r="B334" s="87" t="s">
        <v>2741</v>
      </c>
      <c r="C334" s="2">
        <v>0.51</v>
      </c>
      <c r="D334" s="2" t="s">
        <v>1674</v>
      </c>
      <c r="E334" s="27">
        <f t="shared" si="52"/>
        <v>1245</v>
      </c>
      <c r="F334" s="28">
        <f t="shared" si="51"/>
        <v>634.9</v>
      </c>
      <c r="G334" s="27">
        <f>자재조서!E138</f>
        <v>1245</v>
      </c>
      <c r="H334" s="28">
        <f t="shared" si="53"/>
        <v>634.9</v>
      </c>
      <c r="I334" s="27">
        <v>0</v>
      </c>
      <c r="J334" s="28"/>
      <c r="K334" s="27">
        <v>0</v>
      </c>
      <c r="L334" s="28"/>
      <c r="M334" s="86" t="s">
        <v>2856</v>
      </c>
      <c r="N334" t="s">
        <v>2856</v>
      </c>
      <c r="P334" t="s">
        <v>2428</v>
      </c>
      <c r="Q334" t="s">
        <v>2856</v>
      </c>
      <c r="R334" t="s">
        <v>1046</v>
      </c>
      <c r="BI334" s="34" t="str">
        <f>HYPERLINK("#자재조서!A132","MTP-131 →")</f>
        <v>MTP-131 →</v>
      </c>
    </row>
    <row r="335" spans="1:61" ht="18.399999999999999" hidden="1" customHeight="1" x14ac:dyDescent="0.15">
      <c r="A335" s="1"/>
      <c r="B335" s="87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87"/>
    </row>
    <row r="336" spans="1:61" ht="18.399999999999999" hidden="1" customHeight="1" x14ac:dyDescent="0.15">
      <c r="A336" s="2" t="s">
        <v>2479</v>
      </c>
      <c r="B336" s="87" t="s">
        <v>473</v>
      </c>
      <c r="C336" s="2">
        <v>1</v>
      </c>
      <c r="D336" s="2" t="s">
        <v>556</v>
      </c>
      <c r="E336" s="184"/>
      <c r="F336" s="29">
        <f t="shared" ref="F336:F342" si="54">H336+J336+L336</f>
        <v>165131</v>
      </c>
      <c r="G336" s="184"/>
      <c r="H336" s="29">
        <f>TRUNC(H337+H338+H340+H341+H342,0)</f>
        <v>24744</v>
      </c>
      <c r="I336" s="184"/>
      <c r="J336" s="29">
        <f>TRUNC(J337+J338+J340+J341+J342,0)</f>
        <v>127440</v>
      </c>
      <c r="K336" s="184"/>
      <c r="L336" s="29">
        <f>TRUNC(L337+L338+L340+L341+L342,0)</f>
        <v>12947</v>
      </c>
      <c r="M336" s="86" t="s">
        <v>2856</v>
      </c>
      <c r="N336" t="s">
        <v>2856</v>
      </c>
      <c r="O336" t="s">
        <v>1485</v>
      </c>
    </row>
    <row r="337" spans="1:61" ht="18.399999999999999" hidden="1" customHeight="1" x14ac:dyDescent="0.15">
      <c r="A337" s="2" t="s">
        <v>1869</v>
      </c>
      <c r="B337" s="87" t="s">
        <v>1635</v>
      </c>
      <c r="C337" s="2">
        <v>1</v>
      </c>
      <c r="D337" s="2" t="s">
        <v>556</v>
      </c>
      <c r="E337" s="27">
        <f t="shared" ref="E337:E342" si="55">G337+I337+K337</f>
        <v>153659</v>
      </c>
      <c r="F337" s="28">
        <f t="shared" si="54"/>
        <v>153659</v>
      </c>
      <c r="G337" s="27">
        <f>일위대가목록!F223</f>
        <v>13272</v>
      </c>
      <c r="H337" s="28">
        <f t="shared" ref="H337:H342" si="56">TRUNC(G337*C337,1)</f>
        <v>13272</v>
      </c>
      <c r="I337" s="27">
        <f>일위대가목록!H223</f>
        <v>127440</v>
      </c>
      <c r="J337" s="28">
        <f>TRUNC(I337*C337,1)</f>
        <v>127440</v>
      </c>
      <c r="K337" s="27">
        <f>일위대가목록!J223</f>
        <v>12947</v>
      </c>
      <c r="L337" s="28">
        <f>TRUNC(K337*C337,1)</f>
        <v>12947</v>
      </c>
      <c r="M337" s="86" t="s">
        <v>2856</v>
      </c>
      <c r="N337" t="s">
        <v>2856</v>
      </c>
      <c r="P337" t="s">
        <v>334</v>
      </c>
      <c r="Q337" t="s">
        <v>2856</v>
      </c>
      <c r="R337" t="s">
        <v>2486</v>
      </c>
      <c r="T337" t="s">
        <v>1778</v>
      </c>
      <c r="BI337" s="34" t="str">
        <f>HYPERLINK("#일위대가목록!A218","NT205-12 →")</f>
        <v>NT205-12 →</v>
      </c>
    </row>
    <row r="338" spans="1:61" ht="18.399999999999999" hidden="1" customHeight="1" x14ac:dyDescent="0.15">
      <c r="A338" s="2" t="s">
        <v>792</v>
      </c>
      <c r="B338" s="87" t="s">
        <v>2570</v>
      </c>
      <c r="C338" s="2">
        <v>1</v>
      </c>
      <c r="D338" s="2" t="s">
        <v>1302</v>
      </c>
      <c r="E338" s="27">
        <f t="shared" si="55"/>
        <v>10400</v>
      </c>
      <c r="F338" s="28">
        <f t="shared" si="54"/>
        <v>10400</v>
      </c>
      <c r="G338" s="27">
        <f>자재조서!E133</f>
        <v>10400</v>
      </c>
      <c r="H338" s="28">
        <f t="shared" si="56"/>
        <v>10400</v>
      </c>
      <c r="I338" s="27">
        <v>0</v>
      </c>
      <c r="J338" s="28"/>
      <c r="K338" s="27">
        <v>0</v>
      </c>
      <c r="L338" s="28"/>
      <c r="M338" s="86" t="s">
        <v>2856</v>
      </c>
      <c r="N338" t="s">
        <v>2856</v>
      </c>
      <c r="P338" t="s">
        <v>2471</v>
      </c>
      <c r="Q338" t="s">
        <v>2856</v>
      </c>
      <c r="R338" t="s">
        <v>627</v>
      </c>
      <c r="BI338" s="34" t="str">
        <f>HYPERLINK("#자재조서!A127","MTP-040 →")</f>
        <v>MTP-040 →</v>
      </c>
    </row>
    <row r="339" spans="1:61" ht="18.399999999999999" hidden="1" customHeight="1" x14ac:dyDescent="0.15">
      <c r="A339" s="2" t="s">
        <v>261</v>
      </c>
      <c r="B339" s="87" t="s">
        <v>2437</v>
      </c>
      <c r="C339" s="2">
        <v>10</v>
      </c>
      <c r="D339" s="2" t="s">
        <v>1674</v>
      </c>
      <c r="E339" s="27">
        <f t="shared" si="55"/>
        <v>433</v>
      </c>
      <c r="F339" s="28">
        <f t="shared" si="54"/>
        <v>4330</v>
      </c>
      <c r="G339" s="27">
        <f>자재조서!E129</f>
        <v>433</v>
      </c>
      <c r="H339" s="28">
        <f t="shared" si="56"/>
        <v>4330</v>
      </c>
      <c r="I339" s="27">
        <v>0</v>
      </c>
      <c r="J339" s="28"/>
      <c r="K339" s="27">
        <v>0</v>
      </c>
      <c r="L339" s="28"/>
      <c r="M339" s="86" t="s">
        <v>2856</v>
      </c>
      <c r="N339" t="s">
        <v>2856</v>
      </c>
      <c r="P339" t="s">
        <v>1741</v>
      </c>
      <c r="Q339" t="s">
        <v>1839</v>
      </c>
      <c r="R339" t="s">
        <v>1422</v>
      </c>
      <c r="BI339" s="34" t="str">
        <f>HYPERLINK("#자재조서!A123","MTP-010 →")</f>
        <v>MTP-010 →</v>
      </c>
    </row>
    <row r="340" spans="1:61" ht="18.399999999999999" hidden="1" customHeight="1" x14ac:dyDescent="0.15">
      <c r="A340" s="2" t="s">
        <v>2029</v>
      </c>
      <c r="B340" s="87" t="s">
        <v>1936</v>
      </c>
      <c r="C340" s="2">
        <v>5.7</v>
      </c>
      <c r="D340" s="2" t="s">
        <v>1086</v>
      </c>
      <c r="E340" s="27">
        <f t="shared" si="55"/>
        <v>40</v>
      </c>
      <c r="F340" s="28">
        <f t="shared" si="54"/>
        <v>228</v>
      </c>
      <c r="G340" s="27">
        <f>자재조서!E137</f>
        <v>40</v>
      </c>
      <c r="H340" s="28">
        <f t="shared" si="56"/>
        <v>228</v>
      </c>
      <c r="I340" s="27">
        <v>0</v>
      </c>
      <c r="J340" s="28"/>
      <c r="K340" s="27">
        <v>0</v>
      </c>
      <c r="L340" s="28"/>
      <c r="M340" s="86" t="s">
        <v>2856</v>
      </c>
      <c r="N340" t="s">
        <v>2856</v>
      </c>
      <c r="P340" t="s">
        <v>1036</v>
      </c>
      <c r="Q340" t="s">
        <v>2856</v>
      </c>
      <c r="R340" t="s">
        <v>316</v>
      </c>
      <c r="BI340" s="34" t="str">
        <f>HYPERLINK("#자재조서!A131","MTP-121 →")</f>
        <v>MTP-121 →</v>
      </c>
    </row>
    <row r="341" spans="1:61" ht="18.399999999999999" hidden="1" customHeight="1" x14ac:dyDescent="0.15">
      <c r="A341" s="2" t="s">
        <v>694</v>
      </c>
      <c r="B341" s="87" t="s">
        <v>1038</v>
      </c>
      <c r="C341" s="2">
        <v>1.4</v>
      </c>
      <c r="D341" s="2" t="s">
        <v>1086</v>
      </c>
      <c r="E341" s="27">
        <f t="shared" si="55"/>
        <v>150</v>
      </c>
      <c r="F341" s="28">
        <f t="shared" si="54"/>
        <v>210</v>
      </c>
      <c r="G341" s="27">
        <f>자재조서!E136</f>
        <v>150</v>
      </c>
      <c r="H341" s="28">
        <f t="shared" si="56"/>
        <v>210</v>
      </c>
      <c r="I341" s="27">
        <v>0</v>
      </c>
      <c r="J341" s="28"/>
      <c r="K341" s="27">
        <v>0</v>
      </c>
      <c r="L341" s="28"/>
      <c r="M341" s="86" t="s">
        <v>2856</v>
      </c>
      <c r="N341" t="s">
        <v>2856</v>
      </c>
      <c r="P341" t="s">
        <v>286</v>
      </c>
      <c r="Q341" t="s">
        <v>2856</v>
      </c>
      <c r="R341" t="s">
        <v>794</v>
      </c>
      <c r="BI341" s="34" t="str">
        <f>HYPERLINK("#자재조서!A130","MTP-110 →")</f>
        <v>MTP-110 →</v>
      </c>
    </row>
    <row r="342" spans="1:61" ht="18.399999999999999" hidden="1" customHeight="1" x14ac:dyDescent="0.15">
      <c r="A342" s="2" t="s">
        <v>1734</v>
      </c>
      <c r="B342" s="87" t="s">
        <v>2741</v>
      </c>
      <c r="C342" s="2">
        <v>0.51</v>
      </c>
      <c r="D342" s="2" t="s">
        <v>1674</v>
      </c>
      <c r="E342" s="27">
        <f t="shared" si="55"/>
        <v>1245</v>
      </c>
      <c r="F342" s="28">
        <f t="shared" si="54"/>
        <v>634.9</v>
      </c>
      <c r="G342" s="27">
        <f>자재조서!E138</f>
        <v>1245</v>
      </c>
      <c r="H342" s="28">
        <f t="shared" si="56"/>
        <v>634.9</v>
      </c>
      <c r="I342" s="27">
        <v>0</v>
      </c>
      <c r="J342" s="28"/>
      <c r="K342" s="27">
        <v>0</v>
      </c>
      <c r="L342" s="28"/>
      <c r="M342" s="86" t="s">
        <v>2856</v>
      </c>
      <c r="N342" t="s">
        <v>2856</v>
      </c>
      <c r="P342" t="s">
        <v>2428</v>
      </c>
      <c r="Q342" t="s">
        <v>2856</v>
      </c>
      <c r="R342" t="s">
        <v>1046</v>
      </c>
      <c r="BI342" s="34" t="str">
        <f>HYPERLINK("#자재조서!A132","MTP-131 →")</f>
        <v>MTP-131 →</v>
      </c>
    </row>
    <row r="343" spans="1:61" ht="18.399999999999999" hidden="1" customHeight="1" x14ac:dyDescent="0.15">
      <c r="A343" s="1"/>
      <c r="B343" s="87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87"/>
    </row>
    <row r="344" spans="1:61" ht="18.399999999999999" hidden="1" customHeight="1" x14ac:dyDescent="0.15">
      <c r="A344" s="2" t="s">
        <v>895</v>
      </c>
      <c r="B344" s="87" t="s">
        <v>1592</v>
      </c>
      <c r="C344" s="2">
        <v>1</v>
      </c>
      <c r="D344" s="2" t="s">
        <v>556</v>
      </c>
      <c r="E344" s="184"/>
      <c r="F344" s="29">
        <f t="shared" ref="F344:F350" si="57">H344+J344+L344</f>
        <v>165131</v>
      </c>
      <c r="G344" s="184"/>
      <c r="H344" s="29">
        <f>TRUNC(H345+H346+H348+H349+H350,0)</f>
        <v>24744</v>
      </c>
      <c r="I344" s="184"/>
      <c r="J344" s="29">
        <f>TRUNC(J345+J346+J348+J349+J350,0)</f>
        <v>127440</v>
      </c>
      <c r="K344" s="184"/>
      <c r="L344" s="29">
        <f>TRUNC(L345+L346+L348+L349+L350,0)</f>
        <v>12947</v>
      </c>
      <c r="M344" s="86" t="s">
        <v>2856</v>
      </c>
      <c r="N344" t="s">
        <v>2856</v>
      </c>
      <c r="O344" t="s">
        <v>220</v>
      </c>
    </row>
    <row r="345" spans="1:61" ht="18.399999999999999" hidden="1" customHeight="1" x14ac:dyDescent="0.15">
      <c r="A345" s="2" t="s">
        <v>1869</v>
      </c>
      <c r="B345" s="87" t="s">
        <v>1635</v>
      </c>
      <c r="C345" s="2">
        <v>1</v>
      </c>
      <c r="D345" s="2" t="s">
        <v>556</v>
      </c>
      <c r="E345" s="27">
        <f t="shared" ref="E345:E350" si="58">G345+I345+K345</f>
        <v>153659</v>
      </c>
      <c r="F345" s="28">
        <f t="shared" si="57"/>
        <v>153659</v>
      </c>
      <c r="G345" s="27">
        <f>일위대가목록!F223</f>
        <v>13272</v>
      </c>
      <c r="H345" s="28">
        <f t="shared" ref="H345:H350" si="59">TRUNC(G345*C345,1)</f>
        <v>13272</v>
      </c>
      <c r="I345" s="27">
        <f>일위대가목록!H223</f>
        <v>127440</v>
      </c>
      <c r="J345" s="28">
        <f>TRUNC(I345*C345,1)</f>
        <v>127440</v>
      </c>
      <c r="K345" s="27">
        <f>일위대가목록!J223</f>
        <v>12947</v>
      </c>
      <c r="L345" s="28">
        <f>TRUNC(K345*C345,1)</f>
        <v>12947</v>
      </c>
      <c r="M345" s="86" t="s">
        <v>2856</v>
      </c>
      <c r="N345" t="s">
        <v>2856</v>
      </c>
      <c r="P345" t="s">
        <v>334</v>
      </c>
      <c r="Q345" t="s">
        <v>2856</v>
      </c>
      <c r="R345" t="s">
        <v>2486</v>
      </c>
      <c r="T345" t="s">
        <v>1778</v>
      </c>
      <c r="BI345" s="34" t="str">
        <f>HYPERLINK("#일위대가목록!A218","NT205-12 →")</f>
        <v>NT205-12 →</v>
      </c>
    </row>
    <row r="346" spans="1:61" ht="18.399999999999999" hidden="1" customHeight="1" x14ac:dyDescent="0.15">
      <c r="A346" s="2" t="s">
        <v>792</v>
      </c>
      <c r="B346" s="87" t="s">
        <v>2570</v>
      </c>
      <c r="C346" s="2">
        <v>1</v>
      </c>
      <c r="D346" s="2" t="s">
        <v>1302</v>
      </c>
      <c r="E346" s="27">
        <f t="shared" si="58"/>
        <v>10400</v>
      </c>
      <c r="F346" s="28">
        <f t="shared" si="57"/>
        <v>10400</v>
      </c>
      <c r="G346" s="27">
        <f>자재조서!E133</f>
        <v>10400</v>
      </c>
      <c r="H346" s="28">
        <f t="shared" si="59"/>
        <v>10400</v>
      </c>
      <c r="I346" s="27">
        <v>0</v>
      </c>
      <c r="J346" s="28"/>
      <c r="K346" s="27">
        <v>0</v>
      </c>
      <c r="L346" s="28"/>
      <c r="M346" s="86" t="s">
        <v>2856</v>
      </c>
      <c r="N346" t="s">
        <v>2856</v>
      </c>
      <c r="P346" t="s">
        <v>2471</v>
      </c>
      <c r="Q346" t="s">
        <v>2856</v>
      </c>
      <c r="R346" t="s">
        <v>627</v>
      </c>
      <c r="BI346" s="34" t="str">
        <f>HYPERLINK("#자재조서!A127","MTP-040 →")</f>
        <v>MTP-040 →</v>
      </c>
    </row>
    <row r="347" spans="1:61" ht="18.399999999999999" hidden="1" customHeight="1" x14ac:dyDescent="0.15">
      <c r="A347" s="2" t="s">
        <v>261</v>
      </c>
      <c r="B347" s="87" t="s">
        <v>2437</v>
      </c>
      <c r="C347" s="2">
        <v>10</v>
      </c>
      <c r="D347" s="2" t="s">
        <v>1674</v>
      </c>
      <c r="E347" s="27">
        <f t="shared" si="58"/>
        <v>433</v>
      </c>
      <c r="F347" s="28">
        <f t="shared" si="57"/>
        <v>4330</v>
      </c>
      <c r="G347" s="27">
        <f>자재조서!E129</f>
        <v>433</v>
      </c>
      <c r="H347" s="28">
        <f t="shared" si="59"/>
        <v>4330</v>
      </c>
      <c r="I347" s="27">
        <v>0</v>
      </c>
      <c r="J347" s="28"/>
      <c r="K347" s="27">
        <v>0</v>
      </c>
      <c r="L347" s="28"/>
      <c r="M347" s="86" t="s">
        <v>2856</v>
      </c>
      <c r="N347" t="s">
        <v>2856</v>
      </c>
      <c r="P347" t="s">
        <v>1741</v>
      </c>
      <c r="Q347" t="s">
        <v>1839</v>
      </c>
      <c r="R347" t="s">
        <v>1422</v>
      </c>
      <c r="BI347" s="34" t="str">
        <f>HYPERLINK("#자재조서!A123","MTP-010 →")</f>
        <v>MTP-010 →</v>
      </c>
    </row>
    <row r="348" spans="1:61" ht="18.399999999999999" hidden="1" customHeight="1" x14ac:dyDescent="0.15">
      <c r="A348" s="2" t="s">
        <v>2029</v>
      </c>
      <c r="B348" s="87" t="s">
        <v>1936</v>
      </c>
      <c r="C348" s="2">
        <v>5.7</v>
      </c>
      <c r="D348" s="2" t="s">
        <v>1086</v>
      </c>
      <c r="E348" s="27">
        <f t="shared" si="58"/>
        <v>40</v>
      </c>
      <c r="F348" s="28">
        <f t="shared" si="57"/>
        <v>228</v>
      </c>
      <c r="G348" s="27">
        <f>자재조서!E137</f>
        <v>40</v>
      </c>
      <c r="H348" s="28">
        <f t="shared" si="59"/>
        <v>228</v>
      </c>
      <c r="I348" s="27">
        <v>0</v>
      </c>
      <c r="J348" s="28"/>
      <c r="K348" s="27">
        <v>0</v>
      </c>
      <c r="L348" s="28"/>
      <c r="M348" s="86" t="s">
        <v>2856</v>
      </c>
      <c r="N348" t="s">
        <v>2856</v>
      </c>
      <c r="P348" t="s">
        <v>1036</v>
      </c>
      <c r="Q348" t="s">
        <v>2856</v>
      </c>
      <c r="R348" t="s">
        <v>316</v>
      </c>
      <c r="BI348" s="34" t="str">
        <f>HYPERLINK("#자재조서!A131","MTP-121 →")</f>
        <v>MTP-121 →</v>
      </c>
    </row>
    <row r="349" spans="1:61" ht="18.399999999999999" hidden="1" customHeight="1" x14ac:dyDescent="0.15">
      <c r="A349" s="2" t="s">
        <v>694</v>
      </c>
      <c r="B349" s="87" t="s">
        <v>1038</v>
      </c>
      <c r="C349" s="2">
        <v>1.4</v>
      </c>
      <c r="D349" s="2" t="s">
        <v>1086</v>
      </c>
      <c r="E349" s="27">
        <f t="shared" si="58"/>
        <v>150</v>
      </c>
      <c r="F349" s="28">
        <f t="shared" si="57"/>
        <v>210</v>
      </c>
      <c r="G349" s="27">
        <f>자재조서!E136</f>
        <v>150</v>
      </c>
      <c r="H349" s="28">
        <f t="shared" si="59"/>
        <v>210</v>
      </c>
      <c r="I349" s="27">
        <v>0</v>
      </c>
      <c r="J349" s="28"/>
      <c r="K349" s="27">
        <v>0</v>
      </c>
      <c r="L349" s="28"/>
      <c r="M349" s="86" t="s">
        <v>2856</v>
      </c>
      <c r="N349" t="s">
        <v>2856</v>
      </c>
      <c r="P349" t="s">
        <v>286</v>
      </c>
      <c r="Q349" t="s">
        <v>2856</v>
      </c>
      <c r="R349" t="s">
        <v>794</v>
      </c>
      <c r="BI349" s="34" t="str">
        <f>HYPERLINK("#자재조서!A130","MTP-110 →")</f>
        <v>MTP-110 →</v>
      </c>
    </row>
    <row r="350" spans="1:61" ht="18.399999999999999" hidden="1" customHeight="1" x14ac:dyDescent="0.15">
      <c r="A350" s="2" t="s">
        <v>1734</v>
      </c>
      <c r="B350" s="87" t="s">
        <v>2741</v>
      </c>
      <c r="C350" s="2">
        <v>0.51</v>
      </c>
      <c r="D350" s="2" t="s">
        <v>1674</v>
      </c>
      <c r="E350" s="27">
        <f t="shared" si="58"/>
        <v>1245</v>
      </c>
      <c r="F350" s="28">
        <f t="shared" si="57"/>
        <v>634.9</v>
      </c>
      <c r="G350" s="27">
        <f>자재조서!E138</f>
        <v>1245</v>
      </c>
      <c r="H350" s="28">
        <f t="shared" si="59"/>
        <v>634.9</v>
      </c>
      <c r="I350" s="27">
        <v>0</v>
      </c>
      <c r="J350" s="28"/>
      <c r="K350" s="27">
        <v>0</v>
      </c>
      <c r="L350" s="28"/>
      <c r="M350" s="86" t="s">
        <v>2856</v>
      </c>
      <c r="N350" t="s">
        <v>2856</v>
      </c>
      <c r="P350" t="s">
        <v>2428</v>
      </c>
      <c r="Q350" t="s">
        <v>2856</v>
      </c>
      <c r="R350" t="s">
        <v>1046</v>
      </c>
      <c r="BI350" s="34" t="str">
        <f>HYPERLINK("#자재조서!A132","MTP-131 →")</f>
        <v>MTP-131 →</v>
      </c>
    </row>
    <row r="351" spans="1:61" ht="18.399999999999999" hidden="1" customHeight="1" x14ac:dyDescent="0.15">
      <c r="A351" s="1"/>
      <c r="B351" s="87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87"/>
    </row>
    <row r="352" spans="1:61" ht="18.399999999999999" hidden="1" customHeight="1" x14ac:dyDescent="0.15">
      <c r="A352" s="2" t="s">
        <v>1313</v>
      </c>
      <c r="B352" s="87" t="s">
        <v>1820</v>
      </c>
      <c r="C352" s="2">
        <v>1</v>
      </c>
      <c r="D352" s="2" t="s">
        <v>556</v>
      </c>
      <c r="E352" s="184"/>
      <c r="F352" s="29">
        <f t="shared" ref="F352:F358" si="60">H352+J352+L352</f>
        <v>165131</v>
      </c>
      <c r="G352" s="184"/>
      <c r="H352" s="29">
        <f>TRUNC(H353+H354+H356+H357+H358,0)</f>
        <v>24744</v>
      </c>
      <c r="I352" s="184"/>
      <c r="J352" s="29">
        <f>TRUNC(J353+J354+J356+J357+J358,0)</f>
        <v>127440</v>
      </c>
      <c r="K352" s="184"/>
      <c r="L352" s="29">
        <f>TRUNC(L353+L354+L356+L357+L358,0)</f>
        <v>12947</v>
      </c>
      <c r="M352" s="86" t="s">
        <v>2856</v>
      </c>
      <c r="N352" t="s">
        <v>2856</v>
      </c>
      <c r="O352" t="s">
        <v>1893</v>
      </c>
    </row>
    <row r="353" spans="1:61" ht="18.399999999999999" hidden="1" customHeight="1" x14ac:dyDescent="0.15">
      <c r="A353" s="2" t="s">
        <v>1869</v>
      </c>
      <c r="B353" s="87" t="s">
        <v>1635</v>
      </c>
      <c r="C353" s="2">
        <v>1</v>
      </c>
      <c r="D353" s="2" t="s">
        <v>556</v>
      </c>
      <c r="E353" s="27">
        <f t="shared" ref="E353:E358" si="61">G353+I353+K353</f>
        <v>153659</v>
      </c>
      <c r="F353" s="28">
        <f t="shared" si="60"/>
        <v>153659</v>
      </c>
      <c r="G353" s="27">
        <f>일위대가목록!F223</f>
        <v>13272</v>
      </c>
      <c r="H353" s="28">
        <f t="shared" ref="H353:H358" si="62">TRUNC(G353*C353,1)</f>
        <v>13272</v>
      </c>
      <c r="I353" s="27">
        <f>일위대가목록!H223</f>
        <v>127440</v>
      </c>
      <c r="J353" s="28">
        <f>TRUNC(I353*C353,1)</f>
        <v>127440</v>
      </c>
      <c r="K353" s="27">
        <f>일위대가목록!J223</f>
        <v>12947</v>
      </c>
      <c r="L353" s="28">
        <f>TRUNC(K353*C353,1)</f>
        <v>12947</v>
      </c>
      <c r="M353" s="86" t="s">
        <v>2856</v>
      </c>
      <c r="N353" t="s">
        <v>2856</v>
      </c>
      <c r="P353" t="s">
        <v>334</v>
      </c>
      <c r="Q353" t="s">
        <v>2856</v>
      </c>
      <c r="R353" t="s">
        <v>2486</v>
      </c>
      <c r="T353" t="s">
        <v>1778</v>
      </c>
      <c r="BI353" s="34" t="str">
        <f>HYPERLINK("#일위대가목록!A218","NT205-12 →")</f>
        <v>NT205-12 →</v>
      </c>
    </row>
    <row r="354" spans="1:61" ht="18.399999999999999" hidden="1" customHeight="1" x14ac:dyDescent="0.15">
      <c r="A354" s="2" t="s">
        <v>792</v>
      </c>
      <c r="B354" s="87" t="s">
        <v>2570</v>
      </c>
      <c r="C354" s="2">
        <v>1</v>
      </c>
      <c r="D354" s="2" t="s">
        <v>1302</v>
      </c>
      <c r="E354" s="27">
        <f t="shared" si="61"/>
        <v>10400</v>
      </c>
      <c r="F354" s="28">
        <f t="shared" si="60"/>
        <v>10400</v>
      </c>
      <c r="G354" s="27">
        <f>자재조서!E133</f>
        <v>10400</v>
      </c>
      <c r="H354" s="28">
        <f t="shared" si="62"/>
        <v>10400</v>
      </c>
      <c r="I354" s="27">
        <v>0</v>
      </c>
      <c r="J354" s="28"/>
      <c r="K354" s="27">
        <v>0</v>
      </c>
      <c r="L354" s="28"/>
      <c r="M354" s="86" t="s">
        <v>2856</v>
      </c>
      <c r="N354" t="s">
        <v>2856</v>
      </c>
      <c r="P354" t="s">
        <v>2471</v>
      </c>
      <c r="Q354" t="s">
        <v>2856</v>
      </c>
      <c r="R354" t="s">
        <v>627</v>
      </c>
      <c r="BI354" s="34" t="str">
        <f>HYPERLINK("#자재조서!A127","MTP-040 →")</f>
        <v>MTP-040 →</v>
      </c>
    </row>
    <row r="355" spans="1:61" ht="18.399999999999999" hidden="1" customHeight="1" x14ac:dyDescent="0.15">
      <c r="A355" s="2" t="s">
        <v>261</v>
      </c>
      <c r="B355" s="87" t="s">
        <v>2437</v>
      </c>
      <c r="C355" s="2">
        <v>10</v>
      </c>
      <c r="D355" s="2" t="s">
        <v>1674</v>
      </c>
      <c r="E355" s="27">
        <f t="shared" si="61"/>
        <v>433</v>
      </c>
      <c r="F355" s="28">
        <f t="shared" si="60"/>
        <v>4330</v>
      </c>
      <c r="G355" s="27">
        <f>자재조서!E129</f>
        <v>433</v>
      </c>
      <c r="H355" s="28">
        <f t="shared" si="62"/>
        <v>4330</v>
      </c>
      <c r="I355" s="27">
        <v>0</v>
      </c>
      <c r="J355" s="28"/>
      <c r="K355" s="27">
        <v>0</v>
      </c>
      <c r="L355" s="28"/>
      <c r="M355" s="86" t="s">
        <v>2856</v>
      </c>
      <c r="N355" t="s">
        <v>2856</v>
      </c>
      <c r="P355" t="s">
        <v>1741</v>
      </c>
      <c r="Q355" t="s">
        <v>1839</v>
      </c>
      <c r="R355" t="s">
        <v>1422</v>
      </c>
      <c r="BI355" s="34" t="str">
        <f>HYPERLINK("#자재조서!A123","MTP-010 →")</f>
        <v>MTP-010 →</v>
      </c>
    </row>
    <row r="356" spans="1:61" ht="18.399999999999999" hidden="1" customHeight="1" x14ac:dyDescent="0.15">
      <c r="A356" s="2" t="s">
        <v>2029</v>
      </c>
      <c r="B356" s="87" t="s">
        <v>1936</v>
      </c>
      <c r="C356" s="2">
        <v>5.7</v>
      </c>
      <c r="D356" s="2" t="s">
        <v>1086</v>
      </c>
      <c r="E356" s="27">
        <f t="shared" si="61"/>
        <v>40</v>
      </c>
      <c r="F356" s="28">
        <f t="shared" si="60"/>
        <v>228</v>
      </c>
      <c r="G356" s="27">
        <f>자재조서!E137</f>
        <v>40</v>
      </c>
      <c r="H356" s="28">
        <f t="shared" si="62"/>
        <v>228</v>
      </c>
      <c r="I356" s="27">
        <v>0</v>
      </c>
      <c r="J356" s="28"/>
      <c r="K356" s="27">
        <v>0</v>
      </c>
      <c r="L356" s="28"/>
      <c r="M356" s="86" t="s">
        <v>2856</v>
      </c>
      <c r="N356" t="s">
        <v>2856</v>
      </c>
      <c r="P356" t="s">
        <v>1036</v>
      </c>
      <c r="Q356" t="s">
        <v>2856</v>
      </c>
      <c r="R356" t="s">
        <v>316</v>
      </c>
      <c r="BI356" s="34" t="str">
        <f>HYPERLINK("#자재조서!A131","MTP-121 →")</f>
        <v>MTP-121 →</v>
      </c>
    </row>
    <row r="357" spans="1:61" ht="18.399999999999999" hidden="1" customHeight="1" x14ac:dyDescent="0.15">
      <c r="A357" s="2" t="s">
        <v>694</v>
      </c>
      <c r="B357" s="87" t="s">
        <v>1038</v>
      </c>
      <c r="C357" s="2">
        <v>1.4</v>
      </c>
      <c r="D357" s="2" t="s">
        <v>1086</v>
      </c>
      <c r="E357" s="27">
        <f t="shared" si="61"/>
        <v>150</v>
      </c>
      <c r="F357" s="28">
        <f t="shared" si="60"/>
        <v>210</v>
      </c>
      <c r="G357" s="27">
        <f>자재조서!E136</f>
        <v>150</v>
      </c>
      <c r="H357" s="28">
        <f t="shared" si="62"/>
        <v>210</v>
      </c>
      <c r="I357" s="27">
        <v>0</v>
      </c>
      <c r="J357" s="28"/>
      <c r="K357" s="27">
        <v>0</v>
      </c>
      <c r="L357" s="28"/>
      <c r="M357" s="86" t="s">
        <v>2856</v>
      </c>
      <c r="N357" t="s">
        <v>2856</v>
      </c>
      <c r="P357" t="s">
        <v>286</v>
      </c>
      <c r="Q357" t="s">
        <v>2856</v>
      </c>
      <c r="R357" t="s">
        <v>794</v>
      </c>
      <c r="BI357" s="34" t="str">
        <f>HYPERLINK("#자재조서!A130","MTP-110 →")</f>
        <v>MTP-110 →</v>
      </c>
    </row>
    <row r="358" spans="1:61" ht="18.399999999999999" hidden="1" customHeight="1" x14ac:dyDescent="0.15">
      <c r="A358" s="2" t="s">
        <v>1734</v>
      </c>
      <c r="B358" s="87" t="s">
        <v>2741</v>
      </c>
      <c r="C358" s="2">
        <v>0.51</v>
      </c>
      <c r="D358" s="2" t="s">
        <v>1674</v>
      </c>
      <c r="E358" s="27">
        <f t="shared" si="61"/>
        <v>1245</v>
      </c>
      <c r="F358" s="28">
        <f t="shared" si="60"/>
        <v>634.9</v>
      </c>
      <c r="G358" s="27">
        <f>자재조서!E138</f>
        <v>1245</v>
      </c>
      <c r="H358" s="28">
        <f t="shared" si="62"/>
        <v>634.9</v>
      </c>
      <c r="I358" s="27">
        <v>0</v>
      </c>
      <c r="J358" s="28"/>
      <c r="K358" s="27">
        <v>0</v>
      </c>
      <c r="L358" s="28"/>
      <c r="M358" s="86" t="s">
        <v>2856</v>
      </c>
      <c r="N358" t="s">
        <v>2856</v>
      </c>
      <c r="P358" t="s">
        <v>2428</v>
      </c>
      <c r="Q358" t="s">
        <v>2856</v>
      </c>
      <c r="R358" t="s">
        <v>1046</v>
      </c>
      <c r="BI358" s="34" t="str">
        <f>HYPERLINK("#자재조서!A132","MTP-131 →")</f>
        <v>MTP-131 →</v>
      </c>
    </row>
    <row r="359" spans="1:61" ht="18.399999999999999" hidden="1" customHeight="1" x14ac:dyDescent="0.15">
      <c r="A359" s="1"/>
      <c r="B359" s="87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87"/>
    </row>
    <row r="360" spans="1:61" ht="18.399999999999999" hidden="1" customHeight="1" x14ac:dyDescent="0.15">
      <c r="A360" s="2" t="s">
        <v>2566</v>
      </c>
      <c r="B360" s="87" t="s">
        <v>988</v>
      </c>
      <c r="C360" s="2">
        <v>1</v>
      </c>
      <c r="D360" s="2" t="s">
        <v>556</v>
      </c>
      <c r="E360" s="184"/>
      <c r="F360" s="29">
        <f t="shared" ref="F360:F366" si="63">H360+J360+L360</f>
        <v>856463</v>
      </c>
      <c r="G360" s="184"/>
      <c r="H360" s="29">
        <f>TRUNC(H361+H362+H364+H365+H366,0)</f>
        <v>103243</v>
      </c>
      <c r="I360" s="184"/>
      <c r="J360" s="29">
        <f>TRUNC(J361+J362+J364+J365+J366,0)</f>
        <v>598140</v>
      </c>
      <c r="K360" s="184"/>
      <c r="L360" s="29">
        <f>TRUNC(L361+L362+L364+L365+L366,0)</f>
        <v>155080</v>
      </c>
      <c r="M360" s="86" t="s">
        <v>2856</v>
      </c>
      <c r="N360" t="s">
        <v>2856</v>
      </c>
      <c r="O360" t="s">
        <v>1733</v>
      </c>
    </row>
    <row r="361" spans="1:61" ht="18.399999999999999" hidden="1" customHeight="1" x14ac:dyDescent="0.15">
      <c r="A361" s="2" t="s">
        <v>1869</v>
      </c>
      <c r="B361" s="87" t="s">
        <v>581</v>
      </c>
      <c r="C361" s="2">
        <v>1</v>
      </c>
      <c r="D361" s="2" t="s">
        <v>556</v>
      </c>
      <c r="E361" s="27">
        <f t="shared" ref="E361:E366" si="64">G361+I361+K361</f>
        <v>822785</v>
      </c>
      <c r="F361" s="28">
        <f t="shared" si="63"/>
        <v>822785</v>
      </c>
      <c r="G361" s="27">
        <f>일위대가목록!F219</f>
        <v>69565</v>
      </c>
      <c r="H361" s="28">
        <f t="shared" ref="H361:H366" si="65">TRUNC(G361*C361,1)</f>
        <v>69565</v>
      </c>
      <c r="I361" s="27">
        <f>일위대가목록!H219</f>
        <v>598140</v>
      </c>
      <c r="J361" s="28">
        <f>TRUNC(I361*C361,1)</f>
        <v>598140</v>
      </c>
      <c r="K361" s="27">
        <f>일위대가목록!J219</f>
        <v>155080</v>
      </c>
      <c r="L361" s="28">
        <f>TRUNC(K361*C361,1)</f>
        <v>155080</v>
      </c>
      <c r="M361" s="86" t="s">
        <v>2856</v>
      </c>
      <c r="N361" t="s">
        <v>2856</v>
      </c>
      <c r="P361" t="s">
        <v>334</v>
      </c>
      <c r="Q361" t="s">
        <v>2856</v>
      </c>
      <c r="R361" t="s">
        <v>1268</v>
      </c>
      <c r="T361" t="s">
        <v>1778</v>
      </c>
      <c r="BI361" s="34" t="str">
        <f>HYPERLINK("#일위대가목록!A214","NT205-30 →")</f>
        <v>NT205-30 →</v>
      </c>
    </row>
    <row r="362" spans="1:61" ht="18.399999999999999" hidden="1" customHeight="1" x14ac:dyDescent="0.15">
      <c r="A362" s="2" t="s">
        <v>834</v>
      </c>
      <c r="B362" s="87" t="s">
        <v>816</v>
      </c>
      <c r="C362" s="2">
        <v>1</v>
      </c>
      <c r="D362" s="2" t="s">
        <v>1302</v>
      </c>
      <c r="E362" s="27">
        <f t="shared" si="64"/>
        <v>24700</v>
      </c>
      <c r="F362" s="28">
        <f t="shared" si="63"/>
        <v>24700</v>
      </c>
      <c r="G362" s="27">
        <f>자재조서!E131</f>
        <v>24700</v>
      </c>
      <c r="H362" s="28">
        <f t="shared" si="65"/>
        <v>24700</v>
      </c>
      <c r="I362" s="27">
        <v>0</v>
      </c>
      <c r="J362" s="28"/>
      <c r="K362" s="27">
        <v>0</v>
      </c>
      <c r="L362" s="28"/>
      <c r="M362" s="86" t="s">
        <v>2856</v>
      </c>
      <c r="N362" t="s">
        <v>2856</v>
      </c>
      <c r="P362" t="s">
        <v>2471</v>
      </c>
      <c r="Q362" t="s">
        <v>2856</v>
      </c>
      <c r="R362" t="s">
        <v>2314</v>
      </c>
      <c r="BI362" s="34" t="str">
        <f>HYPERLINK("#자재조서!A125","MTP-038 →")</f>
        <v>MTP-038 →</v>
      </c>
    </row>
    <row r="363" spans="1:61" ht="18.399999999999999" hidden="1" customHeight="1" x14ac:dyDescent="0.15">
      <c r="A363" s="2" t="s">
        <v>261</v>
      </c>
      <c r="B363" s="87" t="s">
        <v>2437</v>
      </c>
      <c r="C363" s="2">
        <v>30</v>
      </c>
      <c r="D363" s="2" t="s">
        <v>1674</v>
      </c>
      <c r="E363" s="27">
        <f t="shared" si="64"/>
        <v>433</v>
      </c>
      <c r="F363" s="28">
        <f t="shared" si="63"/>
        <v>12990</v>
      </c>
      <c r="G363" s="27">
        <f>자재조서!E129</f>
        <v>433</v>
      </c>
      <c r="H363" s="28">
        <f t="shared" si="65"/>
        <v>12990</v>
      </c>
      <c r="I363" s="27">
        <v>0</v>
      </c>
      <c r="J363" s="28"/>
      <c r="K363" s="27">
        <v>0</v>
      </c>
      <c r="L363" s="28"/>
      <c r="M363" s="86" t="s">
        <v>2856</v>
      </c>
      <c r="N363" t="s">
        <v>2856</v>
      </c>
      <c r="P363" t="s">
        <v>1741</v>
      </c>
      <c r="Q363" t="s">
        <v>1839</v>
      </c>
      <c r="R363" t="s">
        <v>1422</v>
      </c>
      <c r="BI363" s="34" t="str">
        <f>HYPERLINK("#자재조서!A123","MTP-010 →")</f>
        <v>MTP-010 →</v>
      </c>
    </row>
    <row r="364" spans="1:61" ht="18.399999999999999" hidden="1" customHeight="1" x14ac:dyDescent="0.15">
      <c r="A364" s="2" t="s">
        <v>2029</v>
      </c>
      <c r="B364" s="87" t="s">
        <v>1936</v>
      </c>
      <c r="C364" s="2">
        <v>52</v>
      </c>
      <c r="D364" s="2" t="s">
        <v>1086</v>
      </c>
      <c r="E364" s="27">
        <f t="shared" si="64"/>
        <v>40</v>
      </c>
      <c r="F364" s="28">
        <f t="shared" si="63"/>
        <v>2080</v>
      </c>
      <c r="G364" s="27">
        <f>자재조서!E137</f>
        <v>40</v>
      </c>
      <c r="H364" s="28">
        <f t="shared" si="65"/>
        <v>2080</v>
      </c>
      <c r="I364" s="27">
        <v>0</v>
      </c>
      <c r="J364" s="28"/>
      <c r="K364" s="27">
        <v>0</v>
      </c>
      <c r="L364" s="28"/>
      <c r="M364" s="86" t="s">
        <v>2856</v>
      </c>
      <c r="N364" t="s">
        <v>2856</v>
      </c>
      <c r="P364" t="s">
        <v>1036</v>
      </c>
      <c r="Q364" t="s">
        <v>2856</v>
      </c>
      <c r="R364" t="s">
        <v>316</v>
      </c>
      <c r="BI364" s="34" t="str">
        <f>HYPERLINK("#자재조서!A131","MTP-121 →")</f>
        <v>MTP-121 →</v>
      </c>
    </row>
    <row r="365" spans="1:61" ht="18.399999999999999" hidden="1" customHeight="1" x14ac:dyDescent="0.15">
      <c r="A365" s="2" t="s">
        <v>694</v>
      </c>
      <c r="B365" s="87" t="s">
        <v>1038</v>
      </c>
      <c r="C365" s="2">
        <v>19.100000000000001</v>
      </c>
      <c r="D365" s="2" t="s">
        <v>1086</v>
      </c>
      <c r="E365" s="27">
        <f t="shared" si="64"/>
        <v>150</v>
      </c>
      <c r="F365" s="28">
        <f t="shared" si="63"/>
        <v>2865</v>
      </c>
      <c r="G365" s="27">
        <f>자재조서!E136</f>
        <v>150</v>
      </c>
      <c r="H365" s="28">
        <f t="shared" si="65"/>
        <v>2865</v>
      </c>
      <c r="I365" s="27">
        <v>0</v>
      </c>
      <c r="J365" s="28"/>
      <c r="K365" s="27">
        <v>0</v>
      </c>
      <c r="L365" s="28"/>
      <c r="M365" s="86" t="s">
        <v>2856</v>
      </c>
      <c r="N365" t="s">
        <v>2856</v>
      </c>
      <c r="P365" t="s">
        <v>286</v>
      </c>
      <c r="Q365" t="s">
        <v>2856</v>
      </c>
      <c r="R365" t="s">
        <v>794</v>
      </c>
      <c r="BI365" s="34" t="str">
        <f>HYPERLINK("#자재조서!A130","MTP-110 →")</f>
        <v>MTP-110 →</v>
      </c>
    </row>
    <row r="366" spans="1:61" ht="18.399999999999999" hidden="1" customHeight="1" x14ac:dyDescent="0.15">
      <c r="A366" s="2" t="s">
        <v>1734</v>
      </c>
      <c r="B366" s="87" t="s">
        <v>2741</v>
      </c>
      <c r="C366" s="2">
        <v>3.24</v>
      </c>
      <c r="D366" s="2" t="s">
        <v>1674</v>
      </c>
      <c r="E366" s="27">
        <f t="shared" si="64"/>
        <v>1245</v>
      </c>
      <c r="F366" s="28">
        <f t="shared" si="63"/>
        <v>4033.8</v>
      </c>
      <c r="G366" s="27">
        <f>자재조서!E138</f>
        <v>1245</v>
      </c>
      <c r="H366" s="28">
        <f t="shared" si="65"/>
        <v>4033.8</v>
      </c>
      <c r="I366" s="27">
        <v>0</v>
      </c>
      <c r="J366" s="28"/>
      <c r="K366" s="27">
        <v>0</v>
      </c>
      <c r="L366" s="28"/>
      <c r="M366" s="86" t="s">
        <v>2856</v>
      </c>
      <c r="N366" t="s">
        <v>2856</v>
      </c>
      <c r="P366" t="s">
        <v>2428</v>
      </c>
      <c r="Q366" t="s">
        <v>2856</v>
      </c>
      <c r="R366" t="s">
        <v>1046</v>
      </c>
      <c r="BI366" s="34" t="str">
        <f>HYPERLINK("#자재조서!A132","MTP-131 →")</f>
        <v>MTP-131 →</v>
      </c>
    </row>
    <row r="367" spans="1:61" ht="18.399999999999999" hidden="1" customHeight="1" x14ac:dyDescent="0.15">
      <c r="A367" s="1"/>
      <c r="B367" s="87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87"/>
    </row>
    <row r="368" spans="1:61" ht="18.399999999999999" hidden="1" customHeight="1" x14ac:dyDescent="0.15">
      <c r="A368" s="2" t="s">
        <v>870</v>
      </c>
      <c r="B368" s="87" t="s">
        <v>1281</v>
      </c>
      <c r="C368" s="2">
        <v>1</v>
      </c>
      <c r="D368" s="2" t="s">
        <v>556</v>
      </c>
      <c r="E368" s="184"/>
      <c r="F368" s="29">
        <f t="shared" ref="F368:F374" si="66">H368+J368+L368</f>
        <v>305373</v>
      </c>
      <c r="G368" s="184"/>
      <c r="H368" s="29">
        <f>TRUNC(H369+H370+H372+H373+H374,0)</f>
        <v>44930</v>
      </c>
      <c r="I368" s="184"/>
      <c r="J368" s="29">
        <f>TRUNC(J369+J370+J372+J373+J374,0)</f>
        <v>236423</v>
      </c>
      <c r="K368" s="184"/>
      <c r="L368" s="29">
        <f>TRUNC(L369+L370+L372+L373+L374,0)</f>
        <v>24020</v>
      </c>
      <c r="M368" s="86" t="s">
        <v>2856</v>
      </c>
      <c r="N368" t="s">
        <v>2856</v>
      </c>
      <c r="O368" t="s">
        <v>110</v>
      </c>
    </row>
    <row r="369" spans="1:61" ht="18.399999999999999" hidden="1" customHeight="1" x14ac:dyDescent="0.15">
      <c r="A369" s="2" t="s">
        <v>1869</v>
      </c>
      <c r="B369" s="87" t="s">
        <v>2568</v>
      </c>
      <c r="C369" s="2">
        <v>1</v>
      </c>
      <c r="D369" s="2" t="s">
        <v>556</v>
      </c>
      <c r="E369" s="27">
        <f t="shared" ref="E369:E374" si="67">G369+I369+K369</f>
        <v>285065</v>
      </c>
      <c r="F369" s="28">
        <f t="shared" si="66"/>
        <v>285065</v>
      </c>
      <c r="G369" s="27">
        <f>일위대가목록!F221</f>
        <v>24622</v>
      </c>
      <c r="H369" s="28">
        <f t="shared" ref="H369:H374" si="68">TRUNC(G369*C369,1)</f>
        <v>24622</v>
      </c>
      <c r="I369" s="27">
        <f>일위대가목록!H221</f>
        <v>236423</v>
      </c>
      <c r="J369" s="28">
        <f>TRUNC(I369*C369,1)</f>
        <v>236423</v>
      </c>
      <c r="K369" s="27">
        <f>일위대가목록!J221</f>
        <v>24020</v>
      </c>
      <c r="L369" s="28">
        <f>TRUNC(K369*C369,1)</f>
        <v>24020</v>
      </c>
      <c r="M369" s="86" t="s">
        <v>2856</v>
      </c>
      <c r="N369" t="s">
        <v>2856</v>
      </c>
      <c r="P369" t="s">
        <v>334</v>
      </c>
      <c r="Q369" t="s">
        <v>2856</v>
      </c>
      <c r="R369" t="s">
        <v>520</v>
      </c>
      <c r="T369" t="s">
        <v>1778</v>
      </c>
      <c r="BI369" s="34" t="str">
        <f>HYPERLINK("#일위대가목록!A216","NT205-20 →")</f>
        <v>NT205-20 →</v>
      </c>
    </row>
    <row r="370" spans="1:61" ht="18.399999999999999" hidden="1" customHeight="1" x14ac:dyDescent="0.15">
      <c r="A370" s="2" t="s">
        <v>300</v>
      </c>
      <c r="B370" s="87" t="s">
        <v>1807</v>
      </c>
      <c r="C370" s="2">
        <v>1</v>
      </c>
      <c r="D370" s="2" t="s">
        <v>1302</v>
      </c>
      <c r="E370" s="27">
        <f t="shared" si="67"/>
        <v>17700</v>
      </c>
      <c r="F370" s="28">
        <f t="shared" si="66"/>
        <v>17700</v>
      </c>
      <c r="G370" s="27">
        <f>자재조서!E132</f>
        <v>17700</v>
      </c>
      <c r="H370" s="28">
        <f t="shared" si="68"/>
        <v>17700</v>
      </c>
      <c r="I370" s="27">
        <v>0</v>
      </c>
      <c r="J370" s="28"/>
      <c r="K370" s="27">
        <v>0</v>
      </c>
      <c r="L370" s="28"/>
      <c r="M370" s="86" t="s">
        <v>2856</v>
      </c>
      <c r="N370" t="s">
        <v>2856</v>
      </c>
      <c r="P370" t="s">
        <v>2471</v>
      </c>
      <c r="Q370" t="s">
        <v>2856</v>
      </c>
      <c r="R370" t="s">
        <v>1011</v>
      </c>
      <c r="BI370" s="34" t="str">
        <f>HYPERLINK("#자재조서!A126","MTP-039 →")</f>
        <v>MTP-039 →</v>
      </c>
    </row>
    <row r="371" spans="1:61" ht="18.399999999999999" hidden="1" customHeight="1" x14ac:dyDescent="0.15">
      <c r="A371" s="2" t="s">
        <v>261</v>
      </c>
      <c r="B371" s="87" t="s">
        <v>2437</v>
      </c>
      <c r="C371" s="2">
        <v>20</v>
      </c>
      <c r="D371" s="2" t="s">
        <v>1674</v>
      </c>
      <c r="E371" s="27">
        <f t="shared" si="67"/>
        <v>433</v>
      </c>
      <c r="F371" s="28">
        <f t="shared" si="66"/>
        <v>8660</v>
      </c>
      <c r="G371" s="27">
        <f>자재조서!E129</f>
        <v>433</v>
      </c>
      <c r="H371" s="28">
        <f t="shared" si="68"/>
        <v>8660</v>
      </c>
      <c r="I371" s="27">
        <v>0</v>
      </c>
      <c r="J371" s="28"/>
      <c r="K371" s="27">
        <v>0</v>
      </c>
      <c r="L371" s="28"/>
      <c r="M371" s="86" t="s">
        <v>2856</v>
      </c>
      <c r="N371" t="s">
        <v>2856</v>
      </c>
      <c r="P371" t="s">
        <v>1741</v>
      </c>
      <c r="Q371" t="s">
        <v>1839</v>
      </c>
      <c r="R371" t="s">
        <v>1422</v>
      </c>
      <c r="BI371" s="34" t="str">
        <f>HYPERLINK("#자재조서!A123","MTP-010 →")</f>
        <v>MTP-010 →</v>
      </c>
    </row>
    <row r="372" spans="1:61" ht="18.399999999999999" hidden="1" customHeight="1" x14ac:dyDescent="0.15">
      <c r="A372" s="2" t="s">
        <v>2029</v>
      </c>
      <c r="B372" s="87" t="s">
        <v>1936</v>
      </c>
      <c r="C372" s="2">
        <v>22</v>
      </c>
      <c r="D372" s="2" t="s">
        <v>1086</v>
      </c>
      <c r="E372" s="27">
        <f t="shared" si="67"/>
        <v>40</v>
      </c>
      <c r="F372" s="28">
        <f t="shared" si="66"/>
        <v>880</v>
      </c>
      <c r="G372" s="27">
        <f>자재조서!E137</f>
        <v>40</v>
      </c>
      <c r="H372" s="28">
        <f t="shared" si="68"/>
        <v>880</v>
      </c>
      <c r="I372" s="27">
        <v>0</v>
      </c>
      <c r="J372" s="28"/>
      <c r="K372" s="27">
        <v>0</v>
      </c>
      <c r="L372" s="28"/>
      <c r="M372" s="86" t="s">
        <v>2856</v>
      </c>
      <c r="N372" t="s">
        <v>2856</v>
      </c>
      <c r="P372" t="s">
        <v>1036</v>
      </c>
      <c r="Q372" t="s">
        <v>2856</v>
      </c>
      <c r="R372" t="s">
        <v>316</v>
      </c>
      <c r="BI372" s="34" t="str">
        <f>HYPERLINK("#자재조서!A131","MTP-121 →")</f>
        <v>MTP-121 →</v>
      </c>
    </row>
    <row r="373" spans="1:61" ht="18.399999999999999" hidden="1" customHeight="1" x14ac:dyDescent="0.15">
      <c r="A373" s="2" t="s">
        <v>694</v>
      </c>
      <c r="B373" s="87" t="s">
        <v>1038</v>
      </c>
      <c r="C373" s="2">
        <v>4.8</v>
      </c>
      <c r="D373" s="2" t="s">
        <v>1086</v>
      </c>
      <c r="E373" s="27">
        <f t="shared" si="67"/>
        <v>150</v>
      </c>
      <c r="F373" s="28">
        <f t="shared" si="66"/>
        <v>720</v>
      </c>
      <c r="G373" s="27">
        <f>자재조서!E136</f>
        <v>150</v>
      </c>
      <c r="H373" s="28">
        <f t="shared" si="68"/>
        <v>720</v>
      </c>
      <c r="I373" s="27">
        <v>0</v>
      </c>
      <c r="J373" s="28"/>
      <c r="K373" s="27">
        <v>0</v>
      </c>
      <c r="L373" s="28"/>
      <c r="M373" s="86" t="s">
        <v>2856</v>
      </c>
      <c r="N373" t="s">
        <v>2856</v>
      </c>
      <c r="P373" t="s">
        <v>286</v>
      </c>
      <c r="Q373" t="s">
        <v>2856</v>
      </c>
      <c r="R373" t="s">
        <v>794</v>
      </c>
      <c r="BI373" s="34" t="str">
        <f>HYPERLINK("#자재조서!A130","MTP-110 →")</f>
        <v>MTP-110 →</v>
      </c>
    </row>
    <row r="374" spans="1:61" ht="18.399999999999999" hidden="1" customHeight="1" x14ac:dyDescent="0.15">
      <c r="A374" s="2" t="s">
        <v>1734</v>
      </c>
      <c r="B374" s="87" t="s">
        <v>2741</v>
      </c>
      <c r="C374" s="2">
        <v>0.81</v>
      </c>
      <c r="D374" s="2" t="s">
        <v>1674</v>
      </c>
      <c r="E374" s="27">
        <f t="shared" si="67"/>
        <v>1245</v>
      </c>
      <c r="F374" s="28">
        <f t="shared" si="66"/>
        <v>1008.4</v>
      </c>
      <c r="G374" s="27">
        <f>자재조서!E138</f>
        <v>1245</v>
      </c>
      <c r="H374" s="28">
        <f t="shared" si="68"/>
        <v>1008.4</v>
      </c>
      <c r="I374" s="27">
        <v>0</v>
      </c>
      <c r="J374" s="28"/>
      <c r="K374" s="27">
        <v>0</v>
      </c>
      <c r="L374" s="28"/>
      <c r="M374" s="86" t="s">
        <v>2856</v>
      </c>
      <c r="N374" t="s">
        <v>2856</v>
      </c>
      <c r="P374" t="s">
        <v>2428</v>
      </c>
      <c r="Q374" t="s">
        <v>2856</v>
      </c>
      <c r="R374" t="s">
        <v>1046</v>
      </c>
      <c r="BI374" s="34" t="str">
        <f>HYPERLINK("#자재조서!A132","MTP-131 →")</f>
        <v>MTP-131 →</v>
      </c>
    </row>
    <row r="375" spans="1:61" ht="18.399999999999999" hidden="1" customHeight="1" x14ac:dyDescent="0.15">
      <c r="A375" s="1"/>
      <c r="B375" s="87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87"/>
    </row>
    <row r="376" spans="1:61" ht="18.399999999999999" hidden="1" customHeight="1" x14ac:dyDescent="0.15">
      <c r="A376" s="2" t="s">
        <v>2002</v>
      </c>
      <c r="B376" s="87" t="s">
        <v>244</v>
      </c>
      <c r="C376" s="2">
        <v>1</v>
      </c>
      <c r="D376" s="2" t="s">
        <v>556</v>
      </c>
      <c r="E376" s="184"/>
      <c r="F376" s="29">
        <f t="shared" ref="F376:F382" si="69">H376+J376+L376</f>
        <v>863033</v>
      </c>
      <c r="G376" s="184"/>
      <c r="H376" s="29">
        <f>TRUNC(H377+H378+H380+H381+H382,0)</f>
        <v>109813</v>
      </c>
      <c r="I376" s="184"/>
      <c r="J376" s="29">
        <f>TRUNC(J377+J378+J380+J381+J382,0)</f>
        <v>598140</v>
      </c>
      <c r="K376" s="184"/>
      <c r="L376" s="29">
        <f>TRUNC(L377+L378+L380+L381+L382,0)</f>
        <v>155080</v>
      </c>
      <c r="M376" s="86" t="s">
        <v>2856</v>
      </c>
      <c r="N376" t="s">
        <v>2856</v>
      </c>
      <c r="O376" t="s">
        <v>1963</v>
      </c>
    </row>
    <row r="377" spans="1:61" ht="18.399999999999999" hidden="1" customHeight="1" x14ac:dyDescent="0.15">
      <c r="A377" s="2" t="s">
        <v>1869</v>
      </c>
      <c r="B377" s="87" t="s">
        <v>581</v>
      </c>
      <c r="C377" s="2">
        <v>1</v>
      </c>
      <c r="D377" s="2" t="s">
        <v>556</v>
      </c>
      <c r="E377" s="27">
        <f t="shared" ref="E377:E382" si="70">G377+I377+K377</f>
        <v>822785</v>
      </c>
      <c r="F377" s="28">
        <f t="shared" si="69"/>
        <v>822785</v>
      </c>
      <c r="G377" s="27">
        <f>일위대가목록!F219</f>
        <v>69565</v>
      </c>
      <c r="H377" s="28">
        <f t="shared" ref="H377:H382" si="71">TRUNC(G377*C377,1)</f>
        <v>69565</v>
      </c>
      <c r="I377" s="27">
        <f>일위대가목록!H219</f>
        <v>598140</v>
      </c>
      <c r="J377" s="28">
        <f>TRUNC(I377*C377,1)</f>
        <v>598140</v>
      </c>
      <c r="K377" s="27">
        <f>일위대가목록!J219</f>
        <v>155080</v>
      </c>
      <c r="L377" s="28">
        <f>TRUNC(K377*C377,1)</f>
        <v>155080</v>
      </c>
      <c r="M377" s="86" t="s">
        <v>2856</v>
      </c>
      <c r="N377" t="s">
        <v>2856</v>
      </c>
      <c r="P377" t="s">
        <v>334</v>
      </c>
      <c r="Q377" t="s">
        <v>2856</v>
      </c>
      <c r="R377" t="s">
        <v>1268</v>
      </c>
      <c r="T377" t="s">
        <v>1778</v>
      </c>
      <c r="BI377" s="34" t="str">
        <f>HYPERLINK("#일위대가목록!A214","NT205-30 →")</f>
        <v>NT205-30 →</v>
      </c>
    </row>
    <row r="378" spans="1:61" ht="18.399999999999999" hidden="1" customHeight="1" x14ac:dyDescent="0.15">
      <c r="A378" s="2" t="s">
        <v>834</v>
      </c>
      <c r="B378" s="87" t="s">
        <v>816</v>
      </c>
      <c r="C378" s="2">
        <v>1</v>
      </c>
      <c r="D378" s="2" t="s">
        <v>1302</v>
      </c>
      <c r="E378" s="27">
        <f t="shared" si="70"/>
        <v>24700</v>
      </c>
      <c r="F378" s="28">
        <f t="shared" si="69"/>
        <v>24700</v>
      </c>
      <c r="G378" s="27">
        <f>자재조서!E131</f>
        <v>24700</v>
      </c>
      <c r="H378" s="28">
        <f t="shared" si="71"/>
        <v>24700</v>
      </c>
      <c r="I378" s="27">
        <v>0</v>
      </c>
      <c r="J378" s="28"/>
      <c r="K378" s="27">
        <v>0</v>
      </c>
      <c r="L378" s="28"/>
      <c r="M378" s="86" t="s">
        <v>2856</v>
      </c>
      <c r="N378" t="s">
        <v>2856</v>
      </c>
      <c r="P378" t="s">
        <v>2471</v>
      </c>
      <c r="Q378" t="s">
        <v>2856</v>
      </c>
      <c r="R378" t="s">
        <v>2314</v>
      </c>
      <c r="BI378" s="34" t="str">
        <f>HYPERLINK("#자재조서!A125","MTP-038 →")</f>
        <v>MTP-038 →</v>
      </c>
    </row>
    <row r="379" spans="1:61" ht="18.399999999999999" hidden="1" customHeight="1" x14ac:dyDescent="0.15">
      <c r="A379" s="2" t="s">
        <v>261</v>
      </c>
      <c r="B379" s="87" t="s">
        <v>2437</v>
      </c>
      <c r="C379" s="2">
        <v>40</v>
      </c>
      <c r="D379" s="2" t="s">
        <v>1674</v>
      </c>
      <c r="E379" s="27">
        <f t="shared" si="70"/>
        <v>433</v>
      </c>
      <c r="F379" s="28">
        <f t="shared" si="69"/>
        <v>17320</v>
      </c>
      <c r="G379" s="27">
        <f>자재조서!E129</f>
        <v>433</v>
      </c>
      <c r="H379" s="28">
        <f t="shared" si="71"/>
        <v>17320</v>
      </c>
      <c r="I379" s="27">
        <v>0</v>
      </c>
      <c r="J379" s="28"/>
      <c r="K379" s="27">
        <v>0</v>
      </c>
      <c r="L379" s="28"/>
      <c r="M379" s="86" t="s">
        <v>2856</v>
      </c>
      <c r="N379" t="s">
        <v>2856</v>
      </c>
      <c r="P379" t="s">
        <v>1741</v>
      </c>
      <c r="Q379" t="s">
        <v>1839</v>
      </c>
      <c r="R379" t="s">
        <v>1422</v>
      </c>
      <c r="BI379" s="34" t="str">
        <f>HYPERLINK("#자재조서!A123","MTP-010 →")</f>
        <v>MTP-010 →</v>
      </c>
    </row>
    <row r="380" spans="1:61" ht="18.399999999999999" hidden="1" customHeight="1" x14ac:dyDescent="0.15">
      <c r="A380" s="2" t="s">
        <v>2029</v>
      </c>
      <c r="B380" s="87" t="s">
        <v>1936</v>
      </c>
      <c r="C380" s="2">
        <v>82.3</v>
      </c>
      <c r="D380" s="2" t="s">
        <v>1086</v>
      </c>
      <c r="E380" s="27">
        <f t="shared" si="70"/>
        <v>40</v>
      </c>
      <c r="F380" s="28">
        <f t="shared" si="69"/>
        <v>3292</v>
      </c>
      <c r="G380" s="27">
        <f>자재조서!E137</f>
        <v>40</v>
      </c>
      <c r="H380" s="28">
        <f t="shared" si="71"/>
        <v>3292</v>
      </c>
      <c r="I380" s="27">
        <v>0</v>
      </c>
      <c r="J380" s="28"/>
      <c r="K380" s="27">
        <v>0</v>
      </c>
      <c r="L380" s="28"/>
      <c r="M380" s="86" t="s">
        <v>2856</v>
      </c>
      <c r="N380" t="s">
        <v>2856</v>
      </c>
      <c r="P380" t="s">
        <v>1036</v>
      </c>
      <c r="Q380" t="s">
        <v>2856</v>
      </c>
      <c r="R380" t="s">
        <v>316</v>
      </c>
      <c r="BI380" s="34" t="str">
        <f>HYPERLINK("#자재조서!A131","MTP-121 →")</f>
        <v>MTP-121 →</v>
      </c>
    </row>
    <row r="381" spans="1:61" ht="18.399999999999999" hidden="1" customHeight="1" x14ac:dyDescent="0.15">
      <c r="A381" s="2" t="s">
        <v>694</v>
      </c>
      <c r="B381" s="87" t="s">
        <v>1038</v>
      </c>
      <c r="C381" s="2">
        <v>33.9</v>
      </c>
      <c r="D381" s="2" t="s">
        <v>1086</v>
      </c>
      <c r="E381" s="27">
        <f t="shared" si="70"/>
        <v>150</v>
      </c>
      <c r="F381" s="28">
        <f t="shared" si="69"/>
        <v>5085</v>
      </c>
      <c r="G381" s="27">
        <f>자재조서!E136</f>
        <v>150</v>
      </c>
      <c r="H381" s="28">
        <f t="shared" si="71"/>
        <v>5085</v>
      </c>
      <c r="I381" s="27">
        <v>0</v>
      </c>
      <c r="J381" s="28"/>
      <c r="K381" s="27">
        <v>0</v>
      </c>
      <c r="L381" s="28"/>
      <c r="M381" s="86" t="s">
        <v>2856</v>
      </c>
      <c r="N381" t="s">
        <v>2856</v>
      </c>
      <c r="P381" t="s">
        <v>286</v>
      </c>
      <c r="Q381" t="s">
        <v>2856</v>
      </c>
      <c r="R381" t="s">
        <v>794</v>
      </c>
      <c r="BI381" s="34" t="str">
        <f>HYPERLINK("#자재조서!A130","MTP-110 →")</f>
        <v>MTP-110 →</v>
      </c>
    </row>
    <row r="382" spans="1:61" ht="18.399999999999999" hidden="1" customHeight="1" x14ac:dyDescent="0.15">
      <c r="A382" s="2" t="s">
        <v>1734</v>
      </c>
      <c r="B382" s="87" t="s">
        <v>2741</v>
      </c>
      <c r="C382" s="2">
        <v>5.76</v>
      </c>
      <c r="D382" s="2" t="s">
        <v>1674</v>
      </c>
      <c r="E382" s="27">
        <f t="shared" si="70"/>
        <v>1245</v>
      </c>
      <c r="F382" s="28">
        <f t="shared" si="69"/>
        <v>7171.2</v>
      </c>
      <c r="G382" s="27">
        <f>자재조서!E138</f>
        <v>1245</v>
      </c>
      <c r="H382" s="28">
        <f t="shared" si="71"/>
        <v>7171.2</v>
      </c>
      <c r="I382" s="27">
        <v>0</v>
      </c>
      <c r="J382" s="28"/>
      <c r="K382" s="27">
        <v>0</v>
      </c>
      <c r="L382" s="28"/>
      <c r="M382" s="86" t="s">
        <v>2856</v>
      </c>
      <c r="N382" t="s">
        <v>2856</v>
      </c>
      <c r="P382" t="s">
        <v>2428</v>
      </c>
      <c r="Q382" t="s">
        <v>2856</v>
      </c>
      <c r="R382" t="s">
        <v>1046</v>
      </c>
      <c r="BI382" s="34" t="str">
        <f>HYPERLINK("#자재조서!A132","MTP-131 →")</f>
        <v>MTP-131 →</v>
      </c>
    </row>
    <row r="383" spans="1:61" ht="18.399999999999999" hidden="1" customHeight="1" x14ac:dyDescent="0.15">
      <c r="A383" s="1"/>
      <c r="B383" s="87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87"/>
    </row>
    <row r="384" spans="1:61" ht="18.399999999999999" hidden="1" customHeight="1" x14ac:dyDescent="0.15">
      <c r="A384" s="2" t="s">
        <v>1351</v>
      </c>
      <c r="B384" s="87" t="s">
        <v>198</v>
      </c>
      <c r="C384" s="2">
        <v>1</v>
      </c>
      <c r="D384" s="2" t="s">
        <v>556</v>
      </c>
      <c r="E384" s="184"/>
      <c r="F384" s="29">
        <f t="shared" ref="F384:F390" si="72">H384+J384+L384</f>
        <v>859723</v>
      </c>
      <c r="G384" s="184"/>
      <c r="H384" s="29">
        <f>TRUNC(H385+H386+H388+H389+H390,0)</f>
        <v>106503</v>
      </c>
      <c r="I384" s="184"/>
      <c r="J384" s="29">
        <f>TRUNC(J385+J386+J388+J389+J390,0)</f>
        <v>598140</v>
      </c>
      <c r="K384" s="184"/>
      <c r="L384" s="29">
        <f>TRUNC(L385+L386+L388+L389+L390,0)</f>
        <v>155080</v>
      </c>
      <c r="M384" s="86" t="s">
        <v>2856</v>
      </c>
      <c r="N384" t="s">
        <v>2856</v>
      </c>
      <c r="O384" t="s">
        <v>419</v>
      </c>
    </row>
    <row r="385" spans="1:61" ht="18.399999999999999" hidden="1" customHeight="1" x14ac:dyDescent="0.15">
      <c r="A385" s="2" t="s">
        <v>1869</v>
      </c>
      <c r="B385" s="87" t="s">
        <v>581</v>
      </c>
      <c r="C385" s="2">
        <v>1</v>
      </c>
      <c r="D385" s="2" t="s">
        <v>556</v>
      </c>
      <c r="E385" s="27">
        <f t="shared" ref="E385:E390" si="73">G385+I385+K385</f>
        <v>822785</v>
      </c>
      <c r="F385" s="28">
        <f t="shared" si="72"/>
        <v>822785</v>
      </c>
      <c r="G385" s="27">
        <f>일위대가목록!F219</f>
        <v>69565</v>
      </c>
      <c r="H385" s="28">
        <f t="shared" ref="H385:H390" si="74">TRUNC(G385*C385,1)</f>
        <v>69565</v>
      </c>
      <c r="I385" s="27">
        <f>일위대가목록!H219</f>
        <v>598140</v>
      </c>
      <c r="J385" s="28">
        <f>TRUNC(I385*C385,1)</f>
        <v>598140</v>
      </c>
      <c r="K385" s="27">
        <f>일위대가목록!J219</f>
        <v>155080</v>
      </c>
      <c r="L385" s="28">
        <f>TRUNC(K385*C385,1)</f>
        <v>155080</v>
      </c>
      <c r="M385" s="86" t="s">
        <v>2856</v>
      </c>
      <c r="N385" t="s">
        <v>2856</v>
      </c>
      <c r="P385" t="s">
        <v>2471</v>
      </c>
      <c r="Q385" t="s">
        <v>2856</v>
      </c>
      <c r="R385" t="s">
        <v>1268</v>
      </c>
      <c r="T385" t="s">
        <v>1778</v>
      </c>
      <c r="BI385" s="34" t="str">
        <f>HYPERLINK("#일위대가목록!A214","NT205-30 →")</f>
        <v>NT205-30 →</v>
      </c>
    </row>
    <row r="386" spans="1:61" ht="18.399999999999999" hidden="1" customHeight="1" x14ac:dyDescent="0.15">
      <c r="A386" s="2" t="s">
        <v>834</v>
      </c>
      <c r="B386" s="87" t="s">
        <v>816</v>
      </c>
      <c r="C386" s="2">
        <v>1</v>
      </c>
      <c r="D386" s="2" t="s">
        <v>1302</v>
      </c>
      <c r="E386" s="27">
        <f t="shared" si="73"/>
        <v>24700</v>
      </c>
      <c r="F386" s="28">
        <f t="shared" si="72"/>
        <v>24700</v>
      </c>
      <c r="G386" s="27">
        <f>자재조서!E131</f>
        <v>24700</v>
      </c>
      <c r="H386" s="28">
        <f t="shared" si="74"/>
        <v>24700</v>
      </c>
      <c r="I386" s="27">
        <v>0</v>
      </c>
      <c r="J386" s="28"/>
      <c r="K386" s="27">
        <v>0</v>
      </c>
      <c r="L386" s="28"/>
      <c r="M386" s="86" t="s">
        <v>2856</v>
      </c>
      <c r="N386" t="s">
        <v>2856</v>
      </c>
      <c r="P386" t="s">
        <v>1741</v>
      </c>
      <c r="Q386" t="s">
        <v>2856</v>
      </c>
      <c r="R386" t="s">
        <v>2314</v>
      </c>
      <c r="BI386" s="34" t="str">
        <f>HYPERLINK("#자재조서!A125","MTP-038 →")</f>
        <v>MTP-038 →</v>
      </c>
    </row>
    <row r="387" spans="1:61" ht="18.399999999999999" hidden="1" customHeight="1" x14ac:dyDescent="0.15">
      <c r="A387" s="2" t="s">
        <v>261</v>
      </c>
      <c r="B387" s="87" t="s">
        <v>2437</v>
      </c>
      <c r="C387" s="2">
        <v>40</v>
      </c>
      <c r="D387" s="2" t="s">
        <v>1674</v>
      </c>
      <c r="E387" s="27">
        <f t="shared" si="73"/>
        <v>433</v>
      </c>
      <c r="F387" s="28">
        <f t="shared" si="72"/>
        <v>17320</v>
      </c>
      <c r="G387" s="27">
        <f>자재조서!E129</f>
        <v>433</v>
      </c>
      <c r="H387" s="28">
        <f t="shared" si="74"/>
        <v>17320</v>
      </c>
      <c r="I387" s="27">
        <v>0</v>
      </c>
      <c r="J387" s="28"/>
      <c r="K387" s="27">
        <v>0</v>
      </c>
      <c r="L387" s="28"/>
      <c r="M387" s="86" t="s">
        <v>2856</v>
      </c>
      <c r="N387" t="s">
        <v>2856</v>
      </c>
      <c r="P387" t="s">
        <v>1036</v>
      </c>
      <c r="Q387" t="s">
        <v>1839</v>
      </c>
      <c r="R387" t="s">
        <v>1422</v>
      </c>
      <c r="BI387" s="34" t="str">
        <f>HYPERLINK("#자재조서!A123","MTP-010 →")</f>
        <v>MTP-010 →</v>
      </c>
    </row>
    <row r="388" spans="1:61" ht="18.399999999999999" hidden="1" customHeight="1" x14ac:dyDescent="0.15">
      <c r="A388" s="2" t="s">
        <v>2029</v>
      </c>
      <c r="B388" s="87" t="s">
        <v>1936</v>
      </c>
      <c r="C388" s="2">
        <v>71.2</v>
      </c>
      <c r="D388" s="2" t="s">
        <v>1086</v>
      </c>
      <c r="E388" s="27">
        <f t="shared" si="73"/>
        <v>40</v>
      </c>
      <c r="F388" s="28">
        <f t="shared" si="72"/>
        <v>2848</v>
      </c>
      <c r="G388" s="27">
        <f>자재조서!E137</f>
        <v>40</v>
      </c>
      <c r="H388" s="28">
        <f t="shared" si="74"/>
        <v>2848</v>
      </c>
      <c r="I388" s="27">
        <v>0</v>
      </c>
      <c r="J388" s="28"/>
      <c r="K388" s="27">
        <v>0</v>
      </c>
      <c r="L388" s="28"/>
      <c r="M388" s="86" t="s">
        <v>2856</v>
      </c>
      <c r="N388" t="s">
        <v>2856</v>
      </c>
      <c r="P388" t="s">
        <v>286</v>
      </c>
      <c r="Q388" t="s">
        <v>2856</v>
      </c>
      <c r="R388" t="s">
        <v>316</v>
      </c>
      <c r="BI388" s="34" t="str">
        <f>HYPERLINK("#자재조서!A131","MTP-121 →")</f>
        <v>MTP-121 →</v>
      </c>
    </row>
    <row r="389" spans="1:61" ht="18.399999999999999" hidden="1" customHeight="1" x14ac:dyDescent="0.15">
      <c r="A389" s="2" t="s">
        <v>694</v>
      </c>
      <c r="B389" s="87" t="s">
        <v>1038</v>
      </c>
      <c r="C389" s="2">
        <v>26</v>
      </c>
      <c r="D389" s="2" t="s">
        <v>1086</v>
      </c>
      <c r="E389" s="27">
        <f t="shared" si="73"/>
        <v>150</v>
      </c>
      <c r="F389" s="28">
        <f t="shared" si="72"/>
        <v>3900</v>
      </c>
      <c r="G389" s="27">
        <f>자재조서!E136</f>
        <v>150</v>
      </c>
      <c r="H389" s="28">
        <f t="shared" si="74"/>
        <v>3900</v>
      </c>
      <c r="I389" s="27">
        <v>0</v>
      </c>
      <c r="J389" s="28"/>
      <c r="K389" s="27">
        <v>0</v>
      </c>
      <c r="L389" s="28"/>
      <c r="M389" s="86" t="s">
        <v>2856</v>
      </c>
      <c r="N389" t="s">
        <v>2856</v>
      </c>
      <c r="P389" t="s">
        <v>2428</v>
      </c>
      <c r="Q389" t="s">
        <v>2856</v>
      </c>
      <c r="R389" t="s">
        <v>794</v>
      </c>
      <c r="BI389" s="34" t="str">
        <f>HYPERLINK("#자재조서!A130","MTP-110 →")</f>
        <v>MTP-110 →</v>
      </c>
    </row>
    <row r="390" spans="1:61" ht="18.399999999999999" hidden="1" customHeight="1" x14ac:dyDescent="0.15">
      <c r="A390" s="2" t="s">
        <v>1734</v>
      </c>
      <c r="B390" s="87" t="s">
        <v>2741</v>
      </c>
      <c r="C390" s="2">
        <v>4.41</v>
      </c>
      <c r="D390" s="2" t="s">
        <v>1674</v>
      </c>
      <c r="E390" s="27">
        <f t="shared" si="73"/>
        <v>1245</v>
      </c>
      <c r="F390" s="28">
        <f t="shared" si="72"/>
        <v>5490.4</v>
      </c>
      <c r="G390" s="27">
        <f>자재조서!E138</f>
        <v>1245</v>
      </c>
      <c r="H390" s="28">
        <f t="shared" si="74"/>
        <v>5490.4</v>
      </c>
      <c r="I390" s="27">
        <v>0</v>
      </c>
      <c r="J390" s="28"/>
      <c r="K390" s="27">
        <v>0</v>
      </c>
      <c r="L390" s="28"/>
      <c r="M390" s="86" t="s">
        <v>2856</v>
      </c>
      <c r="N390" t="s">
        <v>2856</v>
      </c>
      <c r="P390" t="s">
        <v>1686</v>
      </c>
      <c r="Q390" t="s">
        <v>2856</v>
      </c>
      <c r="R390" t="s">
        <v>1046</v>
      </c>
      <c r="BI390" s="34" t="str">
        <f>HYPERLINK("#자재조서!A132","MTP-131 →")</f>
        <v>MTP-131 →</v>
      </c>
    </row>
    <row r="391" spans="1:61" ht="18.399999999999999" hidden="1" customHeight="1" x14ac:dyDescent="0.15">
      <c r="A391" s="1"/>
      <c r="B391" s="87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87"/>
    </row>
    <row r="392" spans="1:61" ht="18.399999999999999" hidden="1" customHeight="1" x14ac:dyDescent="0.15">
      <c r="A392" s="2" t="s">
        <v>691</v>
      </c>
      <c r="B392" s="87" t="s">
        <v>1553</v>
      </c>
      <c r="C392" s="2">
        <v>1</v>
      </c>
      <c r="D392" s="2" t="s">
        <v>556</v>
      </c>
      <c r="E392" s="184"/>
      <c r="F392" s="29">
        <f t="shared" ref="F392:F398" si="75">H392+J392+L392</f>
        <v>859723</v>
      </c>
      <c r="G392" s="184"/>
      <c r="H392" s="29">
        <f>TRUNC(H393+H394+H396+H397+H398,0)</f>
        <v>106503</v>
      </c>
      <c r="I392" s="184"/>
      <c r="J392" s="29">
        <f>TRUNC(J393+J394+J396+J397+J398,0)</f>
        <v>598140</v>
      </c>
      <c r="K392" s="184"/>
      <c r="L392" s="29">
        <f>TRUNC(L393+L394+L396+L397+L398,0)</f>
        <v>155080</v>
      </c>
      <c r="M392" s="86" t="s">
        <v>2856</v>
      </c>
      <c r="N392" t="s">
        <v>2856</v>
      </c>
      <c r="O392" t="s">
        <v>2049</v>
      </c>
    </row>
    <row r="393" spans="1:61" ht="18.399999999999999" hidden="1" customHeight="1" x14ac:dyDescent="0.15">
      <c r="A393" s="2" t="s">
        <v>1869</v>
      </c>
      <c r="B393" s="87" t="s">
        <v>581</v>
      </c>
      <c r="C393" s="2">
        <v>1</v>
      </c>
      <c r="D393" s="2" t="s">
        <v>556</v>
      </c>
      <c r="E393" s="27">
        <f t="shared" ref="E393:E398" si="76">G393+I393+K393</f>
        <v>822785</v>
      </c>
      <c r="F393" s="28">
        <f t="shared" si="75"/>
        <v>822785</v>
      </c>
      <c r="G393" s="27">
        <f>일위대가목록!F219</f>
        <v>69565</v>
      </c>
      <c r="H393" s="28">
        <f t="shared" ref="H393:H398" si="77">TRUNC(G393*C393,1)</f>
        <v>69565</v>
      </c>
      <c r="I393" s="27">
        <f>일위대가목록!H219</f>
        <v>598140</v>
      </c>
      <c r="J393" s="28">
        <f>TRUNC(I393*C393,1)</f>
        <v>598140</v>
      </c>
      <c r="K393" s="27">
        <f>일위대가목록!J219</f>
        <v>155080</v>
      </c>
      <c r="L393" s="28">
        <f>TRUNC(K393*C393,1)</f>
        <v>155080</v>
      </c>
      <c r="M393" s="86" t="s">
        <v>2856</v>
      </c>
      <c r="N393" t="s">
        <v>2856</v>
      </c>
      <c r="P393" t="s">
        <v>2471</v>
      </c>
      <c r="Q393" t="s">
        <v>2856</v>
      </c>
      <c r="R393" t="s">
        <v>1268</v>
      </c>
      <c r="T393" t="s">
        <v>1778</v>
      </c>
      <c r="BI393" s="34" t="str">
        <f>HYPERLINK("#일위대가목록!A214","NT205-30 →")</f>
        <v>NT205-30 →</v>
      </c>
    </row>
    <row r="394" spans="1:61" ht="18.399999999999999" hidden="1" customHeight="1" x14ac:dyDescent="0.15">
      <c r="A394" s="2" t="s">
        <v>834</v>
      </c>
      <c r="B394" s="87" t="s">
        <v>816</v>
      </c>
      <c r="C394" s="2">
        <v>1</v>
      </c>
      <c r="D394" s="2" t="s">
        <v>1302</v>
      </c>
      <c r="E394" s="27">
        <f t="shared" si="76"/>
        <v>24700</v>
      </c>
      <c r="F394" s="28">
        <f t="shared" si="75"/>
        <v>24700</v>
      </c>
      <c r="G394" s="27">
        <f>자재조서!E131</f>
        <v>24700</v>
      </c>
      <c r="H394" s="28">
        <f t="shared" si="77"/>
        <v>24700</v>
      </c>
      <c r="I394" s="27">
        <v>0</v>
      </c>
      <c r="J394" s="28"/>
      <c r="K394" s="27">
        <v>0</v>
      </c>
      <c r="L394" s="28"/>
      <c r="M394" s="86" t="s">
        <v>2856</v>
      </c>
      <c r="N394" t="s">
        <v>2856</v>
      </c>
      <c r="P394" t="s">
        <v>1741</v>
      </c>
      <c r="Q394" t="s">
        <v>2856</v>
      </c>
      <c r="R394" t="s">
        <v>2314</v>
      </c>
      <c r="BI394" s="34" t="str">
        <f>HYPERLINK("#자재조서!A125","MTP-038 →")</f>
        <v>MTP-038 →</v>
      </c>
    </row>
    <row r="395" spans="1:61" ht="18.399999999999999" hidden="1" customHeight="1" x14ac:dyDescent="0.15">
      <c r="A395" s="2" t="s">
        <v>261</v>
      </c>
      <c r="B395" s="87" t="s">
        <v>2437</v>
      </c>
      <c r="C395" s="2">
        <v>40</v>
      </c>
      <c r="D395" s="2" t="s">
        <v>1674</v>
      </c>
      <c r="E395" s="27">
        <f t="shared" si="76"/>
        <v>433</v>
      </c>
      <c r="F395" s="28">
        <f t="shared" si="75"/>
        <v>17320</v>
      </c>
      <c r="G395" s="27">
        <f>자재조서!E129</f>
        <v>433</v>
      </c>
      <c r="H395" s="28">
        <f t="shared" si="77"/>
        <v>17320</v>
      </c>
      <c r="I395" s="27">
        <v>0</v>
      </c>
      <c r="J395" s="28"/>
      <c r="K395" s="27">
        <v>0</v>
      </c>
      <c r="L395" s="28"/>
      <c r="M395" s="86" t="s">
        <v>2856</v>
      </c>
      <c r="N395" t="s">
        <v>2856</v>
      </c>
      <c r="P395" t="s">
        <v>1036</v>
      </c>
      <c r="Q395" t="s">
        <v>1839</v>
      </c>
      <c r="R395" t="s">
        <v>1422</v>
      </c>
      <c r="BI395" s="34" t="str">
        <f>HYPERLINK("#자재조서!A123","MTP-010 →")</f>
        <v>MTP-010 →</v>
      </c>
    </row>
    <row r="396" spans="1:61" ht="18.399999999999999" hidden="1" customHeight="1" x14ac:dyDescent="0.15">
      <c r="A396" s="2" t="s">
        <v>2029</v>
      </c>
      <c r="B396" s="87" t="s">
        <v>1936</v>
      </c>
      <c r="C396" s="2">
        <v>71.2</v>
      </c>
      <c r="D396" s="2" t="s">
        <v>1086</v>
      </c>
      <c r="E396" s="27">
        <f t="shared" si="76"/>
        <v>40</v>
      </c>
      <c r="F396" s="28">
        <f t="shared" si="75"/>
        <v>2848</v>
      </c>
      <c r="G396" s="27">
        <f>자재조서!E137</f>
        <v>40</v>
      </c>
      <c r="H396" s="28">
        <f t="shared" si="77"/>
        <v>2848</v>
      </c>
      <c r="I396" s="27">
        <v>0</v>
      </c>
      <c r="J396" s="28"/>
      <c r="K396" s="27">
        <v>0</v>
      </c>
      <c r="L396" s="28"/>
      <c r="M396" s="86" t="s">
        <v>2856</v>
      </c>
      <c r="N396" t="s">
        <v>2856</v>
      </c>
      <c r="P396" t="s">
        <v>286</v>
      </c>
      <c r="Q396" t="s">
        <v>2856</v>
      </c>
      <c r="R396" t="s">
        <v>316</v>
      </c>
      <c r="BI396" s="34" t="str">
        <f>HYPERLINK("#자재조서!A131","MTP-121 →")</f>
        <v>MTP-121 →</v>
      </c>
    </row>
    <row r="397" spans="1:61" ht="18.399999999999999" hidden="1" customHeight="1" x14ac:dyDescent="0.15">
      <c r="A397" s="2" t="s">
        <v>694</v>
      </c>
      <c r="B397" s="87" t="s">
        <v>1038</v>
      </c>
      <c r="C397" s="2">
        <v>26</v>
      </c>
      <c r="D397" s="2" t="s">
        <v>1086</v>
      </c>
      <c r="E397" s="27">
        <f t="shared" si="76"/>
        <v>150</v>
      </c>
      <c r="F397" s="28">
        <f t="shared" si="75"/>
        <v>3900</v>
      </c>
      <c r="G397" s="27">
        <f>자재조서!E136</f>
        <v>150</v>
      </c>
      <c r="H397" s="28">
        <f t="shared" si="77"/>
        <v>3900</v>
      </c>
      <c r="I397" s="27">
        <v>0</v>
      </c>
      <c r="J397" s="28"/>
      <c r="K397" s="27">
        <v>0</v>
      </c>
      <c r="L397" s="28"/>
      <c r="M397" s="86" t="s">
        <v>2856</v>
      </c>
      <c r="N397" t="s">
        <v>2856</v>
      </c>
      <c r="P397" t="s">
        <v>2428</v>
      </c>
      <c r="Q397" t="s">
        <v>2856</v>
      </c>
      <c r="R397" t="s">
        <v>794</v>
      </c>
      <c r="BI397" s="34" t="str">
        <f>HYPERLINK("#자재조서!A130","MTP-110 →")</f>
        <v>MTP-110 →</v>
      </c>
    </row>
    <row r="398" spans="1:61" ht="18.399999999999999" hidden="1" customHeight="1" x14ac:dyDescent="0.15">
      <c r="A398" s="2" t="s">
        <v>1734</v>
      </c>
      <c r="B398" s="87" t="s">
        <v>2741</v>
      </c>
      <c r="C398" s="2">
        <v>4.41</v>
      </c>
      <c r="D398" s="2" t="s">
        <v>1674</v>
      </c>
      <c r="E398" s="27">
        <f t="shared" si="76"/>
        <v>1245</v>
      </c>
      <c r="F398" s="28">
        <f t="shared" si="75"/>
        <v>5490.4</v>
      </c>
      <c r="G398" s="27">
        <f>자재조서!E138</f>
        <v>1245</v>
      </c>
      <c r="H398" s="28">
        <f t="shared" si="77"/>
        <v>5490.4</v>
      </c>
      <c r="I398" s="27">
        <v>0</v>
      </c>
      <c r="J398" s="28"/>
      <c r="K398" s="27">
        <v>0</v>
      </c>
      <c r="L398" s="28"/>
      <c r="M398" s="86" t="s">
        <v>2856</v>
      </c>
      <c r="N398" t="s">
        <v>2856</v>
      </c>
      <c r="P398" t="s">
        <v>1686</v>
      </c>
      <c r="Q398" t="s">
        <v>2856</v>
      </c>
      <c r="R398" t="s">
        <v>1046</v>
      </c>
      <c r="BI398" s="34" t="str">
        <f>HYPERLINK("#자재조서!A132","MTP-131 →")</f>
        <v>MTP-131 →</v>
      </c>
    </row>
    <row r="399" spans="1:61" ht="18.399999999999999" hidden="1" customHeight="1" x14ac:dyDescent="0.15">
      <c r="A399" s="1"/>
      <c r="B399" s="87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87"/>
    </row>
    <row r="400" spans="1:61" ht="18.399999999999999" hidden="1" customHeight="1" x14ac:dyDescent="0.15">
      <c r="A400" s="2" t="s">
        <v>1919</v>
      </c>
      <c r="B400" s="87" t="s">
        <v>1864</v>
      </c>
      <c r="C400" s="2">
        <v>1</v>
      </c>
      <c r="D400" s="2" t="s">
        <v>556</v>
      </c>
      <c r="E400" s="184"/>
      <c r="F400" s="29">
        <f t="shared" ref="F400:F406" si="78">H400+J400+L400</f>
        <v>859723</v>
      </c>
      <c r="G400" s="184"/>
      <c r="H400" s="29">
        <f>TRUNC(H401+H402+H404+H405+H406,0)</f>
        <v>106503</v>
      </c>
      <c r="I400" s="184"/>
      <c r="J400" s="29">
        <f>TRUNC(J401+J402+J404+J405+J406,0)</f>
        <v>598140</v>
      </c>
      <c r="K400" s="184"/>
      <c r="L400" s="29">
        <f>TRUNC(L401+L402+L404+L405+L406,0)</f>
        <v>155080</v>
      </c>
      <c r="M400" s="86" t="s">
        <v>2856</v>
      </c>
      <c r="N400" t="s">
        <v>2856</v>
      </c>
      <c r="O400" t="s">
        <v>358</v>
      </c>
    </row>
    <row r="401" spans="1:61" ht="18.399999999999999" hidden="1" customHeight="1" x14ac:dyDescent="0.15">
      <c r="A401" s="2" t="s">
        <v>1869</v>
      </c>
      <c r="B401" s="87" t="s">
        <v>581</v>
      </c>
      <c r="C401" s="2">
        <v>1</v>
      </c>
      <c r="D401" s="2" t="s">
        <v>556</v>
      </c>
      <c r="E401" s="27">
        <f t="shared" ref="E401:E406" si="79">G401+I401+K401</f>
        <v>822785</v>
      </c>
      <c r="F401" s="28">
        <f t="shared" si="78"/>
        <v>822785</v>
      </c>
      <c r="G401" s="27">
        <f>일위대가목록!F219</f>
        <v>69565</v>
      </c>
      <c r="H401" s="28">
        <f t="shared" ref="H401:H406" si="80">TRUNC(G401*C401,1)</f>
        <v>69565</v>
      </c>
      <c r="I401" s="27">
        <f>일위대가목록!H219</f>
        <v>598140</v>
      </c>
      <c r="J401" s="28">
        <f>TRUNC(I401*C401,1)</f>
        <v>598140</v>
      </c>
      <c r="K401" s="27">
        <f>일위대가목록!J219</f>
        <v>155080</v>
      </c>
      <c r="L401" s="28">
        <f>TRUNC(K401*C401,1)</f>
        <v>155080</v>
      </c>
      <c r="M401" s="86" t="s">
        <v>2856</v>
      </c>
      <c r="N401" t="s">
        <v>2856</v>
      </c>
      <c r="P401" t="s">
        <v>334</v>
      </c>
      <c r="Q401" t="s">
        <v>2856</v>
      </c>
      <c r="R401" t="s">
        <v>1268</v>
      </c>
      <c r="T401" t="s">
        <v>1778</v>
      </c>
      <c r="BI401" s="34" t="str">
        <f>HYPERLINK("#일위대가목록!A214","NT205-30 →")</f>
        <v>NT205-30 →</v>
      </c>
    </row>
    <row r="402" spans="1:61" ht="18.399999999999999" hidden="1" customHeight="1" x14ac:dyDescent="0.15">
      <c r="A402" s="2" t="s">
        <v>834</v>
      </c>
      <c r="B402" s="87" t="s">
        <v>816</v>
      </c>
      <c r="C402" s="2">
        <v>1</v>
      </c>
      <c r="D402" s="2" t="s">
        <v>1302</v>
      </c>
      <c r="E402" s="27">
        <f t="shared" si="79"/>
        <v>24700</v>
      </c>
      <c r="F402" s="28">
        <f t="shared" si="78"/>
        <v>24700</v>
      </c>
      <c r="G402" s="27">
        <f>자재조서!E131</f>
        <v>24700</v>
      </c>
      <c r="H402" s="28">
        <f t="shared" si="80"/>
        <v>24700</v>
      </c>
      <c r="I402" s="27">
        <v>0</v>
      </c>
      <c r="J402" s="28"/>
      <c r="K402" s="27">
        <v>0</v>
      </c>
      <c r="L402" s="28"/>
      <c r="M402" s="86" t="s">
        <v>2856</v>
      </c>
      <c r="N402" t="s">
        <v>2856</v>
      </c>
      <c r="P402" t="s">
        <v>2471</v>
      </c>
      <c r="Q402" t="s">
        <v>2856</v>
      </c>
      <c r="R402" t="s">
        <v>2314</v>
      </c>
      <c r="BI402" s="34" t="str">
        <f>HYPERLINK("#자재조서!A125","MTP-038 →")</f>
        <v>MTP-038 →</v>
      </c>
    </row>
    <row r="403" spans="1:61" ht="18.399999999999999" hidden="1" customHeight="1" x14ac:dyDescent="0.15">
      <c r="A403" s="2" t="s">
        <v>261</v>
      </c>
      <c r="B403" s="87" t="s">
        <v>2437</v>
      </c>
      <c r="C403" s="2">
        <v>40</v>
      </c>
      <c r="D403" s="2" t="s">
        <v>1674</v>
      </c>
      <c r="E403" s="27">
        <f t="shared" si="79"/>
        <v>433</v>
      </c>
      <c r="F403" s="28">
        <f t="shared" si="78"/>
        <v>17320</v>
      </c>
      <c r="G403" s="27">
        <f>자재조서!E129</f>
        <v>433</v>
      </c>
      <c r="H403" s="28">
        <f t="shared" si="80"/>
        <v>17320</v>
      </c>
      <c r="I403" s="27">
        <v>0</v>
      </c>
      <c r="J403" s="28"/>
      <c r="K403" s="27">
        <v>0</v>
      </c>
      <c r="L403" s="28"/>
      <c r="M403" s="86" t="s">
        <v>2856</v>
      </c>
      <c r="N403" t="s">
        <v>2856</v>
      </c>
      <c r="P403" t="s">
        <v>1741</v>
      </c>
      <c r="Q403" t="s">
        <v>1839</v>
      </c>
      <c r="R403" t="s">
        <v>1422</v>
      </c>
      <c r="BI403" s="34" t="str">
        <f>HYPERLINK("#자재조서!A123","MTP-010 →")</f>
        <v>MTP-010 →</v>
      </c>
    </row>
    <row r="404" spans="1:61" ht="18.399999999999999" hidden="1" customHeight="1" x14ac:dyDescent="0.15">
      <c r="A404" s="2" t="s">
        <v>2029</v>
      </c>
      <c r="B404" s="87" t="s">
        <v>1936</v>
      </c>
      <c r="C404" s="2">
        <v>71.2</v>
      </c>
      <c r="D404" s="2" t="s">
        <v>1086</v>
      </c>
      <c r="E404" s="27">
        <f t="shared" si="79"/>
        <v>40</v>
      </c>
      <c r="F404" s="28">
        <f t="shared" si="78"/>
        <v>2848</v>
      </c>
      <c r="G404" s="27">
        <f>자재조서!E137</f>
        <v>40</v>
      </c>
      <c r="H404" s="28">
        <f t="shared" si="80"/>
        <v>2848</v>
      </c>
      <c r="I404" s="27">
        <v>0</v>
      </c>
      <c r="J404" s="28"/>
      <c r="K404" s="27">
        <v>0</v>
      </c>
      <c r="L404" s="28"/>
      <c r="M404" s="86" t="s">
        <v>2856</v>
      </c>
      <c r="N404" t="s">
        <v>2856</v>
      </c>
      <c r="P404" t="s">
        <v>1036</v>
      </c>
      <c r="Q404" t="s">
        <v>2856</v>
      </c>
      <c r="R404" t="s">
        <v>316</v>
      </c>
      <c r="BI404" s="34" t="str">
        <f>HYPERLINK("#자재조서!A131","MTP-121 →")</f>
        <v>MTP-121 →</v>
      </c>
    </row>
    <row r="405" spans="1:61" ht="18.399999999999999" hidden="1" customHeight="1" x14ac:dyDescent="0.15">
      <c r="A405" s="2" t="s">
        <v>694</v>
      </c>
      <c r="B405" s="87" t="s">
        <v>1038</v>
      </c>
      <c r="C405" s="2">
        <v>26</v>
      </c>
      <c r="D405" s="2" t="s">
        <v>1086</v>
      </c>
      <c r="E405" s="27">
        <f t="shared" si="79"/>
        <v>150</v>
      </c>
      <c r="F405" s="28">
        <f t="shared" si="78"/>
        <v>3900</v>
      </c>
      <c r="G405" s="27">
        <f>자재조서!E136</f>
        <v>150</v>
      </c>
      <c r="H405" s="28">
        <f t="shared" si="80"/>
        <v>3900</v>
      </c>
      <c r="I405" s="27">
        <v>0</v>
      </c>
      <c r="J405" s="28"/>
      <c r="K405" s="27">
        <v>0</v>
      </c>
      <c r="L405" s="28"/>
      <c r="M405" s="86" t="s">
        <v>2856</v>
      </c>
      <c r="N405" t="s">
        <v>2856</v>
      </c>
      <c r="P405" t="s">
        <v>286</v>
      </c>
      <c r="Q405" t="s">
        <v>2856</v>
      </c>
      <c r="R405" t="s">
        <v>794</v>
      </c>
      <c r="BI405" s="34" t="str">
        <f>HYPERLINK("#자재조서!A130","MTP-110 →")</f>
        <v>MTP-110 →</v>
      </c>
    </row>
    <row r="406" spans="1:61" ht="18.399999999999999" hidden="1" customHeight="1" x14ac:dyDescent="0.15">
      <c r="A406" s="2" t="s">
        <v>1734</v>
      </c>
      <c r="B406" s="87" t="s">
        <v>2741</v>
      </c>
      <c r="C406" s="2">
        <v>4.41</v>
      </c>
      <c r="D406" s="2" t="s">
        <v>1674</v>
      </c>
      <c r="E406" s="27">
        <f t="shared" si="79"/>
        <v>1245</v>
      </c>
      <c r="F406" s="28">
        <f t="shared" si="78"/>
        <v>5490.4</v>
      </c>
      <c r="G406" s="27">
        <f>자재조서!E138</f>
        <v>1245</v>
      </c>
      <c r="H406" s="28">
        <f t="shared" si="80"/>
        <v>5490.4</v>
      </c>
      <c r="I406" s="27">
        <v>0</v>
      </c>
      <c r="J406" s="28"/>
      <c r="K406" s="27">
        <v>0</v>
      </c>
      <c r="L406" s="28"/>
      <c r="M406" s="86" t="s">
        <v>2856</v>
      </c>
      <c r="N406" t="s">
        <v>2856</v>
      </c>
      <c r="P406" t="s">
        <v>2428</v>
      </c>
      <c r="Q406" t="s">
        <v>2856</v>
      </c>
      <c r="R406" t="s">
        <v>1046</v>
      </c>
      <c r="BI406" s="34" t="str">
        <f>HYPERLINK("#자재조서!A132","MTP-131 →")</f>
        <v>MTP-131 →</v>
      </c>
    </row>
    <row r="407" spans="1:61" ht="18.399999999999999" hidden="1" customHeight="1" x14ac:dyDescent="0.15">
      <c r="A407" s="1"/>
      <c r="B407" s="87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87"/>
    </row>
    <row r="408" spans="1:61" ht="18.399999999999999" hidden="1" customHeight="1" x14ac:dyDescent="0.15">
      <c r="A408" s="2" t="s">
        <v>2622</v>
      </c>
      <c r="B408" s="87" t="s">
        <v>2133</v>
      </c>
      <c r="C408" s="2">
        <v>1</v>
      </c>
      <c r="D408" s="2" t="s">
        <v>556</v>
      </c>
      <c r="E408" s="184"/>
      <c r="F408" s="29">
        <f t="shared" ref="F408:F414" si="81">H408+J408+L408</f>
        <v>856463</v>
      </c>
      <c r="G408" s="184"/>
      <c r="H408" s="29">
        <f>TRUNC(H409+H410+H412+H413+H414,0)</f>
        <v>103243</v>
      </c>
      <c r="I408" s="184"/>
      <c r="J408" s="29">
        <f>TRUNC(J409+J410+J412+J413+J414,0)</f>
        <v>598140</v>
      </c>
      <c r="K408" s="184"/>
      <c r="L408" s="29">
        <f>TRUNC(L409+L410+L412+L413+L414,0)</f>
        <v>155080</v>
      </c>
      <c r="M408" s="86" t="s">
        <v>2856</v>
      </c>
      <c r="N408" t="s">
        <v>2856</v>
      </c>
      <c r="O408" t="s">
        <v>2194</v>
      </c>
    </row>
    <row r="409" spans="1:61" ht="18.399999999999999" hidden="1" customHeight="1" x14ac:dyDescent="0.15">
      <c r="A409" s="2" t="s">
        <v>1869</v>
      </c>
      <c r="B409" s="87" t="s">
        <v>581</v>
      </c>
      <c r="C409" s="2">
        <v>1</v>
      </c>
      <c r="D409" s="2" t="s">
        <v>556</v>
      </c>
      <c r="E409" s="27">
        <f t="shared" ref="E409:E414" si="82">G409+I409+K409</f>
        <v>822785</v>
      </c>
      <c r="F409" s="28">
        <f t="shared" si="81"/>
        <v>822785</v>
      </c>
      <c r="G409" s="27">
        <f>일위대가목록!F219</f>
        <v>69565</v>
      </c>
      <c r="H409" s="28">
        <f t="shared" ref="H409:H414" si="83">TRUNC(G409*C409,1)</f>
        <v>69565</v>
      </c>
      <c r="I409" s="27">
        <f>일위대가목록!H219</f>
        <v>598140</v>
      </c>
      <c r="J409" s="28">
        <f>TRUNC(I409*C409,1)</f>
        <v>598140</v>
      </c>
      <c r="K409" s="27">
        <f>일위대가목록!J219</f>
        <v>155080</v>
      </c>
      <c r="L409" s="28">
        <f>TRUNC(K409*C409,1)</f>
        <v>155080</v>
      </c>
      <c r="M409" s="86" t="s">
        <v>2856</v>
      </c>
      <c r="N409" t="s">
        <v>2856</v>
      </c>
      <c r="P409" t="s">
        <v>2471</v>
      </c>
      <c r="Q409" t="s">
        <v>2856</v>
      </c>
      <c r="R409" t="s">
        <v>1268</v>
      </c>
      <c r="T409" t="s">
        <v>1778</v>
      </c>
      <c r="BI409" s="34" t="str">
        <f>HYPERLINK("#일위대가목록!A214","NT205-30 →")</f>
        <v>NT205-30 →</v>
      </c>
    </row>
    <row r="410" spans="1:61" ht="18.399999999999999" hidden="1" customHeight="1" x14ac:dyDescent="0.15">
      <c r="A410" s="2" t="s">
        <v>834</v>
      </c>
      <c r="B410" s="87" t="s">
        <v>816</v>
      </c>
      <c r="C410" s="2">
        <v>1</v>
      </c>
      <c r="D410" s="2" t="s">
        <v>1302</v>
      </c>
      <c r="E410" s="27">
        <f t="shared" si="82"/>
        <v>24700</v>
      </c>
      <c r="F410" s="28">
        <f t="shared" si="81"/>
        <v>24700</v>
      </c>
      <c r="G410" s="27">
        <f>자재조서!E131</f>
        <v>24700</v>
      </c>
      <c r="H410" s="28">
        <f t="shared" si="83"/>
        <v>24700</v>
      </c>
      <c r="I410" s="27">
        <v>0</v>
      </c>
      <c r="J410" s="28"/>
      <c r="K410" s="27">
        <v>0</v>
      </c>
      <c r="L410" s="28"/>
      <c r="M410" s="86" t="s">
        <v>2856</v>
      </c>
      <c r="N410" t="s">
        <v>2856</v>
      </c>
      <c r="P410" t="s">
        <v>1741</v>
      </c>
      <c r="Q410" t="s">
        <v>2856</v>
      </c>
      <c r="R410" t="s">
        <v>2314</v>
      </c>
      <c r="BI410" s="34" t="str">
        <f>HYPERLINK("#자재조서!A125","MTP-038 →")</f>
        <v>MTP-038 →</v>
      </c>
    </row>
    <row r="411" spans="1:61" ht="18.399999999999999" hidden="1" customHeight="1" x14ac:dyDescent="0.15">
      <c r="A411" s="2" t="s">
        <v>261</v>
      </c>
      <c r="B411" s="87" t="s">
        <v>2437</v>
      </c>
      <c r="C411" s="2">
        <v>30</v>
      </c>
      <c r="D411" s="2" t="s">
        <v>1674</v>
      </c>
      <c r="E411" s="27">
        <f t="shared" si="82"/>
        <v>433</v>
      </c>
      <c r="F411" s="28">
        <f t="shared" si="81"/>
        <v>12990</v>
      </c>
      <c r="G411" s="27">
        <f>자재조서!E129</f>
        <v>433</v>
      </c>
      <c r="H411" s="28">
        <f t="shared" si="83"/>
        <v>12990</v>
      </c>
      <c r="I411" s="27">
        <v>0</v>
      </c>
      <c r="J411" s="28"/>
      <c r="K411" s="27">
        <v>0</v>
      </c>
      <c r="L411" s="28"/>
      <c r="M411" s="86" t="s">
        <v>2856</v>
      </c>
      <c r="N411" t="s">
        <v>2856</v>
      </c>
      <c r="P411" t="s">
        <v>1036</v>
      </c>
      <c r="Q411" t="s">
        <v>1839</v>
      </c>
      <c r="R411" t="s">
        <v>1422</v>
      </c>
      <c r="BI411" s="34" t="str">
        <f>HYPERLINK("#자재조서!A123","MTP-010 →")</f>
        <v>MTP-010 →</v>
      </c>
    </row>
    <row r="412" spans="1:61" ht="18.399999999999999" hidden="1" customHeight="1" x14ac:dyDescent="0.15">
      <c r="A412" s="2" t="s">
        <v>2029</v>
      </c>
      <c r="B412" s="87" t="s">
        <v>1936</v>
      </c>
      <c r="C412" s="2">
        <v>52</v>
      </c>
      <c r="D412" s="2" t="s">
        <v>1086</v>
      </c>
      <c r="E412" s="27">
        <f t="shared" si="82"/>
        <v>40</v>
      </c>
      <c r="F412" s="28">
        <f t="shared" si="81"/>
        <v>2080</v>
      </c>
      <c r="G412" s="27">
        <f>자재조서!E137</f>
        <v>40</v>
      </c>
      <c r="H412" s="28">
        <f t="shared" si="83"/>
        <v>2080</v>
      </c>
      <c r="I412" s="27">
        <v>0</v>
      </c>
      <c r="J412" s="28"/>
      <c r="K412" s="27">
        <v>0</v>
      </c>
      <c r="L412" s="28"/>
      <c r="M412" s="86" t="s">
        <v>2856</v>
      </c>
      <c r="N412" t="s">
        <v>2856</v>
      </c>
      <c r="P412" t="s">
        <v>286</v>
      </c>
      <c r="Q412" t="s">
        <v>2856</v>
      </c>
      <c r="R412" t="s">
        <v>316</v>
      </c>
      <c r="BI412" s="34" t="str">
        <f>HYPERLINK("#자재조서!A131","MTP-121 →")</f>
        <v>MTP-121 →</v>
      </c>
    </row>
    <row r="413" spans="1:61" ht="18.399999999999999" hidden="1" customHeight="1" x14ac:dyDescent="0.15">
      <c r="A413" s="2" t="s">
        <v>694</v>
      </c>
      <c r="B413" s="87" t="s">
        <v>1038</v>
      </c>
      <c r="C413" s="2">
        <v>19.100000000000001</v>
      </c>
      <c r="D413" s="2" t="s">
        <v>1086</v>
      </c>
      <c r="E413" s="27">
        <f t="shared" si="82"/>
        <v>150</v>
      </c>
      <c r="F413" s="28">
        <f t="shared" si="81"/>
        <v>2865</v>
      </c>
      <c r="G413" s="27">
        <f>자재조서!E136</f>
        <v>150</v>
      </c>
      <c r="H413" s="28">
        <f t="shared" si="83"/>
        <v>2865</v>
      </c>
      <c r="I413" s="27">
        <v>0</v>
      </c>
      <c r="J413" s="28"/>
      <c r="K413" s="27">
        <v>0</v>
      </c>
      <c r="L413" s="28"/>
      <c r="M413" s="86" t="s">
        <v>2856</v>
      </c>
      <c r="N413" t="s">
        <v>2856</v>
      </c>
      <c r="P413" t="s">
        <v>2428</v>
      </c>
      <c r="Q413" t="s">
        <v>2856</v>
      </c>
      <c r="R413" t="s">
        <v>794</v>
      </c>
      <c r="BI413" s="34" t="str">
        <f>HYPERLINK("#자재조서!A130","MTP-110 →")</f>
        <v>MTP-110 →</v>
      </c>
    </row>
    <row r="414" spans="1:61" ht="18.399999999999999" hidden="1" customHeight="1" x14ac:dyDescent="0.15">
      <c r="A414" s="2" t="s">
        <v>1734</v>
      </c>
      <c r="B414" s="87" t="s">
        <v>2741</v>
      </c>
      <c r="C414" s="2">
        <v>3.24</v>
      </c>
      <c r="D414" s="2" t="s">
        <v>1674</v>
      </c>
      <c r="E414" s="27">
        <f t="shared" si="82"/>
        <v>1245</v>
      </c>
      <c r="F414" s="28">
        <f t="shared" si="81"/>
        <v>4033.8</v>
      </c>
      <c r="G414" s="27">
        <f>자재조서!E138</f>
        <v>1245</v>
      </c>
      <c r="H414" s="28">
        <f t="shared" si="83"/>
        <v>4033.8</v>
      </c>
      <c r="I414" s="27">
        <v>0</v>
      </c>
      <c r="J414" s="28"/>
      <c r="K414" s="27">
        <v>0</v>
      </c>
      <c r="L414" s="28"/>
      <c r="M414" s="86" t="s">
        <v>2856</v>
      </c>
      <c r="N414" t="s">
        <v>2856</v>
      </c>
      <c r="P414" t="s">
        <v>1686</v>
      </c>
      <c r="Q414" t="s">
        <v>2856</v>
      </c>
      <c r="R414" t="s">
        <v>1046</v>
      </c>
      <c r="BI414" s="34" t="str">
        <f>HYPERLINK("#자재조서!A132","MTP-131 →")</f>
        <v>MTP-131 →</v>
      </c>
    </row>
    <row r="415" spans="1:61" ht="18.399999999999999" hidden="1" customHeight="1" x14ac:dyDescent="0.15">
      <c r="A415" s="1"/>
      <c r="B415" s="87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87"/>
    </row>
    <row r="416" spans="1:61" ht="18.399999999999999" hidden="1" customHeight="1" x14ac:dyDescent="0.15">
      <c r="A416" s="2" t="s">
        <v>351</v>
      </c>
      <c r="B416" s="87" t="s">
        <v>837</v>
      </c>
      <c r="C416" s="2">
        <v>1</v>
      </c>
      <c r="D416" s="2" t="s">
        <v>556</v>
      </c>
      <c r="E416" s="184"/>
      <c r="F416" s="29">
        <f t="shared" ref="F416:F422" si="84">H416+J416+L416</f>
        <v>620822</v>
      </c>
      <c r="G416" s="184"/>
      <c r="H416" s="29">
        <f>TRUNC(H417+H418+H420+H421+H422,0)</f>
        <v>71984</v>
      </c>
      <c r="I416" s="184"/>
      <c r="J416" s="29">
        <f>TRUNC(J417+J418+J420+J421+J422,0)</f>
        <v>443066</v>
      </c>
      <c r="K416" s="184"/>
      <c r="L416" s="29">
        <f>TRUNC(L417+L418+L420+L421+L422,0)</f>
        <v>105772</v>
      </c>
      <c r="M416" s="86" t="s">
        <v>2856</v>
      </c>
      <c r="N416" t="s">
        <v>2856</v>
      </c>
      <c r="O416" t="s">
        <v>931</v>
      </c>
    </row>
    <row r="417" spans="1:61" ht="18.399999999999999" hidden="1" customHeight="1" x14ac:dyDescent="0.15">
      <c r="A417" s="2" t="s">
        <v>1869</v>
      </c>
      <c r="B417" s="87" t="s">
        <v>2192</v>
      </c>
      <c r="C417" s="2">
        <v>1</v>
      </c>
      <c r="D417" s="2" t="s">
        <v>556</v>
      </c>
      <c r="E417" s="27">
        <f t="shared" ref="E417:E422" si="85">G417+I417+K417</f>
        <v>598895</v>
      </c>
      <c r="F417" s="28">
        <f t="shared" si="84"/>
        <v>598895</v>
      </c>
      <c r="G417" s="27">
        <f>일위대가목록!F217</f>
        <v>50057</v>
      </c>
      <c r="H417" s="28">
        <f t="shared" ref="H417:H422" si="86">TRUNC(G417*C417,1)</f>
        <v>50057</v>
      </c>
      <c r="I417" s="27">
        <f>일위대가목록!H217</f>
        <v>443066</v>
      </c>
      <c r="J417" s="28">
        <f>TRUNC(I417*C417,1)</f>
        <v>443066</v>
      </c>
      <c r="K417" s="27">
        <f>일위대가목록!J217</f>
        <v>105772</v>
      </c>
      <c r="L417" s="28">
        <f>TRUNC(K417*C417,1)</f>
        <v>105772</v>
      </c>
      <c r="M417" s="86" t="s">
        <v>2856</v>
      </c>
      <c r="N417" t="s">
        <v>2856</v>
      </c>
      <c r="P417" t="s">
        <v>2471</v>
      </c>
      <c r="Q417" t="s">
        <v>2856</v>
      </c>
      <c r="R417" t="s">
        <v>2141</v>
      </c>
      <c r="T417" t="s">
        <v>1778</v>
      </c>
      <c r="BI417" s="34" t="str">
        <f>HYPERLINK("#일위대가목록!A212","NT205-25 →")</f>
        <v>NT205-25 →</v>
      </c>
    </row>
    <row r="418" spans="1:61" ht="18.399999999999999" hidden="1" customHeight="1" x14ac:dyDescent="0.15">
      <c r="A418" s="2" t="s">
        <v>300</v>
      </c>
      <c r="B418" s="87" t="s">
        <v>1807</v>
      </c>
      <c r="C418" s="2">
        <v>1</v>
      </c>
      <c r="D418" s="2" t="s">
        <v>1302</v>
      </c>
      <c r="E418" s="27">
        <f t="shared" si="85"/>
        <v>17700</v>
      </c>
      <c r="F418" s="28">
        <f t="shared" si="84"/>
        <v>17700</v>
      </c>
      <c r="G418" s="27">
        <f>자재조서!E132</f>
        <v>17700</v>
      </c>
      <c r="H418" s="28">
        <f t="shared" si="86"/>
        <v>17700</v>
      </c>
      <c r="I418" s="27">
        <v>0</v>
      </c>
      <c r="J418" s="28"/>
      <c r="K418" s="27">
        <v>0</v>
      </c>
      <c r="L418" s="28"/>
      <c r="M418" s="86" t="s">
        <v>2856</v>
      </c>
      <c r="N418" t="s">
        <v>2856</v>
      </c>
      <c r="P418" t="s">
        <v>1741</v>
      </c>
      <c r="Q418" t="s">
        <v>2856</v>
      </c>
      <c r="R418" t="s">
        <v>1011</v>
      </c>
      <c r="BI418" s="34" t="str">
        <f>HYPERLINK("#자재조서!A126","MTP-039 →")</f>
        <v>MTP-039 →</v>
      </c>
    </row>
    <row r="419" spans="1:61" ht="18.399999999999999" hidden="1" customHeight="1" x14ac:dyDescent="0.15">
      <c r="A419" s="2" t="s">
        <v>261</v>
      </c>
      <c r="B419" s="87" t="s">
        <v>2437</v>
      </c>
      <c r="C419" s="2">
        <v>20</v>
      </c>
      <c r="D419" s="2" t="s">
        <v>1674</v>
      </c>
      <c r="E419" s="27">
        <f t="shared" si="85"/>
        <v>433</v>
      </c>
      <c r="F419" s="28">
        <f t="shared" si="84"/>
        <v>8660</v>
      </c>
      <c r="G419" s="27">
        <f>자재조서!E129</f>
        <v>433</v>
      </c>
      <c r="H419" s="28">
        <f t="shared" si="86"/>
        <v>8660</v>
      </c>
      <c r="I419" s="27">
        <v>0</v>
      </c>
      <c r="J419" s="28"/>
      <c r="K419" s="27">
        <v>0</v>
      </c>
      <c r="L419" s="28"/>
      <c r="M419" s="86" t="s">
        <v>2856</v>
      </c>
      <c r="N419" t="s">
        <v>2856</v>
      </c>
      <c r="P419" t="s">
        <v>1036</v>
      </c>
      <c r="Q419" t="s">
        <v>1839</v>
      </c>
      <c r="R419" t="s">
        <v>1422</v>
      </c>
      <c r="BI419" s="34" t="str">
        <f>HYPERLINK("#자재조서!A123","MTP-010 →")</f>
        <v>MTP-010 →</v>
      </c>
    </row>
    <row r="420" spans="1:61" ht="18.399999999999999" hidden="1" customHeight="1" x14ac:dyDescent="0.15">
      <c r="A420" s="2" t="s">
        <v>2029</v>
      </c>
      <c r="B420" s="87" t="s">
        <v>1936</v>
      </c>
      <c r="C420" s="2">
        <v>29</v>
      </c>
      <c r="D420" s="2" t="s">
        <v>1086</v>
      </c>
      <c r="E420" s="27">
        <f t="shared" si="85"/>
        <v>40</v>
      </c>
      <c r="F420" s="28">
        <f t="shared" si="84"/>
        <v>1160</v>
      </c>
      <c r="G420" s="27">
        <f>자재조서!E137</f>
        <v>40</v>
      </c>
      <c r="H420" s="28">
        <f t="shared" si="86"/>
        <v>1160</v>
      </c>
      <c r="I420" s="27">
        <v>0</v>
      </c>
      <c r="J420" s="28"/>
      <c r="K420" s="27">
        <v>0</v>
      </c>
      <c r="L420" s="28"/>
      <c r="M420" s="86" t="s">
        <v>2856</v>
      </c>
      <c r="N420" t="s">
        <v>2856</v>
      </c>
      <c r="P420" t="s">
        <v>286</v>
      </c>
      <c r="Q420" t="s">
        <v>2856</v>
      </c>
      <c r="R420" t="s">
        <v>316</v>
      </c>
      <c r="BI420" s="34" t="str">
        <f>HYPERLINK("#자재조서!A131","MTP-121 →")</f>
        <v>MTP-121 →</v>
      </c>
    </row>
    <row r="421" spans="1:61" ht="18.399999999999999" hidden="1" customHeight="1" x14ac:dyDescent="0.15">
      <c r="A421" s="2" t="s">
        <v>694</v>
      </c>
      <c r="B421" s="87" t="s">
        <v>1038</v>
      </c>
      <c r="C421" s="2">
        <v>8.5</v>
      </c>
      <c r="D421" s="2" t="s">
        <v>1086</v>
      </c>
      <c r="E421" s="27">
        <f t="shared" si="85"/>
        <v>150</v>
      </c>
      <c r="F421" s="28">
        <f t="shared" si="84"/>
        <v>1275</v>
      </c>
      <c r="G421" s="27">
        <f>자재조서!E136</f>
        <v>150</v>
      </c>
      <c r="H421" s="28">
        <f t="shared" si="86"/>
        <v>1275</v>
      </c>
      <c r="I421" s="27">
        <v>0</v>
      </c>
      <c r="J421" s="28"/>
      <c r="K421" s="27">
        <v>0</v>
      </c>
      <c r="L421" s="28"/>
      <c r="M421" s="86" t="s">
        <v>2856</v>
      </c>
      <c r="N421" t="s">
        <v>2856</v>
      </c>
      <c r="P421" t="s">
        <v>2428</v>
      </c>
      <c r="Q421" t="s">
        <v>2856</v>
      </c>
      <c r="R421" t="s">
        <v>794</v>
      </c>
      <c r="BI421" s="34" t="str">
        <f>HYPERLINK("#자재조서!A130","MTP-110 →")</f>
        <v>MTP-110 →</v>
      </c>
    </row>
    <row r="422" spans="1:61" ht="18.399999999999999" hidden="1" customHeight="1" x14ac:dyDescent="0.15">
      <c r="A422" s="2" t="s">
        <v>1734</v>
      </c>
      <c r="B422" s="87" t="s">
        <v>2741</v>
      </c>
      <c r="C422" s="2">
        <v>1.44</v>
      </c>
      <c r="D422" s="2" t="s">
        <v>1674</v>
      </c>
      <c r="E422" s="27">
        <f t="shared" si="85"/>
        <v>1245</v>
      </c>
      <c r="F422" s="28">
        <f t="shared" si="84"/>
        <v>1792.8</v>
      </c>
      <c r="G422" s="27">
        <f>자재조서!E138</f>
        <v>1245</v>
      </c>
      <c r="H422" s="28">
        <f t="shared" si="86"/>
        <v>1792.8</v>
      </c>
      <c r="I422" s="27">
        <v>0</v>
      </c>
      <c r="J422" s="28"/>
      <c r="K422" s="27">
        <v>0</v>
      </c>
      <c r="L422" s="28"/>
      <c r="M422" s="86" t="s">
        <v>2856</v>
      </c>
      <c r="N422" t="s">
        <v>2856</v>
      </c>
      <c r="P422" t="s">
        <v>1686</v>
      </c>
      <c r="Q422" t="s">
        <v>2856</v>
      </c>
      <c r="R422" t="s">
        <v>1046</v>
      </c>
      <c r="BI422" s="34" t="str">
        <f>HYPERLINK("#자재조서!A132","MTP-131 →")</f>
        <v>MTP-131 →</v>
      </c>
    </row>
    <row r="423" spans="1:61" ht="18.399999999999999" hidden="1" customHeight="1" x14ac:dyDescent="0.15">
      <c r="A423" s="1"/>
      <c r="B423" s="87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87"/>
    </row>
    <row r="424" spans="1:61" ht="18.399999999999999" hidden="1" customHeight="1" x14ac:dyDescent="0.15">
      <c r="A424" s="2" t="s">
        <v>842</v>
      </c>
      <c r="B424" s="87" t="s">
        <v>1558</v>
      </c>
      <c r="C424" s="2">
        <v>1</v>
      </c>
      <c r="D424" s="2" t="s">
        <v>556</v>
      </c>
      <c r="E424" s="184"/>
      <c r="F424" s="29">
        <f t="shared" ref="F424:F430" si="87">H424+J424+L424</f>
        <v>620822</v>
      </c>
      <c r="G424" s="184"/>
      <c r="H424" s="29">
        <f>TRUNC(H425+H426+H428+H429+H430,0)</f>
        <v>71984</v>
      </c>
      <c r="I424" s="184"/>
      <c r="J424" s="29">
        <f>TRUNC(J425+J426+J428+J429+J430,0)</f>
        <v>443066</v>
      </c>
      <c r="K424" s="184"/>
      <c r="L424" s="29">
        <f>TRUNC(L425+L426+L428+L429+L430,0)</f>
        <v>105772</v>
      </c>
      <c r="M424" s="86" t="s">
        <v>2856</v>
      </c>
      <c r="N424" t="s">
        <v>2856</v>
      </c>
      <c r="O424" t="s">
        <v>2596</v>
      </c>
    </row>
    <row r="425" spans="1:61" ht="18.399999999999999" hidden="1" customHeight="1" x14ac:dyDescent="0.15">
      <c r="A425" s="2" t="s">
        <v>1869</v>
      </c>
      <c r="B425" s="87" t="s">
        <v>2192</v>
      </c>
      <c r="C425" s="2">
        <v>1</v>
      </c>
      <c r="D425" s="2" t="s">
        <v>556</v>
      </c>
      <c r="E425" s="27">
        <f t="shared" ref="E425:E430" si="88">G425+I425+K425</f>
        <v>598895</v>
      </c>
      <c r="F425" s="28">
        <f t="shared" si="87"/>
        <v>598895</v>
      </c>
      <c r="G425" s="27">
        <f>일위대가목록!F217</f>
        <v>50057</v>
      </c>
      <c r="H425" s="28">
        <f t="shared" ref="H425:H430" si="89">TRUNC(G425*C425,1)</f>
        <v>50057</v>
      </c>
      <c r="I425" s="27">
        <f>일위대가목록!H217</f>
        <v>443066</v>
      </c>
      <c r="J425" s="28">
        <f>TRUNC(I425*C425,1)</f>
        <v>443066</v>
      </c>
      <c r="K425" s="27">
        <f>일위대가목록!J217</f>
        <v>105772</v>
      </c>
      <c r="L425" s="28">
        <f>TRUNC(K425*C425,1)</f>
        <v>105772</v>
      </c>
      <c r="M425" s="86" t="s">
        <v>2856</v>
      </c>
      <c r="N425" t="s">
        <v>2856</v>
      </c>
      <c r="P425" t="s">
        <v>2471</v>
      </c>
      <c r="Q425" t="s">
        <v>2856</v>
      </c>
      <c r="R425" t="s">
        <v>2141</v>
      </c>
      <c r="T425" t="s">
        <v>1778</v>
      </c>
      <c r="BI425" s="34" t="str">
        <f>HYPERLINK("#일위대가목록!A212","NT205-25 →")</f>
        <v>NT205-25 →</v>
      </c>
    </row>
    <row r="426" spans="1:61" ht="18.399999999999999" hidden="1" customHeight="1" x14ac:dyDescent="0.15">
      <c r="A426" s="2" t="s">
        <v>300</v>
      </c>
      <c r="B426" s="87" t="s">
        <v>1807</v>
      </c>
      <c r="C426" s="2">
        <v>1</v>
      </c>
      <c r="D426" s="2" t="s">
        <v>1302</v>
      </c>
      <c r="E426" s="27">
        <f t="shared" si="88"/>
        <v>17700</v>
      </c>
      <c r="F426" s="28">
        <f t="shared" si="87"/>
        <v>17700</v>
      </c>
      <c r="G426" s="27">
        <f>자재조서!E132</f>
        <v>17700</v>
      </c>
      <c r="H426" s="28">
        <f t="shared" si="89"/>
        <v>17700</v>
      </c>
      <c r="I426" s="27">
        <v>0</v>
      </c>
      <c r="J426" s="28"/>
      <c r="K426" s="27">
        <v>0</v>
      </c>
      <c r="L426" s="28"/>
      <c r="M426" s="86" t="s">
        <v>2856</v>
      </c>
      <c r="N426" t="s">
        <v>2856</v>
      </c>
      <c r="P426" t="s">
        <v>1741</v>
      </c>
      <c r="Q426" t="s">
        <v>2856</v>
      </c>
      <c r="R426" t="s">
        <v>1011</v>
      </c>
      <c r="BI426" s="34" t="str">
        <f>HYPERLINK("#자재조서!A126","MTP-039 →")</f>
        <v>MTP-039 →</v>
      </c>
    </row>
    <row r="427" spans="1:61" ht="18.399999999999999" hidden="1" customHeight="1" x14ac:dyDescent="0.15">
      <c r="A427" s="2" t="s">
        <v>261</v>
      </c>
      <c r="B427" s="87" t="s">
        <v>2437</v>
      </c>
      <c r="C427" s="2">
        <v>20</v>
      </c>
      <c r="D427" s="2" t="s">
        <v>1674</v>
      </c>
      <c r="E427" s="27">
        <f t="shared" si="88"/>
        <v>433</v>
      </c>
      <c r="F427" s="28">
        <f t="shared" si="87"/>
        <v>8660</v>
      </c>
      <c r="G427" s="27">
        <f>자재조서!E129</f>
        <v>433</v>
      </c>
      <c r="H427" s="28">
        <f t="shared" si="89"/>
        <v>8660</v>
      </c>
      <c r="I427" s="27">
        <v>0</v>
      </c>
      <c r="J427" s="28"/>
      <c r="K427" s="27">
        <v>0</v>
      </c>
      <c r="L427" s="28"/>
      <c r="M427" s="86" t="s">
        <v>2856</v>
      </c>
      <c r="N427" t="s">
        <v>2856</v>
      </c>
      <c r="P427" t="s">
        <v>1036</v>
      </c>
      <c r="Q427" t="s">
        <v>1839</v>
      </c>
      <c r="R427" t="s">
        <v>1422</v>
      </c>
      <c r="BI427" s="34" t="str">
        <f>HYPERLINK("#자재조서!A123","MTP-010 →")</f>
        <v>MTP-010 →</v>
      </c>
    </row>
    <row r="428" spans="1:61" ht="18.399999999999999" hidden="1" customHeight="1" x14ac:dyDescent="0.15">
      <c r="A428" s="2" t="s">
        <v>2029</v>
      </c>
      <c r="B428" s="87" t="s">
        <v>1936</v>
      </c>
      <c r="C428" s="2">
        <v>29</v>
      </c>
      <c r="D428" s="2" t="s">
        <v>1086</v>
      </c>
      <c r="E428" s="27">
        <f t="shared" si="88"/>
        <v>40</v>
      </c>
      <c r="F428" s="28">
        <f t="shared" si="87"/>
        <v>1160</v>
      </c>
      <c r="G428" s="27">
        <f>자재조서!E137</f>
        <v>40</v>
      </c>
      <c r="H428" s="28">
        <f t="shared" si="89"/>
        <v>1160</v>
      </c>
      <c r="I428" s="27">
        <v>0</v>
      </c>
      <c r="J428" s="28"/>
      <c r="K428" s="27">
        <v>0</v>
      </c>
      <c r="L428" s="28"/>
      <c r="M428" s="86" t="s">
        <v>2856</v>
      </c>
      <c r="N428" t="s">
        <v>2856</v>
      </c>
      <c r="P428" t="s">
        <v>286</v>
      </c>
      <c r="Q428" t="s">
        <v>2856</v>
      </c>
      <c r="R428" t="s">
        <v>316</v>
      </c>
      <c r="BI428" s="34" t="str">
        <f>HYPERLINK("#자재조서!A131","MTP-121 →")</f>
        <v>MTP-121 →</v>
      </c>
    </row>
    <row r="429" spans="1:61" ht="18.399999999999999" hidden="1" customHeight="1" x14ac:dyDescent="0.15">
      <c r="A429" s="2" t="s">
        <v>694</v>
      </c>
      <c r="B429" s="87" t="s">
        <v>1038</v>
      </c>
      <c r="C429" s="2">
        <v>8.5</v>
      </c>
      <c r="D429" s="2" t="s">
        <v>1086</v>
      </c>
      <c r="E429" s="27">
        <f t="shared" si="88"/>
        <v>150</v>
      </c>
      <c r="F429" s="28">
        <f t="shared" si="87"/>
        <v>1275</v>
      </c>
      <c r="G429" s="27">
        <f>자재조서!E136</f>
        <v>150</v>
      </c>
      <c r="H429" s="28">
        <f t="shared" si="89"/>
        <v>1275</v>
      </c>
      <c r="I429" s="27">
        <v>0</v>
      </c>
      <c r="J429" s="28"/>
      <c r="K429" s="27">
        <v>0</v>
      </c>
      <c r="L429" s="28"/>
      <c r="M429" s="86" t="s">
        <v>2856</v>
      </c>
      <c r="N429" t="s">
        <v>2856</v>
      </c>
      <c r="P429" t="s">
        <v>2428</v>
      </c>
      <c r="Q429" t="s">
        <v>2856</v>
      </c>
      <c r="R429" t="s">
        <v>794</v>
      </c>
      <c r="BI429" s="34" t="str">
        <f>HYPERLINK("#자재조서!A130","MTP-110 →")</f>
        <v>MTP-110 →</v>
      </c>
    </row>
    <row r="430" spans="1:61" ht="18.399999999999999" hidden="1" customHeight="1" x14ac:dyDescent="0.15">
      <c r="A430" s="2" t="s">
        <v>1734</v>
      </c>
      <c r="B430" s="87" t="s">
        <v>2741</v>
      </c>
      <c r="C430" s="2">
        <v>1.44</v>
      </c>
      <c r="D430" s="2" t="s">
        <v>1674</v>
      </c>
      <c r="E430" s="27">
        <f t="shared" si="88"/>
        <v>1245</v>
      </c>
      <c r="F430" s="28">
        <f t="shared" si="87"/>
        <v>1792.8</v>
      </c>
      <c r="G430" s="27">
        <f>자재조서!E138</f>
        <v>1245</v>
      </c>
      <c r="H430" s="28">
        <f t="shared" si="89"/>
        <v>1792.8</v>
      </c>
      <c r="I430" s="27">
        <v>0</v>
      </c>
      <c r="J430" s="28"/>
      <c r="K430" s="27">
        <v>0</v>
      </c>
      <c r="L430" s="28"/>
      <c r="M430" s="86" t="s">
        <v>2856</v>
      </c>
      <c r="N430" t="s">
        <v>2856</v>
      </c>
      <c r="P430" t="s">
        <v>1686</v>
      </c>
      <c r="Q430" t="s">
        <v>2856</v>
      </c>
      <c r="R430" t="s">
        <v>1046</v>
      </c>
      <c r="BI430" s="34" t="str">
        <f>HYPERLINK("#자재조서!A132","MTP-131 →")</f>
        <v>MTP-131 →</v>
      </c>
    </row>
    <row r="431" spans="1:61" ht="18.399999999999999" hidden="1" customHeight="1" x14ac:dyDescent="0.15">
      <c r="A431" s="1"/>
      <c r="B431" s="87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87"/>
    </row>
    <row r="432" spans="1:61" ht="18.399999999999999" hidden="1" customHeight="1" x14ac:dyDescent="0.15">
      <c r="A432" s="2" t="s">
        <v>1176</v>
      </c>
      <c r="B432" s="87" t="s">
        <v>1157</v>
      </c>
      <c r="C432" s="2">
        <v>1</v>
      </c>
      <c r="D432" s="2" t="s">
        <v>556</v>
      </c>
      <c r="E432" s="184"/>
      <c r="F432" s="29">
        <f t="shared" ref="F432:F438" si="90">H432+J432+L432</f>
        <v>631487</v>
      </c>
      <c r="G432" s="184"/>
      <c r="H432" s="29">
        <f>TRUNC(H433+H434+H436+H437+H438,0)</f>
        <v>82649</v>
      </c>
      <c r="I432" s="184"/>
      <c r="J432" s="29">
        <f>TRUNC(J433+J434+J436+J437+J438,0)</f>
        <v>443066</v>
      </c>
      <c r="K432" s="184"/>
      <c r="L432" s="29">
        <f>TRUNC(L433+L434+L436+L437+L438,0)</f>
        <v>105772</v>
      </c>
      <c r="M432" s="86" t="s">
        <v>2856</v>
      </c>
      <c r="N432" t="s">
        <v>2856</v>
      </c>
      <c r="O432" t="s">
        <v>1415</v>
      </c>
    </row>
    <row r="433" spans="1:61" ht="18.399999999999999" hidden="1" customHeight="1" x14ac:dyDescent="0.15">
      <c r="A433" s="2" t="s">
        <v>1869</v>
      </c>
      <c r="B433" s="87" t="s">
        <v>2192</v>
      </c>
      <c r="C433" s="2">
        <v>1</v>
      </c>
      <c r="D433" s="2" t="s">
        <v>556</v>
      </c>
      <c r="E433" s="27">
        <f t="shared" ref="E433:E438" si="91">G433+I433+K433</f>
        <v>598895</v>
      </c>
      <c r="F433" s="28">
        <f t="shared" si="90"/>
        <v>598895</v>
      </c>
      <c r="G433" s="27">
        <f>일위대가목록!F217</f>
        <v>50057</v>
      </c>
      <c r="H433" s="28">
        <f t="shared" ref="H433:H438" si="92">TRUNC(G433*C433,1)</f>
        <v>50057</v>
      </c>
      <c r="I433" s="27">
        <f>일위대가목록!H217</f>
        <v>443066</v>
      </c>
      <c r="J433" s="28">
        <f>TRUNC(I433*C433,1)</f>
        <v>443066</v>
      </c>
      <c r="K433" s="27">
        <f>일위대가목록!J217</f>
        <v>105772</v>
      </c>
      <c r="L433" s="28">
        <f>TRUNC(K433*C433,1)</f>
        <v>105772</v>
      </c>
      <c r="M433" s="86" t="s">
        <v>2856</v>
      </c>
      <c r="N433" t="s">
        <v>2856</v>
      </c>
      <c r="P433" t="s">
        <v>2471</v>
      </c>
      <c r="Q433" t="s">
        <v>2856</v>
      </c>
      <c r="R433" t="s">
        <v>2141</v>
      </c>
      <c r="T433" t="s">
        <v>1778</v>
      </c>
      <c r="BI433" s="34" t="str">
        <f>HYPERLINK("#일위대가목록!A212","NT205-25 →")</f>
        <v>NT205-25 →</v>
      </c>
    </row>
    <row r="434" spans="1:61" ht="18.399999999999999" hidden="1" customHeight="1" x14ac:dyDescent="0.15">
      <c r="A434" s="2" t="s">
        <v>834</v>
      </c>
      <c r="B434" s="87" t="s">
        <v>816</v>
      </c>
      <c r="C434" s="2">
        <v>1</v>
      </c>
      <c r="D434" s="2" t="s">
        <v>1302</v>
      </c>
      <c r="E434" s="27">
        <f t="shared" si="91"/>
        <v>24700</v>
      </c>
      <c r="F434" s="28">
        <f t="shared" si="90"/>
        <v>24700</v>
      </c>
      <c r="G434" s="27">
        <f>자재조서!E131</f>
        <v>24700</v>
      </c>
      <c r="H434" s="28">
        <f t="shared" si="92"/>
        <v>24700</v>
      </c>
      <c r="I434" s="27">
        <v>0</v>
      </c>
      <c r="J434" s="28"/>
      <c r="K434" s="27">
        <v>0</v>
      </c>
      <c r="L434" s="28"/>
      <c r="M434" s="86" t="s">
        <v>2856</v>
      </c>
      <c r="N434" t="s">
        <v>2856</v>
      </c>
      <c r="P434" t="s">
        <v>1741</v>
      </c>
      <c r="Q434" t="s">
        <v>2856</v>
      </c>
      <c r="R434" t="s">
        <v>2314</v>
      </c>
      <c r="BI434" s="34" t="str">
        <f>HYPERLINK("#자재조서!A125","MTP-038 →")</f>
        <v>MTP-038 →</v>
      </c>
    </row>
    <row r="435" spans="1:61" ht="18.399999999999999" hidden="1" customHeight="1" x14ac:dyDescent="0.15">
      <c r="A435" s="2" t="s">
        <v>261</v>
      </c>
      <c r="B435" s="87" t="s">
        <v>2437</v>
      </c>
      <c r="C435" s="2">
        <v>30</v>
      </c>
      <c r="D435" s="2" t="s">
        <v>1674</v>
      </c>
      <c r="E435" s="27">
        <f t="shared" si="91"/>
        <v>433</v>
      </c>
      <c r="F435" s="28">
        <f t="shared" si="90"/>
        <v>12990</v>
      </c>
      <c r="G435" s="27">
        <f>자재조서!E129</f>
        <v>433</v>
      </c>
      <c r="H435" s="28">
        <f t="shared" si="92"/>
        <v>12990</v>
      </c>
      <c r="I435" s="27">
        <v>0</v>
      </c>
      <c r="J435" s="28"/>
      <c r="K435" s="27">
        <v>0</v>
      </c>
      <c r="L435" s="28"/>
      <c r="M435" s="86" t="s">
        <v>2856</v>
      </c>
      <c r="N435" t="s">
        <v>2856</v>
      </c>
      <c r="P435" t="s">
        <v>1036</v>
      </c>
      <c r="Q435" t="s">
        <v>1839</v>
      </c>
      <c r="R435" t="s">
        <v>1422</v>
      </c>
      <c r="BI435" s="34" t="str">
        <f>HYPERLINK("#자재조서!A123","MTP-010 →")</f>
        <v>MTP-010 →</v>
      </c>
    </row>
    <row r="436" spans="1:61" ht="18.399999999999999" hidden="1" customHeight="1" x14ac:dyDescent="0.15">
      <c r="A436" s="2" t="s">
        <v>2029</v>
      </c>
      <c r="B436" s="87" t="s">
        <v>1936</v>
      </c>
      <c r="C436" s="2">
        <v>47.3</v>
      </c>
      <c r="D436" s="2" t="s">
        <v>1086</v>
      </c>
      <c r="E436" s="27">
        <f t="shared" si="91"/>
        <v>40</v>
      </c>
      <c r="F436" s="28">
        <f t="shared" si="90"/>
        <v>1892</v>
      </c>
      <c r="G436" s="27">
        <f>자재조서!E137</f>
        <v>40</v>
      </c>
      <c r="H436" s="28">
        <f t="shared" si="92"/>
        <v>1892</v>
      </c>
      <c r="I436" s="27">
        <v>0</v>
      </c>
      <c r="J436" s="28"/>
      <c r="K436" s="27">
        <v>0</v>
      </c>
      <c r="L436" s="28"/>
      <c r="M436" s="86" t="s">
        <v>2856</v>
      </c>
      <c r="N436" t="s">
        <v>2856</v>
      </c>
      <c r="P436" t="s">
        <v>286</v>
      </c>
      <c r="Q436" t="s">
        <v>2856</v>
      </c>
      <c r="R436" t="s">
        <v>316</v>
      </c>
      <c r="BI436" s="34" t="str">
        <f>HYPERLINK("#자재조서!A131","MTP-121 →")</f>
        <v>MTP-121 →</v>
      </c>
    </row>
    <row r="437" spans="1:61" ht="18.399999999999999" hidden="1" customHeight="1" x14ac:dyDescent="0.15">
      <c r="A437" s="2" t="s">
        <v>694</v>
      </c>
      <c r="B437" s="87" t="s">
        <v>1038</v>
      </c>
      <c r="C437" s="2">
        <v>16.600000000000001</v>
      </c>
      <c r="D437" s="2" t="s">
        <v>1086</v>
      </c>
      <c r="E437" s="27">
        <f t="shared" si="91"/>
        <v>150</v>
      </c>
      <c r="F437" s="28">
        <f t="shared" si="90"/>
        <v>2490</v>
      </c>
      <c r="G437" s="27">
        <f>자재조서!E136</f>
        <v>150</v>
      </c>
      <c r="H437" s="28">
        <f t="shared" si="92"/>
        <v>2490</v>
      </c>
      <c r="I437" s="27">
        <v>0</v>
      </c>
      <c r="J437" s="28"/>
      <c r="K437" s="27">
        <v>0</v>
      </c>
      <c r="L437" s="28"/>
      <c r="M437" s="86" t="s">
        <v>2856</v>
      </c>
      <c r="N437" t="s">
        <v>2856</v>
      </c>
      <c r="P437" t="s">
        <v>2428</v>
      </c>
      <c r="Q437" t="s">
        <v>2856</v>
      </c>
      <c r="R437" t="s">
        <v>794</v>
      </c>
      <c r="BI437" s="34" t="str">
        <f>HYPERLINK("#자재조서!A130","MTP-110 →")</f>
        <v>MTP-110 →</v>
      </c>
    </row>
    <row r="438" spans="1:61" ht="18.399999999999999" hidden="1" customHeight="1" x14ac:dyDescent="0.15">
      <c r="A438" s="2" t="s">
        <v>1734</v>
      </c>
      <c r="B438" s="87" t="s">
        <v>2741</v>
      </c>
      <c r="C438" s="2">
        <v>2.82</v>
      </c>
      <c r="D438" s="2" t="s">
        <v>1674</v>
      </c>
      <c r="E438" s="27">
        <f t="shared" si="91"/>
        <v>1245</v>
      </c>
      <c r="F438" s="28">
        <f t="shared" si="90"/>
        <v>3510.9</v>
      </c>
      <c r="G438" s="27">
        <f>자재조서!E138</f>
        <v>1245</v>
      </c>
      <c r="H438" s="28">
        <f t="shared" si="92"/>
        <v>3510.9</v>
      </c>
      <c r="I438" s="27">
        <v>0</v>
      </c>
      <c r="J438" s="28"/>
      <c r="K438" s="27">
        <v>0</v>
      </c>
      <c r="L438" s="28"/>
      <c r="M438" s="86" t="s">
        <v>2856</v>
      </c>
      <c r="N438" t="s">
        <v>2856</v>
      </c>
      <c r="P438" t="s">
        <v>1686</v>
      </c>
      <c r="Q438" t="s">
        <v>2856</v>
      </c>
      <c r="R438" t="s">
        <v>1046</v>
      </c>
      <c r="BI438" s="34" t="str">
        <f>HYPERLINK("#자재조서!A132","MTP-131 →")</f>
        <v>MTP-131 →</v>
      </c>
    </row>
    <row r="439" spans="1:61" ht="18.399999999999999" hidden="1" customHeight="1" x14ac:dyDescent="0.15">
      <c r="A439" s="1"/>
      <c r="B439" s="87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87"/>
    </row>
    <row r="440" spans="1:61" ht="18.399999999999999" hidden="1" customHeight="1" x14ac:dyDescent="0.15">
      <c r="A440" s="2" t="s">
        <v>1531</v>
      </c>
      <c r="B440" s="87" t="s">
        <v>21</v>
      </c>
      <c r="C440" s="2">
        <v>1</v>
      </c>
      <c r="D440" s="2" t="s">
        <v>556</v>
      </c>
      <c r="E440" s="184"/>
      <c r="F440" s="29">
        <f t="shared" ref="F440:F446" si="93">H440+J440+L440</f>
        <v>859723</v>
      </c>
      <c r="G440" s="184"/>
      <c r="H440" s="29">
        <f>TRUNC(H441+H442+H444+H445+H446,0)</f>
        <v>106503</v>
      </c>
      <c r="I440" s="184"/>
      <c r="J440" s="29">
        <f>TRUNC(J441+J442+J444+J445+J446,0)</f>
        <v>598140</v>
      </c>
      <c r="K440" s="184"/>
      <c r="L440" s="29">
        <f>TRUNC(L441+L442+L444+L445+L446,0)</f>
        <v>155080</v>
      </c>
      <c r="M440" s="86" t="s">
        <v>2856</v>
      </c>
      <c r="N440" t="s">
        <v>2856</v>
      </c>
      <c r="O440" t="s">
        <v>2469</v>
      </c>
    </row>
    <row r="441" spans="1:61" ht="18.399999999999999" hidden="1" customHeight="1" x14ac:dyDescent="0.15">
      <c r="A441" s="2" t="s">
        <v>1869</v>
      </c>
      <c r="B441" s="87" t="s">
        <v>581</v>
      </c>
      <c r="C441" s="2">
        <v>1</v>
      </c>
      <c r="D441" s="2" t="s">
        <v>556</v>
      </c>
      <c r="E441" s="27">
        <f t="shared" ref="E441:E446" si="94">G441+I441+K441</f>
        <v>822785</v>
      </c>
      <c r="F441" s="28">
        <f t="shared" si="93"/>
        <v>822785</v>
      </c>
      <c r="G441" s="27">
        <f>일위대가목록!F219</f>
        <v>69565</v>
      </c>
      <c r="H441" s="28">
        <f t="shared" ref="H441:H446" si="95">TRUNC(G441*C441,1)</f>
        <v>69565</v>
      </c>
      <c r="I441" s="27">
        <f>일위대가목록!H219</f>
        <v>598140</v>
      </c>
      <c r="J441" s="28">
        <f>TRUNC(I441*C441,1)</f>
        <v>598140</v>
      </c>
      <c r="K441" s="27">
        <f>일위대가목록!J219</f>
        <v>155080</v>
      </c>
      <c r="L441" s="28">
        <f>TRUNC(K441*C441,1)</f>
        <v>155080</v>
      </c>
      <c r="M441" s="86" t="s">
        <v>2856</v>
      </c>
      <c r="N441" t="s">
        <v>2856</v>
      </c>
      <c r="P441" t="s">
        <v>334</v>
      </c>
      <c r="Q441" t="s">
        <v>2856</v>
      </c>
      <c r="R441" t="s">
        <v>1268</v>
      </c>
      <c r="T441" t="s">
        <v>1778</v>
      </c>
      <c r="BI441" s="34" t="str">
        <f>HYPERLINK("#일위대가목록!A214","NT205-30 →")</f>
        <v>NT205-30 →</v>
      </c>
    </row>
    <row r="442" spans="1:61" ht="18.399999999999999" hidden="1" customHeight="1" x14ac:dyDescent="0.15">
      <c r="A442" s="2" t="s">
        <v>834</v>
      </c>
      <c r="B442" s="87" t="s">
        <v>816</v>
      </c>
      <c r="C442" s="2">
        <v>1</v>
      </c>
      <c r="D442" s="2" t="s">
        <v>1302</v>
      </c>
      <c r="E442" s="27">
        <f t="shared" si="94"/>
        <v>24700</v>
      </c>
      <c r="F442" s="28">
        <f t="shared" si="93"/>
        <v>24700</v>
      </c>
      <c r="G442" s="27">
        <f>자재조서!E131</f>
        <v>24700</v>
      </c>
      <c r="H442" s="28">
        <f t="shared" si="95"/>
        <v>24700</v>
      </c>
      <c r="I442" s="27">
        <v>0</v>
      </c>
      <c r="J442" s="28"/>
      <c r="K442" s="27">
        <v>0</v>
      </c>
      <c r="L442" s="28"/>
      <c r="M442" s="86" t="s">
        <v>2856</v>
      </c>
      <c r="N442" t="s">
        <v>2856</v>
      </c>
      <c r="P442" t="s">
        <v>2471</v>
      </c>
      <c r="Q442" t="s">
        <v>2856</v>
      </c>
      <c r="R442" t="s">
        <v>2314</v>
      </c>
      <c r="BI442" s="34" t="str">
        <f>HYPERLINK("#자재조서!A125","MTP-038 →")</f>
        <v>MTP-038 →</v>
      </c>
    </row>
    <row r="443" spans="1:61" ht="18.399999999999999" hidden="1" customHeight="1" x14ac:dyDescent="0.15">
      <c r="A443" s="2" t="s">
        <v>261</v>
      </c>
      <c r="B443" s="87" t="s">
        <v>2437</v>
      </c>
      <c r="C443" s="2">
        <v>40</v>
      </c>
      <c r="D443" s="2" t="s">
        <v>1674</v>
      </c>
      <c r="E443" s="27">
        <f t="shared" si="94"/>
        <v>433</v>
      </c>
      <c r="F443" s="28">
        <f t="shared" si="93"/>
        <v>17320</v>
      </c>
      <c r="G443" s="27">
        <f>자재조서!E129</f>
        <v>433</v>
      </c>
      <c r="H443" s="28">
        <f t="shared" si="95"/>
        <v>17320</v>
      </c>
      <c r="I443" s="27">
        <v>0</v>
      </c>
      <c r="J443" s="28"/>
      <c r="K443" s="27">
        <v>0</v>
      </c>
      <c r="L443" s="28"/>
      <c r="M443" s="86" t="s">
        <v>2856</v>
      </c>
      <c r="N443" t="s">
        <v>2856</v>
      </c>
      <c r="P443" t="s">
        <v>1741</v>
      </c>
      <c r="Q443" t="s">
        <v>1839</v>
      </c>
      <c r="R443" t="s">
        <v>1422</v>
      </c>
      <c r="BI443" s="34" t="str">
        <f>HYPERLINK("#자재조서!A123","MTP-010 →")</f>
        <v>MTP-010 →</v>
      </c>
    </row>
    <row r="444" spans="1:61" ht="18.399999999999999" hidden="1" customHeight="1" x14ac:dyDescent="0.15">
      <c r="A444" s="2" t="s">
        <v>2029</v>
      </c>
      <c r="B444" s="87" t="s">
        <v>1936</v>
      </c>
      <c r="C444" s="2">
        <v>71.2</v>
      </c>
      <c r="D444" s="2" t="s">
        <v>1086</v>
      </c>
      <c r="E444" s="27">
        <f t="shared" si="94"/>
        <v>40</v>
      </c>
      <c r="F444" s="28">
        <f t="shared" si="93"/>
        <v>2848</v>
      </c>
      <c r="G444" s="27">
        <f>자재조서!E137</f>
        <v>40</v>
      </c>
      <c r="H444" s="28">
        <f t="shared" si="95"/>
        <v>2848</v>
      </c>
      <c r="I444" s="27">
        <v>0</v>
      </c>
      <c r="J444" s="28"/>
      <c r="K444" s="27">
        <v>0</v>
      </c>
      <c r="L444" s="28"/>
      <c r="M444" s="86" t="s">
        <v>2856</v>
      </c>
      <c r="N444" t="s">
        <v>2856</v>
      </c>
      <c r="P444" t="s">
        <v>1036</v>
      </c>
      <c r="Q444" t="s">
        <v>2856</v>
      </c>
      <c r="R444" t="s">
        <v>316</v>
      </c>
      <c r="BI444" s="34" t="str">
        <f>HYPERLINK("#자재조서!A131","MTP-121 →")</f>
        <v>MTP-121 →</v>
      </c>
    </row>
    <row r="445" spans="1:61" ht="18.399999999999999" hidden="1" customHeight="1" x14ac:dyDescent="0.15">
      <c r="A445" s="2" t="s">
        <v>694</v>
      </c>
      <c r="B445" s="87" t="s">
        <v>1038</v>
      </c>
      <c r="C445" s="2">
        <v>26</v>
      </c>
      <c r="D445" s="2" t="s">
        <v>1086</v>
      </c>
      <c r="E445" s="27">
        <f t="shared" si="94"/>
        <v>150</v>
      </c>
      <c r="F445" s="28">
        <f t="shared" si="93"/>
        <v>3900</v>
      </c>
      <c r="G445" s="27">
        <f>자재조서!E136</f>
        <v>150</v>
      </c>
      <c r="H445" s="28">
        <f t="shared" si="95"/>
        <v>3900</v>
      </c>
      <c r="I445" s="27">
        <v>0</v>
      </c>
      <c r="J445" s="28"/>
      <c r="K445" s="27">
        <v>0</v>
      </c>
      <c r="L445" s="28"/>
      <c r="M445" s="86" t="s">
        <v>2856</v>
      </c>
      <c r="N445" t="s">
        <v>2856</v>
      </c>
      <c r="P445" t="s">
        <v>286</v>
      </c>
      <c r="Q445" t="s">
        <v>2856</v>
      </c>
      <c r="R445" t="s">
        <v>794</v>
      </c>
      <c r="BI445" s="34" t="str">
        <f>HYPERLINK("#자재조서!A130","MTP-110 →")</f>
        <v>MTP-110 →</v>
      </c>
    </row>
    <row r="446" spans="1:61" ht="18.399999999999999" hidden="1" customHeight="1" x14ac:dyDescent="0.15">
      <c r="A446" s="2" t="s">
        <v>1734</v>
      </c>
      <c r="B446" s="87" t="s">
        <v>2741</v>
      </c>
      <c r="C446" s="2">
        <v>4.41</v>
      </c>
      <c r="D446" s="2" t="s">
        <v>1674</v>
      </c>
      <c r="E446" s="27">
        <f t="shared" si="94"/>
        <v>1245</v>
      </c>
      <c r="F446" s="28">
        <f t="shared" si="93"/>
        <v>5490.4</v>
      </c>
      <c r="G446" s="27">
        <f>자재조서!E138</f>
        <v>1245</v>
      </c>
      <c r="H446" s="28">
        <f t="shared" si="95"/>
        <v>5490.4</v>
      </c>
      <c r="I446" s="27">
        <v>0</v>
      </c>
      <c r="J446" s="28"/>
      <c r="K446" s="27">
        <v>0</v>
      </c>
      <c r="L446" s="28"/>
      <c r="M446" s="86" t="s">
        <v>2856</v>
      </c>
      <c r="N446" t="s">
        <v>2856</v>
      </c>
      <c r="P446" t="s">
        <v>2428</v>
      </c>
      <c r="Q446" t="s">
        <v>2856</v>
      </c>
      <c r="R446" t="s">
        <v>1046</v>
      </c>
      <c r="BI446" s="34" t="str">
        <f>HYPERLINK("#자재조서!A132","MTP-131 →")</f>
        <v>MTP-131 →</v>
      </c>
    </row>
    <row r="447" spans="1:61" ht="18.399999999999999" hidden="1" customHeight="1" x14ac:dyDescent="0.15">
      <c r="A447" s="1"/>
      <c r="B447" s="87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87"/>
    </row>
    <row r="448" spans="1:61" ht="18.399999999999999" hidden="1" customHeight="1" x14ac:dyDescent="0.15">
      <c r="A448" s="2" t="s">
        <v>769</v>
      </c>
      <c r="B448" s="87" t="s">
        <v>1599</v>
      </c>
      <c r="C448" s="2">
        <v>1</v>
      </c>
      <c r="D448" s="2" t="s">
        <v>556</v>
      </c>
      <c r="E448" s="184"/>
      <c r="F448" s="29">
        <f t="shared" ref="F448:F454" si="96">H448+J448+L448</f>
        <v>1210755</v>
      </c>
      <c r="G448" s="184"/>
      <c r="H448" s="29">
        <f>TRUNC(H449+H450+H452+H453+H454,0)</f>
        <v>144943</v>
      </c>
      <c r="I448" s="184"/>
      <c r="J448" s="29">
        <f>TRUNC(J449+J450+J452+J453+J454,0)</f>
        <v>785059</v>
      </c>
      <c r="K448" s="184"/>
      <c r="L448" s="29">
        <f>TRUNC(L449+L450+L452+L453+L454,0)</f>
        <v>280753</v>
      </c>
      <c r="M448" s="86" t="s">
        <v>2856</v>
      </c>
      <c r="N448" t="s">
        <v>2856</v>
      </c>
      <c r="O448" t="s">
        <v>828</v>
      </c>
    </row>
    <row r="449" spans="1:61" ht="18.399999999999999" hidden="1" customHeight="1" x14ac:dyDescent="0.15">
      <c r="A449" s="2" t="s">
        <v>1869</v>
      </c>
      <c r="B449" s="87" t="s">
        <v>2526</v>
      </c>
      <c r="C449" s="2">
        <v>1</v>
      </c>
      <c r="D449" s="2" t="s">
        <v>556</v>
      </c>
      <c r="E449" s="27">
        <f t="shared" ref="E449:E454" si="97">G449+I449+K449</f>
        <v>1170507</v>
      </c>
      <c r="F449" s="28">
        <f t="shared" si="96"/>
        <v>1170507</v>
      </c>
      <c r="G449" s="27">
        <f>일위대가목록!F218</f>
        <v>104695</v>
      </c>
      <c r="H449" s="28">
        <f t="shared" ref="H449:H454" si="98">TRUNC(G449*C449,1)</f>
        <v>104695</v>
      </c>
      <c r="I449" s="27">
        <f>일위대가목록!H218</f>
        <v>785059</v>
      </c>
      <c r="J449" s="28">
        <f>TRUNC(I449*C449,1)</f>
        <v>785059</v>
      </c>
      <c r="K449" s="27">
        <f>일위대가목록!J218</f>
        <v>280753</v>
      </c>
      <c r="L449" s="28">
        <f>TRUNC(K449*C449,1)</f>
        <v>280753</v>
      </c>
      <c r="M449" s="86" t="s">
        <v>2856</v>
      </c>
      <c r="N449" t="s">
        <v>2856</v>
      </c>
      <c r="P449" t="s">
        <v>2471</v>
      </c>
      <c r="Q449" t="s">
        <v>2856</v>
      </c>
      <c r="R449" t="s">
        <v>2845</v>
      </c>
      <c r="T449" t="s">
        <v>1778</v>
      </c>
      <c r="BI449" s="34" t="str">
        <f>HYPERLINK("#일위대가목록!A213","NT205-35 →")</f>
        <v>NT205-35 →</v>
      </c>
    </row>
    <row r="450" spans="1:61" ht="18.399999999999999" hidden="1" customHeight="1" x14ac:dyDescent="0.15">
      <c r="A450" s="2" t="s">
        <v>834</v>
      </c>
      <c r="B450" s="87" t="s">
        <v>816</v>
      </c>
      <c r="C450" s="2">
        <v>1</v>
      </c>
      <c r="D450" s="2" t="s">
        <v>1302</v>
      </c>
      <c r="E450" s="27">
        <f t="shared" si="97"/>
        <v>24700</v>
      </c>
      <c r="F450" s="28">
        <f t="shared" si="96"/>
        <v>24700</v>
      </c>
      <c r="G450" s="27">
        <f>자재조서!E131</f>
        <v>24700</v>
      </c>
      <c r="H450" s="28">
        <f t="shared" si="98"/>
        <v>24700</v>
      </c>
      <c r="I450" s="27">
        <v>0</v>
      </c>
      <c r="J450" s="28"/>
      <c r="K450" s="27">
        <v>0</v>
      </c>
      <c r="L450" s="28"/>
      <c r="M450" s="86" t="s">
        <v>2856</v>
      </c>
      <c r="N450" t="s">
        <v>2856</v>
      </c>
      <c r="P450" t="s">
        <v>1741</v>
      </c>
      <c r="Q450" t="s">
        <v>2856</v>
      </c>
      <c r="R450" t="s">
        <v>2314</v>
      </c>
      <c r="BI450" s="34" t="str">
        <f>HYPERLINK("#자재조서!A125","MTP-038 →")</f>
        <v>MTP-038 →</v>
      </c>
    </row>
    <row r="451" spans="1:61" ht="18.399999999999999" hidden="1" customHeight="1" x14ac:dyDescent="0.15">
      <c r="A451" s="2" t="s">
        <v>261</v>
      </c>
      <c r="B451" s="87" t="s">
        <v>2437</v>
      </c>
      <c r="C451" s="2">
        <v>50</v>
      </c>
      <c r="D451" s="2" t="s">
        <v>1674</v>
      </c>
      <c r="E451" s="27">
        <f t="shared" si="97"/>
        <v>433</v>
      </c>
      <c r="F451" s="28">
        <f t="shared" si="96"/>
        <v>21650</v>
      </c>
      <c r="G451" s="27">
        <f>자재조서!E129</f>
        <v>433</v>
      </c>
      <c r="H451" s="28">
        <f t="shared" si="98"/>
        <v>21650</v>
      </c>
      <c r="I451" s="27">
        <v>0</v>
      </c>
      <c r="J451" s="28"/>
      <c r="K451" s="27">
        <v>0</v>
      </c>
      <c r="L451" s="28"/>
      <c r="M451" s="86" t="s">
        <v>2856</v>
      </c>
      <c r="N451" t="s">
        <v>2856</v>
      </c>
      <c r="P451" t="s">
        <v>1036</v>
      </c>
      <c r="Q451" t="s">
        <v>1839</v>
      </c>
      <c r="R451" t="s">
        <v>1422</v>
      </c>
      <c r="BI451" s="34" t="str">
        <f>HYPERLINK("#자재조서!A123","MTP-010 →")</f>
        <v>MTP-010 →</v>
      </c>
    </row>
    <row r="452" spans="1:61" ht="18.399999999999999" hidden="1" customHeight="1" x14ac:dyDescent="0.15">
      <c r="A452" s="2" t="s">
        <v>2029</v>
      </c>
      <c r="B452" s="87" t="s">
        <v>1936</v>
      </c>
      <c r="C452" s="2">
        <v>82.3</v>
      </c>
      <c r="D452" s="2" t="s">
        <v>1086</v>
      </c>
      <c r="E452" s="27">
        <f t="shared" si="97"/>
        <v>40</v>
      </c>
      <c r="F452" s="28">
        <f t="shared" si="96"/>
        <v>3292</v>
      </c>
      <c r="G452" s="27">
        <f>자재조서!E137</f>
        <v>40</v>
      </c>
      <c r="H452" s="28">
        <f t="shared" si="98"/>
        <v>3292</v>
      </c>
      <c r="I452" s="27">
        <v>0</v>
      </c>
      <c r="J452" s="28"/>
      <c r="K452" s="27">
        <v>0</v>
      </c>
      <c r="L452" s="28"/>
      <c r="M452" s="86" t="s">
        <v>2856</v>
      </c>
      <c r="N452" t="s">
        <v>2856</v>
      </c>
      <c r="P452" t="s">
        <v>286</v>
      </c>
      <c r="Q452" t="s">
        <v>2856</v>
      </c>
      <c r="R452" t="s">
        <v>316</v>
      </c>
      <c r="BI452" s="34" t="str">
        <f>HYPERLINK("#자재조서!A131","MTP-121 →")</f>
        <v>MTP-121 →</v>
      </c>
    </row>
    <row r="453" spans="1:61" ht="18.399999999999999" hidden="1" customHeight="1" x14ac:dyDescent="0.15">
      <c r="A453" s="2" t="s">
        <v>694</v>
      </c>
      <c r="B453" s="87" t="s">
        <v>1038</v>
      </c>
      <c r="C453" s="2">
        <v>33.9</v>
      </c>
      <c r="D453" s="2" t="s">
        <v>1086</v>
      </c>
      <c r="E453" s="27">
        <f t="shared" si="97"/>
        <v>150</v>
      </c>
      <c r="F453" s="28">
        <f t="shared" si="96"/>
        <v>5085</v>
      </c>
      <c r="G453" s="27">
        <f>자재조서!E136</f>
        <v>150</v>
      </c>
      <c r="H453" s="28">
        <f t="shared" si="98"/>
        <v>5085</v>
      </c>
      <c r="I453" s="27">
        <v>0</v>
      </c>
      <c r="J453" s="28"/>
      <c r="K453" s="27">
        <v>0</v>
      </c>
      <c r="L453" s="28"/>
      <c r="M453" s="86" t="s">
        <v>2856</v>
      </c>
      <c r="N453" t="s">
        <v>2856</v>
      </c>
      <c r="P453" t="s">
        <v>2428</v>
      </c>
      <c r="Q453" t="s">
        <v>2856</v>
      </c>
      <c r="R453" t="s">
        <v>794</v>
      </c>
      <c r="BI453" s="34" t="str">
        <f>HYPERLINK("#자재조서!A130","MTP-110 →")</f>
        <v>MTP-110 →</v>
      </c>
    </row>
    <row r="454" spans="1:61" ht="18.399999999999999" hidden="1" customHeight="1" x14ac:dyDescent="0.15">
      <c r="A454" s="2" t="s">
        <v>1734</v>
      </c>
      <c r="B454" s="87" t="s">
        <v>2741</v>
      </c>
      <c r="C454" s="2">
        <v>5.76</v>
      </c>
      <c r="D454" s="2" t="s">
        <v>1674</v>
      </c>
      <c r="E454" s="27">
        <f t="shared" si="97"/>
        <v>1245</v>
      </c>
      <c r="F454" s="28">
        <f t="shared" si="96"/>
        <v>7171.2</v>
      </c>
      <c r="G454" s="27">
        <f>자재조서!E138</f>
        <v>1245</v>
      </c>
      <c r="H454" s="28">
        <f t="shared" si="98"/>
        <v>7171.2</v>
      </c>
      <c r="I454" s="27">
        <v>0</v>
      </c>
      <c r="J454" s="28"/>
      <c r="K454" s="27">
        <v>0</v>
      </c>
      <c r="L454" s="28"/>
      <c r="M454" s="86" t="s">
        <v>2856</v>
      </c>
      <c r="N454" t="s">
        <v>2856</v>
      </c>
      <c r="P454" t="s">
        <v>1686</v>
      </c>
      <c r="Q454" t="s">
        <v>2856</v>
      </c>
      <c r="R454" t="s">
        <v>1046</v>
      </c>
      <c r="BI454" s="34" t="str">
        <f>HYPERLINK("#자재조서!A132","MTP-131 →")</f>
        <v>MTP-131 →</v>
      </c>
    </row>
    <row r="455" spans="1:61" ht="18.399999999999999" hidden="1" customHeight="1" x14ac:dyDescent="0.15">
      <c r="A455" s="1"/>
      <c r="B455" s="87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87"/>
    </row>
    <row r="456" spans="1:61" ht="18.399999999999999" hidden="1" customHeight="1" x14ac:dyDescent="0.15">
      <c r="A456" s="2" t="s">
        <v>1840</v>
      </c>
      <c r="B456" s="87" t="s">
        <v>1558</v>
      </c>
      <c r="C456" s="2">
        <v>1</v>
      </c>
      <c r="D456" s="2" t="s">
        <v>556</v>
      </c>
      <c r="E456" s="184"/>
      <c r="F456" s="29">
        <f t="shared" ref="F456:F462" si="99">H456+J456+L456</f>
        <v>620822</v>
      </c>
      <c r="G456" s="184"/>
      <c r="H456" s="29">
        <f>TRUNC(H457+H458+H460+H461+H462,0)</f>
        <v>71984</v>
      </c>
      <c r="I456" s="184"/>
      <c r="J456" s="29">
        <f>TRUNC(J457+J458+J460+J461+J462,0)</f>
        <v>443066</v>
      </c>
      <c r="K456" s="184"/>
      <c r="L456" s="29">
        <f>TRUNC(L457+L458+L460+L461+L462,0)</f>
        <v>105772</v>
      </c>
      <c r="M456" s="86" t="s">
        <v>2856</v>
      </c>
      <c r="N456" t="s">
        <v>2856</v>
      </c>
      <c r="O456" t="s">
        <v>2692</v>
      </c>
    </row>
    <row r="457" spans="1:61" ht="18.399999999999999" hidden="1" customHeight="1" x14ac:dyDescent="0.15">
      <c r="A457" s="2" t="s">
        <v>1869</v>
      </c>
      <c r="B457" s="87" t="s">
        <v>2192</v>
      </c>
      <c r="C457" s="2">
        <v>1</v>
      </c>
      <c r="D457" s="2" t="s">
        <v>556</v>
      </c>
      <c r="E457" s="27">
        <f t="shared" ref="E457:E462" si="100">G457+I457+K457</f>
        <v>598895</v>
      </c>
      <c r="F457" s="28">
        <f t="shared" si="99"/>
        <v>598895</v>
      </c>
      <c r="G457" s="27">
        <f>일위대가목록!F217</f>
        <v>50057</v>
      </c>
      <c r="H457" s="28">
        <f t="shared" ref="H457:H462" si="101">TRUNC(G457*C457,1)</f>
        <v>50057</v>
      </c>
      <c r="I457" s="27">
        <f>일위대가목록!H217</f>
        <v>443066</v>
      </c>
      <c r="J457" s="28">
        <f>TRUNC(I457*C457,1)</f>
        <v>443066</v>
      </c>
      <c r="K457" s="27">
        <f>일위대가목록!J217</f>
        <v>105772</v>
      </c>
      <c r="L457" s="28">
        <f>TRUNC(K457*C457,1)</f>
        <v>105772</v>
      </c>
      <c r="M457" s="86" t="s">
        <v>2856</v>
      </c>
      <c r="N457" t="s">
        <v>2856</v>
      </c>
      <c r="P457" t="s">
        <v>2471</v>
      </c>
      <c r="Q457" t="s">
        <v>2856</v>
      </c>
      <c r="R457" t="s">
        <v>2141</v>
      </c>
      <c r="T457" t="s">
        <v>1778</v>
      </c>
      <c r="BI457" s="34" t="str">
        <f>HYPERLINK("#일위대가목록!A212","NT205-25 →")</f>
        <v>NT205-25 →</v>
      </c>
    </row>
    <row r="458" spans="1:61" ht="18.399999999999999" hidden="1" customHeight="1" x14ac:dyDescent="0.15">
      <c r="A458" s="2" t="s">
        <v>300</v>
      </c>
      <c r="B458" s="87" t="s">
        <v>1807</v>
      </c>
      <c r="C458" s="2">
        <v>1</v>
      </c>
      <c r="D458" s="2" t="s">
        <v>1302</v>
      </c>
      <c r="E458" s="27">
        <f t="shared" si="100"/>
        <v>17700</v>
      </c>
      <c r="F458" s="28">
        <f t="shared" si="99"/>
        <v>17700</v>
      </c>
      <c r="G458" s="27">
        <f>자재조서!E132</f>
        <v>17700</v>
      </c>
      <c r="H458" s="28">
        <f t="shared" si="101"/>
        <v>17700</v>
      </c>
      <c r="I458" s="27">
        <v>0</v>
      </c>
      <c r="J458" s="28"/>
      <c r="K458" s="27">
        <v>0</v>
      </c>
      <c r="L458" s="28"/>
      <c r="M458" s="86" t="s">
        <v>2856</v>
      </c>
      <c r="N458" t="s">
        <v>2856</v>
      </c>
      <c r="P458" t="s">
        <v>1741</v>
      </c>
      <c r="Q458" t="s">
        <v>2856</v>
      </c>
      <c r="R458" t="s">
        <v>1011</v>
      </c>
      <c r="BI458" s="34" t="str">
        <f>HYPERLINK("#자재조서!A126","MTP-039 →")</f>
        <v>MTP-039 →</v>
      </c>
    </row>
    <row r="459" spans="1:61" ht="18.399999999999999" hidden="1" customHeight="1" x14ac:dyDescent="0.15">
      <c r="A459" s="2" t="s">
        <v>261</v>
      </c>
      <c r="B459" s="87" t="s">
        <v>2437</v>
      </c>
      <c r="C459" s="2">
        <v>20</v>
      </c>
      <c r="D459" s="2" t="s">
        <v>1674</v>
      </c>
      <c r="E459" s="27">
        <f t="shared" si="100"/>
        <v>433</v>
      </c>
      <c r="F459" s="28">
        <f t="shared" si="99"/>
        <v>8660</v>
      </c>
      <c r="G459" s="27">
        <f>자재조서!E129</f>
        <v>433</v>
      </c>
      <c r="H459" s="28">
        <f t="shared" si="101"/>
        <v>8660</v>
      </c>
      <c r="I459" s="27">
        <v>0</v>
      </c>
      <c r="J459" s="28"/>
      <c r="K459" s="27">
        <v>0</v>
      </c>
      <c r="L459" s="28"/>
      <c r="M459" s="86" t="s">
        <v>2856</v>
      </c>
      <c r="N459" t="s">
        <v>2856</v>
      </c>
      <c r="P459" t="s">
        <v>1036</v>
      </c>
      <c r="Q459" t="s">
        <v>1839</v>
      </c>
      <c r="R459" t="s">
        <v>1422</v>
      </c>
      <c r="BI459" s="34" t="str">
        <f>HYPERLINK("#자재조서!A123","MTP-010 →")</f>
        <v>MTP-010 →</v>
      </c>
    </row>
    <row r="460" spans="1:61" ht="18.399999999999999" hidden="1" customHeight="1" x14ac:dyDescent="0.15">
      <c r="A460" s="2" t="s">
        <v>2029</v>
      </c>
      <c r="B460" s="87" t="s">
        <v>1936</v>
      </c>
      <c r="C460" s="2">
        <v>29</v>
      </c>
      <c r="D460" s="2" t="s">
        <v>1086</v>
      </c>
      <c r="E460" s="27">
        <f t="shared" si="100"/>
        <v>40</v>
      </c>
      <c r="F460" s="28">
        <f t="shared" si="99"/>
        <v>1160</v>
      </c>
      <c r="G460" s="27">
        <f>자재조서!E137</f>
        <v>40</v>
      </c>
      <c r="H460" s="28">
        <f t="shared" si="101"/>
        <v>1160</v>
      </c>
      <c r="I460" s="27">
        <v>0</v>
      </c>
      <c r="J460" s="28"/>
      <c r="K460" s="27">
        <v>0</v>
      </c>
      <c r="L460" s="28"/>
      <c r="M460" s="86" t="s">
        <v>2856</v>
      </c>
      <c r="N460" t="s">
        <v>2856</v>
      </c>
      <c r="P460" t="s">
        <v>286</v>
      </c>
      <c r="Q460" t="s">
        <v>2856</v>
      </c>
      <c r="R460" t="s">
        <v>316</v>
      </c>
      <c r="BI460" s="34" t="str">
        <f>HYPERLINK("#자재조서!A131","MTP-121 →")</f>
        <v>MTP-121 →</v>
      </c>
    </row>
    <row r="461" spans="1:61" ht="18.399999999999999" hidden="1" customHeight="1" x14ac:dyDescent="0.15">
      <c r="A461" s="2" t="s">
        <v>694</v>
      </c>
      <c r="B461" s="87" t="s">
        <v>1038</v>
      </c>
      <c r="C461" s="2">
        <v>8.5</v>
      </c>
      <c r="D461" s="2" t="s">
        <v>1086</v>
      </c>
      <c r="E461" s="27">
        <f t="shared" si="100"/>
        <v>150</v>
      </c>
      <c r="F461" s="28">
        <f t="shared" si="99"/>
        <v>1275</v>
      </c>
      <c r="G461" s="27">
        <f>자재조서!E136</f>
        <v>150</v>
      </c>
      <c r="H461" s="28">
        <f t="shared" si="101"/>
        <v>1275</v>
      </c>
      <c r="I461" s="27">
        <v>0</v>
      </c>
      <c r="J461" s="28"/>
      <c r="K461" s="27">
        <v>0</v>
      </c>
      <c r="L461" s="28"/>
      <c r="M461" s="86" t="s">
        <v>2856</v>
      </c>
      <c r="N461" t="s">
        <v>2856</v>
      </c>
      <c r="P461" t="s">
        <v>2428</v>
      </c>
      <c r="Q461" t="s">
        <v>2856</v>
      </c>
      <c r="R461" t="s">
        <v>794</v>
      </c>
      <c r="BI461" s="34" t="str">
        <f>HYPERLINK("#자재조서!A130","MTP-110 →")</f>
        <v>MTP-110 →</v>
      </c>
    </row>
    <row r="462" spans="1:61" ht="18.399999999999999" hidden="1" customHeight="1" x14ac:dyDescent="0.15">
      <c r="A462" s="2" t="s">
        <v>1734</v>
      </c>
      <c r="B462" s="87" t="s">
        <v>2741</v>
      </c>
      <c r="C462" s="2">
        <v>1.44</v>
      </c>
      <c r="D462" s="2" t="s">
        <v>1674</v>
      </c>
      <c r="E462" s="27">
        <f t="shared" si="100"/>
        <v>1245</v>
      </c>
      <c r="F462" s="28">
        <f t="shared" si="99"/>
        <v>1792.8</v>
      </c>
      <c r="G462" s="27">
        <f>자재조서!E138</f>
        <v>1245</v>
      </c>
      <c r="H462" s="28">
        <f t="shared" si="101"/>
        <v>1792.8</v>
      </c>
      <c r="I462" s="27">
        <v>0</v>
      </c>
      <c r="J462" s="28"/>
      <c r="K462" s="27">
        <v>0</v>
      </c>
      <c r="L462" s="28"/>
      <c r="M462" s="86" t="s">
        <v>2856</v>
      </c>
      <c r="N462" t="s">
        <v>2856</v>
      </c>
      <c r="P462" t="s">
        <v>1686</v>
      </c>
      <c r="Q462" t="s">
        <v>2856</v>
      </c>
      <c r="R462" t="s">
        <v>1046</v>
      </c>
      <c r="BI462" s="34" t="str">
        <f>HYPERLINK("#자재조서!A132","MTP-131 →")</f>
        <v>MTP-131 →</v>
      </c>
    </row>
    <row r="463" spans="1:61" ht="18.399999999999999" hidden="1" customHeight="1" x14ac:dyDescent="0.15">
      <c r="A463" s="1"/>
      <c r="B463" s="87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87"/>
    </row>
    <row r="464" spans="1:61" ht="18.399999999999999" hidden="1" customHeight="1" x14ac:dyDescent="0.15">
      <c r="A464" s="2" t="s">
        <v>2213</v>
      </c>
      <c r="B464" s="87" t="s">
        <v>693</v>
      </c>
      <c r="C464" s="2">
        <v>1</v>
      </c>
      <c r="D464" s="2" t="s">
        <v>556</v>
      </c>
      <c r="E464" s="184"/>
      <c r="F464" s="29">
        <f t="shared" ref="F464:F470" si="102">H464+J464+L464</f>
        <v>620822</v>
      </c>
      <c r="G464" s="184"/>
      <c r="H464" s="29">
        <f>TRUNC(H465+H466+H468+H469+H470,0)</f>
        <v>71984</v>
      </c>
      <c r="I464" s="184"/>
      <c r="J464" s="29">
        <f>TRUNC(J465+J466+J468+J469+J470,0)</f>
        <v>443066</v>
      </c>
      <c r="K464" s="184"/>
      <c r="L464" s="29">
        <f>TRUNC(L465+L466+L468+L469+L470,0)</f>
        <v>105772</v>
      </c>
      <c r="M464" s="86" t="s">
        <v>2856</v>
      </c>
      <c r="N464" t="s">
        <v>2856</v>
      </c>
      <c r="O464" t="s">
        <v>1159</v>
      </c>
    </row>
    <row r="465" spans="1:61" ht="18.399999999999999" hidden="1" customHeight="1" x14ac:dyDescent="0.15">
      <c r="A465" s="2" t="s">
        <v>1869</v>
      </c>
      <c r="B465" s="87" t="s">
        <v>2192</v>
      </c>
      <c r="C465" s="2">
        <v>1</v>
      </c>
      <c r="D465" s="2" t="s">
        <v>556</v>
      </c>
      <c r="E465" s="27">
        <f t="shared" ref="E465:E470" si="103">G465+I465+K465</f>
        <v>598895</v>
      </c>
      <c r="F465" s="28">
        <f t="shared" si="102"/>
        <v>598895</v>
      </c>
      <c r="G465" s="27">
        <f>일위대가목록!F217</f>
        <v>50057</v>
      </c>
      <c r="H465" s="28">
        <f t="shared" ref="H465:H470" si="104">TRUNC(G465*C465,1)</f>
        <v>50057</v>
      </c>
      <c r="I465" s="27">
        <f>일위대가목록!H217</f>
        <v>443066</v>
      </c>
      <c r="J465" s="28">
        <f>TRUNC(I465*C465,1)</f>
        <v>443066</v>
      </c>
      <c r="K465" s="27">
        <f>일위대가목록!J217</f>
        <v>105772</v>
      </c>
      <c r="L465" s="28">
        <f>TRUNC(K465*C465,1)</f>
        <v>105772</v>
      </c>
      <c r="M465" s="86" t="s">
        <v>2856</v>
      </c>
      <c r="N465" t="s">
        <v>2856</v>
      </c>
      <c r="P465" t="s">
        <v>2471</v>
      </c>
      <c r="Q465" t="s">
        <v>2856</v>
      </c>
      <c r="R465" t="s">
        <v>2141</v>
      </c>
      <c r="T465" t="s">
        <v>1778</v>
      </c>
      <c r="BI465" s="34" t="str">
        <f>HYPERLINK("#일위대가목록!A212","NT205-25 →")</f>
        <v>NT205-25 →</v>
      </c>
    </row>
    <row r="466" spans="1:61" ht="18.399999999999999" hidden="1" customHeight="1" x14ac:dyDescent="0.15">
      <c r="A466" s="2" t="s">
        <v>300</v>
      </c>
      <c r="B466" s="87" t="s">
        <v>1807</v>
      </c>
      <c r="C466" s="2">
        <v>1</v>
      </c>
      <c r="D466" s="2" t="s">
        <v>1302</v>
      </c>
      <c r="E466" s="27">
        <f t="shared" si="103"/>
        <v>17700</v>
      </c>
      <c r="F466" s="28">
        <f t="shared" si="102"/>
        <v>17700</v>
      </c>
      <c r="G466" s="27">
        <f>자재조서!E132</f>
        <v>17700</v>
      </c>
      <c r="H466" s="28">
        <f t="shared" si="104"/>
        <v>17700</v>
      </c>
      <c r="I466" s="27">
        <v>0</v>
      </c>
      <c r="J466" s="28"/>
      <c r="K466" s="27">
        <v>0</v>
      </c>
      <c r="L466" s="28"/>
      <c r="M466" s="86" t="s">
        <v>2856</v>
      </c>
      <c r="N466" t="s">
        <v>2856</v>
      </c>
      <c r="P466" t="s">
        <v>1741</v>
      </c>
      <c r="Q466" t="s">
        <v>2856</v>
      </c>
      <c r="R466" t="s">
        <v>1011</v>
      </c>
      <c r="BI466" s="34" t="str">
        <f>HYPERLINK("#자재조서!A126","MTP-039 →")</f>
        <v>MTP-039 →</v>
      </c>
    </row>
    <row r="467" spans="1:61" ht="18.399999999999999" hidden="1" customHeight="1" x14ac:dyDescent="0.15">
      <c r="A467" s="2" t="s">
        <v>261</v>
      </c>
      <c r="B467" s="87" t="s">
        <v>2437</v>
      </c>
      <c r="C467" s="2">
        <v>20</v>
      </c>
      <c r="D467" s="2" t="s">
        <v>1674</v>
      </c>
      <c r="E467" s="27">
        <f t="shared" si="103"/>
        <v>433</v>
      </c>
      <c r="F467" s="28">
        <f t="shared" si="102"/>
        <v>8660</v>
      </c>
      <c r="G467" s="27">
        <f>자재조서!E129</f>
        <v>433</v>
      </c>
      <c r="H467" s="28">
        <f t="shared" si="104"/>
        <v>8660</v>
      </c>
      <c r="I467" s="27">
        <v>0</v>
      </c>
      <c r="J467" s="28"/>
      <c r="K467" s="27">
        <v>0</v>
      </c>
      <c r="L467" s="28"/>
      <c r="M467" s="86" t="s">
        <v>2856</v>
      </c>
      <c r="N467" t="s">
        <v>2856</v>
      </c>
      <c r="P467" t="s">
        <v>1036</v>
      </c>
      <c r="Q467" t="s">
        <v>1839</v>
      </c>
      <c r="R467" t="s">
        <v>1422</v>
      </c>
      <c r="BI467" s="34" t="str">
        <f>HYPERLINK("#자재조서!A123","MTP-010 →")</f>
        <v>MTP-010 →</v>
      </c>
    </row>
    <row r="468" spans="1:61" ht="18.399999999999999" hidden="1" customHeight="1" x14ac:dyDescent="0.15">
      <c r="A468" s="2" t="s">
        <v>2029</v>
      </c>
      <c r="B468" s="87" t="s">
        <v>1936</v>
      </c>
      <c r="C468" s="2">
        <v>29</v>
      </c>
      <c r="D468" s="2" t="s">
        <v>1086</v>
      </c>
      <c r="E468" s="27">
        <f t="shared" si="103"/>
        <v>40</v>
      </c>
      <c r="F468" s="28">
        <f t="shared" si="102"/>
        <v>1160</v>
      </c>
      <c r="G468" s="27">
        <f>자재조서!E137</f>
        <v>40</v>
      </c>
      <c r="H468" s="28">
        <f t="shared" si="104"/>
        <v>1160</v>
      </c>
      <c r="I468" s="27">
        <v>0</v>
      </c>
      <c r="J468" s="28"/>
      <c r="K468" s="27">
        <v>0</v>
      </c>
      <c r="L468" s="28"/>
      <c r="M468" s="86" t="s">
        <v>2856</v>
      </c>
      <c r="N468" t="s">
        <v>2856</v>
      </c>
      <c r="P468" t="s">
        <v>286</v>
      </c>
      <c r="Q468" t="s">
        <v>2856</v>
      </c>
      <c r="R468" t="s">
        <v>316</v>
      </c>
      <c r="BI468" s="34" t="str">
        <f>HYPERLINK("#자재조서!A131","MTP-121 →")</f>
        <v>MTP-121 →</v>
      </c>
    </row>
    <row r="469" spans="1:61" ht="18.399999999999999" hidden="1" customHeight="1" x14ac:dyDescent="0.15">
      <c r="A469" s="2" t="s">
        <v>694</v>
      </c>
      <c r="B469" s="87" t="s">
        <v>1038</v>
      </c>
      <c r="C469" s="2">
        <v>8.5</v>
      </c>
      <c r="D469" s="2" t="s">
        <v>1086</v>
      </c>
      <c r="E469" s="27">
        <f t="shared" si="103"/>
        <v>150</v>
      </c>
      <c r="F469" s="28">
        <f t="shared" si="102"/>
        <v>1275</v>
      </c>
      <c r="G469" s="27">
        <f>자재조서!E136</f>
        <v>150</v>
      </c>
      <c r="H469" s="28">
        <f t="shared" si="104"/>
        <v>1275</v>
      </c>
      <c r="I469" s="27">
        <v>0</v>
      </c>
      <c r="J469" s="28"/>
      <c r="K469" s="27">
        <v>0</v>
      </c>
      <c r="L469" s="28"/>
      <c r="M469" s="86" t="s">
        <v>2856</v>
      </c>
      <c r="N469" t="s">
        <v>2856</v>
      </c>
      <c r="P469" t="s">
        <v>2428</v>
      </c>
      <c r="Q469" t="s">
        <v>2856</v>
      </c>
      <c r="R469" t="s">
        <v>794</v>
      </c>
      <c r="BI469" s="34" t="str">
        <f>HYPERLINK("#자재조서!A130","MTP-110 →")</f>
        <v>MTP-110 →</v>
      </c>
    </row>
    <row r="470" spans="1:61" ht="18.399999999999999" hidden="1" customHeight="1" x14ac:dyDescent="0.15">
      <c r="A470" s="2" t="s">
        <v>1734</v>
      </c>
      <c r="B470" s="87" t="s">
        <v>2741</v>
      </c>
      <c r="C470" s="2">
        <v>1.44</v>
      </c>
      <c r="D470" s="2" t="s">
        <v>1674</v>
      </c>
      <c r="E470" s="27">
        <f t="shared" si="103"/>
        <v>1245</v>
      </c>
      <c r="F470" s="28">
        <f t="shared" si="102"/>
        <v>1792.8</v>
      </c>
      <c r="G470" s="27">
        <f>자재조서!E138</f>
        <v>1245</v>
      </c>
      <c r="H470" s="28">
        <f t="shared" si="104"/>
        <v>1792.8</v>
      </c>
      <c r="I470" s="27">
        <v>0</v>
      </c>
      <c r="J470" s="28"/>
      <c r="K470" s="27">
        <v>0</v>
      </c>
      <c r="L470" s="28"/>
      <c r="M470" s="86" t="s">
        <v>2856</v>
      </c>
      <c r="N470" t="s">
        <v>2856</v>
      </c>
      <c r="P470" t="s">
        <v>1686</v>
      </c>
      <c r="Q470" t="s">
        <v>2856</v>
      </c>
      <c r="R470" t="s">
        <v>1046</v>
      </c>
      <c r="BI470" s="34" t="str">
        <f>HYPERLINK("#자재조서!A132","MTP-131 →")</f>
        <v>MTP-131 →</v>
      </c>
    </row>
    <row r="471" spans="1:61" ht="18.399999999999999" hidden="1" customHeight="1" x14ac:dyDescent="0.15">
      <c r="A471" s="1"/>
      <c r="B471" s="87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87"/>
    </row>
    <row r="472" spans="1:61" ht="18.399999999999999" hidden="1" customHeight="1" x14ac:dyDescent="0.15">
      <c r="A472" s="2" t="s">
        <v>428</v>
      </c>
      <c r="B472" s="87" t="s">
        <v>1567</v>
      </c>
      <c r="C472" s="2">
        <v>1</v>
      </c>
      <c r="D472" s="2" t="s">
        <v>556</v>
      </c>
      <c r="E472" s="184"/>
      <c r="F472" s="29">
        <f t="shared" ref="F472:F478" si="105">H472+J472+L472</f>
        <v>305373</v>
      </c>
      <c r="G472" s="184"/>
      <c r="H472" s="29">
        <f>TRUNC(H473+H474+H476+H477+H478,0)</f>
        <v>44930</v>
      </c>
      <c r="I472" s="184"/>
      <c r="J472" s="29">
        <f>TRUNC(J473+J474+J476+J477+J478,0)</f>
        <v>236423</v>
      </c>
      <c r="K472" s="184"/>
      <c r="L472" s="29">
        <f>TRUNC(L473+L474+L476+L477+L478,0)</f>
        <v>24020</v>
      </c>
      <c r="M472" s="86" t="s">
        <v>2856</v>
      </c>
      <c r="N472" t="s">
        <v>2856</v>
      </c>
      <c r="O472" t="s">
        <v>2752</v>
      </c>
    </row>
    <row r="473" spans="1:61" ht="18.399999999999999" hidden="1" customHeight="1" x14ac:dyDescent="0.15">
      <c r="A473" s="2" t="s">
        <v>1869</v>
      </c>
      <c r="B473" s="87" t="s">
        <v>2568</v>
      </c>
      <c r="C473" s="2">
        <v>1</v>
      </c>
      <c r="D473" s="2" t="s">
        <v>556</v>
      </c>
      <c r="E473" s="27">
        <f t="shared" ref="E473:E478" si="106">G473+I473+K473</f>
        <v>285065</v>
      </c>
      <c r="F473" s="28">
        <f t="shared" si="105"/>
        <v>285065</v>
      </c>
      <c r="G473" s="27">
        <f>일위대가목록!F221</f>
        <v>24622</v>
      </c>
      <c r="H473" s="28">
        <f t="shared" ref="H473:H478" si="107">TRUNC(G473*C473,1)</f>
        <v>24622</v>
      </c>
      <c r="I473" s="27">
        <f>일위대가목록!H221</f>
        <v>236423</v>
      </c>
      <c r="J473" s="28">
        <f>TRUNC(I473*C473,1)</f>
        <v>236423</v>
      </c>
      <c r="K473" s="27">
        <f>일위대가목록!J221</f>
        <v>24020</v>
      </c>
      <c r="L473" s="28">
        <f>TRUNC(K473*C473,1)</f>
        <v>24020</v>
      </c>
      <c r="M473" s="86" t="s">
        <v>2856</v>
      </c>
      <c r="N473" t="s">
        <v>2856</v>
      </c>
      <c r="P473" t="s">
        <v>2471</v>
      </c>
      <c r="Q473" t="s">
        <v>2856</v>
      </c>
      <c r="R473" t="s">
        <v>520</v>
      </c>
      <c r="T473" t="s">
        <v>1778</v>
      </c>
      <c r="BI473" s="34" t="str">
        <f>HYPERLINK("#일위대가목록!A216","NT205-20 →")</f>
        <v>NT205-20 →</v>
      </c>
    </row>
    <row r="474" spans="1:61" ht="18.399999999999999" hidden="1" customHeight="1" x14ac:dyDescent="0.15">
      <c r="A474" s="2" t="s">
        <v>300</v>
      </c>
      <c r="B474" s="87" t="s">
        <v>1807</v>
      </c>
      <c r="C474" s="2">
        <v>1</v>
      </c>
      <c r="D474" s="2" t="s">
        <v>1302</v>
      </c>
      <c r="E474" s="27">
        <f t="shared" si="106"/>
        <v>17700</v>
      </c>
      <c r="F474" s="28">
        <f t="shared" si="105"/>
        <v>17700</v>
      </c>
      <c r="G474" s="27">
        <f>자재조서!E132</f>
        <v>17700</v>
      </c>
      <c r="H474" s="28">
        <f t="shared" si="107"/>
        <v>17700</v>
      </c>
      <c r="I474" s="27">
        <v>0</v>
      </c>
      <c r="J474" s="28"/>
      <c r="K474" s="27">
        <v>0</v>
      </c>
      <c r="L474" s="28"/>
      <c r="M474" s="86" t="s">
        <v>2856</v>
      </c>
      <c r="N474" t="s">
        <v>2856</v>
      </c>
      <c r="P474" t="s">
        <v>1741</v>
      </c>
      <c r="Q474" t="s">
        <v>2856</v>
      </c>
      <c r="R474" t="s">
        <v>1011</v>
      </c>
      <c r="BI474" s="34" t="str">
        <f>HYPERLINK("#자재조서!A126","MTP-039 →")</f>
        <v>MTP-039 →</v>
      </c>
    </row>
    <row r="475" spans="1:61" ht="18.399999999999999" hidden="1" customHeight="1" x14ac:dyDescent="0.15">
      <c r="A475" s="2" t="s">
        <v>261</v>
      </c>
      <c r="B475" s="87" t="s">
        <v>2437</v>
      </c>
      <c r="C475" s="2">
        <v>20</v>
      </c>
      <c r="D475" s="2" t="s">
        <v>1674</v>
      </c>
      <c r="E475" s="27">
        <f t="shared" si="106"/>
        <v>433</v>
      </c>
      <c r="F475" s="28">
        <f t="shared" si="105"/>
        <v>8660</v>
      </c>
      <c r="G475" s="27">
        <f>자재조서!E129</f>
        <v>433</v>
      </c>
      <c r="H475" s="28">
        <f t="shared" si="107"/>
        <v>8660</v>
      </c>
      <c r="I475" s="27">
        <v>0</v>
      </c>
      <c r="J475" s="28"/>
      <c r="K475" s="27">
        <v>0</v>
      </c>
      <c r="L475" s="28"/>
      <c r="M475" s="86" t="s">
        <v>2856</v>
      </c>
      <c r="N475" t="s">
        <v>2856</v>
      </c>
      <c r="P475" t="s">
        <v>1036</v>
      </c>
      <c r="Q475" t="s">
        <v>1839</v>
      </c>
      <c r="R475" t="s">
        <v>1422</v>
      </c>
      <c r="BI475" s="34" t="str">
        <f>HYPERLINK("#자재조서!A123","MTP-010 →")</f>
        <v>MTP-010 →</v>
      </c>
    </row>
    <row r="476" spans="1:61" ht="18.399999999999999" hidden="1" customHeight="1" x14ac:dyDescent="0.15">
      <c r="A476" s="2" t="s">
        <v>2029</v>
      </c>
      <c r="B476" s="87" t="s">
        <v>1936</v>
      </c>
      <c r="C476" s="2">
        <v>22</v>
      </c>
      <c r="D476" s="2" t="s">
        <v>1086</v>
      </c>
      <c r="E476" s="27">
        <f t="shared" si="106"/>
        <v>40</v>
      </c>
      <c r="F476" s="28">
        <f t="shared" si="105"/>
        <v>880</v>
      </c>
      <c r="G476" s="27">
        <f>자재조서!E137</f>
        <v>40</v>
      </c>
      <c r="H476" s="28">
        <f t="shared" si="107"/>
        <v>880</v>
      </c>
      <c r="I476" s="27">
        <v>0</v>
      </c>
      <c r="J476" s="28"/>
      <c r="K476" s="27">
        <v>0</v>
      </c>
      <c r="L476" s="28"/>
      <c r="M476" s="86" t="s">
        <v>2856</v>
      </c>
      <c r="N476" t="s">
        <v>2856</v>
      </c>
      <c r="P476" t="s">
        <v>286</v>
      </c>
      <c r="Q476" t="s">
        <v>2856</v>
      </c>
      <c r="R476" t="s">
        <v>316</v>
      </c>
      <c r="BI476" s="34" t="str">
        <f>HYPERLINK("#자재조서!A131","MTP-121 →")</f>
        <v>MTP-121 →</v>
      </c>
    </row>
    <row r="477" spans="1:61" ht="18.399999999999999" hidden="1" customHeight="1" x14ac:dyDescent="0.15">
      <c r="A477" s="2" t="s">
        <v>694</v>
      </c>
      <c r="B477" s="87" t="s">
        <v>1038</v>
      </c>
      <c r="C477" s="2">
        <v>4.8</v>
      </c>
      <c r="D477" s="2" t="s">
        <v>1086</v>
      </c>
      <c r="E477" s="27">
        <f t="shared" si="106"/>
        <v>150</v>
      </c>
      <c r="F477" s="28">
        <f t="shared" si="105"/>
        <v>720</v>
      </c>
      <c r="G477" s="27">
        <f>자재조서!E136</f>
        <v>150</v>
      </c>
      <c r="H477" s="28">
        <f t="shared" si="107"/>
        <v>720</v>
      </c>
      <c r="I477" s="27">
        <v>0</v>
      </c>
      <c r="J477" s="28"/>
      <c r="K477" s="27">
        <v>0</v>
      </c>
      <c r="L477" s="28"/>
      <c r="M477" s="86" t="s">
        <v>2856</v>
      </c>
      <c r="N477" t="s">
        <v>2856</v>
      </c>
      <c r="P477" t="s">
        <v>2428</v>
      </c>
      <c r="Q477" t="s">
        <v>2856</v>
      </c>
      <c r="R477" t="s">
        <v>794</v>
      </c>
      <c r="BI477" s="34" t="str">
        <f>HYPERLINK("#자재조서!A130","MTP-110 →")</f>
        <v>MTP-110 →</v>
      </c>
    </row>
    <row r="478" spans="1:61" ht="18.399999999999999" hidden="1" customHeight="1" x14ac:dyDescent="0.15">
      <c r="A478" s="2" t="s">
        <v>1734</v>
      </c>
      <c r="B478" s="87" t="s">
        <v>2741</v>
      </c>
      <c r="C478" s="2">
        <v>0.81</v>
      </c>
      <c r="D478" s="2" t="s">
        <v>1674</v>
      </c>
      <c r="E478" s="27">
        <f t="shared" si="106"/>
        <v>1245</v>
      </c>
      <c r="F478" s="28">
        <f t="shared" si="105"/>
        <v>1008.4</v>
      </c>
      <c r="G478" s="27">
        <f>자재조서!E138</f>
        <v>1245</v>
      </c>
      <c r="H478" s="28">
        <f t="shared" si="107"/>
        <v>1008.4</v>
      </c>
      <c r="I478" s="27">
        <v>0</v>
      </c>
      <c r="J478" s="28"/>
      <c r="K478" s="27">
        <v>0</v>
      </c>
      <c r="L478" s="28"/>
      <c r="M478" s="86" t="s">
        <v>2856</v>
      </c>
      <c r="N478" t="s">
        <v>2856</v>
      </c>
      <c r="P478" t="s">
        <v>1686</v>
      </c>
      <c r="Q478" t="s">
        <v>2856</v>
      </c>
      <c r="R478" t="s">
        <v>1046</v>
      </c>
      <c r="BI478" s="34" t="str">
        <f>HYPERLINK("#자재조서!A132","MTP-131 →")</f>
        <v>MTP-131 →</v>
      </c>
    </row>
    <row r="479" spans="1:61" ht="18.399999999999999" hidden="1" customHeight="1" x14ac:dyDescent="0.15">
      <c r="A479" s="1"/>
      <c r="B479" s="87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87"/>
    </row>
    <row r="480" spans="1:61" ht="18.399999999999999" hidden="1" customHeight="1" x14ac:dyDescent="0.15">
      <c r="A480" s="2" t="s">
        <v>749</v>
      </c>
      <c r="B480" s="87" t="s">
        <v>494</v>
      </c>
      <c r="C480" s="2">
        <v>1</v>
      </c>
      <c r="D480" s="2" t="s">
        <v>556</v>
      </c>
      <c r="E480" s="184"/>
      <c r="F480" s="29">
        <f t="shared" ref="F480:F486" si="108">H480+J480+L480</f>
        <v>252669</v>
      </c>
      <c r="G480" s="184"/>
      <c r="H480" s="29">
        <f>TRUNC(H481+H482+H484+H485+H486,0)</f>
        <v>39580</v>
      </c>
      <c r="I480" s="184"/>
      <c r="J480" s="29">
        <f>TRUNC(J481+J482+J484+J485+J486,0)</f>
        <v>193437</v>
      </c>
      <c r="K480" s="184"/>
      <c r="L480" s="29">
        <f>TRUNC(L481+L482+L484+L485+L486,0)</f>
        <v>19652</v>
      </c>
      <c r="M480" s="86" t="s">
        <v>2856</v>
      </c>
      <c r="N480" t="s">
        <v>2856</v>
      </c>
      <c r="O480" t="s">
        <v>1097</v>
      </c>
    </row>
    <row r="481" spans="1:61" ht="18.399999999999999" hidden="1" customHeight="1" x14ac:dyDescent="0.15">
      <c r="A481" s="2" t="s">
        <v>1869</v>
      </c>
      <c r="B481" s="87" t="s">
        <v>2520</v>
      </c>
      <c r="C481" s="2">
        <v>1</v>
      </c>
      <c r="D481" s="2" t="s">
        <v>556</v>
      </c>
      <c r="E481" s="27">
        <f t="shared" ref="E481:E486" si="109">G481+I481+K481</f>
        <v>233234</v>
      </c>
      <c r="F481" s="28">
        <f t="shared" si="108"/>
        <v>233234</v>
      </c>
      <c r="G481" s="27">
        <f>일위대가목록!F224</f>
        <v>20145</v>
      </c>
      <c r="H481" s="28">
        <f t="shared" ref="H481:H486" si="110">TRUNC(G481*C481,1)</f>
        <v>20145</v>
      </c>
      <c r="I481" s="27">
        <f>일위대가목록!H224</f>
        <v>193437</v>
      </c>
      <c r="J481" s="28">
        <f>TRUNC(I481*C481,1)</f>
        <v>193437</v>
      </c>
      <c r="K481" s="27">
        <f>일위대가목록!J224</f>
        <v>19652</v>
      </c>
      <c r="L481" s="28">
        <f>TRUNC(K481*C481,1)</f>
        <v>19652</v>
      </c>
      <c r="M481" s="86" t="s">
        <v>2856</v>
      </c>
      <c r="N481" t="s">
        <v>2856</v>
      </c>
      <c r="P481" t="s">
        <v>334</v>
      </c>
      <c r="Q481" t="s">
        <v>2856</v>
      </c>
      <c r="R481" t="s">
        <v>2163</v>
      </c>
      <c r="T481" t="s">
        <v>1778</v>
      </c>
      <c r="BI481" s="34" t="str">
        <f>HYPERLINK("#일위대가목록!A219","NT205-18 →")</f>
        <v>NT205-18 →</v>
      </c>
    </row>
    <row r="482" spans="1:61" ht="18.399999999999999" hidden="1" customHeight="1" x14ac:dyDescent="0.15">
      <c r="A482" s="2" t="s">
        <v>300</v>
      </c>
      <c r="B482" s="87" t="s">
        <v>1807</v>
      </c>
      <c r="C482" s="2">
        <v>1</v>
      </c>
      <c r="D482" s="2" t="s">
        <v>1302</v>
      </c>
      <c r="E482" s="27">
        <f t="shared" si="109"/>
        <v>17700</v>
      </c>
      <c r="F482" s="28">
        <f t="shared" si="108"/>
        <v>17700</v>
      </c>
      <c r="G482" s="27">
        <f>자재조서!E132</f>
        <v>17700</v>
      </c>
      <c r="H482" s="28">
        <f t="shared" si="110"/>
        <v>17700</v>
      </c>
      <c r="I482" s="27">
        <v>0</v>
      </c>
      <c r="J482" s="28"/>
      <c r="K482" s="27">
        <v>0</v>
      </c>
      <c r="L482" s="28"/>
      <c r="M482" s="86" t="s">
        <v>2856</v>
      </c>
      <c r="N482" t="s">
        <v>2856</v>
      </c>
      <c r="P482" t="s">
        <v>2471</v>
      </c>
      <c r="Q482" t="s">
        <v>2856</v>
      </c>
      <c r="R482" t="s">
        <v>1011</v>
      </c>
      <c r="BI482" s="34" t="str">
        <f>HYPERLINK("#자재조서!A126","MTP-039 →")</f>
        <v>MTP-039 →</v>
      </c>
    </row>
    <row r="483" spans="1:61" ht="18.399999999999999" hidden="1" customHeight="1" x14ac:dyDescent="0.15">
      <c r="A483" s="2" t="s">
        <v>261</v>
      </c>
      <c r="B483" s="87" t="s">
        <v>2437</v>
      </c>
      <c r="C483" s="2">
        <v>15</v>
      </c>
      <c r="D483" s="2" t="s">
        <v>1674</v>
      </c>
      <c r="E483" s="27">
        <f t="shared" si="109"/>
        <v>433</v>
      </c>
      <c r="F483" s="28">
        <f t="shared" si="108"/>
        <v>6495</v>
      </c>
      <c r="G483" s="27">
        <f>자재조서!E129</f>
        <v>433</v>
      </c>
      <c r="H483" s="28">
        <f t="shared" si="110"/>
        <v>6495</v>
      </c>
      <c r="I483" s="27">
        <v>0</v>
      </c>
      <c r="J483" s="28"/>
      <c r="K483" s="27">
        <v>0</v>
      </c>
      <c r="L483" s="28"/>
      <c r="M483" s="86" t="s">
        <v>2856</v>
      </c>
      <c r="N483" t="s">
        <v>2856</v>
      </c>
      <c r="P483" t="s">
        <v>1741</v>
      </c>
      <c r="Q483" t="s">
        <v>1839</v>
      </c>
      <c r="R483" t="s">
        <v>1422</v>
      </c>
      <c r="BI483" s="34" t="str">
        <f>HYPERLINK("#자재조서!A123","MTP-010 →")</f>
        <v>MTP-010 →</v>
      </c>
    </row>
    <row r="484" spans="1:61" ht="18.399999999999999" hidden="1" customHeight="1" x14ac:dyDescent="0.15">
      <c r="A484" s="2" t="s">
        <v>2029</v>
      </c>
      <c r="B484" s="87" t="s">
        <v>1936</v>
      </c>
      <c r="C484" s="2">
        <v>15.9</v>
      </c>
      <c r="D484" s="2" t="s">
        <v>1086</v>
      </c>
      <c r="E484" s="27">
        <f t="shared" si="109"/>
        <v>40</v>
      </c>
      <c r="F484" s="28">
        <f t="shared" si="108"/>
        <v>636</v>
      </c>
      <c r="G484" s="27">
        <f>자재조서!E137</f>
        <v>40</v>
      </c>
      <c r="H484" s="28">
        <f t="shared" si="110"/>
        <v>636</v>
      </c>
      <c r="I484" s="27">
        <v>0</v>
      </c>
      <c r="J484" s="28"/>
      <c r="K484" s="27">
        <v>0</v>
      </c>
      <c r="L484" s="28"/>
      <c r="M484" s="86" t="s">
        <v>2856</v>
      </c>
      <c r="N484" t="s">
        <v>2856</v>
      </c>
      <c r="P484" t="s">
        <v>1036</v>
      </c>
      <c r="Q484" t="s">
        <v>2856</v>
      </c>
      <c r="R484" t="s">
        <v>316</v>
      </c>
      <c r="BI484" s="34" t="str">
        <f>HYPERLINK("#자재조서!A131","MTP-121 →")</f>
        <v>MTP-121 →</v>
      </c>
    </row>
    <row r="485" spans="1:61" ht="18.399999999999999" hidden="1" customHeight="1" x14ac:dyDescent="0.15">
      <c r="A485" s="2" t="s">
        <v>694</v>
      </c>
      <c r="B485" s="87" t="s">
        <v>1038</v>
      </c>
      <c r="C485" s="2">
        <v>3.1</v>
      </c>
      <c r="D485" s="2" t="s">
        <v>1086</v>
      </c>
      <c r="E485" s="27">
        <f t="shared" si="109"/>
        <v>150</v>
      </c>
      <c r="F485" s="28">
        <f t="shared" si="108"/>
        <v>465</v>
      </c>
      <c r="G485" s="27">
        <f>자재조서!E136</f>
        <v>150</v>
      </c>
      <c r="H485" s="28">
        <f t="shared" si="110"/>
        <v>465</v>
      </c>
      <c r="I485" s="27">
        <v>0</v>
      </c>
      <c r="J485" s="28"/>
      <c r="K485" s="27">
        <v>0</v>
      </c>
      <c r="L485" s="28"/>
      <c r="M485" s="86" t="s">
        <v>2856</v>
      </c>
      <c r="N485" t="s">
        <v>2856</v>
      </c>
      <c r="P485" t="s">
        <v>286</v>
      </c>
      <c r="Q485" t="s">
        <v>2856</v>
      </c>
      <c r="R485" t="s">
        <v>794</v>
      </c>
      <c r="BI485" s="34" t="str">
        <f>HYPERLINK("#자재조서!A130","MTP-110 →")</f>
        <v>MTP-110 →</v>
      </c>
    </row>
    <row r="486" spans="1:61" ht="18.399999999999999" hidden="1" customHeight="1" x14ac:dyDescent="0.15">
      <c r="A486" s="2" t="s">
        <v>1734</v>
      </c>
      <c r="B486" s="87" t="s">
        <v>2741</v>
      </c>
      <c r="C486" s="2">
        <v>0.51</v>
      </c>
      <c r="D486" s="2" t="s">
        <v>1674</v>
      </c>
      <c r="E486" s="27">
        <f t="shared" si="109"/>
        <v>1245</v>
      </c>
      <c r="F486" s="28">
        <f t="shared" si="108"/>
        <v>634.9</v>
      </c>
      <c r="G486" s="27">
        <f>자재조서!E138</f>
        <v>1245</v>
      </c>
      <c r="H486" s="28">
        <f t="shared" si="110"/>
        <v>634.9</v>
      </c>
      <c r="I486" s="27">
        <v>0</v>
      </c>
      <c r="J486" s="28"/>
      <c r="K486" s="27">
        <v>0</v>
      </c>
      <c r="L486" s="28"/>
      <c r="M486" s="86" t="s">
        <v>2856</v>
      </c>
      <c r="N486" t="s">
        <v>2856</v>
      </c>
      <c r="P486" t="s">
        <v>2428</v>
      </c>
      <c r="Q486" t="s">
        <v>2856</v>
      </c>
      <c r="R486" t="s">
        <v>1046</v>
      </c>
      <c r="BI486" s="34" t="str">
        <f>HYPERLINK("#자재조서!A132","MTP-131 →")</f>
        <v>MTP-131 →</v>
      </c>
    </row>
    <row r="487" spans="1:61" ht="18.399999999999999" hidden="1" customHeight="1" x14ac:dyDescent="0.15">
      <c r="A487" s="1"/>
      <c r="B487" s="87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87"/>
    </row>
    <row r="488" spans="1:61" ht="18.399999999999999" hidden="1" customHeight="1" x14ac:dyDescent="0.15">
      <c r="A488" s="2" t="s">
        <v>1808</v>
      </c>
      <c r="B488" s="87" t="s">
        <v>2244</v>
      </c>
      <c r="C488" s="2">
        <v>1</v>
      </c>
      <c r="D488" s="2" t="s">
        <v>556</v>
      </c>
      <c r="E488" s="184"/>
      <c r="F488" s="29">
        <f t="shared" ref="F488:F494" si="111">H488+J488+L488</f>
        <v>252953</v>
      </c>
      <c r="G488" s="184"/>
      <c r="H488" s="29">
        <f>TRUNC(H489+H490+H492+H493+H494,0)</f>
        <v>39864</v>
      </c>
      <c r="I488" s="184"/>
      <c r="J488" s="29">
        <f>TRUNC(J489+J490+J492+J493+J494,0)</f>
        <v>193437</v>
      </c>
      <c r="K488" s="184"/>
      <c r="L488" s="29">
        <f>TRUNC(L489+L490+L492+L493+L494,0)</f>
        <v>19652</v>
      </c>
      <c r="M488" s="86" t="s">
        <v>2856</v>
      </c>
      <c r="N488" t="s">
        <v>2856</v>
      </c>
      <c r="O488" t="s">
        <v>37</v>
      </c>
    </row>
    <row r="489" spans="1:61" ht="18.399999999999999" hidden="1" customHeight="1" x14ac:dyDescent="0.15">
      <c r="A489" s="2" t="s">
        <v>1869</v>
      </c>
      <c r="B489" s="87" t="s">
        <v>2520</v>
      </c>
      <c r="C489" s="2">
        <v>1</v>
      </c>
      <c r="D489" s="2" t="s">
        <v>556</v>
      </c>
      <c r="E489" s="27">
        <f t="shared" ref="E489:E494" si="112">G489+I489+K489</f>
        <v>233234</v>
      </c>
      <c r="F489" s="28">
        <f t="shared" si="111"/>
        <v>233234</v>
      </c>
      <c r="G489" s="27">
        <f>일위대가목록!F224</f>
        <v>20145</v>
      </c>
      <c r="H489" s="28">
        <f t="shared" ref="H489:H494" si="113">TRUNC(G489*C489,1)</f>
        <v>20145</v>
      </c>
      <c r="I489" s="27">
        <f>일위대가목록!H224</f>
        <v>193437</v>
      </c>
      <c r="J489" s="28">
        <f>TRUNC(I489*C489,1)</f>
        <v>193437</v>
      </c>
      <c r="K489" s="27">
        <f>일위대가목록!J224</f>
        <v>19652</v>
      </c>
      <c r="L489" s="28">
        <f>TRUNC(K489*C489,1)</f>
        <v>19652</v>
      </c>
      <c r="M489" s="86" t="s">
        <v>2856</v>
      </c>
      <c r="N489" t="s">
        <v>2856</v>
      </c>
      <c r="P489" t="s">
        <v>2471</v>
      </c>
      <c r="Q489" t="s">
        <v>2856</v>
      </c>
      <c r="R489" t="s">
        <v>2163</v>
      </c>
      <c r="T489" t="s">
        <v>1778</v>
      </c>
      <c r="BI489" s="34" t="str">
        <f>HYPERLINK("#일위대가목록!A219","NT205-18 →")</f>
        <v>NT205-18 →</v>
      </c>
    </row>
    <row r="490" spans="1:61" ht="18.399999999999999" hidden="1" customHeight="1" x14ac:dyDescent="0.15">
      <c r="A490" s="2" t="s">
        <v>300</v>
      </c>
      <c r="B490" s="87" t="s">
        <v>1807</v>
      </c>
      <c r="C490" s="2">
        <v>1</v>
      </c>
      <c r="D490" s="2" t="s">
        <v>1302</v>
      </c>
      <c r="E490" s="27">
        <f t="shared" si="112"/>
        <v>17700</v>
      </c>
      <c r="F490" s="28">
        <f t="shared" si="111"/>
        <v>17700</v>
      </c>
      <c r="G490" s="27">
        <f>자재조서!E132</f>
        <v>17700</v>
      </c>
      <c r="H490" s="28">
        <f t="shared" si="113"/>
        <v>17700</v>
      </c>
      <c r="I490" s="27">
        <v>0</v>
      </c>
      <c r="J490" s="28"/>
      <c r="K490" s="27">
        <v>0</v>
      </c>
      <c r="L490" s="28"/>
      <c r="M490" s="86" t="s">
        <v>2856</v>
      </c>
      <c r="N490" t="s">
        <v>2856</v>
      </c>
      <c r="P490" t="s">
        <v>1741</v>
      </c>
      <c r="Q490" t="s">
        <v>2856</v>
      </c>
      <c r="R490" t="s">
        <v>1011</v>
      </c>
      <c r="BI490" s="34" t="str">
        <f>HYPERLINK("#자재조서!A126","MTP-039 →")</f>
        <v>MTP-039 →</v>
      </c>
    </row>
    <row r="491" spans="1:61" ht="18.399999999999999" hidden="1" customHeight="1" x14ac:dyDescent="0.15">
      <c r="A491" s="2" t="s">
        <v>261</v>
      </c>
      <c r="B491" s="87" t="s">
        <v>2437</v>
      </c>
      <c r="C491" s="2">
        <v>15</v>
      </c>
      <c r="D491" s="2" t="s">
        <v>1674</v>
      </c>
      <c r="E491" s="27">
        <f t="shared" si="112"/>
        <v>433</v>
      </c>
      <c r="F491" s="28">
        <f t="shared" si="111"/>
        <v>6495</v>
      </c>
      <c r="G491" s="27">
        <f>자재조서!E129</f>
        <v>433</v>
      </c>
      <c r="H491" s="28">
        <f t="shared" si="113"/>
        <v>6495</v>
      </c>
      <c r="I491" s="27">
        <v>0</v>
      </c>
      <c r="J491" s="28"/>
      <c r="K491" s="27">
        <v>0</v>
      </c>
      <c r="L491" s="28"/>
      <c r="M491" s="86" t="s">
        <v>2856</v>
      </c>
      <c r="N491" t="s">
        <v>2856</v>
      </c>
      <c r="P491" t="s">
        <v>1036</v>
      </c>
      <c r="Q491" t="s">
        <v>1839</v>
      </c>
      <c r="R491" t="s">
        <v>1422</v>
      </c>
      <c r="BI491" s="34" t="str">
        <f>HYPERLINK("#자재조서!A123","MTP-010 →")</f>
        <v>MTP-010 →</v>
      </c>
    </row>
    <row r="492" spans="1:61" ht="18.399999999999999" hidden="1" customHeight="1" x14ac:dyDescent="0.15">
      <c r="A492" s="2" t="s">
        <v>2029</v>
      </c>
      <c r="B492" s="87" t="s">
        <v>1936</v>
      </c>
      <c r="C492" s="2">
        <v>18.3</v>
      </c>
      <c r="D492" s="2" t="s">
        <v>1086</v>
      </c>
      <c r="E492" s="27">
        <f t="shared" si="112"/>
        <v>40</v>
      </c>
      <c r="F492" s="28">
        <f t="shared" si="111"/>
        <v>732</v>
      </c>
      <c r="G492" s="27">
        <f>자재조서!E137</f>
        <v>40</v>
      </c>
      <c r="H492" s="28">
        <f t="shared" si="113"/>
        <v>732</v>
      </c>
      <c r="I492" s="27">
        <v>0</v>
      </c>
      <c r="J492" s="28"/>
      <c r="K492" s="27">
        <v>0</v>
      </c>
      <c r="L492" s="28"/>
      <c r="M492" s="86" t="s">
        <v>2856</v>
      </c>
      <c r="N492" t="s">
        <v>2856</v>
      </c>
      <c r="P492" t="s">
        <v>286</v>
      </c>
      <c r="Q492" t="s">
        <v>2856</v>
      </c>
      <c r="R492" t="s">
        <v>316</v>
      </c>
      <c r="BI492" s="34" t="str">
        <f>HYPERLINK("#자재조서!A131","MTP-121 →")</f>
        <v>MTP-121 →</v>
      </c>
    </row>
    <row r="493" spans="1:61" ht="18.399999999999999" hidden="1" customHeight="1" x14ac:dyDescent="0.15">
      <c r="A493" s="2" t="s">
        <v>694</v>
      </c>
      <c r="B493" s="87" t="s">
        <v>1038</v>
      </c>
      <c r="C493" s="2">
        <v>3.6</v>
      </c>
      <c r="D493" s="2" t="s">
        <v>1086</v>
      </c>
      <c r="E493" s="27">
        <f t="shared" si="112"/>
        <v>150</v>
      </c>
      <c r="F493" s="28">
        <f t="shared" si="111"/>
        <v>540</v>
      </c>
      <c r="G493" s="27">
        <f>자재조서!E136</f>
        <v>150</v>
      </c>
      <c r="H493" s="28">
        <f t="shared" si="113"/>
        <v>540</v>
      </c>
      <c r="I493" s="27">
        <v>0</v>
      </c>
      <c r="J493" s="28"/>
      <c r="K493" s="27">
        <v>0</v>
      </c>
      <c r="L493" s="28"/>
      <c r="M493" s="86" t="s">
        <v>2856</v>
      </c>
      <c r="N493" t="s">
        <v>2856</v>
      </c>
      <c r="P493" t="s">
        <v>2428</v>
      </c>
      <c r="Q493" t="s">
        <v>2856</v>
      </c>
      <c r="R493" t="s">
        <v>794</v>
      </c>
      <c r="BI493" s="34" t="str">
        <f>HYPERLINK("#자재조서!A130","MTP-110 →")</f>
        <v>MTP-110 →</v>
      </c>
    </row>
    <row r="494" spans="1:61" ht="18.399999999999999" hidden="1" customHeight="1" x14ac:dyDescent="0.15">
      <c r="A494" s="2" t="s">
        <v>1734</v>
      </c>
      <c r="B494" s="87" t="s">
        <v>2741</v>
      </c>
      <c r="C494" s="2">
        <v>0.6</v>
      </c>
      <c r="D494" s="2" t="s">
        <v>1674</v>
      </c>
      <c r="E494" s="27">
        <f t="shared" si="112"/>
        <v>1245</v>
      </c>
      <c r="F494" s="28">
        <f t="shared" si="111"/>
        <v>747</v>
      </c>
      <c r="G494" s="27">
        <f>자재조서!E138</f>
        <v>1245</v>
      </c>
      <c r="H494" s="28">
        <f t="shared" si="113"/>
        <v>747</v>
      </c>
      <c r="I494" s="27">
        <v>0</v>
      </c>
      <c r="J494" s="28"/>
      <c r="K494" s="27">
        <v>0</v>
      </c>
      <c r="L494" s="28"/>
      <c r="M494" s="86" t="s">
        <v>2856</v>
      </c>
      <c r="N494" t="s">
        <v>2856</v>
      </c>
      <c r="P494" t="s">
        <v>1686</v>
      </c>
      <c r="Q494" t="s">
        <v>2856</v>
      </c>
      <c r="R494" t="s">
        <v>1046</v>
      </c>
      <c r="BI494" s="34" t="str">
        <f>HYPERLINK("#자재조서!A132","MTP-131 →")</f>
        <v>MTP-131 →</v>
      </c>
    </row>
    <row r="495" spans="1:61" ht="18.399999999999999" hidden="1" customHeight="1" x14ac:dyDescent="0.15">
      <c r="A495" s="1"/>
      <c r="B495" s="87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87"/>
    </row>
    <row r="496" spans="1:61" ht="18.399999999999999" hidden="1" customHeight="1" x14ac:dyDescent="0.15">
      <c r="A496" s="2" t="s">
        <v>2811</v>
      </c>
      <c r="B496" s="87" t="s">
        <v>881</v>
      </c>
      <c r="C496" s="2">
        <v>1</v>
      </c>
      <c r="D496" s="2" t="s">
        <v>556</v>
      </c>
      <c r="E496" s="184"/>
      <c r="F496" s="29">
        <f t="shared" ref="F496:F502" si="114">H496+J496+L496</f>
        <v>620822</v>
      </c>
      <c r="G496" s="184"/>
      <c r="H496" s="29">
        <f>TRUNC(H497+H498+H500+H501+H502,0)</f>
        <v>71984</v>
      </c>
      <c r="I496" s="184"/>
      <c r="J496" s="29">
        <f>TRUNC(J497+J498+J500+J501+J502,0)</f>
        <v>443066</v>
      </c>
      <c r="K496" s="184"/>
      <c r="L496" s="29">
        <f>TRUNC(L497+L498+L500+L501+L502,0)</f>
        <v>105772</v>
      </c>
      <c r="M496" s="86" t="s">
        <v>2856</v>
      </c>
      <c r="N496" t="s">
        <v>2856</v>
      </c>
      <c r="O496" t="s">
        <v>1659</v>
      </c>
    </row>
    <row r="497" spans="1:61" ht="18.399999999999999" hidden="1" customHeight="1" x14ac:dyDescent="0.15">
      <c r="A497" s="2" t="s">
        <v>1869</v>
      </c>
      <c r="B497" s="87" t="s">
        <v>2192</v>
      </c>
      <c r="C497" s="2">
        <v>1</v>
      </c>
      <c r="D497" s="2" t="s">
        <v>556</v>
      </c>
      <c r="E497" s="27">
        <f t="shared" ref="E497:E502" si="115">G497+I497+K497</f>
        <v>598895</v>
      </c>
      <c r="F497" s="28">
        <f t="shared" si="114"/>
        <v>598895</v>
      </c>
      <c r="G497" s="27">
        <f>일위대가목록!F217</f>
        <v>50057</v>
      </c>
      <c r="H497" s="28">
        <f t="shared" ref="H497:H502" si="116">TRUNC(G497*C497,1)</f>
        <v>50057</v>
      </c>
      <c r="I497" s="27">
        <f>일위대가목록!H217</f>
        <v>443066</v>
      </c>
      <c r="J497" s="28">
        <f>TRUNC(I497*C497,1)</f>
        <v>443066</v>
      </c>
      <c r="K497" s="27">
        <f>일위대가목록!J217</f>
        <v>105772</v>
      </c>
      <c r="L497" s="28">
        <f>TRUNC(K497*C497,1)</f>
        <v>105772</v>
      </c>
      <c r="M497" s="86" t="s">
        <v>2856</v>
      </c>
      <c r="N497" t="s">
        <v>2856</v>
      </c>
      <c r="P497" t="s">
        <v>2471</v>
      </c>
      <c r="Q497" t="s">
        <v>2856</v>
      </c>
      <c r="R497" t="s">
        <v>2141</v>
      </c>
      <c r="T497" t="s">
        <v>1778</v>
      </c>
      <c r="BI497" s="34" t="str">
        <f>HYPERLINK("#일위대가목록!A212","NT205-25 →")</f>
        <v>NT205-25 →</v>
      </c>
    </row>
    <row r="498" spans="1:61" ht="18.399999999999999" hidden="1" customHeight="1" x14ac:dyDescent="0.15">
      <c r="A498" s="2" t="s">
        <v>300</v>
      </c>
      <c r="B498" s="87" t="s">
        <v>1807</v>
      </c>
      <c r="C498" s="2">
        <v>1</v>
      </c>
      <c r="D498" s="2" t="s">
        <v>1302</v>
      </c>
      <c r="E498" s="27">
        <f t="shared" si="115"/>
        <v>17700</v>
      </c>
      <c r="F498" s="28">
        <f t="shared" si="114"/>
        <v>17700</v>
      </c>
      <c r="G498" s="27">
        <f>자재조서!E132</f>
        <v>17700</v>
      </c>
      <c r="H498" s="28">
        <f t="shared" si="116"/>
        <v>17700</v>
      </c>
      <c r="I498" s="27">
        <v>0</v>
      </c>
      <c r="J498" s="28"/>
      <c r="K498" s="27">
        <v>0</v>
      </c>
      <c r="L498" s="28"/>
      <c r="M498" s="86" t="s">
        <v>2856</v>
      </c>
      <c r="N498" t="s">
        <v>2856</v>
      </c>
      <c r="P498" t="s">
        <v>1741</v>
      </c>
      <c r="Q498" t="s">
        <v>2856</v>
      </c>
      <c r="R498" t="s">
        <v>1011</v>
      </c>
      <c r="BI498" s="34" t="str">
        <f>HYPERLINK("#자재조서!A126","MTP-039 →")</f>
        <v>MTP-039 →</v>
      </c>
    </row>
    <row r="499" spans="1:61" ht="18.399999999999999" hidden="1" customHeight="1" x14ac:dyDescent="0.15">
      <c r="A499" s="2" t="s">
        <v>261</v>
      </c>
      <c r="B499" s="87" t="s">
        <v>2437</v>
      </c>
      <c r="C499" s="2">
        <v>20</v>
      </c>
      <c r="D499" s="2" t="s">
        <v>1674</v>
      </c>
      <c r="E499" s="27">
        <f t="shared" si="115"/>
        <v>433</v>
      </c>
      <c r="F499" s="28">
        <f t="shared" si="114"/>
        <v>8660</v>
      </c>
      <c r="G499" s="27">
        <f>자재조서!E129</f>
        <v>433</v>
      </c>
      <c r="H499" s="28">
        <f t="shared" si="116"/>
        <v>8660</v>
      </c>
      <c r="I499" s="27">
        <v>0</v>
      </c>
      <c r="J499" s="28"/>
      <c r="K499" s="27">
        <v>0</v>
      </c>
      <c r="L499" s="28"/>
      <c r="M499" s="86" t="s">
        <v>2856</v>
      </c>
      <c r="N499" t="s">
        <v>2856</v>
      </c>
      <c r="P499" t="s">
        <v>1036</v>
      </c>
      <c r="Q499" t="s">
        <v>1839</v>
      </c>
      <c r="R499" t="s">
        <v>1422</v>
      </c>
      <c r="BI499" s="34" t="str">
        <f>HYPERLINK("#자재조서!A123","MTP-010 →")</f>
        <v>MTP-010 →</v>
      </c>
    </row>
    <row r="500" spans="1:61" ht="18.399999999999999" hidden="1" customHeight="1" x14ac:dyDescent="0.15">
      <c r="A500" s="2" t="s">
        <v>2029</v>
      </c>
      <c r="B500" s="87" t="s">
        <v>1936</v>
      </c>
      <c r="C500" s="2">
        <v>29</v>
      </c>
      <c r="D500" s="2" t="s">
        <v>1086</v>
      </c>
      <c r="E500" s="27">
        <f t="shared" si="115"/>
        <v>40</v>
      </c>
      <c r="F500" s="28">
        <f t="shared" si="114"/>
        <v>1160</v>
      </c>
      <c r="G500" s="27">
        <f>자재조서!E137</f>
        <v>40</v>
      </c>
      <c r="H500" s="28">
        <f t="shared" si="116"/>
        <v>1160</v>
      </c>
      <c r="I500" s="27">
        <v>0</v>
      </c>
      <c r="J500" s="28"/>
      <c r="K500" s="27">
        <v>0</v>
      </c>
      <c r="L500" s="28"/>
      <c r="M500" s="86" t="s">
        <v>2856</v>
      </c>
      <c r="N500" t="s">
        <v>2856</v>
      </c>
      <c r="P500" t="s">
        <v>286</v>
      </c>
      <c r="Q500" t="s">
        <v>2856</v>
      </c>
      <c r="R500" t="s">
        <v>316</v>
      </c>
      <c r="BI500" s="34" t="str">
        <f>HYPERLINK("#자재조서!A131","MTP-121 →")</f>
        <v>MTP-121 →</v>
      </c>
    </row>
    <row r="501" spans="1:61" ht="18.399999999999999" hidden="1" customHeight="1" x14ac:dyDescent="0.15">
      <c r="A501" s="2" t="s">
        <v>694</v>
      </c>
      <c r="B501" s="87" t="s">
        <v>1038</v>
      </c>
      <c r="C501" s="2">
        <v>8.5</v>
      </c>
      <c r="D501" s="2" t="s">
        <v>1086</v>
      </c>
      <c r="E501" s="27">
        <f t="shared" si="115"/>
        <v>150</v>
      </c>
      <c r="F501" s="28">
        <f t="shared" si="114"/>
        <v>1275</v>
      </c>
      <c r="G501" s="27">
        <f>자재조서!E136</f>
        <v>150</v>
      </c>
      <c r="H501" s="28">
        <f t="shared" si="116"/>
        <v>1275</v>
      </c>
      <c r="I501" s="27">
        <v>0</v>
      </c>
      <c r="J501" s="28"/>
      <c r="K501" s="27">
        <v>0</v>
      </c>
      <c r="L501" s="28"/>
      <c r="M501" s="86" t="s">
        <v>2856</v>
      </c>
      <c r="N501" t="s">
        <v>2856</v>
      </c>
      <c r="P501" t="s">
        <v>2428</v>
      </c>
      <c r="Q501" t="s">
        <v>2856</v>
      </c>
      <c r="R501" t="s">
        <v>794</v>
      </c>
      <c r="BI501" s="34" t="str">
        <f>HYPERLINK("#자재조서!A130","MTP-110 →")</f>
        <v>MTP-110 →</v>
      </c>
    </row>
    <row r="502" spans="1:61" ht="18.399999999999999" hidden="1" customHeight="1" x14ac:dyDescent="0.15">
      <c r="A502" s="2" t="s">
        <v>1734</v>
      </c>
      <c r="B502" s="87" t="s">
        <v>2741</v>
      </c>
      <c r="C502" s="2">
        <v>1.44</v>
      </c>
      <c r="D502" s="2" t="s">
        <v>1674</v>
      </c>
      <c r="E502" s="27">
        <f t="shared" si="115"/>
        <v>1245</v>
      </c>
      <c r="F502" s="28">
        <f t="shared" si="114"/>
        <v>1792.8</v>
      </c>
      <c r="G502" s="27">
        <f>자재조서!E138</f>
        <v>1245</v>
      </c>
      <c r="H502" s="28">
        <f t="shared" si="116"/>
        <v>1792.8</v>
      </c>
      <c r="I502" s="27">
        <v>0</v>
      </c>
      <c r="J502" s="28"/>
      <c r="K502" s="27">
        <v>0</v>
      </c>
      <c r="L502" s="28"/>
      <c r="M502" s="86" t="s">
        <v>2856</v>
      </c>
      <c r="N502" t="s">
        <v>2856</v>
      </c>
      <c r="P502" t="s">
        <v>1686</v>
      </c>
      <c r="Q502" t="s">
        <v>2856</v>
      </c>
      <c r="R502" t="s">
        <v>1046</v>
      </c>
      <c r="BI502" s="34" t="str">
        <f>HYPERLINK("#자재조서!A132","MTP-131 →")</f>
        <v>MTP-131 →</v>
      </c>
    </row>
    <row r="503" spans="1:61" ht="18.399999999999999" hidden="1" customHeight="1" x14ac:dyDescent="0.15">
      <c r="A503" s="1"/>
      <c r="B503" s="87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87"/>
    </row>
    <row r="504" spans="1:61" ht="18.399999999999999" hidden="1" customHeight="1" x14ac:dyDescent="0.15">
      <c r="A504" s="2" t="s">
        <v>2093</v>
      </c>
      <c r="B504" s="87" t="s">
        <v>1567</v>
      </c>
      <c r="C504" s="2">
        <v>1</v>
      </c>
      <c r="D504" s="2" t="s">
        <v>556</v>
      </c>
      <c r="E504" s="184"/>
      <c r="F504" s="29">
        <f t="shared" ref="F504:F510" si="117">H504+J504+L504</f>
        <v>305373</v>
      </c>
      <c r="G504" s="184"/>
      <c r="H504" s="29">
        <f>TRUNC(H505+H506+H508+H509+H510,0)</f>
        <v>44930</v>
      </c>
      <c r="I504" s="184"/>
      <c r="J504" s="29">
        <f>TRUNC(J505+J506+J508+J509+J510,0)</f>
        <v>236423</v>
      </c>
      <c r="K504" s="184"/>
      <c r="L504" s="29">
        <f>TRUNC(L505+L506+L508+L509+L510,0)</f>
        <v>24020</v>
      </c>
      <c r="M504" s="86" t="s">
        <v>2856</v>
      </c>
      <c r="N504" t="s">
        <v>2856</v>
      </c>
      <c r="O504" t="s">
        <v>508</v>
      </c>
    </row>
    <row r="505" spans="1:61" ht="18.399999999999999" hidden="1" customHeight="1" x14ac:dyDescent="0.15">
      <c r="A505" s="2" t="s">
        <v>1869</v>
      </c>
      <c r="B505" s="87" t="s">
        <v>2568</v>
      </c>
      <c r="C505" s="2">
        <v>1</v>
      </c>
      <c r="D505" s="2" t="s">
        <v>556</v>
      </c>
      <c r="E505" s="27">
        <f t="shared" ref="E505:E510" si="118">G505+I505+K505</f>
        <v>285065</v>
      </c>
      <c r="F505" s="28">
        <f t="shared" si="117"/>
        <v>285065</v>
      </c>
      <c r="G505" s="27">
        <f>일위대가목록!F221</f>
        <v>24622</v>
      </c>
      <c r="H505" s="28">
        <f t="shared" ref="H505:H510" si="119">TRUNC(G505*C505,1)</f>
        <v>24622</v>
      </c>
      <c r="I505" s="27">
        <f>일위대가목록!H221</f>
        <v>236423</v>
      </c>
      <c r="J505" s="28">
        <f>TRUNC(I505*C505,1)</f>
        <v>236423</v>
      </c>
      <c r="K505" s="27">
        <f>일위대가목록!J221</f>
        <v>24020</v>
      </c>
      <c r="L505" s="28">
        <f>TRUNC(K505*C505,1)</f>
        <v>24020</v>
      </c>
      <c r="M505" s="86" t="s">
        <v>2856</v>
      </c>
      <c r="N505" t="s">
        <v>2856</v>
      </c>
      <c r="P505" t="s">
        <v>2471</v>
      </c>
      <c r="Q505" t="s">
        <v>2856</v>
      </c>
      <c r="R505" t="s">
        <v>520</v>
      </c>
      <c r="T505" t="s">
        <v>1778</v>
      </c>
      <c r="BI505" s="34" t="str">
        <f>HYPERLINK("#일위대가목록!A216","NT205-20 →")</f>
        <v>NT205-20 →</v>
      </c>
    </row>
    <row r="506" spans="1:61" ht="18.399999999999999" hidden="1" customHeight="1" x14ac:dyDescent="0.15">
      <c r="A506" s="2" t="s">
        <v>300</v>
      </c>
      <c r="B506" s="87" t="s">
        <v>1807</v>
      </c>
      <c r="C506" s="2">
        <v>1</v>
      </c>
      <c r="D506" s="2" t="s">
        <v>1302</v>
      </c>
      <c r="E506" s="27">
        <f t="shared" si="118"/>
        <v>17700</v>
      </c>
      <c r="F506" s="28">
        <f t="shared" si="117"/>
        <v>17700</v>
      </c>
      <c r="G506" s="27">
        <f>자재조서!E132</f>
        <v>17700</v>
      </c>
      <c r="H506" s="28">
        <f t="shared" si="119"/>
        <v>17700</v>
      </c>
      <c r="I506" s="27">
        <v>0</v>
      </c>
      <c r="J506" s="28"/>
      <c r="K506" s="27">
        <v>0</v>
      </c>
      <c r="L506" s="28"/>
      <c r="M506" s="86" t="s">
        <v>2856</v>
      </c>
      <c r="N506" t="s">
        <v>2856</v>
      </c>
      <c r="P506" t="s">
        <v>1741</v>
      </c>
      <c r="Q506" t="s">
        <v>2856</v>
      </c>
      <c r="R506" t="s">
        <v>1011</v>
      </c>
      <c r="BI506" s="34" t="str">
        <f>HYPERLINK("#자재조서!A126","MTP-039 →")</f>
        <v>MTP-039 →</v>
      </c>
    </row>
    <row r="507" spans="1:61" ht="18.399999999999999" hidden="1" customHeight="1" x14ac:dyDescent="0.15">
      <c r="A507" s="2" t="s">
        <v>261</v>
      </c>
      <c r="B507" s="87" t="s">
        <v>2437</v>
      </c>
      <c r="C507" s="2">
        <v>20</v>
      </c>
      <c r="D507" s="2" t="s">
        <v>1674</v>
      </c>
      <c r="E507" s="27">
        <f t="shared" si="118"/>
        <v>433</v>
      </c>
      <c r="F507" s="28">
        <f t="shared" si="117"/>
        <v>8660</v>
      </c>
      <c r="G507" s="27">
        <f>자재조서!E129</f>
        <v>433</v>
      </c>
      <c r="H507" s="28">
        <f t="shared" si="119"/>
        <v>8660</v>
      </c>
      <c r="I507" s="27">
        <v>0</v>
      </c>
      <c r="J507" s="28"/>
      <c r="K507" s="27">
        <v>0</v>
      </c>
      <c r="L507" s="28"/>
      <c r="M507" s="86" t="s">
        <v>2856</v>
      </c>
      <c r="N507" t="s">
        <v>2856</v>
      </c>
      <c r="P507" t="s">
        <v>1036</v>
      </c>
      <c r="Q507" t="s">
        <v>1839</v>
      </c>
      <c r="R507" t="s">
        <v>1422</v>
      </c>
      <c r="BI507" s="34" t="str">
        <f>HYPERLINK("#자재조서!A123","MTP-010 →")</f>
        <v>MTP-010 →</v>
      </c>
    </row>
    <row r="508" spans="1:61" ht="18.399999999999999" hidden="1" customHeight="1" x14ac:dyDescent="0.15">
      <c r="A508" s="2" t="s">
        <v>2029</v>
      </c>
      <c r="B508" s="87" t="s">
        <v>1936</v>
      </c>
      <c r="C508" s="2">
        <v>22</v>
      </c>
      <c r="D508" s="2" t="s">
        <v>1086</v>
      </c>
      <c r="E508" s="27">
        <f t="shared" si="118"/>
        <v>40</v>
      </c>
      <c r="F508" s="28">
        <f t="shared" si="117"/>
        <v>880</v>
      </c>
      <c r="G508" s="27">
        <f>자재조서!E137</f>
        <v>40</v>
      </c>
      <c r="H508" s="28">
        <f t="shared" si="119"/>
        <v>880</v>
      </c>
      <c r="I508" s="27">
        <v>0</v>
      </c>
      <c r="J508" s="28"/>
      <c r="K508" s="27">
        <v>0</v>
      </c>
      <c r="L508" s="28"/>
      <c r="M508" s="86" t="s">
        <v>2856</v>
      </c>
      <c r="N508" t="s">
        <v>2856</v>
      </c>
      <c r="P508" t="s">
        <v>286</v>
      </c>
      <c r="Q508" t="s">
        <v>2856</v>
      </c>
      <c r="R508" t="s">
        <v>316</v>
      </c>
      <c r="BI508" s="34" t="str">
        <f>HYPERLINK("#자재조서!A131","MTP-121 →")</f>
        <v>MTP-121 →</v>
      </c>
    </row>
    <row r="509" spans="1:61" ht="18.399999999999999" hidden="1" customHeight="1" x14ac:dyDescent="0.15">
      <c r="A509" s="2" t="s">
        <v>694</v>
      </c>
      <c r="B509" s="87" t="s">
        <v>1038</v>
      </c>
      <c r="C509" s="2">
        <v>4.8</v>
      </c>
      <c r="D509" s="2" t="s">
        <v>1086</v>
      </c>
      <c r="E509" s="27">
        <f t="shared" si="118"/>
        <v>150</v>
      </c>
      <c r="F509" s="28">
        <f t="shared" si="117"/>
        <v>720</v>
      </c>
      <c r="G509" s="27">
        <f>자재조서!E136</f>
        <v>150</v>
      </c>
      <c r="H509" s="28">
        <f t="shared" si="119"/>
        <v>720</v>
      </c>
      <c r="I509" s="27">
        <v>0</v>
      </c>
      <c r="J509" s="28"/>
      <c r="K509" s="27">
        <v>0</v>
      </c>
      <c r="L509" s="28"/>
      <c r="M509" s="86" t="s">
        <v>2856</v>
      </c>
      <c r="N509" t="s">
        <v>2856</v>
      </c>
      <c r="P509" t="s">
        <v>2428</v>
      </c>
      <c r="Q509" t="s">
        <v>2856</v>
      </c>
      <c r="R509" t="s">
        <v>794</v>
      </c>
      <c r="BI509" s="34" t="str">
        <f>HYPERLINK("#자재조서!A130","MTP-110 →")</f>
        <v>MTP-110 →</v>
      </c>
    </row>
    <row r="510" spans="1:61" ht="18.399999999999999" hidden="1" customHeight="1" x14ac:dyDescent="0.15">
      <c r="A510" s="2" t="s">
        <v>1734</v>
      </c>
      <c r="B510" s="87" t="s">
        <v>2741</v>
      </c>
      <c r="C510" s="2">
        <v>0.81</v>
      </c>
      <c r="D510" s="2" t="s">
        <v>1674</v>
      </c>
      <c r="E510" s="27">
        <f t="shared" si="118"/>
        <v>1245</v>
      </c>
      <c r="F510" s="28">
        <f t="shared" si="117"/>
        <v>1008.4</v>
      </c>
      <c r="G510" s="27">
        <f>자재조서!E138</f>
        <v>1245</v>
      </c>
      <c r="H510" s="28">
        <f t="shared" si="119"/>
        <v>1008.4</v>
      </c>
      <c r="I510" s="27">
        <v>0</v>
      </c>
      <c r="J510" s="28"/>
      <c r="K510" s="27">
        <v>0</v>
      </c>
      <c r="L510" s="28"/>
      <c r="M510" s="86" t="s">
        <v>2856</v>
      </c>
      <c r="N510" t="s">
        <v>2856</v>
      </c>
      <c r="P510" t="s">
        <v>1686</v>
      </c>
      <c r="Q510" t="s">
        <v>2856</v>
      </c>
      <c r="R510" t="s">
        <v>1046</v>
      </c>
      <c r="BI510" s="34" t="str">
        <f>HYPERLINK("#자재조서!A132","MTP-131 →")</f>
        <v>MTP-131 →</v>
      </c>
    </row>
    <row r="511" spans="1:61" ht="18.399999999999999" hidden="1" customHeight="1" x14ac:dyDescent="0.15">
      <c r="A511" s="1"/>
      <c r="B511" s="87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87"/>
    </row>
    <row r="512" spans="1:61" ht="18.399999999999999" hidden="1" customHeight="1" x14ac:dyDescent="0.15">
      <c r="A512" s="2" t="s">
        <v>1076</v>
      </c>
      <c r="B512" s="87" t="s">
        <v>1498</v>
      </c>
      <c r="C512" s="2">
        <v>1</v>
      </c>
      <c r="D512" s="2" t="s">
        <v>556</v>
      </c>
      <c r="E512" s="184"/>
      <c r="F512" s="29">
        <f t="shared" ref="F512:F518" si="120">H512+J512+L512</f>
        <v>1760791</v>
      </c>
      <c r="G512" s="184"/>
      <c r="H512" s="29">
        <f>TRUNC(H513+H514+H516+H517+H518,0)</f>
        <v>240840</v>
      </c>
      <c r="I512" s="184"/>
      <c r="J512" s="29">
        <f>TRUNC(J513+J514+J516+J517+J518,0)</f>
        <v>1017669</v>
      </c>
      <c r="K512" s="184"/>
      <c r="L512" s="29">
        <f>TRUNC(L513+L514+L516+L517+L518,0)</f>
        <v>502282</v>
      </c>
      <c r="M512" s="86" t="s">
        <v>2856</v>
      </c>
      <c r="N512" t="s">
        <v>2856</v>
      </c>
      <c r="O512" t="s">
        <v>2075</v>
      </c>
    </row>
    <row r="513" spans="1:61" ht="18.399999999999999" hidden="1" customHeight="1" x14ac:dyDescent="0.15">
      <c r="A513" s="2" t="s">
        <v>1869</v>
      </c>
      <c r="B513" s="87" t="s">
        <v>1301</v>
      </c>
      <c r="C513" s="2">
        <v>1</v>
      </c>
      <c r="D513" s="2" t="s">
        <v>556</v>
      </c>
      <c r="E513" s="27">
        <f t="shared" ref="E513:E518" si="121">G513+I513+K513</f>
        <v>1702511</v>
      </c>
      <c r="F513" s="28">
        <f t="shared" si="120"/>
        <v>1702511</v>
      </c>
      <c r="G513" s="27">
        <f>일위대가목록!F222</f>
        <v>182560</v>
      </c>
      <c r="H513" s="28">
        <f t="shared" ref="H513:H518" si="122">TRUNC(G513*C513,1)</f>
        <v>182560</v>
      </c>
      <c r="I513" s="27">
        <f>일위대가목록!H222</f>
        <v>1017669</v>
      </c>
      <c r="J513" s="28">
        <f>TRUNC(I513*C513,1)</f>
        <v>1017669</v>
      </c>
      <c r="K513" s="27">
        <f>일위대가목록!J222</f>
        <v>502282</v>
      </c>
      <c r="L513" s="28">
        <f>TRUNC(K513*C513,1)</f>
        <v>502282</v>
      </c>
      <c r="M513" s="86" t="s">
        <v>2856</v>
      </c>
      <c r="N513" t="s">
        <v>2856</v>
      </c>
      <c r="P513" t="s">
        <v>2471</v>
      </c>
      <c r="Q513" t="s">
        <v>2856</v>
      </c>
      <c r="R513" t="s">
        <v>2037</v>
      </c>
      <c r="T513" t="s">
        <v>1778</v>
      </c>
      <c r="BI513" s="34" t="str">
        <f>HYPERLINK("#일위대가목록!A217","NT205-40 →")</f>
        <v>NT205-40 →</v>
      </c>
    </row>
    <row r="514" spans="1:61" ht="18.399999999999999" hidden="1" customHeight="1" x14ac:dyDescent="0.15">
      <c r="A514" s="2" t="s">
        <v>834</v>
      </c>
      <c r="B514" s="87" t="s">
        <v>816</v>
      </c>
      <c r="C514" s="2">
        <v>1</v>
      </c>
      <c r="D514" s="2" t="s">
        <v>1302</v>
      </c>
      <c r="E514" s="27">
        <f t="shared" si="121"/>
        <v>24700</v>
      </c>
      <c r="F514" s="28">
        <f t="shared" si="120"/>
        <v>24700</v>
      </c>
      <c r="G514" s="27">
        <f>자재조서!E131</f>
        <v>24700</v>
      </c>
      <c r="H514" s="28">
        <f t="shared" si="122"/>
        <v>24700</v>
      </c>
      <c r="I514" s="27">
        <v>0</v>
      </c>
      <c r="J514" s="28"/>
      <c r="K514" s="27">
        <v>0</v>
      </c>
      <c r="L514" s="28"/>
      <c r="M514" s="86" t="s">
        <v>2856</v>
      </c>
      <c r="N514" t="s">
        <v>2856</v>
      </c>
      <c r="P514" t="s">
        <v>1741</v>
      </c>
      <c r="Q514" t="s">
        <v>2856</v>
      </c>
      <c r="R514" t="s">
        <v>2314</v>
      </c>
      <c r="BI514" s="34" t="str">
        <f>HYPERLINK("#자재조서!A125","MTP-038 →")</f>
        <v>MTP-038 →</v>
      </c>
    </row>
    <row r="515" spans="1:61" ht="18.399999999999999" hidden="1" customHeight="1" x14ac:dyDescent="0.15">
      <c r="A515" s="2" t="s">
        <v>261</v>
      </c>
      <c r="B515" s="87" t="s">
        <v>2437</v>
      </c>
      <c r="C515" s="2">
        <v>50</v>
      </c>
      <c r="D515" s="2" t="s">
        <v>1674</v>
      </c>
      <c r="E515" s="27">
        <f t="shared" si="121"/>
        <v>433</v>
      </c>
      <c r="F515" s="28">
        <f t="shared" si="120"/>
        <v>21650</v>
      </c>
      <c r="G515" s="27">
        <f>자재조서!E129</f>
        <v>433</v>
      </c>
      <c r="H515" s="28">
        <f t="shared" si="122"/>
        <v>21650</v>
      </c>
      <c r="I515" s="27">
        <v>0</v>
      </c>
      <c r="J515" s="28"/>
      <c r="K515" s="27">
        <v>0</v>
      </c>
      <c r="L515" s="28"/>
      <c r="M515" s="86" t="s">
        <v>2856</v>
      </c>
      <c r="N515" t="s">
        <v>2856</v>
      </c>
      <c r="P515" t="s">
        <v>1036</v>
      </c>
      <c r="Q515" t="s">
        <v>1839</v>
      </c>
      <c r="R515" t="s">
        <v>1422</v>
      </c>
      <c r="BI515" s="34" t="str">
        <f>HYPERLINK("#자재조서!A123","MTP-010 →")</f>
        <v>MTP-010 →</v>
      </c>
    </row>
    <row r="516" spans="1:61" ht="18.399999999999999" hidden="1" customHeight="1" x14ac:dyDescent="0.15">
      <c r="A516" s="2" t="s">
        <v>2029</v>
      </c>
      <c r="B516" s="87" t="s">
        <v>1936</v>
      </c>
      <c r="C516" s="2">
        <v>150</v>
      </c>
      <c r="D516" s="2" t="s">
        <v>1086</v>
      </c>
      <c r="E516" s="27">
        <f t="shared" si="121"/>
        <v>40</v>
      </c>
      <c r="F516" s="28">
        <f t="shared" si="120"/>
        <v>6000</v>
      </c>
      <c r="G516" s="27">
        <f>자재조서!E137</f>
        <v>40</v>
      </c>
      <c r="H516" s="28">
        <f t="shared" si="122"/>
        <v>6000</v>
      </c>
      <c r="I516" s="27">
        <v>0</v>
      </c>
      <c r="J516" s="28"/>
      <c r="K516" s="27">
        <v>0</v>
      </c>
      <c r="L516" s="28"/>
      <c r="M516" s="86" t="s">
        <v>2856</v>
      </c>
      <c r="N516" t="s">
        <v>2856</v>
      </c>
      <c r="P516" t="s">
        <v>286</v>
      </c>
      <c r="Q516" t="s">
        <v>2856</v>
      </c>
      <c r="R516" t="s">
        <v>316</v>
      </c>
      <c r="BI516" s="34" t="str">
        <f>HYPERLINK("#자재조서!A131","MTP-121 →")</f>
        <v>MTP-121 →</v>
      </c>
    </row>
    <row r="517" spans="1:61" ht="18.399999999999999" hidden="1" customHeight="1" x14ac:dyDescent="0.15">
      <c r="A517" s="2" t="s">
        <v>694</v>
      </c>
      <c r="B517" s="87" t="s">
        <v>1038</v>
      </c>
      <c r="C517" s="2">
        <v>76.3</v>
      </c>
      <c r="D517" s="2" t="s">
        <v>1086</v>
      </c>
      <c r="E517" s="27">
        <f t="shared" si="121"/>
        <v>150</v>
      </c>
      <c r="F517" s="28">
        <f t="shared" si="120"/>
        <v>11445</v>
      </c>
      <c r="G517" s="27">
        <f>자재조서!E136</f>
        <v>150</v>
      </c>
      <c r="H517" s="28">
        <f t="shared" si="122"/>
        <v>11445</v>
      </c>
      <c r="I517" s="27">
        <v>0</v>
      </c>
      <c r="J517" s="28"/>
      <c r="K517" s="27">
        <v>0</v>
      </c>
      <c r="L517" s="28"/>
      <c r="M517" s="86" t="s">
        <v>2856</v>
      </c>
      <c r="N517" t="s">
        <v>2856</v>
      </c>
      <c r="P517" t="s">
        <v>2428</v>
      </c>
      <c r="Q517" t="s">
        <v>2856</v>
      </c>
      <c r="R517" t="s">
        <v>794</v>
      </c>
      <c r="BI517" s="34" t="str">
        <f>HYPERLINK("#자재조서!A130","MTP-110 →")</f>
        <v>MTP-110 →</v>
      </c>
    </row>
    <row r="518" spans="1:61" ht="18.399999999999999" hidden="1" customHeight="1" x14ac:dyDescent="0.15">
      <c r="A518" s="2" t="s">
        <v>1734</v>
      </c>
      <c r="B518" s="87" t="s">
        <v>2741</v>
      </c>
      <c r="C518" s="2">
        <v>12.96</v>
      </c>
      <c r="D518" s="2" t="s">
        <v>1674</v>
      </c>
      <c r="E518" s="27">
        <f t="shared" si="121"/>
        <v>1245</v>
      </c>
      <c r="F518" s="28">
        <f t="shared" si="120"/>
        <v>16135.2</v>
      </c>
      <c r="G518" s="27">
        <f>자재조서!E138</f>
        <v>1245</v>
      </c>
      <c r="H518" s="28">
        <f t="shared" si="122"/>
        <v>16135.2</v>
      </c>
      <c r="I518" s="27">
        <v>0</v>
      </c>
      <c r="J518" s="28"/>
      <c r="K518" s="27">
        <v>0</v>
      </c>
      <c r="L518" s="28"/>
      <c r="M518" s="86" t="s">
        <v>2856</v>
      </c>
      <c r="N518" t="s">
        <v>2856</v>
      </c>
      <c r="P518" t="s">
        <v>1686</v>
      </c>
      <c r="Q518" t="s">
        <v>2856</v>
      </c>
      <c r="R518" t="s">
        <v>1046</v>
      </c>
      <c r="BI518" s="34" t="str">
        <f>HYPERLINK("#자재조서!A132","MTP-131 →")</f>
        <v>MTP-131 →</v>
      </c>
    </row>
    <row r="519" spans="1:61" ht="18.399999999999999" hidden="1" customHeight="1" x14ac:dyDescent="0.15">
      <c r="A519" s="1"/>
      <c r="B519" s="87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87"/>
    </row>
    <row r="520" spans="1:61" ht="18.399999999999999" hidden="1" customHeight="1" x14ac:dyDescent="0.15">
      <c r="A520" s="2" t="s">
        <v>2145</v>
      </c>
      <c r="B520" s="87" t="s">
        <v>2756</v>
      </c>
      <c r="C520" s="2">
        <v>1</v>
      </c>
      <c r="D520" s="2" t="s">
        <v>556</v>
      </c>
      <c r="E520" s="184"/>
      <c r="F520" s="29">
        <f t="shared" ref="F520:F526" si="123">H520+J520+L520</f>
        <v>631487</v>
      </c>
      <c r="G520" s="184"/>
      <c r="H520" s="29">
        <f>TRUNC(H521+H522+H524+H525+H526,0)</f>
        <v>82649</v>
      </c>
      <c r="I520" s="184"/>
      <c r="J520" s="29">
        <f>TRUNC(J521+J522+J524+J525+J526,0)</f>
        <v>443066</v>
      </c>
      <c r="K520" s="184"/>
      <c r="L520" s="29">
        <f>TRUNC(L521+L522+L524+L525+L526,0)</f>
        <v>105772</v>
      </c>
      <c r="M520" s="86" t="s">
        <v>2856</v>
      </c>
      <c r="N520" t="s">
        <v>2856</v>
      </c>
      <c r="O520" t="s">
        <v>289</v>
      </c>
    </row>
    <row r="521" spans="1:61" ht="18.399999999999999" hidden="1" customHeight="1" x14ac:dyDescent="0.15">
      <c r="A521" s="2" t="s">
        <v>1869</v>
      </c>
      <c r="B521" s="87" t="s">
        <v>2192</v>
      </c>
      <c r="C521" s="2">
        <v>1</v>
      </c>
      <c r="D521" s="2" t="s">
        <v>556</v>
      </c>
      <c r="E521" s="27">
        <f t="shared" ref="E521:E526" si="124">G521+I521+K521</f>
        <v>598895</v>
      </c>
      <c r="F521" s="28">
        <f t="shared" si="123"/>
        <v>598895</v>
      </c>
      <c r="G521" s="27">
        <f>일위대가목록!F217</f>
        <v>50057</v>
      </c>
      <c r="H521" s="28">
        <f t="shared" ref="H521:H526" si="125">TRUNC(G521*C521,1)</f>
        <v>50057</v>
      </c>
      <c r="I521" s="27">
        <f>일위대가목록!H217</f>
        <v>443066</v>
      </c>
      <c r="J521" s="28">
        <f>TRUNC(I521*C521,1)</f>
        <v>443066</v>
      </c>
      <c r="K521" s="27">
        <f>일위대가목록!J217</f>
        <v>105772</v>
      </c>
      <c r="L521" s="28">
        <f>TRUNC(K521*C521,1)</f>
        <v>105772</v>
      </c>
      <c r="M521" s="86" t="s">
        <v>2856</v>
      </c>
      <c r="N521" t="s">
        <v>2856</v>
      </c>
      <c r="P521" t="s">
        <v>2471</v>
      </c>
      <c r="Q521" t="s">
        <v>2856</v>
      </c>
      <c r="R521" t="s">
        <v>2141</v>
      </c>
      <c r="T521" t="s">
        <v>1778</v>
      </c>
      <c r="BI521" s="34" t="str">
        <f>HYPERLINK("#일위대가목록!A212","NT205-25 →")</f>
        <v>NT205-25 →</v>
      </c>
    </row>
    <row r="522" spans="1:61" ht="18.399999999999999" hidden="1" customHeight="1" x14ac:dyDescent="0.15">
      <c r="A522" s="2" t="s">
        <v>834</v>
      </c>
      <c r="B522" s="87" t="s">
        <v>816</v>
      </c>
      <c r="C522" s="2">
        <v>1</v>
      </c>
      <c r="D522" s="2" t="s">
        <v>1302</v>
      </c>
      <c r="E522" s="27">
        <f t="shared" si="124"/>
        <v>24700</v>
      </c>
      <c r="F522" s="28">
        <f t="shared" si="123"/>
        <v>24700</v>
      </c>
      <c r="G522" s="27">
        <f>자재조서!E131</f>
        <v>24700</v>
      </c>
      <c r="H522" s="28">
        <f t="shared" si="125"/>
        <v>24700</v>
      </c>
      <c r="I522" s="27">
        <v>0</v>
      </c>
      <c r="J522" s="28"/>
      <c r="K522" s="27">
        <v>0</v>
      </c>
      <c r="L522" s="28"/>
      <c r="M522" s="86" t="s">
        <v>2856</v>
      </c>
      <c r="N522" t="s">
        <v>2856</v>
      </c>
      <c r="P522" t="s">
        <v>1741</v>
      </c>
      <c r="Q522" t="s">
        <v>2856</v>
      </c>
      <c r="R522" t="s">
        <v>2314</v>
      </c>
      <c r="BI522" s="34" t="str">
        <f>HYPERLINK("#자재조서!A125","MTP-038 →")</f>
        <v>MTP-038 →</v>
      </c>
    </row>
    <row r="523" spans="1:61" ht="18.399999999999999" hidden="1" customHeight="1" x14ac:dyDescent="0.15">
      <c r="A523" s="2" t="s">
        <v>261</v>
      </c>
      <c r="B523" s="87" t="s">
        <v>2437</v>
      </c>
      <c r="C523" s="2">
        <v>30</v>
      </c>
      <c r="D523" s="2" t="s">
        <v>1674</v>
      </c>
      <c r="E523" s="27">
        <f t="shared" si="124"/>
        <v>433</v>
      </c>
      <c r="F523" s="28">
        <f t="shared" si="123"/>
        <v>12990</v>
      </c>
      <c r="G523" s="27">
        <f>자재조서!E129</f>
        <v>433</v>
      </c>
      <c r="H523" s="28">
        <f t="shared" si="125"/>
        <v>12990</v>
      </c>
      <c r="I523" s="27">
        <v>0</v>
      </c>
      <c r="J523" s="28"/>
      <c r="K523" s="27">
        <v>0</v>
      </c>
      <c r="L523" s="28"/>
      <c r="M523" s="86" t="s">
        <v>2856</v>
      </c>
      <c r="N523" t="s">
        <v>2856</v>
      </c>
      <c r="P523" t="s">
        <v>1036</v>
      </c>
      <c r="Q523" t="s">
        <v>1839</v>
      </c>
      <c r="R523" t="s">
        <v>1422</v>
      </c>
      <c r="BI523" s="34" t="str">
        <f>HYPERLINK("#자재조서!A123","MTP-010 →")</f>
        <v>MTP-010 →</v>
      </c>
    </row>
    <row r="524" spans="1:61" ht="18.399999999999999" hidden="1" customHeight="1" x14ac:dyDescent="0.15">
      <c r="A524" s="2" t="s">
        <v>2029</v>
      </c>
      <c r="B524" s="87" t="s">
        <v>1936</v>
      </c>
      <c r="C524" s="2">
        <v>47.3</v>
      </c>
      <c r="D524" s="2" t="s">
        <v>1086</v>
      </c>
      <c r="E524" s="27">
        <f t="shared" si="124"/>
        <v>40</v>
      </c>
      <c r="F524" s="28">
        <f t="shared" si="123"/>
        <v>1892</v>
      </c>
      <c r="G524" s="27">
        <f>자재조서!E137</f>
        <v>40</v>
      </c>
      <c r="H524" s="28">
        <f t="shared" si="125"/>
        <v>1892</v>
      </c>
      <c r="I524" s="27">
        <v>0</v>
      </c>
      <c r="J524" s="28"/>
      <c r="K524" s="27">
        <v>0</v>
      </c>
      <c r="L524" s="28"/>
      <c r="M524" s="86" t="s">
        <v>2856</v>
      </c>
      <c r="N524" t="s">
        <v>2856</v>
      </c>
      <c r="P524" t="s">
        <v>286</v>
      </c>
      <c r="Q524" t="s">
        <v>2856</v>
      </c>
      <c r="R524" t="s">
        <v>316</v>
      </c>
      <c r="BI524" s="34" t="str">
        <f>HYPERLINK("#자재조서!A131","MTP-121 →")</f>
        <v>MTP-121 →</v>
      </c>
    </row>
    <row r="525" spans="1:61" ht="18.399999999999999" hidden="1" customHeight="1" x14ac:dyDescent="0.15">
      <c r="A525" s="2" t="s">
        <v>694</v>
      </c>
      <c r="B525" s="87" t="s">
        <v>1038</v>
      </c>
      <c r="C525" s="2">
        <v>16.600000000000001</v>
      </c>
      <c r="D525" s="2" t="s">
        <v>1086</v>
      </c>
      <c r="E525" s="27">
        <f t="shared" si="124"/>
        <v>150</v>
      </c>
      <c r="F525" s="28">
        <f t="shared" si="123"/>
        <v>2490</v>
      </c>
      <c r="G525" s="27">
        <f>자재조서!E136</f>
        <v>150</v>
      </c>
      <c r="H525" s="28">
        <f t="shared" si="125"/>
        <v>2490</v>
      </c>
      <c r="I525" s="27">
        <v>0</v>
      </c>
      <c r="J525" s="28"/>
      <c r="K525" s="27">
        <v>0</v>
      </c>
      <c r="L525" s="28"/>
      <c r="M525" s="86" t="s">
        <v>2856</v>
      </c>
      <c r="N525" t="s">
        <v>2856</v>
      </c>
      <c r="P525" t="s">
        <v>2428</v>
      </c>
      <c r="Q525" t="s">
        <v>2856</v>
      </c>
      <c r="R525" t="s">
        <v>794</v>
      </c>
      <c r="BI525" s="34" t="str">
        <f>HYPERLINK("#자재조서!A130","MTP-110 →")</f>
        <v>MTP-110 →</v>
      </c>
    </row>
    <row r="526" spans="1:61" ht="18.399999999999999" hidden="1" customHeight="1" x14ac:dyDescent="0.15">
      <c r="A526" s="2" t="s">
        <v>1734</v>
      </c>
      <c r="B526" s="87" t="s">
        <v>2741</v>
      </c>
      <c r="C526" s="2">
        <v>2.82</v>
      </c>
      <c r="D526" s="2" t="s">
        <v>1674</v>
      </c>
      <c r="E526" s="27">
        <f t="shared" si="124"/>
        <v>1245</v>
      </c>
      <c r="F526" s="28">
        <f t="shared" si="123"/>
        <v>3510.9</v>
      </c>
      <c r="G526" s="27">
        <f>자재조서!E138</f>
        <v>1245</v>
      </c>
      <c r="H526" s="28">
        <f t="shared" si="125"/>
        <v>3510.9</v>
      </c>
      <c r="I526" s="27">
        <v>0</v>
      </c>
      <c r="J526" s="28"/>
      <c r="K526" s="27">
        <v>0</v>
      </c>
      <c r="L526" s="28"/>
      <c r="M526" s="86" t="s">
        <v>2856</v>
      </c>
      <c r="N526" t="s">
        <v>2856</v>
      </c>
      <c r="P526" t="s">
        <v>1686</v>
      </c>
      <c r="Q526" t="s">
        <v>2856</v>
      </c>
      <c r="R526" t="s">
        <v>1046</v>
      </c>
      <c r="BI526" s="34" t="str">
        <f>HYPERLINK("#자재조서!A132","MTP-131 →")</f>
        <v>MTP-131 →</v>
      </c>
    </row>
    <row r="527" spans="1:61" ht="18.399999999999999" hidden="1" customHeight="1" x14ac:dyDescent="0.15">
      <c r="A527" s="1"/>
      <c r="B527" s="87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87"/>
    </row>
    <row r="528" spans="1:61" ht="18.399999999999999" hidden="1" customHeight="1" x14ac:dyDescent="0.15">
      <c r="A528" s="2" t="s">
        <v>234</v>
      </c>
      <c r="B528" s="87" t="s">
        <v>2256</v>
      </c>
      <c r="C528" s="2">
        <v>1</v>
      </c>
      <c r="D528" s="2" t="s">
        <v>556</v>
      </c>
      <c r="E528" s="184"/>
      <c r="F528" s="29">
        <f t="shared" ref="F528:F534" si="126">H528+J528+L528</f>
        <v>1210755</v>
      </c>
      <c r="G528" s="184"/>
      <c r="H528" s="29">
        <f>TRUNC(H529+H530+H532+H533+H534,0)</f>
        <v>144943</v>
      </c>
      <c r="I528" s="184"/>
      <c r="J528" s="29">
        <f>TRUNC(J529+J530+J532+J533+J534,0)</f>
        <v>785059</v>
      </c>
      <c r="K528" s="184"/>
      <c r="L528" s="29">
        <f>TRUNC(L529+L530+L532+L533+L534,0)</f>
        <v>280753</v>
      </c>
      <c r="M528" s="86" t="s">
        <v>2856</v>
      </c>
      <c r="N528" t="s">
        <v>2856</v>
      </c>
      <c r="O528" t="s">
        <v>1563</v>
      </c>
    </row>
    <row r="529" spans="1:61" ht="18.399999999999999" hidden="1" customHeight="1" x14ac:dyDescent="0.15">
      <c r="A529" s="2" t="s">
        <v>1869</v>
      </c>
      <c r="B529" s="87" t="s">
        <v>2526</v>
      </c>
      <c r="C529" s="2">
        <v>1</v>
      </c>
      <c r="D529" s="2" t="s">
        <v>556</v>
      </c>
      <c r="E529" s="27">
        <f t="shared" ref="E529:E534" si="127">G529+I529+K529</f>
        <v>1170507</v>
      </c>
      <c r="F529" s="28">
        <f t="shared" si="126"/>
        <v>1170507</v>
      </c>
      <c r="G529" s="27">
        <f>일위대가목록!F218</f>
        <v>104695</v>
      </c>
      <c r="H529" s="28">
        <f t="shared" ref="H529:H534" si="128">TRUNC(G529*C529,1)</f>
        <v>104695</v>
      </c>
      <c r="I529" s="27">
        <f>일위대가목록!H218</f>
        <v>785059</v>
      </c>
      <c r="J529" s="28">
        <f>TRUNC(I529*C529,1)</f>
        <v>785059</v>
      </c>
      <c r="K529" s="27">
        <f>일위대가목록!J218</f>
        <v>280753</v>
      </c>
      <c r="L529" s="28">
        <f>TRUNC(K529*C529,1)</f>
        <v>280753</v>
      </c>
      <c r="M529" s="86" t="s">
        <v>2856</v>
      </c>
      <c r="N529" t="s">
        <v>2856</v>
      </c>
      <c r="P529" t="s">
        <v>2471</v>
      </c>
      <c r="Q529" t="s">
        <v>2856</v>
      </c>
      <c r="R529" t="s">
        <v>2845</v>
      </c>
      <c r="T529" t="s">
        <v>1778</v>
      </c>
      <c r="BI529" s="34" t="str">
        <f>HYPERLINK("#일위대가목록!A213","NT205-35 →")</f>
        <v>NT205-35 →</v>
      </c>
    </row>
    <row r="530" spans="1:61" ht="18.399999999999999" hidden="1" customHeight="1" x14ac:dyDescent="0.15">
      <c r="A530" s="2" t="s">
        <v>834</v>
      </c>
      <c r="B530" s="87" t="s">
        <v>816</v>
      </c>
      <c r="C530" s="2">
        <v>1</v>
      </c>
      <c r="D530" s="2" t="s">
        <v>1302</v>
      </c>
      <c r="E530" s="27">
        <f t="shared" si="127"/>
        <v>24700</v>
      </c>
      <c r="F530" s="28">
        <f t="shared" si="126"/>
        <v>24700</v>
      </c>
      <c r="G530" s="27">
        <f>자재조서!E131</f>
        <v>24700</v>
      </c>
      <c r="H530" s="28">
        <f t="shared" si="128"/>
        <v>24700</v>
      </c>
      <c r="I530" s="27">
        <v>0</v>
      </c>
      <c r="J530" s="28"/>
      <c r="K530" s="27">
        <v>0</v>
      </c>
      <c r="L530" s="28"/>
      <c r="M530" s="86" t="s">
        <v>2856</v>
      </c>
      <c r="N530" t="s">
        <v>2856</v>
      </c>
      <c r="P530" t="s">
        <v>1741</v>
      </c>
      <c r="Q530" t="s">
        <v>2856</v>
      </c>
      <c r="R530" t="s">
        <v>2314</v>
      </c>
      <c r="BI530" s="34" t="str">
        <f>HYPERLINK("#자재조서!A125","MTP-038 →")</f>
        <v>MTP-038 →</v>
      </c>
    </row>
    <row r="531" spans="1:61" ht="18.399999999999999" hidden="1" customHeight="1" x14ac:dyDescent="0.15">
      <c r="A531" s="2" t="s">
        <v>261</v>
      </c>
      <c r="B531" s="87" t="s">
        <v>2437</v>
      </c>
      <c r="C531" s="2">
        <v>50</v>
      </c>
      <c r="D531" s="2" t="s">
        <v>1674</v>
      </c>
      <c r="E531" s="27">
        <f t="shared" si="127"/>
        <v>433</v>
      </c>
      <c r="F531" s="28">
        <f t="shared" si="126"/>
        <v>21650</v>
      </c>
      <c r="G531" s="27">
        <f>자재조서!E129</f>
        <v>433</v>
      </c>
      <c r="H531" s="28">
        <f t="shared" si="128"/>
        <v>21650</v>
      </c>
      <c r="I531" s="27">
        <v>0</v>
      </c>
      <c r="J531" s="28"/>
      <c r="K531" s="27">
        <v>0</v>
      </c>
      <c r="L531" s="28"/>
      <c r="M531" s="86" t="s">
        <v>2856</v>
      </c>
      <c r="N531" t="s">
        <v>2856</v>
      </c>
      <c r="P531" t="s">
        <v>1036</v>
      </c>
      <c r="Q531" t="s">
        <v>1839</v>
      </c>
      <c r="R531" t="s">
        <v>1422</v>
      </c>
      <c r="BI531" s="34" t="str">
        <f>HYPERLINK("#자재조서!A123","MTP-010 →")</f>
        <v>MTP-010 →</v>
      </c>
    </row>
    <row r="532" spans="1:61" ht="18.399999999999999" hidden="1" customHeight="1" x14ac:dyDescent="0.15">
      <c r="A532" s="2" t="s">
        <v>2029</v>
      </c>
      <c r="B532" s="87" t="s">
        <v>1936</v>
      </c>
      <c r="C532" s="2">
        <v>82.3</v>
      </c>
      <c r="D532" s="2" t="s">
        <v>1086</v>
      </c>
      <c r="E532" s="27">
        <f t="shared" si="127"/>
        <v>40</v>
      </c>
      <c r="F532" s="28">
        <f t="shared" si="126"/>
        <v>3292</v>
      </c>
      <c r="G532" s="27">
        <f>자재조서!E137</f>
        <v>40</v>
      </c>
      <c r="H532" s="28">
        <f t="shared" si="128"/>
        <v>3292</v>
      </c>
      <c r="I532" s="27">
        <v>0</v>
      </c>
      <c r="J532" s="28"/>
      <c r="K532" s="27">
        <v>0</v>
      </c>
      <c r="L532" s="28"/>
      <c r="M532" s="86" t="s">
        <v>2856</v>
      </c>
      <c r="N532" t="s">
        <v>2856</v>
      </c>
      <c r="P532" t="s">
        <v>286</v>
      </c>
      <c r="Q532" t="s">
        <v>2856</v>
      </c>
      <c r="R532" t="s">
        <v>316</v>
      </c>
      <c r="BI532" s="34" t="str">
        <f>HYPERLINK("#자재조서!A131","MTP-121 →")</f>
        <v>MTP-121 →</v>
      </c>
    </row>
    <row r="533" spans="1:61" ht="18.399999999999999" hidden="1" customHeight="1" x14ac:dyDescent="0.15">
      <c r="A533" s="2" t="s">
        <v>694</v>
      </c>
      <c r="B533" s="87" t="s">
        <v>1038</v>
      </c>
      <c r="C533" s="2">
        <v>33.9</v>
      </c>
      <c r="D533" s="2" t="s">
        <v>1086</v>
      </c>
      <c r="E533" s="27">
        <f t="shared" si="127"/>
        <v>150</v>
      </c>
      <c r="F533" s="28">
        <f t="shared" si="126"/>
        <v>5085</v>
      </c>
      <c r="G533" s="27">
        <f>자재조서!E136</f>
        <v>150</v>
      </c>
      <c r="H533" s="28">
        <f t="shared" si="128"/>
        <v>5085</v>
      </c>
      <c r="I533" s="27">
        <v>0</v>
      </c>
      <c r="J533" s="28"/>
      <c r="K533" s="27">
        <v>0</v>
      </c>
      <c r="L533" s="28"/>
      <c r="M533" s="86" t="s">
        <v>2856</v>
      </c>
      <c r="N533" t="s">
        <v>2856</v>
      </c>
      <c r="P533" t="s">
        <v>2428</v>
      </c>
      <c r="Q533" t="s">
        <v>2856</v>
      </c>
      <c r="R533" t="s">
        <v>794</v>
      </c>
      <c r="BI533" s="34" t="str">
        <f>HYPERLINK("#자재조서!A130","MTP-110 →")</f>
        <v>MTP-110 →</v>
      </c>
    </row>
    <row r="534" spans="1:61" ht="18.399999999999999" hidden="1" customHeight="1" x14ac:dyDescent="0.15">
      <c r="A534" s="2" t="s">
        <v>1734</v>
      </c>
      <c r="B534" s="87" t="s">
        <v>2741</v>
      </c>
      <c r="C534" s="2">
        <v>5.76</v>
      </c>
      <c r="D534" s="2" t="s">
        <v>1674</v>
      </c>
      <c r="E534" s="27">
        <f t="shared" si="127"/>
        <v>1245</v>
      </c>
      <c r="F534" s="28">
        <f t="shared" si="126"/>
        <v>7171.2</v>
      </c>
      <c r="G534" s="27">
        <f>자재조서!E138</f>
        <v>1245</v>
      </c>
      <c r="H534" s="28">
        <f t="shared" si="128"/>
        <v>7171.2</v>
      </c>
      <c r="I534" s="27">
        <v>0</v>
      </c>
      <c r="J534" s="28"/>
      <c r="K534" s="27">
        <v>0</v>
      </c>
      <c r="L534" s="28"/>
      <c r="M534" s="86" t="s">
        <v>2856</v>
      </c>
      <c r="N534" t="s">
        <v>2856</v>
      </c>
      <c r="P534" t="s">
        <v>1686</v>
      </c>
      <c r="Q534" t="s">
        <v>2856</v>
      </c>
      <c r="R534" t="s">
        <v>1046</v>
      </c>
      <c r="BI534" s="34" t="str">
        <f>HYPERLINK("#자재조서!A132","MTP-131 →")</f>
        <v>MTP-131 →</v>
      </c>
    </row>
    <row r="535" spans="1:61" ht="18.399999999999999" hidden="1" customHeight="1" x14ac:dyDescent="0.15">
      <c r="A535" s="1"/>
      <c r="B535" s="87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87"/>
    </row>
    <row r="536" spans="1:61" ht="18.399999999999999" hidden="1" customHeight="1" x14ac:dyDescent="0.15">
      <c r="A536" s="2" t="s">
        <v>2740</v>
      </c>
      <c r="B536" s="87" t="s">
        <v>1567</v>
      </c>
      <c r="C536" s="2">
        <v>1</v>
      </c>
      <c r="D536" s="2" t="s">
        <v>556</v>
      </c>
      <c r="E536" s="184"/>
      <c r="F536" s="29">
        <f t="shared" ref="F536:F542" si="129">H536+J536+L536</f>
        <v>305373</v>
      </c>
      <c r="G536" s="184"/>
      <c r="H536" s="29">
        <f>TRUNC(H537+H538+H540+H541+H542,0)</f>
        <v>44930</v>
      </c>
      <c r="I536" s="184"/>
      <c r="J536" s="29">
        <f>TRUNC(J537+J538+J540+J541+J542,0)</f>
        <v>236423</v>
      </c>
      <c r="K536" s="184"/>
      <c r="L536" s="29">
        <f>TRUNC(L537+L538+L540+L541+L542,0)</f>
        <v>24020</v>
      </c>
      <c r="M536" s="86" t="s">
        <v>2856</v>
      </c>
      <c r="N536" t="s">
        <v>2856</v>
      </c>
      <c r="O536" t="s">
        <v>597</v>
      </c>
    </row>
    <row r="537" spans="1:61" ht="18.399999999999999" hidden="1" customHeight="1" x14ac:dyDescent="0.15">
      <c r="A537" s="2" t="s">
        <v>1869</v>
      </c>
      <c r="B537" s="87" t="s">
        <v>2568</v>
      </c>
      <c r="C537" s="2">
        <v>1</v>
      </c>
      <c r="D537" s="2" t="s">
        <v>556</v>
      </c>
      <c r="E537" s="27">
        <f t="shared" ref="E537:E542" si="130">G537+I537+K537</f>
        <v>285065</v>
      </c>
      <c r="F537" s="28">
        <f t="shared" si="129"/>
        <v>285065</v>
      </c>
      <c r="G537" s="27">
        <f>일위대가목록!F221</f>
        <v>24622</v>
      </c>
      <c r="H537" s="28">
        <f t="shared" ref="H537:H542" si="131">TRUNC(G537*C537,1)</f>
        <v>24622</v>
      </c>
      <c r="I537" s="27">
        <f>일위대가목록!H221</f>
        <v>236423</v>
      </c>
      <c r="J537" s="28">
        <f>TRUNC(I537*C537,1)</f>
        <v>236423</v>
      </c>
      <c r="K537" s="27">
        <f>일위대가목록!J221</f>
        <v>24020</v>
      </c>
      <c r="L537" s="28">
        <f>TRUNC(K537*C537,1)</f>
        <v>24020</v>
      </c>
      <c r="M537" s="86" t="s">
        <v>2856</v>
      </c>
      <c r="N537" t="s">
        <v>2856</v>
      </c>
      <c r="P537" t="s">
        <v>2471</v>
      </c>
      <c r="Q537" t="s">
        <v>2856</v>
      </c>
      <c r="R537" t="s">
        <v>520</v>
      </c>
      <c r="T537" t="s">
        <v>1778</v>
      </c>
      <c r="BI537" s="34" t="str">
        <f>HYPERLINK("#일위대가목록!A216","NT205-20 →")</f>
        <v>NT205-20 →</v>
      </c>
    </row>
    <row r="538" spans="1:61" ht="18.399999999999999" hidden="1" customHeight="1" x14ac:dyDescent="0.15">
      <c r="A538" s="2" t="s">
        <v>300</v>
      </c>
      <c r="B538" s="87" t="s">
        <v>1807</v>
      </c>
      <c r="C538" s="2">
        <v>1</v>
      </c>
      <c r="D538" s="2" t="s">
        <v>1302</v>
      </c>
      <c r="E538" s="27">
        <f t="shared" si="130"/>
        <v>17700</v>
      </c>
      <c r="F538" s="28">
        <f t="shared" si="129"/>
        <v>17700</v>
      </c>
      <c r="G538" s="27">
        <f>자재조서!E132</f>
        <v>17700</v>
      </c>
      <c r="H538" s="28">
        <f t="shared" si="131"/>
        <v>17700</v>
      </c>
      <c r="I538" s="27">
        <v>0</v>
      </c>
      <c r="J538" s="28"/>
      <c r="K538" s="27">
        <v>0</v>
      </c>
      <c r="L538" s="28"/>
      <c r="M538" s="86" t="s">
        <v>2856</v>
      </c>
      <c r="N538" t="s">
        <v>2856</v>
      </c>
      <c r="P538" t="s">
        <v>1741</v>
      </c>
      <c r="Q538" t="s">
        <v>2856</v>
      </c>
      <c r="R538" t="s">
        <v>1011</v>
      </c>
      <c r="BI538" s="34" t="str">
        <f>HYPERLINK("#자재조서!A126","MTP-039 →")</f>
        <v>MTP-039 →</v>
      </c>
    </row>
    <row r="539" spans="1:61" ht="18.399999999999999" hidden="1" customHeight="1" x14ac:dyDescent="0.15">
      <c r="A539" s="2" t="s">
        <v>261</v>
      </c>
      <c r="B539" s="87" t="s">
        <v>2437</v>
      </c>
      <c r="C539" s="2">
        <v>20</v>
      </c>
      <c r="D539" s="2" t="s">
        <v>1674</v>
      </c>
      <c r="E539" s="27">
        <f t="shared" si="130"/>
        <v>433</v>
      </c>
      <c r="F539" s="28">
        <f t="shared" si="129"/>
        <v>8660</v>
      </c>
      <c r="G539" s="27">
        <f>자재조서!E129</f>
        <v>433</v>
      </c>
      <c r="H539" s="28">
        <f t="shared" si="131"/>
        <v>8660</v>
      </c>
      <c r="I539" s="27">
        <v>0</v>
      </c>
      <c r="J539" s="28"/>
      <c r="K539" s="27">
        <v>0</v>
      </c>
      <c r="L539" s="28"/>
      <c r="M539" s="86" t="s">
        <v>2856</v>
      </c>
      <c r="N539" t="s">
        <v>2856</v>
      </c>
      <c r="P539" t="s">
        <v>1036</v>
      </c>
      <c r="Q539" t="s">
        <v>1839</v>
      </c>
      <c r="R539" t="s">
        <v>1422</v>
      </c>
      <c r="BI539" s="34" t="str">
        <f>HYPERLINK("#자재조서!A123","MTP-010 →")</f>
        <v>MTP-010 →</v>
      </c>
    </row>
    <row r="540" spans="1:61" ht="18.399999999999999" hidden="1" customHeight="1" x14ac:dyDescent="0.15">
      <c r="A540" s="2" t="s">
        <v>2029</v>
      </c>
      <c r="B540" s="87" t="s">
        <v>1936</v>
      </c>
      <c r="C540" s="2">
        <v>22</v>
      </c>
      <c r="D540" s="2" t="s">
        <v>1086</v>
      </c>
      <c r="E540" s="27">
        <f t="shared" si="130"/>
        <v>40</v>
      </c>
      <c r="F540" s="28">
        <f t="shared" si="129"/>
        <v>880</v>
      </c>
      <c r="G540" s="27">
        <f>자재조서!E137</f>
        <v>40</v>
      </c>
      <c r="H540" s="28">
        <f t="shared" si="131"/>
        <v>880</v>
      </c>
      <c r="I540" s="27">
        <v>0</v>
      </c>
      <c r="J540" s="28"/>
      <c r="K540" s="27">
        <v>0</v>
      </c>
      <c r="L540" s="28"/>
      <c r="M540" s="86" t="s">
        <v>2856</v>
      </c>
      <c r="N540" t="s">
        <v>2856</v>
      </c>
      <c r="P540" t="s">
        <v>286</v>
      </c>
      <c r="Q540" t="s">
        <v>2856</v>
      </c>
      <c r="R540" t="s">
        <v>316</v>
      </c>
      <c r="BI540" s="34" t="str">
        <f>HYPERLINK("#자재조서!A131","MTP-121 →")</f>
        <v>MTP-121 →</v>
      </c>
    </row>
    <row r="541" spans="1:61" ht="18.399999999999999" hidden="1" customHeight="1" x14ac:dyDescent="0.15">
      <c r="A541" s="2" t="s">
        <v>694</v>
      </c>
      <c r="B541" s="87" t="s">
        <v>1038</v>
      </c>
      <c r="C541" s="2">
        <v>4.8</v>
      </c>
      <c r="D541" s="2" t="s">
        <v>1086</v>
      </c>
      <c r="E541" s="27">
        <f t="shared" si="130"/>
        <v>150</v>
      </c>
      <c r="F541" s="28">
        <f t="shared" si="129"/>
        <v>720</v>
      </c>
      <c r="G541" s="27">
        <f>자재조서!E136</f>
        <v>150</v>
      </c>
      <c r="H541" s="28">
        <f t="shared" si="131"/>
        <v>720</v>
      </c>
      <c r="I541" s="27">
        <v>0</v>
      </c>
      <c r="J541" s="28"/>
      <c r="K541" s="27">
        <v>0</v>
      </c>
      <c r="L541" s="28"/>
      <c r="M541" s="86" t="s">
        <v>2856</v>
      </c>
      <c r="N541" t="s">
        <v>2856</v>
      </c>
      <c r="P541" t="s">
        <v>2428</v>
      </c>
      <c r="Q541" t="s">
        <v>2856</v>
      </c>
      <c r="R541" t="s">
        <v>794</v>
      </c>
      <c r="BI541" s="34" t="str">
        <f>HYPERLINK("#자재조서!A130","MTP-110 →")</f>
        <v>MTP-110 →</v>
      </c>
    </row>
    <row r="542" spans="1:61" ht="18.399999999999999" hidden="1" customHeight="1" x14ac:dyDescent="0.15">
      <c r="A542" s="2" t="s">
        <v>1734</v>
      </c>
      <c r="B542" s="87" t="s">
        <v>2741</v>
      </c>
      <c r="C542" s="2">
        <v>0.81</v>
      </c>
      <c r="D542" s="2" t="s">
        <v>1674</v>
      </c>
      <c r="E542" s="27">
        <f t="shared" si="130"/>
        <v>1245</v>
      </c>
      <c r="F542" s="28">
        <f t="shared" si="129"/>
        <v>1008.4</v>
      </c>
      <c r="G542" s="27">
        <f>자재조서!E138</f>
        <v>1245</v>
      </c>
      <c r="H542" s="28">
        <f t="shared" si="131"/>
        <v>1008.4</v>
      </c>
      <c r="I542" s="27">
        <v>0</v>
      </c>
      <c r="J542" s="28"/>
      <c r="K542" s="27">
        <v>0</v>
      </c>
      <c r="L542" s="28"/>
      <c r="M542" s="86" t="s">
        <v>2856</v>
      </c>
      <c r="N542" t="s">
        <v>2856</v>
      </c>
      <c r="P542" t="s">
        <v>1686</v>
      </c>
      <c r="Q542" t="s">
        <v>2856</v>
      </c>
      <c r="R542" t="s">
        <v>1046</v>
      </c>
      <c r="BI542" s="34" t="str">
        <f>HYPERLINK("#자재조서!A132","MTP-131 →")</f>
        <v>MTP-131 →</v>
      </c>
    </row>
    <row r="543" spans="1:61" ht="18.399999999999999" hidden="1" customHeight="1" x14ac:dyDescent="0.15">
      <c r="A543" s="1"/>
      <c r="B543" s="87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87"/>
    </row>
    <row r="544" spans="1:61" ht="18.399999999999999" hidden="1" customHeight="1" x14ac:dyDescent="0.15">
      <c r="A544" s="2" t="s">
        <v>2100</v>
      </c>
      <c r="B544" s="87" t="s">
        <v>494</v>
      </c>
      <c r="C544" s="2">
        <v>1</v>
      </c>
      <c r="D544" s="2" t="s">
        <v>556</v>
      </c>
      <c r="E544" s="184"/>
      <c r="F544" s="29">
        <f t="shared" ref="F544:F550" si="132">H544+J544+L544</f>
        <v>252669</v>
      </c>
      <c r="G544" s="184"/>
      <c r="H544" s="29">
        <f>TRUNC(H545+H546+H548+H549+H550,0)</f>
        <v>39580</v>
      </c>
      <c r="I544" s="184"/>
      <c r="J544" s="29">
        <f>TRUNC(J545+J546+J548+J549+J550,0)</f>
        <v>193437</v>
      </c>
      <c r="K544" s="184"/>
      <c r="L544" s="29">
        <f>TRUNC(L545+L546+L548+L549+L550,0)</f>
        <v>19652</v>
      </c>
      <c r="M544" s="86" t="s">
        <v>2856</v>
      </c>
      <c r="N544" t="s">
        <v>2856</v>
      </c>
      <c r="O544" t="s">
        <v>1792</v>
      </c>
    </row>
    <row r="545" spans="1:61" ht="18.399999999999999" hidden="1" customHeight="1" x14ac:dyDescent="0.15">
      <c r="A545" s="2" t="s">
        <v>1869</v>
      </c>
      <c r="B545" s="87" t="s">
        <v>2520</v>
      </c>
      <c r="C545" s="2">
        <v>1</v>
      </c>
      <c r="D545" s="2" t="s">
        <v>556</v>
      </c>
      <c r="E545" s="27">
        <f t="shared" ref="E545:E550" si="133">G545+I545+K545</f>
        <v>233234</v>
      </c>
      <c r="F545" s="28">
        <f t="shared" si="132"/>
        <v>233234</v>
      </c>
      <c r="G545" s="27">
        <f>일위대가목록!F224</f>
        <v>20145</v>
      </c>
      <c r="H545" s="28">
        <f t="shared" ref="H545:H550" si="134">TRUNC(G545*C545,1)</f>
        <v>20145</v>
      </c>
      <c r="I545" s="27">
        <f>일위대가목록!H224</f>
        <v>193437</v>
      </c>
      <c r="J545" s="28">
        <f>TRUNC(I545*C545,1)</f>
        <v>193437</v>
      </c>
      <c r="K545" s="27">
        <f>일위대가목록!J224</f>
        <v>19652</v>
      </c>
      <c r="L545" s="28">
        <f>TRUNC(K545*C545,1)</f>
        <v>19652</v>
      </c>
      <c r="M545" s="86" t="s">
        <v>2856</v>
      </c>
      <c r="N545" t="s">
        <v>2856</v>
      </c>
      <c r="P545" t="s">
        <v>2471</v>
      </c>
      <c r="Q545" t="s">
        <v>2856</v>
      </c>
      <c r="R545" t="s">
        <v>2163</v>
      </c>
      <c r="T545" t="s">
        <v>1778</v>
      </c>
      <c r="BI545" s="34" t="str">
        <f>HYPERLINK("#일위대가목록!A219","NT205-18 →")</f>
        <v>NT205-18 →</v>
      </c>
    </row>
    <row r="546" spans="1:61" ht="18.399999999999999" hidden="1" customHeight="1" x14ac:dyDescent="0.15">
      <c r="A546" s="2" t="s">
        <v>300</v>
      </c>
      <c r="B546" s="87" t="s">
        <v>1807</v>
      </c>
      <c r="C546" s="2">
        <v>1</v>
      </c>
      <c r="D546" s="2" t="s">
        <v>1302</v>
      </c>
      <c r="E546" s="27">
        <f t="shared" si="133"/>
        <v>17700</v>
      </c>
      <c r="F546" s="28">
        <f t="shared" si="132"/>
        <v>17700</v>
      </c>
      <c r="G546" s="27">
        <f>자재조서!E132</f>
        <v>17700</v>
      </c>
      <c r="H546" s="28">
        <f t="shared" si="134"/>
        <v>17700</v>
      </c>
      <c r="I546" s="27">
        <v>0</v>
      </c>
      <c r="J546" s="28"/>
      <c r="K546" s="27">
        <v>0</v>
      </c>
      <c r="L546" s="28"/>
      <c r="M546" s="86" t="s">
        <v>2856</v>
      </c>
      <c r="N546" t="s">
        <v>2856</v>
      </c>
      <c r="P546" t="s">
        <v>1741</v>
      </c>
      <c r="Q546" t="s">
        <v>2856</v>
      </c>
      <c r="R546" t="s">
        <v>1011</v>
      </c>
      <c r="BI546" s="34" t="str">
        <f>HYPERLINK("#자재조서!A126","MTP-039 →")</f>
        <v>MTP-039 →</v>
      </c>
    </row>
    <row r="547" spans="1:61" ht="18.399999999999999" hidden="1" customHeight="1" x14ac:dyDescent="0.15">
      <c r="A547" s="2" t="s">
        <v>261</v>
      </c>
      <c r="B547" s="87" t="s">
        <v>2437</v>
      </c>
      <c r="C547" s="2">
        <v>15</v>
      </c>
      <c r="D547" s="2" t="s">
        <v>1674</v>
      </c>
      <c r="E547" s="27">
        <f t="shared" si="133"/>
        <v>433</v>
      </c>
      <c r="F547" s="28">
        <f t="shared" si="132"/>
        <v>6495</v>
      </c>
      <c r="G547" s="27">
        <f>자재조서!E129</f>
        <v>433</v>
      </c>
      <c r="H547" s="28">
        <f t="shared" si="134"/>
        <v>6495</v>
      </c>
      <c r="I547" s="27">
        <v>0</v>
      </c>
      <c r="J547" s="28"/>
      <c r="K547" s="27">
        <v>0</v>
      </c>
      <c r="L547" s="28"/>
      <c r="M547" s="86" t="s">
        <v>2856</v>
      </c>
      <c r="N547" t="s">
        <v>2856</v>
      </c>
      <c r="P547" t="s">
        <v>1036</v>
      </c>
      <c r="Q547" t="s">
        <v>1839</v>
      </c>
      <c r="R547" t="s">
        <v>1422</v>
      </c>
      <c r="BI547" s="34" t="str">
        <f>HYPERLINK("#자재조서!A123","MTP-010 →")</f>
        <v>MTP-010 →</v>
      </c>
    </row>
    <row r="548" spans="1:61" ht="18.399999999999999" hidden="1" customHeight="1" x14ac:dyDescent="0.15">
      <c r="A548" s="2" t="s">
        <v>2029</v>
      </c>
      <c r="B548" s="87" t="s">
        <v>1936</v>
      </c>
      <c r="C548" s="2">
        <v>15.9</v>
      </c>
      <c r="D548" s="2" t="s">
        <v>1086</v>
      </c>
      <c r="E548" s="27">
        <f t="shared" si="133"/>
        <v>40</v>
      </c>
      <c r="F548" s="28">
        <f t="shared" si="132"/>
        <v>636</v>
      </c>
      <c r="G548" s="27">
        <f>자재조서!E137</f>
        <v>40</v>
      </c>
      <c r="H548" s="28">
        <f t="shared" si="134"/>
        <v>636</v>
      </c>
      <c r="I548" s="27">
        <v>0</v>
      </c>
      <c r="J548" s="28"/>
      <c r="K548" s="27">
        <v>0</v>
      </c>
      <c r="L548" s="28"/>
      <c r="M548" s="86" t="s">
        <v>2856</v>
      </c>
      <c r="N548" t="s">
        <v>2856</v>
      </c>
      <c r="P548" t="s">
        <v>286</v>
      </c>
      <c r="Q548" t="s">
        <v>2856</v>
      </c>
      <c r="R548" t="s">
        <v>316</v>
      </c>
      <c r="BI548" s="34" t="str">
        <f>HYPERLINK("#자재조서!A131","MTP-121 →")</f>
        <v>MTP-121 →</v>
      </c>
    </row>
    <row r="549" spans="1:61" ht="18.399999999999999" hidden="1" customHeight="1" x14ac:dyDescent="0.15">
      <c r="A549" s="2" t="s">
        <v>694</v>
      </c>
      <c r="B549" s="87" t="s">
        <v>1038</v>
      </c>
      <c r="C549" s="2">
        <v>3.1</v>
      </c>
      <c r="D549" s="2" t="s">
        <v>1086</v>
      </c>
      <c r="E549" s="27">
        <f t="shared" si="133"/>
        <v>150</v>
      </c>
      <c r="F549" s="28">
        <f t="shared" si="132"/>
        <v>465</v>
      </c>
      <c r="G549" s="27">
        <f>자재조서!E136</f>
        <v>150</v>
      </c>
      <c r="H549" s="28">
        <f t="shared" si="134"/>
        <v>465</v>
      </c>
      <c r="I549" s="27">
        <v>0</v>
      </c>
      <c r="J549" s="28"/>
      <c r="K549" s="27">
        <v>0</v>
      </c>
      <c r="L549" s="28"/>
      <c r="M549" s="86" t="s">
        <v>2856</v>
      </c>
      <c r="N549" t="s">
        <v>2856</v>
      </c>
      <c r="P549" t="s">
        <v>2428</v>
      </c>
      <c r="Q549" t="s">
        <v>2856</v>
      </c>
      <c r="R549" t="s">
        <v>794</v>
      </c>
      <c r="BI549" s="34" t="str">
        <f>HYPERLINK("#자재조서!A130","MTP-110 →")</f>
        <v>MTP-110 →</v>
      </c>
    </row>
    <row r="550" spans="1:61" ht="18.399999999999999" hidden="1" customHeight="1" x14ac:dyDescent="0.15">
      <c r="A550" s="2" t="s">
        <v>1734</v>
      </c>
      <c r="B550" s="87" t="s">
        <v>2741</v>
      </c>
      <c r="C550" s="2">
        <v>0.51</v>
      </c>
      <c r="D550" s="2" t="s">
        <v>1674</v>
      </c>
      <c r="E550" s="27">
        <f t="shared" si="133"/>
        <v>1245</v>
      </c>
      <c r="F550" s="28">
        <f t="shared" si="132"/>
        <v>634.9</v>
      </c>
      <c r="G550" s="27">
        <f>자재조서!E138</f>
        <v>1245</v>
      </c>
      <c r="H550" s="28">
        <f t="shared" si="134"/>
        <v>634.9</v>
      </c>
      <c r="I550" s="27">
        <v>0</v>
      </c>
      <c r="J550" s="28"/>
      <c r="K550" s="27">
        <v>0</v>
      </c>
      <c r="L550" s="28"/>
      <c r="M550" s="86" t="s">
        <v>2856</v>
      </c>
      <c r="N550" t="s">
        <v>2856</v>
      </c>
      <c r="P550" t="s">
        <v>1686</v>
      </c>
      <c r="Q550" t="s">
        <v>2856</v>
      </c>
      <c r="R550" t="s">
        <v>1046</v>
      </c>
      <c r="BI550" s="34" t="str">
        <f>HYPERLINK("#자재조서!A132","MTP-131 →")</f>
        <v>MTP-131 →</v>
      </c>
    </row>
    <row r="551" spans="1:61" ht="18.399999999999999" hidden="1" customHeight="1" x14ac:dyDescent="0.15">
      <c r="A551" s="1"/>
      <c r="B551" s="87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87"/>
    </row>
    <row r="552" spans="1:61" ht="18.399999999999999" hidden="1" customHeight="1" x14ac:dyDescent="0.15">
      <c r="A552" s="2" t="s">
        <v>1249</v>
      </c>
      <c r="B552" s="87" t="s">
        <v>2159</v>
      </c>
      <c r="C552" s="2">
        <v>1</v>
      </c>
      <c r="D552" s="2" t="s">
        <v>556</v>
      </c>
      <c r="E552" s="184"/>
      <c r="F552" s="29">
        <f t="shared" ref="F552:F558" si="135">H552+J552+L552</f>
        <v>620822</v>
      </c>
      <c r="G552" s="184"/>
      <c r="H552" s="29">
        <f>TRUNC(H553+H554+H556+H557+H558,0)</f>
        <v>71984</v>
      </c>
      <c r="I552" s="184"/>
      <c r="J552" s="29">
        <f>TRUNC(J553+J554+J556+J557+J558,0)</f>
        <v>443066</v>
      </c>
      <c r="K552" s="184"/>
      <c r="L552" s="29">
        <f>TRUNC(L553+L554+L556+L557+L558,0)</f>
        <v>105772</v>
      </c>
      <c r="M552" s="86" t="s">
        <v>2856</v>
      </c>
      <c r="N552" t="s">
        <v>2856</v>
      </c>
      <c r="O552" t="s">
        <v>534</v>
      </c>
    </row>
    <row r="553" spans="1:61" ht="18.399999999999999" hidden="1" customHeight="1" x14ac:dyDescent="0.15">
      <c r="A553" s="2" t="s">
        <v>1869</v>
      </c>
      <c r="B553" s="87" t="s">
        <v>2192</v>
      </c>
      <c r="C553" s="2">
        <v>1</v>
      </c>
      <c r="D553" s="2" t="s">
        <v>556</v>
      </c>
      <c r="E553" s="27">
        <f t="shared" ref="E553:E558" si="136">G553+I553+K553</f>
        <v>598895</v>
      </c>
      <c r="F553" s="28">
        <f t="shared" si="135"/>
        <v>598895</v>
      </c>
      <c r="G553" s="27">
        <f>일위대가목록!F217</f>
        <v>50057</v>
      </c>
      <c r="H553" s="28">
        <f t="shared" ref="H553:H558" si="137">TRUNC(G553*C553,1)</f>
        <v>50057</v>
      </c>
      <c r="I553" s="27">
        <f>일위대가목록!H217</f>
        <v>443066</v>
      </c>
      <c r="J553" s="28">
        <f>TRUNC(I553*C553,1)</f>
        <v>443066</v>
      </c>
      <c r="K553" s="27">
        <f>일위대가목록!J217</f>
        <v>105772</v>
      </c>
      <c r="L553" s="28">
        <f>TRUNC(K553*C553,1)</f>
        <v>105772</v>
      </c>
      <c r="M553" s="86" t="s">
        <v>2856</v>
      </c>
      <c r="N553" t="s">
        <v>2856</v>
      </c>
      <c r="P553" t="s">
        <v>2471</v>
      </c>
      <c r="Q553" t="s">
        <v>2856</v>
      </c>
      <c r="R553" t="s">
        <v>2141</v>
      </c>
      <c r="T553" t="s">
        <v>1778</v>
      </c>
      <c r="BI553" s="34" t="str">
        <f>HYPERLINK("#일위대가목록!A212","NT205-25 →")</f>
        <v>NT205-25 →</v>
      </c>
    </row>
    <row r="554" spans="1:61" ht="18.399999999999999" hidden="1" customHeight="1" x14ac:dyDescent="0.15">
      <c r="A554" s="2" t="s">
        <v>300</v>
      </c>
      <c r="B554" s="87" t="s">
        <v>1807</v>
      </c>
      <c r="C554" s="2">
        <v>1</v>
      </c>
      <c r="D554" s="2" t="s">
        <v>1302</v>
      </c>
      <c r="E554" s="27">
        <f t="shared" si="136"/>
        <v>17700</v>
      </c>
      <c r="F554" s="28">
        <f t="shared" si="135"/>
        <v>17700</v>
      </c>
      <c r="G554" s="27">
        <f>자재조서!E132</f>
        <v>17700</v>
      </c>
      <c r="H554" s="28">
        <f t="shared" si="137"/>
        <v>17700</v>
      </c>
      <c r="I554" s="27">
        <v>0</v>
      </c>
      <c r="J554" s="28"/>
      <c r="K554" s="27">
        <v>0</v>
      </c>
      <c r="L554" s="28"/>
      <c r="M554" s="86" t="s">
        <v>2856</v>
      </c>
      <c r="N554" t="s">
        <v>2856</v>
      </c>
      <c r="P554" t="s">
        <v>1741</v>
      </c>
      <c r="Q554" t="s">
        <v>2856</v>
      </c>
      <c r="R554" t="s">
        <v>1011</v>
      </c>
      <c r="BI554" s="34" t="str">
        <f>HYPERLINK("#자재조서!A126","MTP-039 →")</f>
        <v>MTP-039 →</v>
      </c>
    </row>
    <row r="555" spans="1:61" ht="18.399999999999999" hidden="1" customHeight="1" x14ac:dyDescent="0.15">
      <c r="A555" s="2" t="s">
        <v>261</v>
      </c>
      <c r="B555" s="87" t="s">
        <v>2437</v>
      </c>
      <c r="C555" s="2">
        <v>20</v>
      </c>
      <c r="D555" s="2" t="s">
        <v>1674</v>
      </c>
      <c r="E555" s="27">
        <f t="shared" si="136"/>
        <v>433</v>
      </c>
      <c r="F555" s="28">
        <f t="shared" si="135"/>
        <v>8660</v>
      </c>
      <c r="G555" s="27">
        <f>자재조서!E129</f>
        <v>433</v>
      </c>
      <c r="H555" s="28">
        <f t="shared" si="137"/>
        <v>8660</v>
      </c>
      <c r="I555" s="27">
        <v>0</v>
      </c>
      <c r="J555" s="28"/>
      <c r="K555" s="27">
        <v>0</v>
      </c>
      <c r="L555" s="28"/>
      <c r="M555" s="86" t="s">
        <v>2856</v>
      </c>
      <c r="N555" t="s">
        <v>2856</v>
      </c>
      <c r="P555" t="s">
        <v>1036</v>
      </c>
      <c r="Q555" t="s">
        <v>1839</v>
      </c>
      <c r="R555" t="s">
        <v>1422</v>
      </c>
      <c r="BI555" s="34" t="str">
        <f>HYPERLINK("#자재조서!A123","MTP-010 →")</f>
        <v>MTP-010 →</v>
      </c>
    </row>
    <row r="556" spans="1:61" ht="18.399999999999999" hidden="1" customHeight="1" x14ac:dyDescent="0.15">
      <c r="A556" s="2" t="s">
        <v>2029</v>
      </c>
      <c r="B556" s="87" t="s">
        <v>1936</v>
      </c>
      <c r="C556" s="2">
        <v>29</v>
      </c>
      <c r="D556" s="2" t="s">
        <v>1086</v>
      </c>
      <c r="E556" s="27">
        <f t="shared" si="136"/>
        <v>40</v>
      </c>
      <c r="F556" s="28">
        <f t="shared" si="135"/>
        <v>1160</v>
      </c>
      <c r="G556" s="27">
        <f>자재조서!E137</f>
        <v>40</v>
      </c>
      <c r="H556" s="28">
        <f t="shared" si="137"/>
        <v>1160</v>
      </c>
      <c r="I556" s="27">
        <v>0</v>
      </c>
      <c r="J556" s="28"/>
      <c r="K556" s="27">
        <v>0</v>
      </c>
      <c r="L556" s="28"/>
      <c r="M556" s="86" t="s">
        <v>2856</v>
      </c>
      <c r="N556" t="s">
        <v>2856</v>
      </c>
      <c r="P556" t="s">
        <v>286</v>
      </c>
      <c r="Q556" t="s">
        <v>2856</v>
      </c>
      <c r="R556" t="s">
        <v>316</v>
      </c>
      <c r="BI556" s="34" t="str">
        <f>HYPERLINK("#자재조서!A131","MTP-121 →")</f>
        <v>MTP-121 →</v>
      </c>
    </row>
    <row r="557" spans="1:61" ht="18.399999999999999" hidden="1" customHeight="1" x14ac:dyDescent="0.15">
      <c r="A557" s="2" t="s">
        <v>694</v>
      </c>
      <c r="B557" s="87" t="s">
        <v>1038</v>
      </c>
      <c r="C557" s="2">
        <v>8.5</v>
      </c>
      <c r="D557" s="2" t="s">
        <v>1086</v>
      </c>
      <c r="E557" s="27">
        <f t="shared" si="136"/>
        <v>150</v>
      </c>
      <c r="F557" s="28">
        <f t="shared" si="135"/>
        <v>1275</v>
      </c>
      <c r="G557" s="27">
        <f>자재조서!E136</f>
        <v>150</v>
      </c>
      <c r="H557" s="28">
        <f t="shared" si="137"/>
        <v>1275</v>
      </c>
      <c r="I557" s="27">
        <v>0</v>
      </c>
      <c r="J557" s="28"/>
      <c r="K557" s="27">
        <v>0</v>
      </c>
      <c r="L557" s="28"/>
      <c r="M557" s="86" t="s">
        <v>2856</v>
      </c>
      <c r="N557" t="s">
        <v>2856</v>
      </c>
      <c r="P557" t="s">
        <v>2428</v>
      </c>
      <c r="Q557" t="s">
        <v>2856</v>
      </c>
      <c r="R557" t="s">
        <v>794</v>
      </c>
      <c r="BI557" s="34" t="str">
        <f>HYPERLINK("#자재조서!A130","MTP-110 →")</f>
        <v>MTP-110 →</v>
      </c>
    </row>
    <row r="558" spans="1:61" ht="18.399999999999999" hidden="1" customHeight="1" x14ac:dyDescent="0.15">
      <c r="A558" s="2" t="s">
        <v>1734</v>
      </c>
      <c r="B558" s="87" t="s">
        <v>2741</v>
      </c>
      <c r="C558" s="2">
        <v>1.44</v>
      </c>
      <c r="D558" s="2" t="s">
        <v>1674</v>
      </c>
      <c r="E558" s="27">
        <f t="shared" si="136"/>
        <v>1245</v>
      </c>
      <c r="F558" s="28">
        <f t="shared" si="135"/>
        <v>1792.8</v>
      </c>
      <c r="G558" s="27">
        <f>자재조서!E138</f>
        <v>1245</v>
      </c>
      <c r="H558" s="28">
        <f t="shared" si="137"/>
        <v>1792.8</v>
      </c>
      <c r="I558" s="27">
        <v>0</v>
      </c>
      <c r="J558" s="28"/>
      <c r="K558" s="27">
        <v>0</v>
      </c>
      <c r="L558" s="28"/>
      <c r="M558" s="86" t="s">
        <v>2856</v>
      </c>
      <c r="N558" t="s">
        <v>2856</v>
      </c>
      <c r="P558" t="s">
        <v>1686</v>
      </c>
      <c r="Q558" t="s">
        <v>2856</v>
      </c>
      <c r="R558" t="s">
        <v>1046</v>
      </c>
      <c r="BI558" s="34" t="str">
        <f>HYPERLINK("#자재조서!A132","MTP-131 →")</f>
        <v>MTP-131 →</v>
      </c>
    </row>
    <row r="559" spans="1:61" ht="18.399999999999999" hidden="1" customHeight="1" x14ac:dyDescent="0.15">
      <c r="A559" s="1"/>
      <c r="B559" s="87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87"/>
    </row>
    <row r="560" spans="1:61" ht="18.399999999999999" hidden="1" customHeight="1" x14ac:dyDescent="0.15">
      <c r="A560" s="2" t="s">
        <v>233</v>
      </c>
      <c r="B560" s="87" t="s">
        <v>523</v>
      </c>
      <c r="C560" s="2">
        <v>1</v>
      </c>
      <c r="D560" s="2" t="s">
        <v>556</v>
      </c>
      <c r="E560" s="184"/>
      <c r="F560" s="29">
        <f t="shared" ref="F560:F566" si="138">H560+J560+L560</f>
        <v>306244</v>
      </c>
      <c r="G560" s="184"/>
      <c r="H560" s="29">
        <f>TRUNC(H561+H562+H564+H565+H566,0)</f>
        <v>45801</v>
      </c>
      <c r="I560" s="184"/>
      <c r="J560" s="29">
        <f>TRUNC(J561+J562+J564+J565+J566,0)</f>
        <v>236423</v>
      </c>
      <c r="K560" s="184"/>
      <c r="L560" s="29">
        <f>TRUNC(L561+L562+L564+L565+L566,0)</f>
        <v>24020</v>
      </c>
      <c r="M560" s="86" t="s">
        <v>2856</v>
      </c>
      <c r="N560" t="s">
        <v>2856</v>
      </c>
      <c r="O560" t="s">
        <v>1867</v>
      </c>
    </row>
    <row r="561" spans="1:61" ht="18.399999999999999" hidden="1" customHeight="1" x14ac:dyDescent="0.15">
      <c r="A561" s="2" t="s">
        <v>1869</v>
      </c>
      <c r="B561" s="87" t="s">
        <v>2568</v>
      </c>
      <c r="C561" s="2">
        <v>1</v>
      </c>
      <c r="D561" s="2" t="s">
        <v>556</v>
      </c>
      <c r="E561" s="27">
        <f t="shared" ref="E561:E566" si="139">G561+I561+K561</f>
        <v>285065</v>
      </c>
      <c r="F561" s="28">
        <f t="shared" si="138"/>
        <v>285065</v>
      </c>
      <c r="G561" s="27">
        <f>일위대가목록!F221</f>
        <v>24622</v>
      </c>
      <c r="H561" s="28">
        <f t="shared" ref="H561:H566" si="140">TRUNC(G561*C561,1)</f>
        <v>24622</v>
      </c>
      <c r="I561" s="27">
        <f>일위대가목록!H221</f>
        <v>236423</v>
      </c>
      <c r="J561" s="28">
        <f>TRUNC(I561*C561,1)</f>
        <v>236423</v>
      </c>
      <c r="K561" s="27">
        <f>일위대가목록!J221</f>
        <v>24020</v>
      </c>
      <c r="L561" s="28">
        <f>TRUNC(K561*C561,1)</f>
        <v>24020</v>
      </c>
      <c r="M561" s="86" t="s">
        <v>2856</v>
      </c>
      <c r="N561" t="s">
        <v>2856</v>
      </c>
      <c r="P561" t="s">
        <v>2471</v>
      </c>
      <c r="Q561" t="s">
        <v>2856</v>
      </c>
      <c r="R561" t="s">
        <v>520</v>
      </c>
      <c r="T561" t="s">
        <v>1778</v>
      </c>
      <c r="BI561" s="34" t="str">
        <f>HYPERLINK("#일위대가목록!A216","NT205-20 →")</f>
        <v>NT205-20 →</v>
      </c>
    </row>
    <row r="562" spans="1:61" ht="18.399999999999999" hidden="1" customHeight="1" x14ac:dyDescent="0.15">
      <c r="A562" s="2" t="s">
        <v>300</v>
      </c>
      <c r="B562" s="87" t="s">
        <v>1807</v>
      </c>
      <c r="C562" s="2">
        <v>1</v>
      </c>
      <c r="D562" s="2" t="s">
        <v>1302</v>
      </c>
      <c r="E562" s="27">
        <f t="shared" si="139"/>
        <v>17700</v>
      </c>
      <c r="F562" s="28">
        <f t="shared" si="138"/>
        <v>17700</v>
      </c>
      <c r="G562" s="27">
        <f>자재조서!E132</f>
        <v>17700</v>
      </c>
      <c r="H562" s="28">
        <f t="shared" si="140"/>
        <v>17700</v>
      </c>
      <c r="I562" s="27">
        <v>0</v>
      </c>
      <c r="J562" s="28"/>
      <c r="K562" s="27">
        <v>0</v>
      </c>
      <c r="L562" s="28"/>
      <c r="M562" s="86" t="s">
        <v>2856</v>
      </c>
      <c r="N562" t="s">
        <v>2856</v>
      </c>
      <c r="P562" t="s">
        <v>1741</v>
      </c>
      <c r="Q562" t="s">
        <v>2856</v>
      </c>
      <c r="R562" t="s">
        <v>1011</v>
      </c>
      <c r="BI562" s="34" t="str">
        <f>HYPERLINK("#자재조서!A126","MTP-039 →")</f>
        <v>MTP-039 →</v>
      </c>
    </row>
    <row r="563" spans="1:61" ht="18.399999999999999" hidden="1" customHeight="1" x14ac:dyDescent="0.15">
      <c r="A563" s="2" t="s">
        <v>261</v>
      </c>
      <c r="B563" s="87" t="s">
        <v>2437</v>
      </c>
      <c r="C563" s="2">
        <v>20</v>
      </c>
      <c r="D563" s="2" t="s">
        <v>1674</v>
      </c>
      <c r="E563" s="27">
        <f t="shared" si="139"/>
        <v>433</v>
      </c>
      <c r="F563" s="28">
        <f t="shared" si="138"/>
        <v>8660</v>
      </c>
      <c r="G563" s="27">
        <f>자재조서!E129</f>
        <v>433</v>
      </c>
      <c r="H563" s="28">
        <f t="shared" si="140"/>
        <v>8660</v>
      </c>
      <c r="I563" s="27">
        <v>0</v>
      </c>
      <c r="J563" s="28"/>
      <c r="K563" s="27">
        <v>0</v>
      </c>
      <c r="L563" s="28"/>
      <c r="M563" s="86" t="s">
        <v>2856</v>
      </c>
      <c r="N563" t="s">
        <v>2856</v>
      </c>
      <c r="P563" t="s">
        <v>1036</v>
      </c>
      <c r="Q563" t="s">
        <v>1839</v>
      </c>
      <c r="R563" t="s">
        <v>1422</v>
      </c>
      <c r="BI563" s="34" t="str">
        <f>HYPERLINK("#자재조서!A123","MTP-010 →")</f>
        <v>MTP-010 →</v>
      </c>
    </row>
    <row r="564" spans="1:61" ht="18.399999999999999" hidden="1" customHeight="1" x14ac:dyDescent="0.15">
      <c r="A564" s="2" t="s">
        <v>2029</v>
      </c>
      <c r="B564" s="87" t="s">
        <v>1936</v>
      </c>
      <c r="C564" s="2">
        <v>25</v>
      </c>
      <c r="D564" s="2" t="s">
        <v>1086</v>
      </c>
      <c r="E564" s="27">
        <f t="shared" si="139"/>
        <v>40</v>
      </c>
      <c r="F564" s="28">
        <f t="shared" si="138"/>
        <v>1000</v>
      </c>
      <c r="G564" s="27">
        <f>자재조서!E137</f>
        <v>40</v>
      </c>
      <c r="H564" s="28">
        <f t="shared" si="140"/>
        <v>1000</v>
      </c>
      <c r="I564" s="27">
        <v>0</v>
      </c>
      <c r="J564" s="28"/>
      <c r="K564" s="27">
        <v>0</v>
      </c>
      <c r="L564" s="28"/>
      <c r="M564" s="86" t="s">
        <v>2856</v>
      </c>
      <c r="N564" t="s">
        <v>2856</v>
      </c>
      <c r="P564" t="s">
        <v>286</v>
      </c>
      <c r="Q564" t="s">
        <v>2856</v>
      </c>
      <c r="R564" t="s">
        <v>316</v>
      </c>
      <c r="BI564" s="34" t="str">
        <f>HYPERLINK("#자재조서!A131","MTP-121 →")</f>
        <v>MTP-121 →</v>
      </c>
    </row>
    <row r="565" spans="1:61" ht="18.399999999999999" hidden="1" customHeight="1" x14ac:dyDescent="0.15">
      <c r="A565" s="2" t="s">
        <v>694</v>
      </c>
      <c r="B565" s="87" t="s">
        <v>1038</v>
      </c>
      <c r="C565" s="2">
        <v>6.9</v>
      </c>
      <c r="D565" s="2" t="s">
        <v>1086</v>
      </c>
      <c r="E565" s="27">
        <f t="shared" si="139"/>
        <v>150</v>
      </c>
      <c r="F565" s="28">
        <f t="shared" si="138"/>
        <v>1035</v>
      </c>
      <c r="G565" s="27">
        <f>자재조서!E136</f>
        <v>150</v>
      </c>
      <c r="H565" s="28">
        <f t="shared" si="140"/>
        <v>1035</v>
      </c>
      <c r="I565" s="27">
        <v>0</v>
      </c>
      <c r="J565" s="28"/>
      <c r="K565" s="27">
        <v>0</v>
      </c>
      <c r="L565" s="28"/>
      <c r="M565" s="86" t="s">
        <v>2856</v>
      </c>
      <c r="N565" t="s">
        <v>2856</v>
      </c>
      <c r="P565" t="s">
        <v>2428</v>
      </c>
      <c r="Q565" t="s">
        <v>2856</v>
      </c>
      <c r="R565" t="s">
        <v>794</v>
      </c>
      <c r="BI565" s="34" t="str">
        <f>HYPERLINK("#자재조서!A130","MTP-110 →")</f>
        <v>MTP-110 →</v>
      </c>
    </row>
    <row r="566" spans="1:61" ht="18.399999999999999" hidden="1" customHeight="1" x14ac:dyDescent="0.15">
      <c r="A566" s="2" t="s">
        <v>1734</v>
      </c>
      <c r="B566" s="87" t="s">
        <v>2741</v>
      </c>
      <c r="C566" s="2">
        <v>1.1599999999999999</v>
      </c>
      <c r="D566" s="2" t="s">
        <v>1674</v>
      </c>
      <c r="E566" s="27">
        <f t="shared" si="139"/>
        <v>1245</v>
      </c>
      <c r="F566" s="28">
        <f t="shared" si="138"/>
        <v>1444.2</v>
      </c>
      <c r="G566" s="27">
        <f>자재조서!E138</f>
        <v>1245</v>
      </c>
      <c r="H566" s="28">
        <f t="shared" si="140"/>
        <v>1444.2</v>
      </c>
      <c r="I566" s="27">
        <v>0</v>
      </c>
      <c r="J566" s="28"/>
      <c r="K566" s="27">
        <v>0</v>
      </c>
      <c r="L566" s="28"/>
      <c r="M566" s="86" t="s">
        <v>2856</v>
      </c>
      <c r="N566" t="s">
        <v>2856</v>
      </c>
      <c r="P566" t="s">
        <v>1686</v>
      </c>
      <c r="Q566" t="s">
        <v>2856</v>
      </c>
      <c r="R566" t="s">
        <v>1046</v>
      </c>
      <c r="BI566" s="34" t="str">
        <f>HYPERLINK("#자재조서!A132","MTP-131 →")</f>
        <v>MTP-131 →</v>
      </c>
    </row>
    <row r="567" spans="1:61" ht="18.399999999999999" hidden="1" customHeight="1" x14ac:dyDescent="0.15">
      <c r="A567" s="1"/>
      <c r="B567" s="87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87"/>
    </row>
    <row r="568" spans="1:61" ht="18.399999999999999" hidden="1" customHeight="1" x14ac:dyDescent="0.15">
      <c r="A568" s="2" t="s">
        <v>2739</v>
      </c>
      <c r="B568" s="87" t="s">
        <v>1567</v>
      </c>
      <c r="C568" s="2">
        <v>1</v>
      </c>
      <c r="D568" s="2" t="s">
        <v>556</v>
      </c>
      <c r="E568" s="184"/>
      <c r="F568" s="29">
        <f t="shared" ref="F568:F574" si="141">H568+J568+L568</f>
        <v>305373</v>
      </c>
      <c r="G568" s="184"/>
      <c r="H568" s="29">
        <f>TRUNC(H569+H570+H572+H573+H574,0)</f>
        <v>44930</v>
      </c>
      <c r="I568" s="184"/>
      <c r="J568" s="29">
        <f>TRUNC(J569+J570+J572+J573+J574,0)</f>
        <v>236423</v>
      </c>
      <c r="K568" s="184"/>
      <c r="L568" s="29">
        <f>TRUNC(L569+L570+L572+L573+L574,0)</f>
        <v>24020</v>
      </c>
      <c r="M568" s="86" t="s">
        <v>2856</v>
      </c>
      <c r="N568" t="s">
        <v>2856</v>
      </c>
      <c r="O568" t="s">
        <v>724</v>
      </c>
    </row>
    <row r="569" spans="1:61" ht="18.399999999999999" hidden="1" customHeight="1" x14ac:dyDescent="0.15">
      <c r="A569" s="2" t="s">
        <v>1869</v>
      </c>
      <c r="B569" s="87" t="s">
        <v>2568</v>
      </c>
      <c r="C569" s="2">
        <v>1</v>
      </c>
      <c r="D569" s="2" t="s">
        <v>556</v>
      </c>
      <c r="E569" s="27">
        <f t="shared" ref="E569:E574" si="142">G569+I569+K569</f>
        <v>285065</v>
      </c>
      <c r="F569" s="28">
        <f t="shared" si="141"/>
        <v>285065</v>
      </c>
      <c r="G569" s="27">
        <f>일위대가목록!F221</f>
        <v>24622</v>
      </c>
      <c r="H569" s="28">
        <f t="shared" ref="H569:H574" si="143">TRUNC(G569*C569,1)</f>
        <v>24622</v>
      </c>
      <c r="I569" s="27">
        <f>일위대가목록!H221</f>
        <v>236423</v>
      </c>
      <c r="J569" s="28">
        <f>TRUNC(I569*C569,1)</f>
        <v>236423</v>
      </c>
      <c r="K569" s="27">
        <f>일위대가목록!J221</f>
        <v>24020</v>
      </c>
      <c r="L569" s="28">
        <f>TRUNC(K569*C569,1)</f>
        <v>24020</v>
      </c>
      <c r="M569" s="86" t="s">
        <v>2856</v>
      </c>
      <c r="N569" t="s">
        <v>2856</v>
      </c>
      <c r="P569" t="s">
        <v>2471</v>
      </c>
      <c r="Q569" t="s">
        <v>2856</v>
      </c>
      <c r="R569" t="s">
        <v>520</v>
      </c>
      <c r="T569" t="s">
        <v>1778</v>
      </c>
      <c r="BI569" s="34" t="str">
        <f>HYPERLINK("#일위대가목록!A216","NT205-20 →")</f>
        <v>NT205-20 →</v>
      </c>
    </row>
    <row r="570" spans="1:61" ht="18.399999999999999" hidden="1" customHeight="1" x14ac:dyDescent="0.15">
      <c r="A570" s="2" t="s">
        <v>300</v>
      </c>
      <c r="B570" s="87" t="s">
        <v>1807</v>
      </c>
      <c r="C570" s="2">
        <v>1</v>
      </c>
      <c r="D570" s="2" t="s">
        <v>1302</v>
      </c>
      <c r="E570" s="27">
        <f t="shared" si="142"/>
        <v>17700</v>
      </c>
      <c r="F570" s="28">
        <f t="shared" si="141"/>
        <v>17700</v>
      </c>
      <c r="G570" s="27">
        <f>자재조서!E132</f>
        <v>17700</v>
      </c>
      <c r="H570" s="28">
        <f t="shared" si="143"/>
        <v>17700</v>
      </c>
      <c r="I570" s="27">
        <v>0</v>
      </c>
      <c r="J570" s="28"/>
      <c r="K570" s="27">
        <v>0</v>
      </c>
      <c r="L570" s="28"/>
      <c r="M570" s="86" t="s">
        <v>2856</v>
      </c>
      <c r="N570" t="s">
        <v>2856</v>
      </c>
      <c r="P570" t="s">
        <v>1741</v>
      </c>
      <c r="Q570" t="s">
        <v>2856</v>
      </c>
      <c r="R570" t="s">
        <v>1011</v>
      </c>
      <c r="BI570" s="34" t="str">
        <f>HYPERLINK("#자재조서!A126","MTP-039 →")</f>
        <v>MTP-039 →</v>
      </c>
    </row>
    <row r="571" spans="1:61" ht="18.399999999999999" hidden="1" customHeight="1" x14ac:dyDescent="0.15">
      <c r="A571" s="2" t="s">
        <v>261</v>
      </c>
      <c r="B571" s="87" t="s">
        <v>2437</v>
      </c>
      <c r="C571" s="2">
        <v>20</v>
      </c>
      <c r="D571" s="2" t="s">
        <v>1674</v>
      </c>
      <c r="E571" s="27">
        <f t="shared" si="142"/>
        <v>433</v>
      </c>
      <c r="F571" s="28">
        <f t="shared" si="141"/>
        <v>8660</v>
      </c>
      <c r="G571" s="27">
        <f>자재조서!E129</f>
        <v>433</v>
      </c>
      <c r="H571" s="28">
        <f t="shared" si="143"/>
        <v>8660</v>
      </c>
      <c r="I571" s="27">
        <v>0</v>
      </c>
      <c r="J571" s="28"/>
      <c r="K571" s="27">
        <v>0</v>
      </c>
      <c r="L571" s="28"/>
      <c r="M571" s="86" t="s">
        <v>2856</v>
      </c>
      <c r="N571" t="s">
        <v>2856</v>
      </c>
      <c r="P571" t="s">
        <v>1036</v>
      </c>
      <c r="Q571" t="s">
        <v>1839</v>
      </c>
      <c r="R571" t="s">
        <v>1422</v>
      </c>
      <c r="BI571" s="34" t="str">
        <f>HYPERLINK("#자재조서!A123","MTP-010 →")</f>
        <v>MTP-010 →</v>
      </c>
    </row>
    <row r="572" spans="1:61" ht="18.399999999999999" hidden="1" customHeight="1" x14ac:dyDescent="0.15">
      <c r="A572" s="2" t="s">
        <v>2029</v>
      </c>
      <c r="B572" s="87" t="s">
        <v>1936</v>
      </c>
      <c r="C572" s="2">
        <v>22</v>
      </c>
      <c r="D572" s="2" t="s">
        <v>1086</v>
      </c>
      <c r="E572" s="27">
        <f t="shared" si="142"/>
        <v>40</v>
      </c>
      <c r="F572" s="28">
        <f t="shared" si="141"/>
        <v>880</v>
      </c>
      <c r="G572" s="27">
        <f>자재조서!E137</f>
        <v>40</v>
      </c>
      <c r="H572" s="28">
        <f t="shared" si="143"/>
        <v>880</v>
      </c>
      <c r="I572" s="27">
        <v>0</v>
      </c>
      <c r="J572" s="28"/>
      <c r="K572" s="27">
        <v>0</v>
      </c>
      <c r="L572" s="28"/>
      <c r="M572" s="86" t="s">
        <v>2856</v>
      </c>
      <c r="N572" t="s">
        <v>2856</v>
      </c>
      <c r="P572" t="s">
        <v>286</v>
      </c>
      <c r="Q572" t="s">
        <v>2856</v>
      </c>
      <c r="R572" t="s">
        <v>316</v>
      </c>
      <c r="BI572" s="34" t="str">
        <f>HYPERLINK("#자재조서!A131","MTP-121 →")</f>
        <v>MTP-121 →</v>
      </c>
    </row>
    <row r="573" spans="1:61" ht="18.399999999999999" hidden="1" customHeight="1" x14ac:dyDescent="0.15">
      <c r="A573" s="2" t="s">
        <v>694</v>
      </c>
      <c r="B573" s="87" t="s">
        <v>1038</v>
      </c>
      <c r="C573" s="2">
        <v>4.8</v>
      </c>
      <c r="D573" s="2" t="s">
        <v>1086</v>
      </c>
      <c r="E573" s="27">
        <f t="shared" si="142"/>
        <v>150</v>
      </c>
      <c r="F573" s="28">
        <f t="shared" si="141"/>
        <v>720</v>
      </c>
      <c r="G573" s="27">
        <f>자재조서!E136</f>
        <v>150</v>
      </c>
      <c r="H573" s="28">
        <f t="shared" si="143"/>
        <v>720</v>
      </c>
      <c r="I573" s="27">
        <v>0</v>
      </c>
      <c r="J573" s="28"/>
      <c r="K573" s="27">
        <v>0</v>
      </c>
      <c r="L573" s="28"/>
      <c r="M573" s="86" t="s">
        <v>2856</v>
      </c>
      <c r="N573" t="s">
        <v>2856</v>
      </c>
      <c r="P573" t="s">
        <v>2428</v>
      </c>
      <c r="Q573" t="s">
        <v>2856</v>
      </c>
      <c r="R573" t="s">
        <v>794</v>
      </c>
      <c r="BI573" s="34" t="str">
        <f>HYPERLINK("#자재조서!A130","MTP-110 →")</f>
        <v>MTP-110 →</v>
      </c>
    </row>
    <row r="574" spans="1:61" ht="18.399999999999999" hidden="1" customHeight="1" x14ac:dyDescent="0.15">
      <c r="A574" s="2" t="s">
        <v>1734</v>
      </c>
      <c r="B574" s="87" t="s">
        <v>2741</v>
      </c>
      <c r="C574" s="2">
        <v>0.81</v>
      </c>
      <c r="D574" s="2" t="s">
        <v>1674</v>
      </c>
      <c r="E574" s="27">
        <f t="shared" si="142"/>
        <v>1245</v>
      </c>
      <c r="F574" s="28">
        <f t="shared" si="141"/>
        <v>1008.4</v>
      </c>
      <c r="G574" s="27">
        <f>자재조서!E138</f>
        <v>1245</v>
      </c>
      <c r="H574" s="28">
        <f t="shared" si="143"/>
        <v>1008.4</v>
      </c>
      <c r="I574" s="27">
        <v>0</v>
      </c>
      <c r="J574" s="28"/>
      <c r="K574" s="27">
        <v>0</v>
      </c>
      <c r="L574" s="28"/>
      <c r="M574" s="86" t="s">
        <v>2856</v>
      </c>
      <c r="N574" t="s">
        <v>2856</v>
      </c>
      <c r="P574" t="s">
        <v>1686</v>
      </c>
      <c r="Q574" t="s">
        <v>2856</v>
      </c>
      <c r="R574" t="s">
        <v>1046</v>
      </c>
      <c r="BI574" s="34" t="str">
        <f>HYPERLINK("#자재조서!A132","MTP-131 →")</f>
        <v>MTP-131 →</v>
      </c>
    </row>
    <row r="575" spans="1:61" ht="18.399999999999999" hidden="1" customHeight="1" x14ac:dyDescent="0.15">
      <c r="A575" s="1"/>
      <c r="B575" s="87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87"/>
    </row>
    <row r="576" spans="1:61" ht="18.399999999999999" hidden="1" customHeight="1" x14ac:dyDescent="0.15">
      <c r="A576" s="2" t="s">
        <v>48</v>
      </c>
      <c r="B576" s="87" t="s">
        <v>1187</v>
      </c>
      <c r="C576" s="2">
        <v>1</v>
      </c>
      <c r="D576" s="2" t="s">
        <v>556</v>
      </c>
      <c r="E576" s="184"/>
      <c r="F576" s="29">
        <f t="shared" ref="F576:F582" si="144">H576+J576+L576</f>
        <v>1210755</v>
      </c>
      <c r="G576" s="184"/>
      <c r="H576" s="29">
        <f>TRUNC(H577+H578+H580+H581+H582,0)</f>
        <v>144943</v>
      </c>
      <c r="I576" s="184"/>
      <c r="J576" s="29">
        <f>TRUNC(J577+J578+J580+J581+J582,0)</f>
        <v>785059</v>
      </c>
      <c r="K576" s="184"/>
      <c r="L576" s="29">
        <f>TRUNC(L577+L578+L580+L581+L582,0)</f>
        <v>280753</v>
      </c>
      <c r="M576" s="86" t="s">
        <v>2856</v>
      </c>
      <c r="N576" t="s">
        <v>2856</v>
      </c>
      <c r="O576" t="s">
        <v>2367</v>
      </c>
    </row>
    <row r="577" spans="1:61" ht="18.399999999999999" hidden="1" customHeight="1" x14ac:dyDescent="0.15">
      <c r="A577" s="2" t="s">
        <v>1869</v>
      </c>
      <c r="B577" s="87" t="s">
        <v>2526</v>
      </c>
      <c r="C577" s="2">
        <v>1</v>
      </c>
      <c r="D577" s="2" t="s">
        <v>556</v>
      </c>
      <c r="E577" s="27">
        <f t="shared" ref="E577:E582" si="145">G577+I577+K577</f>
        <v>1170507</v>
      </c>
      <c r="F577" s="28">
        <f t="shared" si="144"/>
        <v>1170507</v>
      </c>
      <c r="G577" s="27">
        <f>일위대가목록!F218</f>
        <v>104695</v>
      </c>
      <c r="H577" s="28">
        <f t="shared" ref="H577:H582" si="146">TRUNC(G577*C577,1)</f>
        <v>104695</v>
      </c>
      <c r="I577" s="27">
        <f>일위대가목록!H218</f>
        <v>785059</v>
      </c>
      <c r="J577" s="28">
        <f>TRUNC(I577*C577,1)</f>
        <v>785059</v>
      </c>
      <c r="K577" s="27">
        <f>일위대가목록!J218</f>
        <v>280753</v>
      </c>
      <c r="L577" s="28">
        <f>TRUNC(K577*C577,1)</f>
        <v>280753</v>
      </c>
      <c r="M577" s="86" t="s">
        <v>2856</v>
      </c>
      <c r="N577" t="s">
        <v>2856</v>
      </c>
      <c r="P577" t="s">
        <v>2471</v>
      </c>
      <c r="Q577" t="s">
        <v>2856</v>
      </c>
      <c r="R577" t="s">
        <v>2845</v>
      </c>
      <c r="T577" t="s">
        <v>1778</v>
      </c>
      <c r="BI577" s="34" t="str">
        <f>HYPERLINK("#일위대가목록!A213","NT205-35 →")</f>
        <v>NT205-35 →</v>
      </c>
    </row>
    <row r="578" spans="1:61" ht="18.399999999999999" hidden="1" customHeight="1" x14ac:dyDescent="0.15">
      <c r="A578" s="2" t="s">
        <v>834</v>
      </c>
      <c r="B578" s="87" t="s">
        <v>816</v>
      </c>
      <c r="C578" s="2">
        <v>1</v>
      </c>
      <c r="D578" s="2" t="s">
        <v>1302</v>
      </c>
      <c r="E578" s="27">
        <f t="shared" si="145"/>
        <v>24700</v>
      </c>
      <c r="F578" s="28">
        <f t="shared" si="144"/>
        <v>24700</v>
      </c>
      <c r="G578" s="27">
        <f>자재조서!E131</f>
        <v>24700</v>
      </c>
      <c r="H578" s="28">
        <f t="shared" si="146"/>
        <v>24700</v>
      </c>
      <c r="I578" s="27">
        <v>0</v>
      </c>
      <c r="J578" s="28"/>
      <c r="K578" s="27">
        <v>0</v>
      </c>
      <c r="L578" s="28"/>
      <c r="M578" s="86" t="s">
        <v>2856</v>
      </c>
      <c r="N578" t="s">
        <v>2856</v>
      </c>
      <c r="P578" t="s">
        <v>1741</v>
      </c>
      <c r="Q578" t="s">
        <v>2856</v>
      </c>
      <c r="R578" t="s">
        <v>2314</v>
      </c>
      <c r="BI578" s="34" t="str">
        <f>HYPERLINK("#자재조서!A125","MTP-038 →")</f>
        <v>MTP-038 →</v>
      </c>
    </row>
    <row r="579" spans="1:61" ht="18.399999999999999" hidden="1" customHeight="1" x14ac:dyDescent="0.15">
      <c r="A579" s="2" t="s">
        <v>261</v>
      </c>
      <c r="B579" s="87" t="s">
        <v>2437</v>
      </c>
      <c r="C579" s="2">
        <v>50</v>
      </c>
      <c r="D579" s="2" t="s">
        <v>1674</v>
      </c>
      <c r="E579" s="27">
        <f t="shared" si="145"/>
        <v>433</v>
      </c>
      <c r="F579" s="28">
        <f t="shared" si="144"/>
        <v>21650</v>
      </c>
      <c r="G579" s="27">
        <f>자재조서!E129</f>
        <v>433</v>
      </c>
      <c r="H579" s="28">
        <f t="shared" si="146"/>
        <v>21650</v>
      </c>
      <c r="I579" s="27">
        <v>0</v>
      </c>
      <c r="J579" s="28"/>
      <c r="K579" s="27">
        <v>0</v>
      </c>
      <c r="L579" s="28"/>
      <c r="M579" s="86" t="s">
        <v>2856</v>
      </c>
      <c r="N579" t="s">
        <v>2856</v>
      </c>
      <c r="P579" t="s">
        <v>1036</v>
      </c>
      <c r="Q579" t="s">
        <v>1839</v>
      </c>
      <c r="R579" t="s">
        <v>1422</v>
      </c>
      <c r="BI579" s="34" t="str">
        <f>HYPERLINK("#자재조서!A123","MTP-010 →")</f>
        <v>MTP-010 →</v>
      </c>
    </row>
    <row r="580" spans="1:61" ht="18.399999999999999" hidden="1" customHeight="1" x14ac:dyDescent="0.15">
      <c r="A580" s="2" t="s">
        <v>2029</v>
      </c>
      <c r="B580" s="87" t="s">
        <v>1936</v>
      </c>
      <c r="C580" s="2">
        <v>82.3</v>
      </c>
      <c r="D580" s="2" t="s">
        <v>1086</v>
      </c>
      <c r="E580" s="27">
        <f t="shared" si="145"/>
        <v>40</v>
      </c>
      <c r="F580" s="28">
        <f t="shared" si="144"/>
        <v>3292</v>
      </c>
      <c r="G580" s="27">
        <f>자재조서!E137</f>
        <v>40</v>
      </c>
      <c r="H580" s="28">
        <f t="shared" si="146"/>
        <v>3292</v>
      </c>
      <c r="I580" s="27">
        <v>0</v>
      </c>
      <c r="J580" s="28"/>
      <c r="K580" s="27">
        <v>0</v>
      </c>
      <c r="L580" s="28"/>
      <c r="M580" s="86" t="s">
        <v>2856</v>
      </c>
      <c r="N580" t="s">
        <v>2856</v>
      </c>
      <c r="P580" t="s">
        <v>286</v>
      </c>
      <c r="Q580" t="s">
        <v>2856</v>
      </c>
      <c r="R580" t="s">
        <v>316</v>
      </c>
      <c r="BI580" s="34" t="str">
        <f>HYPERLINK("#자재조서!A131","MTP-121 →")</f>
        <v>MTP-121 →</v>
      </c>
    </row>
    <row r="581" spans="1:61" ht="18.399999999999999" hidden="1" customHeight="1" x14ac:dyDescent="0.15">
      <c r="A581" s="2" t="s">
        <v>694</v>
      </c>
      <c r="B581" s="87" t="s">
        <v>1038</v>
      </c>
      <c r="C581" s="2">
        <v>33.9</v>
      </c>
      <c r="D581" s="2" t="s">
        <v>1086</v>
      </c>
      <c r="E581" s="27">
        <f t="shared" si="145"/>
        <v>150</v>
      </c>
      <c r="F581" s="28">
        <f t="shared" si="144"/>
        <v>5085</v>
      </c>
      <c r="G581" s="27">
        <f>자재조서!E136</f>
        <v>150</v>
      </c>
      <c r="H581" s="28">
        <f t="shared" si="146"/>
        <v>5085</v>
      </c>
      <c r="I581" s="27">
        <v>0</v>
      </c>
      <c r="J581" s="28"/>
      <c r="K581" s="27">
        <v>0</v>
      </c>
      <c r="L581" s="28"/>
      <c r="M581" s="86" t="s">
        <v>2856</v>
      </c>
      <c r="N581" t="s">
        <v>2856</v>
      </c>
      <c r="P581" t="s">
        <v>2428</v>
      </c>
      <c r="Q581" t="s">
        <v>2856</v>
      </c>
      <c r="R581" t="s">
        <v>794</v>
      </c>
      <c r="BI581" s="34" t="str">
        <f>HYPERLINK("#자재조서!A130","MTP-110 →")</f>
        <v>MTP-110 →</v>
      </c>
    </row>
    <row r="582" spans="1:61" ht="18.399999999999999" hidden="1" customHeight="1" x14ac:dyDescent="0.15">
      <c r="A582" s="2" t="s">
        <v>1734</v>
      </c>
      <c r="B582" s="87" t="s">
        <v>2741</v>
      </c>
      <c r="C582" s="2">
        <v>5.76</v>
      </c>
      <c r="D582" s="2" t="s">
        <v>1674</v>
      </c>
      <c r="E582" s="27">
        <f t="shared" si="145"/>
        <v>1245</v>
      </c>
      <c r="F582" s="28">
        <f t="shared" si="144"/>
        <v>7171.2</v>
      </c>
      <c r="G582" s="27">
        <f>자재조서!E138</f>
        <v>1245</v>
      </c>
      <c r="H582" s="28">
        <f t="shared" si="146"/>
        <v>7171.2</v>
      </c>
      <c r="I582" s="27">
        <v>0</v>
      </c>
      <c r="J582" s="28"/>
      <c r="K582" s="27">
        <v>0</v>
      </c>
      <c r="L582" s="28"/>
      <c r="M582" s="86" t="s">
        <v>2856</v>
      </c>
      <c r="N582" t="s">
        <v>2856</v>
      </c>
      <c r="P582" t="s">
        <v>1686</v>
      </c>
      <c r="Q582" t="s">
        <v>2856</v>
      </c>
      <c r="R582" t="s">
        <v>1046</v>
      </c>
      <c r="BI582" s="34" t="str">
        <f>HYPERLINK("#자재조서!A132","MTP-131 →")</f>
        <v>MTP-131 →</v>
      </c>
    </row>
    <row r="583" spans="1:61" ht="18.399999999999999" hidden="1" customHeight="1" x14ac:dyDescent="0.15">
      <c r="A583" s="1"/>
      <c r="B583" s="87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87"/>
    </row>
    <row r="584" spans="1:61" ht="18.399999999999999" hidden="1" customHeight="1" x14ac:dyDescent="0.15">
      <c r="A584" s="2" t="s">
        <v>733</v>
      </c>
      <c r="B584" s="87" t="s">
        <v>2322</v>
      </c>
      <c r="C584" s="2">
        <v>1</v>
      </c>
      <c r="D584" s="2" t="s">
        <v>556</v>
      </c>
      <c r="E584" s="184"/>
      <c r="F584" s="29">
        <f t="shared" ref="F584:F590" si="147">H584+J584+L584</f>
        <v>252669</v>
      </c>
      <c r="G584" s="184"/>
      <c r="H584" s="29">
        <f>TRUNC(H585+H586+H588+H589+H590,0)</f>
        <v>39580</v>
      </c>
      <c r="I584" s="184"/>
      <c r="J584" s="29">
        <f>TRUNC(J585+J586+J588+J589+J590,0)</f>
        <v>193437</v>
      </c>
      <c r="K584" s="184"/>
      <c r="L584" s="29">
        <f>TRUNC(L585+L586+L588+L589+L590,0)</f>
        <v>19652</v>
      </c>
      <c r="M584" s="86" t="s">
        <v>2856</v>
      </c>
      <c r="N584" t="s">
        <v>2856</v>
      </c>
      <c r="O584" t="s">
        <v>1235</v>
      </c>
    </row>
    <row r="585" spans="1:61" ht="18.399999999999999" hidden="1" customHeight="1" x14ac:dyDescent="0.15">
      <c r="A585" s="2" t="s">
        <v>1869</v>
      </c>
      <c r="B585" s="87" t="s">
        <v>2520</v>
      </c>
      <c r="C585" s="2">
        <v>1</v>
      </c>
      <c r="D585" s="2" t="s">
        <v>556</v>
      </c>
      <c r="E585" s="27">
        <f t="shared" ref="E585:E590" si="148">G585+I585+K585</f>
        <v>233234</v>
      </c>
      <c r="F585" s="28">
        <f t="shared" si="147"/>
        <v>233234</v>
      </c>
      <c r="G585" s="27">
        <f>일위대가목록!F224</f>
        <v>20145</v>
      </c>
      <c r="H585" s="28">
        <f t="shared" ref="H585:H590" si="149">TRUNC(G585*C585,1)</f>
        <v>20145</v>
      </c>
      <c r="I585" s="27">
        <f>일위대가목록!H224</f>
        <v>193437</v>
      </c>
      <c r="J585" s="28">
        <f>TRUNC(I585*C585,1)</f>
        <v>193437</v>
      </c>
      <c r="K585" s="27">
        <f>일위대가목록!J224</f>
        <v>19652</v>
      </c>
      <c r="L585" s="28">
        <f>TRUNC(K585*C585,1)</f>
        <v>19652</v>
      </c>
      <c r="M585" s="86" t="s">
        <v>2856</v>
      </c>
      <c r="N585" t="s">
        <v>2856</v>
      </c>
      <c r="P585" t="s">
        <v>2471</v>
      </c>
      <c r="Q585" t="s">
        <v>2856</v>
      </c>
      <c r="R585" t="s">
        <v>2163</v>
      </c>
      <c r="T585" t="s">
        <v>1778</v>
      </c>
      <c r="BI585" s="34" t="str">
        <f>HYPERLINK("#일위대가목록!A219","NT205-18 →")</f>
        <v>NT205-18 →</v>
      </c>
    </row>
    <row r="586" spans="1:61" ht="18.399999999999999" hidden="1" customHeight="1" x14ac:dyDescent="0.15">
      <c r="A586" s="2" t="s">
        <v>300</v>
      </c>
      <c r="B586" s="87" t="s">
        <v>1807</v>
      </c>
      <c r="C586" s="2">
        <v>1</v>
      </c>
      <c r="D586" s="2" t="s">
        <v>1302</v>
      </c>
      <c r="E586" s="27">
        <f t="shared" si="148"/>
        <v>17700</v>
      </c>
      <c r="F586" s="28">
        <f t="shared" si="147"/>
        <v>17700</v>
      </c>
      <c r="G586" s="27">
        <f>자재조서!E132</f>
        <v>17700</v>
      </c>
      <c r="H586" s="28">
        <f t="shared" si="149"/>
        <v>17700</v>
      </c>
      <c r="I586" s="27">
        <v>0</v>
      </c>
      <c r="J586" s="28"/>
      <c r="K586" s="27">
        <v>0</v>
      </c>
      <c r="L586" s="28"/>
      <c r="M586" s="86" t="s">
        <v>2856</v>
      </c>
      <c r="N586" t="s">
        <v>2856</v>
      </c>
      <c r="P586" t="s">
        <v>1741</v>
      </c>
      <c r="Q586" t="s">
        <v>2856</v>
      </c>
      <c r="R586" t="s">
        <v>1011</v>
      </c>
      <c r="BI586" s="34" t="str">
        <f>HYPERLINK("#자재조서!A126","MTP-039 →")</f>
        <v>MTP-039 →</v>
      </c>
    </row>
    <row r="587" spans="1:61" ht="18.399999999999999" hidden="1" customHeight="1" x14ac:dyDescent="0.15">
      <c r="A587" s="2" t="s">
        <v>261</v>
      </c>
      <c r="B587" s="87" t="s">
        <v>2437</v>
      </c>
      <c r="C587" s="2">
        <v>15</v>
      </c>
      <c r="D587" s="2" t="s">
        <v>1674</v>
      </c>
      <c r="E587" s="27">
        <f t="shared" si="148"/>
        <v>433</v>
      </c>
      <c r="F587" s="28">
        <f t="shared" si="147"/>
        <v>6495</v>
      </c>
      <c r="G587" s="27">
        <f>자재조서!E129</f>
        <v>433</v>
      </c>
      <c r="H587" s="28">
        <f t="shared" si="149"/>
        <v>6495</v>
      </c>
      <c r="I587" s="27">
        <v>0</v>
      </c>
      <c r="J587" s="28"/>
      <c r="K587" s="27">
        <v>0</v>
      </c>
      <c r="L587" s="28"/>
      <c r="M587" s="86" t="s">
        <v>2856</v>
      </c>
      <c r="N587" t="s">
        <v>2856</v>
      </c>
      <c r="P587" t="s">
        <v>1036</v>
      </c>
      <c r="Q587" t="s">
        <v>1839</v>
      </c>
      <c r="R587" t="s">
        <v>1422</v>
      </c>
      <c r="BI587" s="34" t="str">
        <f>HYPERLINK("#자재조서!A123","MTP-010 →")</f>
        <v>MTP-010 →</v>
      </c>
    </row>
    <row r="588" spans="1:61" ht="18.399999999999999" hidden="1" customHeight="1" x14ac:dyDescent="0.15">
      <c r="A588" s="2" t="s">
        <v>2029</v>
      </c>
      <c r="B588" s="87" t="s">
        <v>1936</v>
      </c>
      <c r="C588" s="2">
        <v>15.9</v>
      </c>
      <c r="D588" s="2" t="s">
        <v>1086</v>
      </c>
      <c r="E588" s="27">
        <f t="shared" si="148"/>
        <v>40</v>
      </c>
      <c r="F588" s="28">
        <f t="shared" si="147"/>
        <v>636</v>
      </c>
      <c r="G588" s="27">
        <f>자재조서!E137</f>
        <v>40</v>
      </c>
      <c r="H588" s="28">
        <f t="shared" si="149"/>
        <v>636</v>
      </c>
      <c r="I588" s="27">
        <v>0</v>
      </c>
      <c r="J588" s="28"/>
      <c r="K588" s="27">
        <v>0</v>
      </c>
      <c r="L588" s="28"/>
      <c r="M588" s="86" t="s">
        <v>2856</v>
      </c>
      <c r="N588" t="s">
        <v>2856</v>
      </c>
      <c r="P588" t="s">
        <v>286</v>
      </c>
      <c r="Q588" t="s">
        <v>2856</v>
      </c>
      <c r="R588" t="s">
        <v>316</v>
      </c>
      <c r="BI588" s="34" t="str">
        <f>HYPERLINK("#자재조서!A131","MTP-121 →")</f>
        <v>MTP-121 →</v>
      </c>
    </row>
    <row r="589" spans="1:61" ht="18.399999999999999" hidden="1" customHeight="1" x14ac:dyDescent="0.15">
      <c r="A589" s="2" t="s">
        <v>694</v>
      </c>
      <c r="B589" s="87" t="s">
        <v>1038</v>
      </c>
      <c r="C589" s="2">
        <v>3.1</v>
      </c>
      <c r="D589" s="2" t="s">
        <v>1086</v>
      </c>
      <c r="E589" s="27">
        <f t="shared" si="148"/>
        <v>150</v>
      </c>
      <c r="F589" s="28">
        <f t="shared" si="147"/>
        <v>465</v>
      </c>
      <c r="G589" s="27">
        <f>자재조서!E136</f>
        <v>150</v>
      </c>
      <c r="H589" s="28">
        <f t="shared" si="149"/>
        <v>465</v>
      </c>
      <c r="I589" s="27">
        <v>0</v>
      </c>
      <c r="J589" s="28"/>
      <c r="K589" s="27">
        <v>0</v>
      </c>
      <c r="L589" s="28"/>
      <c r="M589" s="86" t="s">
        <v>2856</v>
      </c>
      <c r="N589" t="s">
        <v>2856</v>
      </c>
      <c r="P589" t="s">
        <v>2428</v>
      </c>
      <c r="Q589" t="s">
        <v>2856</v>
      </c>
      <c r="R589" t="s">
        <v>794</v>
      </c>
      <c r="BI589" s="34" t="str">
        <f>HYPERLINK("#자재조서!A130","MTP-110 →")</f>
        <v>MTP-110 →</v>
      </c>
    </row>
    <row r="590" spans="1:61" ht="18.399999999999999" hidden="1" customHeight="1" x14ac:dyDescent="0.15">
      <c r="A590" s="2" t="s">
        <v>1734</v>
      </c>
      <c r="B590" s="87" t="s">
        <v>2741</v>
      </c>
      <c r="C590" s="2">
        <v>0.51</v>
      </c>
      <c r="D590" s="2" t="s">
        <v>1674</v>
      </c>
      <c r="E590" s="27">
        <f t="shared" si="148"/>
        <v>1245</v>
      </c>
      <c r="F590" s="28">
        <f t="shared" si="147"/>
        <v>634.9</v>
      </c>
      <c r="G590" s="27">
        <f>자재조서!E138</f>
        <v>1245</v>
      </c>
      <c r="H590" s="28">
        <f t="shared" si="149"/>
        <v>634.9</v>
      </c>
      <c r="I590" s="27">
        <v>0</v>
      </c>
      <c r="J590" s="28"/>
      <c r="K590" s="27">
        <v>0</v>
      </c>
      <c r="L590" s="28"/>
      <c r="M590" s="86" t="s">
        <v>2856</v>
      </c>
      <c r="N590" t="s">
        <v>2856</v>
      </c>
      <c r="P590" t="s">
        <v>1686</v>
      </c>
      <c r="Q590" t="s">
        <v>2856</v>
      </c>
      <c r="R590" t="s">
        <v>1046</v>
      </c>
      <c r="BI590" s="34" t="str">
        <f>HYPERLINK("#자재조서!A132","MTP-131 →")</f>
        <v>MTP-131 →</v>
      </c>
    </row>
    <row r="591" spans="1:61" ht="18.399999999999999" hidden="1" customHeight="1" x14ac:dyDescent="0.15">
      <c r="A591" s="1"/>
      <c r="B591" s="87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87"/>
    </row>
    <row r="592" spans="1:61" ht="18.399999999999999" hidden="1" customHeight="1" x14ac:dyDescent="0.15">
      <c r="A592" s="2" t="s">
        <v>2826</v>
      </c>
      <c r="B592" s="87" t="s">
        <v>2499</v>
      </c>
      <c r="C592" s="2">
        <v>1</v>
      </c>
      <c r="D592" s="2" t="s">
        <v>556</v>
      </c>
      <c r="E592" s="184"/>
      <c r="F592" s="29">
        <f t="shared" ref="F592:F598" si="150">H592+J592+L592</f>
        <v>1210755</v>
      </c>
      <c r="G592" s="184"/>
      <c r="H592" s="29">
        <f>TRUNC(H593+H594+H596+H597+H598,0)</f>
        <v>144943</v>
      </c>
      <c r="I592" s="184"/>
      <c r="J592" s="29">
        <f>TRUNC(J593+J594+J596+J597+J598,0)</f>
        <v>785059</v>
      </c>
      <c r="K592" s="184"/>
      <c r="L592" s="29">
        <f>TRUNC(L593+L594+L596+L597+L598,0)</f>
        <v>280753</v>
      </c>
      <c r="M592" s="86" t="s">
        <v>2856</v>
      </c>
      <c r="N592" t="s">
        <v>2856</v>
      </c>
      <c r="O592" t="s">
        <v>2773</v>
      </c>
    </row>
    <row r="593" spans="1:61" ht="18.399999999999999" hidden="1" customHeight="1" x14ac:dyDescent="0.15">
      <c r="A593" s="2" t="s">
        <v>1869</v>
      </c>
      <c r="B593" s="87" t="s">
        <v>2526</v>
      </c>
      <c r="C593" s="2">
        <v>1</v>
      </c>
      <c r="D593" s="2" t="s">
        <v>556</v>
      </c>
      <c r="E593" s="27">
        <f t="shared" ref="E593:E598" si="151">G593+I593+K593</f>
        <v>1170507</v>
      </c>
      <c r="F593" s="28">
        <f t="shared" si="150"/>
        <v>1170507</v>
      </c>
      <c r="G593" s="27">
        <f>일위대가목록!F218</f>
        <v>104695</v>
      </c>
      <c r="H593" s="28">
        <f t="shared" ref="H593:H598" si="152">TRUNC(G593*C593,1)</f>
        <v>104695</v>
      </c>
      <c r="I593" s="27">
        <f>일위대가목록!H218</f>
        <v>785059</v>
      </c>
      <c r="J593" s="28">
        <f>TRUNC(I593*C593,1)</f>
        <v>785059</v>
      </c>
      <c r="K593" s="27">
        <f>일위대가목록!J218</f>
        <v>280753</v>
      </c>
      <c r="L593" s="28">
        <f>TRUNC(K593*C593,1)</f>
        <v>280753</v>
      </c>
      <c r="M593" s="86" t="s">
        <v>2856</v>
      </c>
      <c r="N593" t="s">
        <v>2856</v>
      </c>
      <c r="P593" t="s">
        <v>2471</v>
      </c>
      <c r="Q593" t="s">
        <v>2856</v>
      </c>
      <c r="R593" t="s">
        <v>2845</v>
      </c>
      <c r="T593" t="s">
        <v>1778</v>
      </c>
      <c r="BI593" s="34" t="str">
        <f>HYPERLINK("#일위대가목록!A213","NT205-35 →")</f>
        <v>NT205-35 →</v>
      </c>
    </row>
    <row r="594" spans="1:61" ht="18.399999999999999" hidden="1" customHeight="1" x14ac:dyDescent="0.15">
      <c r="A594" s="2" t="s">
        <v>834</v>
      </c>
      <c r="B594" s="87" t="s">
        <v>816</v>
      </c>
      <c r="C594" s="2">
        <v>1</v>
      </c>
      <c r="D594" s="2" t="s">
        <v>1302</v>
      </c>
      <c r="E594" s="27">
        <f t="shared" si="151"/>
        <v>24700</v>
      </c>
      <c r="F594" s="28">
        <f t="shared" si="150"/>
        <v>24700</v>
      </c>
      <c r="G594" s="27">
        <f>자재조서!E131</f>
        <v>24700</v>
      </c>
      <c r="H594" s="28">
        <f t="shared" si="152"/>
        <v>24700</v>
      </c>
      <c r="I594" s="27">
        <v>0</v>
      </c>
      <c r="J594" s="28"/>
      <c r="K594" s="27">
        <v>0</v>
      </c>
      <c r="L594" s="28"/>
      <c r="M594" s="86" t="s">
        <v>2856</v>
      </c>
      <c r="N594" t="s">
        <v>2856</v>
      </c>
      <c r="P594" t="s">
        <v>1741</v>
      </c>
      <c r="Q594" t="s">
        <v>2856</v>
      </c>
      <c r="R594" t="s">
        <v>2314</v>
      </c>
      <c r="BI594" s="34" t="str">
        <f>HYPERLINK("#자재조서!A125","MTP-038 →")</f>
        <v>MTP-038 →</v>
      </c>
    </row>
    <row r="595" spans="1:61" ht="18.399999999999999" hidden="1" customHeight="1" x14ac:dyDescent="0.15">
      <c r="A595" s="2" t="s">
        <v>261</v>
      </c>
      <c r="B595" s="87" t="s">
        <v>2437</v>
      </c>
      <c r="C595" s="2">
        <v>50</v>
      </c>
      <c r="D595" s="2" t="s">
        <v>1674</v>
      </c>
      <c r="E595" s="27">
        <f t="shared" si="151"/>
        <v>433</v>
      </c>
      <c r="F595" s="28">
        <f t="shared" si="150"/>
        <v>21650</v>
      </c>
      <c r="G595" s="27">
        <f>자재조서!E129</f>
        <v>433</v>
      </c>
      <c r="H595" s="28">
        <f t="shared" si="152"/>
        <v>21650</v>
      </c>
      <c r="I595" s="27">
        <v>0</v>
      </c>
      <c r="J595" s="28"/>
      <c r="K595" s="27">
        <v>0</v>
      </c>
      <c r="L595" s="28"/>
      <c r="M595" s="86" t="s">
        <v>2856</v>
      </c>
      <c r="N595" t="s">
        <v>2856</v>
      </c>
      <c r="P595" t="s">
        <v>1036</v>
      </c>
      <c r="Q595" t="s">
        <v>1839</v>
      </c>
      <c r="R595" t="s">
        <v>1422</v>
      </c>
      <c r="BI595" s="34" t="str">
        <f>HYPERLINK("#자재조서!A123","MTP-010 →")</f>
        <v>MTP-010 →</v>
      </c>
    </row>
    <row r="596" spans="1:61" ht="18.399999999999999" hidden="1" customHeight="1" x14ac:dyDescent="0.15">
      <c r="A596" s="2" t="s">
        <v>2029</v>
      </c>
      <c r="B596" s="87" t="s">
        <v>1936</v>
      </c>
      <c r="C596" s="2">
        <v>82.3</v>
      </c>
      <c r="D596" s="2" t="s">
        <v>1086</v>
      </c>
      <c r="E596" s="27">
        <f t="shared" si="151"/>
        <v>40</v>
      </c>
      <c r="F596" s="28">
        <f t="shared" si="150"/>
        <v>3292</v>
      </c>
      <c r="G596" s="27">
        <f>자재조서!E137</f>
        <v>40</v>
      </c>
      <c r="H596" s="28">
        <f t="shared" si="152"/>
        <v>3292</v>
      </c>
      <c r="I596" s="27">
        <v>0</v>
      </c>
      <c r="J596" s="28"/>
      <c r="K596" s="27">
        <v>0</v>
      </c>
      <c r="L596" s="28"/>
      <c r="M596" s="86" t="s">
        <v>2856</v>
      </c>
      <c r="N596" t="s">
        <v>2856</v>
      </c>
      <c r="P596" t="s">
        <v>286</v>
      </c>
      <c r="Q596" t="s">
        <v>2856</v>
      </c>
      <c r="R596" t="s">
        <v>316</v>
      </c>
      <c r="BI596" s="34" t="str">
        <f>HYPERLINK("#자재조서!A131","MTP-121 →")</f>
        <v>MTP-121 →</v>
      </c>
    </row>
    <row r="597" spans="1:61" ht="18.399999999999999" hidden="1" customHeight="1" x14ac:dyDescent="0.15">
      <c r="A597" s="2" t="s">
        <v>694</v>
      </c>
      <c r="B597" s="87" t="s">
        <v>1038</v>
      </c>
      <c r="C597" s="2">
        <v>33.9</v>
      </c>
      <c r="D597" s="2" t="s">
        <v>1086</v>
      </c>
      <c r="E597" s="27">
        <f t="shared" si="151"/>
        <v>150</v>
      </c>
      <c r="F597" s="28">
        <f t="shared" si="150"/>
        <v>5085</v>
      </c>
      <c r="G597" s="27">
        <f>자재조서!E136</f>
        <v>150</v>
      </c>
      <c r="H597" s="28">
        <f t="shared" si="152"/>
        <v>5085</v>
      </c>
      <c r="I597" s="27">
        <v>0</v>
      </c>
      <c r="J597" s="28"/>
      <c r="K597" s="27">
        <v>0</v>
      </c>
      <c r="L597" s="28"/>
      <c r="M597" s="86" t="s">
        <v>2856</v>
      </c>
      <c r="N597" t="s">
        <v>2856</v>
      </c>
      <c r="P597" t="s">
        <v>2428</v>
      </c>
      <c r="Q597" t="s">
        <v>2856</v>
      </c>
      <c r="R597" t="s">
        <v>794</v>
      </c>
      <c r="BI597" s="34" t="str">
        <f>HYPERLINK("#자재조서!A130","MTP-110 →")</f>
        <v>MTP-110 →</v>
      </c>
    </row>
    <row r="598" spans="1:61" ht="18.399999999999999" hidden="1" customHeight="1" x14ac:dyDescent="0.15">
      <c r="A598" s="2" t="s">
        <v>1734</v>
      </c>
      <c r="B598" s="87" t="s">
        <v>2741</v>
      </c>
      <c r="C598" s="2">
        <v>5.76</v>
      </c>
      <c r="D598" s="2" t="s">
        <v>1674</v>
      </c>
      <c r="E598" s="27">
        <f t="shared" si="151"/>
        <v>1245</v>
      </c>
      <c r="F598" s="28">
        <f t="shared" si="150"/>
        <v>7171.2</v>
      </c>
      <c r="G598" s="27">
        <f>자재조서!E138</f>
        <v>1245</v>
      </c>
      <c r="H598" s="28">
        <f t="shared" si="152"/>
        <v>7171.2</v>
      </c>
      <c r="I598" s="27">
        <v>0</v>
      </c>
      <c r="J598" s="28"/>
      <c r="K598" s="27">
        <v>0</v>
      </c>
      <c r="L598" s="28"/>
      <c r="M598" s="86" t="s">
        <v>2856</v>
      </c>
      <c r="N598" t="s">
        <v>2856</v>
      </c>
      <c r="P598" t="s">
        <v>1686</v>
      </c>
      <c r="Q598" t="s">
        <v>2856</v>
      </c>
      <c r="R598" t="s">
        <v>1046</v>
      </c>
      <c r="BI598" s="34" t="str">
        <f>HYPERLINK("#자재조서!A132","MTP-131 →")</f>
        <v>MTP-131 →</v>
      </c>
    </row>
    <row r="599" spans="1:61" ht="18.399999999999999" hidden="1" customHeight="1" x14ac:dyDescent="0.15">
      <c r="A599" s="1"/>
      <c r="B599" s="87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87"/>
    </row>
    <row r="600" spans="1:61" ht="18.399999999999999" hidden="1" customHeight="1" x14ac:dyDescent="0.15">
      <c r="A600" s="2" t="s">
        <v>2088</v>
      </c>
      <c r="B600" s="87" t="s">
        <v>290</v>
      </c>
      <c r="C600" s="2">
        <v>1</v>
      </c>
      <c r="D600" s="2" t="s">
        <v>556</v>
      </c>
      <c r="E600" s="184"/>
      <c r="F600" s="29">
        <f t="shared" ref="F600:F606" si="153">H600+J600+L600</f>
        <v>856463</v>
      </c>
      <c r="G600" s="184"/>
      <c r="H600" s="29">
        <f>TRUNC(H601+H602+H604+H605+H606,0)</f>
        <v>103243</v>
      </c>
      <c r="I600" s="184"/>
      <c r="J600" s="29">
        <f>TRUNC(J601+J602+J604+J605+J606,0)</f>
        <v>598140</v>
      </c>
      <c r="K600" s="184"/>
      <c r="L600" s="29">
        <f>TRUNC(L601+L602+L604+L605+L606,0)</f>
        <v>155080</v>
      </c>
      <c r="M600" s="86" t="s">
        <v>2856</v>
      </c>
      <c r="N600" t="s">
        <v>2856</v>
      </c>
      <c r="O600" t="s">
        <v>1034</v>
      </c>
    </row>
    <row r="601" spans="1:61" ht="18.399999999999999" hidden="1" customHeight="1" x14ac:dyDescent="0.15">
      <c r="A601" s="2" t="s">
        <v>1869</v>
      </c>
      <c r="B601" s="87" t="s">
        <v>581</v>
      </c>
      <c r="C601" s="2">
        <v>1</v>
      </c>
      <c r="D601" s="2" t="s">
        <v>556</v>
      </c>
      <c r="E601" s="27">
        <f t="shared" ref="E601:E606" si="154">G601+I601+K601</f>
        <v>822785</v>
      </c>
      <c r="F601" s="28">
        <f t="shared" si="153"/>
        <v>822785</v>
      </c>
      <c r="G601" s="27">
        <f>일위대가목록!F219</f>
        <v>69565</v>
      </c>
      <c r="H601" s="28">
        <f t="shared" ref="H601:H606" si="155">TRUNC(G601*C601,1)</f>
        <v>69565</v>
      </c>
      <c r="I601" s="27">
        <f>일위대가목록!H219</f>
        <v>598140</v>
      </c>
      <c r="J601" s="28">
        <f>TRUNC(I601*C601,1)</f>
        <v>598140</v>
      </c>
      <c r="K601" s="27">
        <f>일위대가목록!J219</f>
        <v>155080</v>
      </c>
      <c r="L601" s="28">
        <f>TRUNC(K601*C601,1)</f>
        <v>155080</v>
      </c>
      <c r="M601" s="86" t="s">
        <v>2856</v>
      </c>
      <c r="N601" t="s">
        <v>2856</v>
      </c>
      <c r="P601" t="s">
        <v>2471</v>
      </c>
      <c r="Q601" t="s">
        <v>2856</v>
      </c>
      <c r="R601" t="s">
        <v>1268</v>
      </c>
      <c r="T601" t="s">
        <v>1778</v>
      </c>
      <c r="BI601" s="34" t="str">
        <f>HYPERLINK("#일위대가목록!A214","NT205-30 →")</f>
        <v>NT205-30 →</v>
      </c>
    </row>
    <row r="602" spans="1:61" ht="18.399999999999999" hidden="1" customHeight="1" x14ac:dyDescent="0.15">
      <c r="A602" s="2" t="s">
        <v>834</v>
      </c>
      <c r="B602" s="87" t="s">
        <v>816</v>
      </c>
      <c r="C602" s="2">
        <v>1</v>
      </c>
      <c r="D602" s="2" t="s">
        <v>1302</v>
      </c>
      <c r="E602" s="27">
        <f t="shared" si="154"/>
        <v>24700</v>
      </c>
      <c r="F602" s="28">
        <f t="shared" si="153"/>
        <v>24700</v>
      </c>
      <c r="G602" s="27">
        <f>자재조서!E131</f>
        <v>24700</v>
      </c>
      <c r="H602" s="28">
        <f t="shared" si="155"/>
        <v>24700</v>
      </c>
      <c r="I602" s="27">
        <v>0</v>
      </c>
      <c r="J602" s="28"/>
      <c r="K602" s="27">
        <v>0</v>
      </c>
      <c r="L602" s="28"/>
      <c r="M602" s="86" t="s">
        <v>2856</v>
      </c>
      <c r="N602" t="s">
        <v>2856</v>
      </c>
      <c r="P602" t="s">
        <v>1741</v>
      </c>
      <c r="Q602" t="s">
        <v>2856</v>
      </c>
      <c r="R602" t="s">
        <v>2314</v>
      </c>
      <c r="BI602" s="34" t="str">
        <f>HYPERLINK("#자재조서!A125","MTP-038 →")</f>
        <v>MTP-038 →</v>
      </c>
    </row>
    <row r="603" spans="1:61" ht="18.399999999999999" hidden="1" customHeight="1" x14ac:dyDescent="0.15">
      <c r="A603" s="2" t="s">
        <v>261</v>
      </c>
      <c r="B603" s="87" t="s">
        <v>2437</v>
      </c>
      <c r="C603" s="2">
        <v>30</v>
      </c>
      <c r="D603" s="2" t="s">
        <v>1674</v>
      </c>
      <c r="E603" s="27">
        <f t="shared" si="154"/>
        <v>433</v>
      </c>
      <c r="F603" s="28">
        <f t="shared" si="153"/>
        <v>12990</v>
      </c>
      <c r="G603" s="27">
        <f>자재조서!E129</f>
        <v>433</v>
      </c>
      <c r="H603" s="28">
        <f t="shared" si="155"/>
        <v>12990</v>
      </c>
      <c r="I603" s="27">
        <v>0</v>
      </c>
      <c r="J603" s="28"/>
      <c r="K603" s="27">
        <v>0</v>
      </c>
      <c r="L603" s="28"/>
      <c r="M603" s="86" t="s">
        <v>2856</v>
      </c>
      <c r="N603" t="s">
        <v>2856</v>
      </c>
      <c r="P603" t="s">
        <v>1036</v>
      </c>
      <c r="Q603" t="s">
        <v>1839</v>
      </c>
      <c r="R603" t="s">
        <v>1422</v>
      </c>
      <c r="BI603" s="34" t="str">
        <f>HYPERLINK("#자재조서!A123","MTP-010 →")</f>
        <v>MTP-010 →</v>
      </c>
    </row>
    <row r="604" spans="1:61" ht="18.399999999999999" hidden="1" customHeight="1" x14ac:dyDescent="0.15">
      <c r="A604" s="2" t="s">
        <v>2029</v>
      </c>
      <c r="B604" s="87" t="s">
        <v>1936</v>
      </c>
      <c r="C604" s="2">
        <v>52</v>
      </c>
      <c r="D604" s="2" t="s">
        <v>1086</v>
      </c>
      <c r="E604" s="27">
        <f t="shared" si="154"/>
        <v>40</v>
      </c>
      <c r="F604" s="28">
        <f t="shared" si="153"/>
        <v>2080</v>
      </c>
      <c r="G604" s="27">
        <f>자재조서!E137</f>
        <v>40</v>
      </c>
      <c r="H604" s="28">
        <f t="shared" si="155"/>
        <v>2080</v>
      </c>
      <c r="I604" s="27">
        <v>0</v>
      </c>
      <c r="J604" s="28"/>
      <c r="K604" s="27">
        <v>0</v>
      </c>
      <c r="L604" s="28"/>
      <c r="M604" s="86" t="s">
        <v>2856</v>
      </c>
      <c r="N604" t="s">
        <v>2856</v>
      </c>
      <c r="P604" t="s">
        <v>286</v>
      </c>
      <c r="Q604" t="s">
        <v>2856</v>
      </c>
      <c r="R604" t="s">
        <v>316</v>
      </c>
      <c r="BI604" s="34" t="str">
        <f>HYPERLINK("#자재조서!A131","MTP-121 →")</f>
        <v>MTP-121 →</v>
      </c>
    </row>
    <row r="605" spans="1:61" ht="18.399999999999999" hidden="1" customHeight="1" x14ac:dyDescent="0.15">
      <c r="A605" s="2" t="s">
        <v>694</v>
      </c>
      <c r="B605" s="87" t="s">
        <v>1038</v>
      </c>
      <c r="C605" s="2">
        <v>19.100000000000001</v>
      </c>
      <c r="D605" s="2" t="s">
        <v>1086</v>
      </c>
      <c r="E605" s="27">
        <f t="shared" si="154"/>
        <v>150</v>
      </c>
      <c r="F605" s="28">
        <f t="shared" si="153"/>
        <v>2865</v>
      </c>
      <c r="G605" s="27">
        <f>자재조서!E136</f>
        <v>150</v>
      </c>
      <c r="H605" s="28">
        <f t="shared" si="155"/>
        <v>2865</v>
      </c>
      <c r="I605" s="27">
        <v>0</v>
      </c>
      <c r="J605" s="28"/>
      <c r="K605" s="27">
        <v>0</v>
      </c>
      <c r="L605" s="28"/>
      <c r="M605" s="86" t="s">
        <v>2856</v>
      </c>
      <c r="N605" t="s">
        <v>2856</v>
      </c>
      <c r="P605" t="s">
        <v>2428</v>
      </c>
      <c r="Q605" t="s">
        <v>2856</v>
      </c>
      <c r="R605" t="s">
        <v>794</v>
      </c>
      <c r="BI605" s="34" t="str">
        <f>HYPERLINK("#자재조서!A130","MTP-110 →")</f>
        <v>MTP-110 →</v>
      </c>
    </row>
    <row r="606" spans="1:61" ht="18.399999999999999" hidden="1" customHeight="1" x14ac:dyDescent="0.15">
      <c r="A606" s="2" t="s">
        <v>1734</v>
      </c>
      <c r="B606" s="87" t="s">
        <v>2741</v>
      </c>
      <c r="C606" s="2">
        <v>3.24</v>
      </c>
      <c r="D606" s="2" t="s">
        <v>1674</v>
      </c>
      <c r="E606" s="27">
        <f t="shared" si="154"/>
        <v>1245</v>
      </c>
      <c r="F606" s="28">
        <f t="shared" si="153"/>
        <v>4033.8</v>
      </c>
      <c r="G606" s="27">
        <f>자재조서!E138</f>
        <v>1245</v>
      </c>
      <c r="H606" s="28">
        <f t="shared" si="155"/>
        <v>4033.8</v>
      </c>
      <c r="I606" s="27">
        <v>0</v>
      </c>
      <c r="J606" s="28"/>
      <c r="K606" s="27">
        <v>0</v>
      </c>
      <c r="L606" s="28"/>
      <c r="M606" s="86" t="s">
        <v>2856</v>
      </c>
      <c r="N606" t="s">
        <v>2856</v>
      </c>
      <c r="P606" t="s">
        <v>1686</v>
      </c>
      <c r="Q606" t="s">
        <v>2856</v>
      </c>
      <c r="R606" t="s">
        <v>1046</v>
      </c>
      <c r="BI606" s="34" t="str">
        <f>HYPERLINK("#자재조서!A132","MTP-131 →")</f>
        <v>MTP-131 →</v>
      </c>
    </row>
    <row r="607" spans="1:61" ht="18.399999999999999" hidden="1" customHeight="1" x14ac:dyDescent="0.15">
      <c r="A607" s="1"/>
      <c r="B607" s="87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87"/>
    </row>
    <row r="608" spans="1:61" ht="18.399999999999999" hidden="1" customHeight="1" x14ac:dyDescent="0.15">
      <c r="A608" s="2" t="s">
        <v>984</v>
      </c>
      <c r="B608" s="87" t="s">
        <v>648</v>
      </c>
      <c r="C608" s="2">
        <v>1</v>
      </c>
      <c r="D608" s="2" t="s">
        <v>556</v>
      </c>
      <c r="E608" s="184"/>
      <c r="F608" s="29">
        <f t="shared" ref="F608:F614" si="156">H608+J608+L608</f>
        <v>859723</v>
      </c>
      <c r="G608" s="184"/>
      <c r="H608" s="29">
        <f>TRUNC(H609+H610+H612+H613+H614,0)</f>
        <v>106503</v>
      </c>
      <c r="I608" s="184"/>
      <c r="J608" s="29">
        <f>TRUNC(J609+J610+J612+J613+J614,0)</f>
        <v>598140</v>
      </c>
      <c r="K608" s="184"/>
      <c r="L608" s="29">
        <f>TRUNC(L609+L610+L612+L613+L614,0)</f>
        <v>155080</v>
      </c>
      <c r="M608" s="86" t="s">
        <v>2856</v>
      </c>
      <c r="N608" t="s">
        <v>2856</v>
      </c>
      <c r="O608" t="s">
        <v>2297</v>
      </c>
    </row>
    <row r="609" spans="1:61" ht="18.399999999999999" hidden="1" customHeight="1" x14ac:dyDescent="0.15">
      <c r="A609" s="2" t="s">
        <v>1869</v>
      </c>
      <c r="B609" s="87" t="s">
        <v>581</v>
      </c>
      <c r="C609" s="2">
        <v>1</v>
      </c>
      <c r="D609" s="2" t="s">
        <v>556</v>
      </c>
      <c r="E609" s="27">
        <f t="shared" ref="E609:E614" si="157">G609+I609+K609</f>
        <v>822785</v>
      </c>
      <c r="F609" s="28">
        <f t="shared" si="156"/>
        <v>822785</v>
      </c>
      <c r="G609" s="27">
        <f>일위대가목록!F219</f>
        <v>69565</v>
      </c>
      <c r="H609" s="28">
        <f t="shared" ref="H609:H614" si="158">TRUNC(G609*C609,1)</f>
        <v>69565</v>
      </c>
      <c r="I609" s="27">
        <f>일위대가목록!H219</f>
        <v>598140</v>
      </c>
      <c r="J609" s="28">
        <f>TRUNC(I609*C609,1)</f>
        <v>598140</v>
      </c>
      <c r="K609" s="27">
        <f>일위대가목록!J219</f>
        <v>155080</v>
      </c>
      <c r="L609" s="28">
        <f>TRUNC(K609*C609,1)</f>
        <v>155080</v>
      </c>
      <c r="M609" s="86" t="s">
        <v>2856</v>
      </c>
      <c r="N609" t="s">
        <v>2856</v>
      </c>
      <c r="P609" t="s">
        <v>2471</v>
      </c>
      <c r="Q609" t="s">
        <v>2856</v>
      </c>
      <c r="R609" t="s">
        <v>1268</v>
      </c>
      <c r="T609" t="s">
        <v>1778</v>
      </c>
      <c r="BI609" s="34" t="str">
        <f>HYPERLINK("#일위대가목록!A214","NT205-30 →")</f>
        <v>NT205-30 →</v>
      </c>
    </row>
    <row r="610" spans="1:61" ht="18.399999999999999" hidden="1" customHeight="1" x14ac:dyDescent="0.15">
      <c r="A610" s="2" t="s">
        <v>834</v>
      </c>
      <c r="B610" s="87" t="s">
        <v>816</v>
      </c>
      <c r="C610" s="2">
        <v>1</v>
      </c>
      <c r="D610" s="2" t="s">
        <v>1302</v>
      </c>
      <c r="E610" s="27">
        <f t="shared" si="157"/>
        <v>24700</v>
      </c>
      <c r="F610" s="28">
        <f t="shared" si="156"/>
        <v>24700</v>
      </c>
      <c r="G610" s="27">
        <f>자재조서!E131</f>
        <v>24700</v>
      </c>
      <c r="H610" s="28">
        <f t="shared" si="158"/>
        <v>24700</v>
      </c>
      <c r="I610" s="27">
        <v>0</v>
      </c>
      <c r="J610" s="28"/>
      <c r="K610" s="27">
        <v>0</v>
      </c>
      <c r="L610" s="28"/>
      <c r="M610" s="86" t="s">
        <v>2856</v>
      </c>
      <c r="N610" t="s">
        <v>2856</v>
      </c>
      <c r="P610" t="s">
        <v>1741</v>
      </c>
      <c r="Q610" t="s">
        <v>2856</v>
      </c>
      <c r="R610" t="s">
        <v>2314</v>
      </c>
      <c r="BI610" s="34" t="str">
        <f>HYPERLINK("#자재조서!A125","MTP-038 →")</f>
        <v>MTP-038 →</v>
      </c>
    </row>
    <row r="611" spans="1:61" ht="18.399999999999999" hidden="1" customHeight="1" x14ac:dyDescent="0.15">
      <c r="A611" s="2" t="s">
        <v>261</v>
      </c>
      <c r="B611" s="87" t="s">
        <v>2437</v>
      </c>
      <c r="C611" s="2">
        <v>40</v>
      </c>
      <c r="D611" s="2" t="s">
        <v>1674</v>
      </c>
      <c r="E611" s="27">
        <f t="shared" si="157"/>
        <v>433</v>
      </c>
      <c r="F611" s="28">
        <f t="shared" si="156"/>
        <v>17320</v>
      </c>
      <c r="G611" s="27">
        <f>자재조서!E129</f>
        <v>433</v>
      </c>
      <c r="H611" s="28">
        <f t="shared" si="158"/>
        <v>17320</v>
      </c>
      <c r="I611" s="27">
        <v>0</v>
      </c>
      <c r="J611" s="28"/>
      <c r="K611" s="27">
        <v>0</v>
      </c>
      <c r="L611" s="28"/>
      <c r="M611" s="86" t="s">
        <v>2856</v>
      </c>
      <c r="N611" t="s">
        <v>2856</v>
      </c>
      <c r="P611" t="s">
        <v>1036</v>
      </c>
      <c r="Q611" t="s">
        <v>1839</v>
      </c>
      <c r="R611" t="s">
        <v>1422</v>
      </c>
      <c r="BI611" s="34" t="str">
        <f>HYPERLINK("#자재조서!A123","MTP-010 →")</f>
        <v>MTP-010 →</v>
      </c>
    </row>
    <row r="612" spans="1:61" ht="18.399999999999999" hidden="1" customHeight="1" x14ac:dyDescent="0.15">
      <c r="A612" s="2" t="s">
        <v>2029</v>
      </c>
      <c r="B612" s="87" t="s">
        <v>1936</v>
      </c>
      <c r="C612" s="2">
        <v>71.2</v>
      </c>
      <c r="D612" s="2" t="s">
        <v>1086</v>
      </c>
      <c r="E612" s="27">
        <f t="shared" si="157"/>
        <v>40</v>
      </c>
      <c r="F612" s="28">
        <f t="shared" si="156"/>
        <v>2848</v>
      </c>
      <c r="G612" s="27">
        <f>자재조서!E137</f>
        <v>40</v>
      </c>
      <c r="H612" s="28">
        <f t="shared" si="158"/>
        <v>2848</v>
      </c>
      <c r="I612" s="27">
        <v>0</v>
      </c>
      <c r="J612" s="28"/>
      <c r="K612" s="27">
        <v>0</v>
      </c>
      <c r="L612" s="28"/>
      <c r="M612" s="86" t="s">
        <v>2856</v>
      </c>
      <c r="N612" t="s">
        <v>2856</v>
      </c>
      <c r="P612" t="s">
        <v>286</v>
      </c>
      <c r="Q612" t="s">
        <v>2856</v>
      </c>
      <c r="R612" t="s">
        <v>316</v>
      </c>
      <c r="BI612" s="34" t="str">
        <f>HYPERLINK("#자재조서!A131","MTP-121 →")</f>
        <v>MTP-121 →</v>
      </c>
    </row>
    <row r="613" spans="1:61" ht="18.399999999999999" hidden="1" customHeight="1" x14ac:dyDescent="0.15">
      <c r="A613" s="2" t="s">
        <v>694</v>
      </c>
      <c r="B613" s="87" t="s">
        <v>1038</v>
      </c>
      <c r="C613" s="2">
        <v>26</v>
      </c>
      <c r="D613" s="2" t="s">
        <v>1086</v>
      </c>
      <c r="E613" s="27">
        <f t="shared" si="157"/>
        <v>150</v>
      </c>
      <c r="F613" s="28">
        <f t="shared" si="156"/>
        <v>3900</v>
      </c>
      <c r="G613" s="27">
        <f>자재조서!E136</f>
        <v>150</v>
      </c>
      <c r="H613" s="28">
        <f t="shared" si="158"/>
        <v>3900</v>
      </c>
      <c r="I613" s="27">
        <v>0</v>
      </c>
      <c r="J613" s="28"/>
      <c r="K613" s="27">
        <v>0</v>
      </c>
      <c r="L613" s="28"/>
      <c r="M613" s="86" t="s">
        <v>2856</v>
      </c>
      <c r="N613" t="s">
        <v>2856</v>
      </c>
      <c r="P613" t="s">
        <v>2428</v>
      </c>
      <c r="Q613" t="s">
        <v>2856</v>
      </c>
      <c r="R613" t="s">
        <v>794</v>
      </c>
      <c r="BI613" s="34" t="str">
        <f>HYPERLINK("#자재조서!A130","MTP-110 →")</f>
        <v>MTP-110 →</v>
      </c>
    </row>
    <row r="614" spans="1:61" ht="18.399999999999999" hidden="1" customHeight="1" x14ac:dyDescent="0.15">
      <c r="A614" s="2" t="s">
        <v>1734</v>
      </c>
      <c r="B614" s="87" t="s">
        <v>2741</v>
      </c>
      <c r="C614" s="2">
        <v>4.41</v>
      </c>
      <c r="D614" s="2" t="s">
        <v>1674</v>
      </c>
      <c r="E614" s="27">
        <f t="shared" si="157"/>
        <v>1245</v>
      </c>
      <c r="F614" s="28">
        <f t="shared" si="156"/>
        <v>5490.4</v>
      </c>
      <c r="G614" s="27">
        <f>자재조서!E138</f>
        <v>1245</v>
      </c>
      <c r="H614" s="28">
        <f t="shared" si="158"/>
        <v>5490.4</v>
      </c>
      <c r="I614" s="27">
        <v>0</v>
      </c>
      <c r="J614" s="28"/>
      <c r="K614" s="27">
        <v>0</v>
      </c>
      <c r="L614" s="28"/>
      <c r="M614" s="86" t="s">
        <v>2856</v>
      </c>
      <c r="N614" t="s">
        <v>2856</v>
      </c>
      <c r="P614" t="s">
        <v>1686</v>
      </c>
      <c r="Q614" t="s">
        <v>2856</v>
      </c>
      <c r="R614" t="s">
        <v>1046</v>
      </c>
      <c r="BI614" s="34" t="str">
        <f>HYPERLINK("#자재조서!A132","MTP-131 →")</f>
        <v>MTP-131 →</v>
      </c>
    </row>
    <row r="615" spans="1:61" ht="18.399999999999999" hidden="1" customHeight="1" x14ac:dyDescent="0.15">
      <c r="A615" s="1"/>
      <c r="B615" s="87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87"/>
    </row>
    <row r="616" spans="1:61" ht="18.399999999999999" hidden="1" customHeight="1" x14ac:dyDescent="0.15">
      <c r="A616" s="2" t="s">
        <v>188</v>
      </c>
      <c r="B616" s="87" t="s">
        <v>2577</v>
      </c>
      <c r="C616" s="2">
        <v>1</v>
      </c>
      <c r="D616" s="2" t="s">
        <v>556</v>
      </c>
      <c r="E616" s="184"/>
      <c r="F616" s="29">
        <f t="shared" ref="F616:F622" si="159">H616+J616+L616</f>
        <v>622522</v>
      </c>
      <c r="G616" s="184"/>
      <c r="H616" s="29">
        <f>TRUNC(H617+H618+H620+H621+H622,0)</f>
        <v>73684</v>
      </c>
      <c r="I616" s="184"/>
      <c r="J616" s="29">
        <f>TRUNC(J617+J618+J620+J621+J622,0)</f>
        <v>443066</v>
      </c>
      <c r="K616" s="184"/>
      <c r="L616" s="29">
        <f>TRUNC(L617+L618+L620+L621+L622,0)</f>
        <v>105772</v>
      </c>
      <c r="M616" s="86" t="s">
        <v>2856</v>
      </c>
      <c r="N616" t="s">
        <v>2856</v>
      </c>
      <c r="O616" t="s">
        <v>1336</v>
      </c>
    </row>
    <row r="617" spans="1:61" ht="18.399999999999999" hidden="1" customHeight="1" x14ac:dyDescent="0.15">
      <c r="A617" s="2" t="s">
        <v>1869</v>
      </c>
      <c r="B617" s="87" t="s">
        <v>2192</v>
      </c>
      <c r="C617" s="2">
        <v>1</v>
      </c>
      <c r="D617" s="2" t="s">
        <v>556</v>
      </c>
      <c r="E617" s="27">
        <f t="shared" ref="E617:E622" si="160">G617+I617+K617</f>
        <v>598895</v>
      </c>
      <c r="F617" s="28">
        <f t="shared" si="159"/>
        <v>598895</v>
      </c>
      <c r="G617" s="27">
        <f>일위대가목록!F217</f>
        <v>50057</v>
      </c>
      <c r="H617" s="28">
        <f t="shared" ref="H617:H622" si="161">TRUNC(G617*C617,1)</f>
        <v>50057</v>
      </c>
      <c r="I617" s="27">
        <f>일위대가목록!H217</f>
        <v>443066</v>
      </c>
      <c r="J617" s="28">
        <f>TRUNC(I617*C617,1)</f>
        <v>443066</v>
      </c>
      <c r="K617" s="27">
        <f>일위대가목록!J217</f>
        <v>105772</v>
      </c>
      <c r="L617" s="28">
        <f>TRUNC(K617*C617,1)</f>
        <v>105772</v>
      </c>
      <c r="M617" s="86" t="s">
        <v>2856</v>
      </c>
      <c r="N617" t="s">
        <v>2856</v>
      </c>
      <c r="P617" t="s">
        <v>2471</v>
      </c>
      <c r="Q617" t="s">
        <v>2856</v>
      </c>
      <c r="R617" t="s">
        <v>2141</v>
      </c>
      <c r="T617" t="s">
        <v>1778</v>
      </c>
      <c r="BI617" s="34" t="str">
        <f>HYPERLINK("#일위대가목록!A212","NT205-25 →")</f>
        <v>NT205-25 →</v>
      </c>
    </row>
    <row r="618" spans="1:61" ht="18.399999999999999" hidden="1" customHeight="1" x14ac:dyDescent="0.15">
      <c r="A618" s="2" t="s">
        <v>300</v>
      </c>
      <c r="B618" s="87" t="s">
        <v>1807</v>
      </c>
      <c r="C618" s="2">
        <v>1</v>
      </c>
      <c r="D618" s="2" t="s">
        <v>1302</v>
      </c>
      <c r="E618" s="27">
        <f t="shared" si="160"/>
        <v>17700</v>
      </c>
      <c r="F618" s="28">
        <f t="shared" si="159"/>
        <v>17700</v>
      </c>
      <c r="G618" s="27">
        <f>자재조서!E132</f>
        <v>17700</v>
      </c>
      <c r="H618" s="28">
        <f t="shared" si="161"/>
        <v>17700</v>
      </c>
      <c r="I618" s="27">
        <v>0</v>
      </c>
      <c r="J618" s="28"/>
      <c r="K618" s="27">
        <v>0</v>
      </c>
      <c r="L618" s="28"/>
      <c r="M618" s="86" t="s">
        <v>2856</v>
      </c>
      <c r="N618" t="s">
        <v>2856</v>
      </c>
      <c r="P618" t="s">
        <v>1741</v>
      </c>
      <c r="Q618" t="s">
        <v>2856</v>
      </c>
      <c r="R618" t="s">
        <v>1011</v>
      </c>
      <c r="BI618" s="34" t="str">
        <f>HYPERLINK("#자재조서!A126","MTP-039 →")</f>
        <v>MTP-039 →</v>
      </c>
    </row>
    <row r="619" spans="1:61" ht="18.399999999999999" hidden="1" customHeight="1" x14ac:dyDescent="0.15">
      <c r="A619" s="2" t="s">
        <v>261</v>
      </c>
      <c r="B619" s="87" t="s">
        <v>2437</v>
      </c>
      <c r="C619" s="2">
        <v>20</v>
      </c>
      <c r="D619" s="2" t="s">
        <v>1674</v>
      </c>
      <c r="E619" s="27">
        <f t="shared" si="160"/>
        <v>433</v>
      </c>
      <c r="F619" s="28">
        <f t="shared" si="159"/>
        <v>8660</v>
      </c>
      <c r="G619" s="27">
        <f>자재조서!E129</f>
        <v>433</v>
      </c>
      <c r="H619" s="28">
        <f t="shared" si="161"/>
        <v>8660</v>
      </c>
      <c r="I619" s="27">
        <v>0</v>
      </c>
      <c r="J619" s="28"/>
      <c r="K619" s="27">
        <v>0</v>
      </c>
      <c r="L619" s="28"/>
      <c r="M619" s="86" t="s">
        <v>2856</v>
      </c>
      <c r="N619" t="s">
        <v>2856</v>
      </c>
      <c r="P619" t="s">
        <v>1036</v>
      </c>
      <c r="Q619" t="s">
        <v>1839</v>
      </c>
      <c r="R619" t="s">
        <v>1422</v>
      </c>
      <c r="BI619" s="34" t="str">
        <f>HYPERLINK("#자재조서!A123","MTP-010 →")</f>
        <v>MTP-010 →</v>
      </c>
    </row>
    <row r="620" spans="1:61" ht="18.399999999999999" hidden="1" customHeight="1" x14ac:dyDescent="0.15">
      <c r="A620" s="2" t="s">
        <v>2029</v>
      </c>
      <c r="B620" s="87" t="s">
        <v>1936</v>
      </c>
      <c r="C620" s="2">
        <v>38</v>
      </c>
      <c r="D620" s="2" t="s">
        <v>1086</v>
      </c>
      <c r="E620" s="27">
        <f t="shared" si="160"/>
        <v>40</v>
      </c>
      <c r="F620" s="28">
        <f t="shared" si="159"/>
        <v>1520</v>
      </c>
      <c r="G620" s="27">
        <f>자재조서!E137</f>
        <v>40</v>
      </c>
      <c r="H620" s="28">
        <f t="shared" si="161"/>
        <v>1520</v>
      </c>
      <c r="I620" s="27">
        <v>0</v>
      </c>
      <c r="J620" s="28"/>
      <c r="K620" s="27">
        <v>0</v>
      </c>
      <c r="L620" s="28"/>
      <c r="M620" s="86" t="s">
        <v>2856</v>
      </c>
      <c r="N620" t="s">
        <v>2856</v>
      </c>
      <c r="P620" t="s">
        <v>286</v>
      </c>
      <c r="Q620" t="s">
        <v>2856</v>
      </c>
      <c r="R620" t="s">
        <v>316</v>
      </c>
      <c r="BI620" s="34" t="str">
        <f>HYPERLINK("#자재조서!A131","MTP-121 →")</f>
        <v>MTP-121 →</v>
      </c>
    </row>
    <row r="621" spans="1:61" ht="18.399999999999999" hidden="1" customHeight="1" x14ac:dyDescent="0.15">
      <c r="A621" s="2" t="s">
        <v>694</v>
      </c>
      <c r="B621" s="87" t="s">
        <v>1038</v>
      </c>
      <c r="C621" s="2">
        <v>12.2</v>
      </c>
      <c r="D621" s="2" t="s">
        <v>1086</v>
      </c>
      <c r="E621" s="27">
        <f t="shared" si="160"/>
        <v>150</v>
      </c>
      <c r="F621" s="28">
        <f t="shared" si="159"/>
        <v>1830</v>
      </c>
      <c r="G621" s="27">
        <f>자재조서!E136</f>
        <v>150</v>
      </c>
      <c r="H621" s="28">
        <f t="shared" si="161"/>
        <v>1830</v>
      </c>
      <c r="I621" s="27">
        <v>0</v>
      </c>
      <c r="J621" s="28"/>
      <c r="K621" s="27">
        <v>0</v>
      </c>
      <c r="L621" s="28"/>
      <c r="M621" s="86" t="s">
        <v>2856</v>
      </c>
      <c r="N621" t="s">
        <v>2856</v>
      </c>
      <c r="P621" t="s">
        <v>2428</v>
      </c>
      <c r="Q621" t="s">
        <v>2856</v>
      </c>
      <c r="R621" t="s">
        <v>794</v>
      </c>
      <c r="BI621" s="34" t="str">
        <f>HYPERLINK("#자재조서!A130","MTP-110 →")</f>
        <v>MTP-110 →</v>
      </c>
    </row>
    <row r="622" spans="1:61" ht="18.399999999999999" hidden="1" customHeight="1" x14ac:dyDescent="0.15">
      <c r="A622" s="2" t="s">
        <v>1734</v>
      </c>
      <c r="B622" s="87" t="s">
        <v>2741</v>
      </c>
      <c r="C622" s="2">
        <v>2.0699999999999998</v>
      </c>
      <c r="D622" s="2" t="s">
        <v>1674</v>
      </c>
      <c r="E622" s="27">
        <f t="shared" si="160"/>
        <v>1245</v>
      </c>
      <c r="F622" s="28">
        <f t="shared" si="159"/>
        <v>2577.1</v>
      </c>
      <c r="G622" s="27">
        <f>자재조서!E138</f>
        <v>1245</v>
      </c>
      <c r="H622" s="28">
        <f t="shared" si="161"/>
        <v>2577.1</v>
      </c>
      <c r="I622" s="27">
        <v>0</v>
      </c>
      <c r="J622" s="28"/>
      <c r="K622" s="27">
        <v>0</v>
      </c>
      <c r="L622" s="28"/>
      <c r="M622" s="86" t="s">
        <v>2856</v>
      </c>
      <c r="N622" t="s">
        <v>2856</v>
      </c>
      <c r="P622" t="s">
        <v>1686</v>
      </c>
      <c r="Q622" t="s">
        <v>2856</v>
      </c>
      <c r="R622" t="s">
        <v>1046</v>
      </c>
      <c r="BI622" s="34" t="str">
        <f>HYPERLINK("#자재조서!A132","MTP-131 →")</f>
        <v>MTP-131 →</v>
      </c>
    </row>
    <row r="623" spans="1:61" ht="18.399999999999999" hidden="1" customHeight="1" x14ac:dyDescent="0.15">
      <c r="A623" s="1"/>
      <c r="B623" s="87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87"/>
    </row>
    <row r="624" spans="1:61" ht="18.399999999999999" hidden="1" customHeight="1" x14ac:dyDescent="0.15">
      <c r="A624" s="2" t="s">
        <v>2452</v>
      </c>
      <c r="B624" s="87" t="s">
        <v>109</v>
      </c>
      <c r="C624" s="2">
        <v>1</v>
      </c>
      <c r="D624" s="2" t="s">
        <v>556</v>
      </c>
      <c r="E624" s="184"/>
      <c r="F624" s="29">
        <f t="shared" ref="F624:F630" si="162">H624+J624+L624</f>
        <v>856463</v>
      </c>
      <c r="G624" s="184"/>
      <c r="H624" s="29">
        <f>TRUNC(H625+H626+H628+H629+H630,0)</f>
        <v>103243</v>
      </c>
      <c r="I624" s="184"/>
      <c r="J624" s="29">
        <f>TRUNC(J625+J626+J628+J629+J630,0)</f>
        <v>598140</v>
      </c>
      <c r="K624" s="184"/>
      <c r="L624" s="29">
        <f>TRUNC(L625+L626+L628+L629+L630,0)</f>
        <v>155080</v>
      </c>
      <c r="M624" s="86" t="s">
        <v>2856</v>
      </c>
      <c r="N624" t="s">
        <v>2856</v>
      </c>
      <c r="O624" t="s">
        <v>1543</v>
      </c>
    </row>
    <row r="625" spans="1:61" ht="18.399999999999999" hidden="1" customHeight="1" x14ac:dyDescent="0.15">
      <c r="A625" s="2" t="s">
        <v>1869</v>
      </c>
      <c r="B625" s="87" t="s">
        <v>581</v>
      </c>
      <c r="C625" s="2">
        <v>1</v>
      </c>
      <c r="D625" s="2" t="s">
        <v>556</v>
      </c>
      <c r="E625" s="27">
        <f t="shared" ref="E625:E630" si="163">G625+I625+K625</f>
        <v>822785</v>
      </c>
      <c r="F625" s="28">
        <f t="shared" si="162"/>
        <v>822785</v>
      </c>
      <c r="G625" s="27">
        <f>일위대가목록!F219</f>
        <v>69565</v>
      </c>
      <c r="H625" s="28">
        <f t="shared" ref="H625:H630" si="164">TRUNC(G625*C625,1)</f>
        <v>69565</v>
      </c>
      <c r="I625" s="27">
        <f>일위대가목록!H219</f>
        <v>598140</v>
      </c>
      <c r="J625" s="28">
        <f>TRUNC(I625*C625,1)</f>
        <v>598140</v>
      </c>
      <c r="K625" s="27">
        <f>일위대가목록!J219</f>
        <v>155080</v>
      </c>
      <c r="L625" s="28">
        <f>TRUNC(K625*C625,1)</f>
        <v>155080</v>
      </c>
      <c r="M625" s="86" t="s">
        <v>2856</v>
      </c>
      <c r="N625" t="s">
        <v>2856</v>
      </c>
      <c r="P625" t="s">
        <v>2471</v>
      </c>
      <c r="Q625" t="s">
        <v>2856</v>
      </c>
      <c r="R625" t="s">
        <v>1268</v>
      </c>
      <c r="T625" t="s">
        <v>1778</v>
      </c>
      <c r="BI625" s="34" t="str">
        <f>HYPERLINK("#일위대가목록!A214","NT205-30 →")</f>
        <v>NT205-30 →</v>
      </c>
    </row>
    <row r="626" spans="1:61" ht="18.399999999999999" hidden="1" customHeight="1" x14ac:dyDescent="0.15">
      <c r="A626" s="2" t="s">
        <v>834</v>
      </c>
      <c r="B626" s="87" t="s">
        <v>816</v>
      </c>
      <c r="C626" s="2">
        <v>1</v>
      </c>
      <c r="D626" s="2" t="s">
        <v>1302</v>
      </c>
      <c r="E626" s="27">
        <f t="shared" si="163"/>
        <v>24700</v>
      </c>
      <c r="F626" s="28">
        <f t="shared" si="162"/>
        <v>24700</v>
      </c>
      <c r="G626" s="27">
        <f>자재조서!E131</f>
        <v>24700</v>
      </c>
      <c r="H626" s="28">
        <f t="shared" si="164"/>
        <v>24700</v>
      </c>
      <c r="I626" s="27">
        <v>0</v>
      </c>
      <c r="J626" s="28"/>
      <c r="K626" s="27">
        <v>0</v>
      </c>
      <c r="L626" s="28"/>
      <c r="M626" s="86" t="s">
        <v>2856</v>
      </c>
      <c r="N626" t="s">
        <v>2856</v>
      </c>
      <c r="P626" t="s">
        <v>1741</v>
      </c>
      <c r="Q626" t="s">
        <v>2856</v>
      </c>
      <c r="R626" t="s">
        <v>2314</v>
      </c>
      <c r="BI626" s="34" t="str">
        <f>HYPERLINK("#자재조서!A125","MTP-038 →")</f>
        <v>MTP-038 →</v>
      </c>
    </row>
    <row r="627" spans="1:61" ht="18.399999999999999" hidden="1" customHeight="1" x14ac:dyDescent="0.15">
      <c r="A627" s="2" t="s">
        <v>261</v>
      </c>
      <c r="B627" s="87" t="s">
        <v>2437</v>
      </c>
      <c r="C627" s="2">
        <v>30</v>
      </c>
      <c r="D627" s="2" t="s">
        <v>1674</v>
      </c>
      <c r="E627" s="27">
        <f t="shared" si="163"/>
        <v>433</v>
      </c>
      <c r="F627" s="28">
        <f t="shared" si="162"/>
        <v>12990</v>
      </c>
      <c r="G627" s="27">
        <f>자재조서!E129</f>
        <v>433</v>
      </c>
      <c r="H627" s="28">
        <f t="shared" si="164"/>
        <v>12990</v>
      </c>
      <c r="I627" s="27">
        <v>0</v>
      </c>
      <c r="J627" s="28"/>
      <c r="K627" s="27">
        <v>0</v>
      </c>
      <c r="L627" s="28"/>
      <c r="M627" s="86" t="s">
        <v>2856</v>
      </c>
      <c r="N627" t="s">
        <v>2856</v>
      </c>
      <c r="P627" t="s">
        <v>1036</v>
      </c>
      <c r="Q627" t="s">
        <v>1839</v>
      </c>
      <c r="R627" t="s">
        <v>1422</v>
      </c>
      <c r="BI627" s="34" t="str">
        <f>HYPERLINK("#자재조서!A123","MTP-010 →")</f>
        <v>MTP-010 →</v>
      </c>
    </row>
    <row r="628" spans="1:61" ht="18.399999999999999" hidden="1" customHeight="1" x14ac:dyDescent="0.15">
      <c r="A628" s="2" t="s">
        <v>2029</v>
      </c>
      <c r="B628" s="87" t="s">
        <v>1936</v>
      </c>
      <c r="C628" s="2">
        <v>52</v>
      </c>
      <c r="D628" s="2" t="s">
        <v>1086</v>
      </c>
      <c r="E628" s="27">
        <f t="shared" si="163"/>
        <v>40</v>
      </c>
      <c r="F628" s="28">
        <f t="shared" si="162"/>
        <v>2080</v>
      </c>
      <c r="G628" s="27">
        <f>자재조서!E137</f>
        <v>40</v>
      </c>
      <c r="H628" s="28">
        <f t="shared" si="164"/>
        <v>2080</v>
      </c>
      <c r="I628" s="27">
        <v>0</v>
      </c>
      <c r="J628" s="28"/>
      <c r="K628" s="27">
        <v>0</v>
      </c>
      <c r="L628" s="28"/>
      <c r="M628" s="86" t="s">
        <v>2856</v>
      </c>
      <c r="N628" t="s">
        <v>2856</v>
      </c>
      <c r="P628" t="s">
        <v>286</v>
      </c>
      <c r="Q628" t="s">
        <v>2856</v>
      </c>
      <c r="R628" t="s">
        <v>316</v>
      </c>
      <c r="BI628" s="34" t="str">
        <f>HYPERLINK("#자재조서!A131","MTP-121 →")</f>
        <v>MTP-121 →</v>
      </c>
    </row>
    <row r="629" spans="1:61" ht="18.399999999999999" hidden="1" customHeight="1" x14ac:dyDescent="0.15">
      <c r="A629" s="2" t="s">
        <v>694</v>
      </c>
      <c r="B629" s="87" t="s">
        <v>1038</v>
      </c>
      <c r="C629" s="2">
        <v>19.100000000000001</v>
      </c>
      <c r="D629" s="2" t="s">
        <v>1086</v>
      </c>
      <c r="E629" s="27">
        <f t="shared" si="163"/>
        <v>150</v>
      </c>
      <c r="F629" s="28">
        <f t="shared" si="162"/>
        <v>2865</v>
      </c>
      <c r="G629" s="27">
        <f>자재조서!E136</f>
        <v>150</v>
      </c>
      <c r="H629" s="28">
        <f t="shared" si="164"/>
        <v>2865</v>
      </c>
      <c r="I629" s="27">
        <v>0</v>
      </c>
      <c r="J629" s="28"/>
      <c r="K629" s="27">
        <v>0</v>
      </c>
      <c r="L629" s="28"/>
      <c r="M629" s="86" t="s">
        <v>2856</v>
      </c>
      <c r="N629" t="s">
        <v>2856</v>
      </c>
      <c r="P629" t="s">
        <v>2428</v>
      </c>
      <c r="Q629" t="s">
        <v>2856</v>
      </c>
      <c r="R629" t="s">
        <v>794</v>
      </c>
      <c r="BI629" s="34" t="str">
        <f>HYPERLINK("#자재조서!A130","MTP-110 →")</f>
        <v>MTP-110 →</v>
      </c>
    </row>
    <row r="630" spans="1:61" ht="18.399999999999999" hidden="1" customHeight="1" x14ac:dyDescent="0.15">
      <c r="A630" s="2" t="s">
        <v>1734</v>
      </c>
      <c r="B630" s="87" t="s">
        <v>2741</v>
      </c>
      <c r="C630" s="2">
        <v>3.24</v>
      </c>
      <c r="D630" s="2" t="s">
        <v>1674</v>
      </c>
      <c r="E630" s="27">
        <f t="shared" si="163"/>
        <v>1245</v>
      </c>
      <c r="F630" s="28">
        <f t="shared" si="162"/>
        <v>4033.8</v>
      </c>
      <c r="G630" s="27">
        <f>자재조서!E138</f>
        <v>1245</v>
      </c>
      <c r="H630" s="28">
        <f t="shared" si="164"/>
        <v>4033.8</v>
      </c>
      <c r="I630" s="27">
        <v>0</v>
      </c>
      <c r="J630" s="28"/>
      <c r="K630" s="27">
        <v>0</v>
      </c>
      <c r="L630" s="28"/>
      <c r="M630" s="86" t="s">
        <v>2856</v>
      </c>
      <c r="N630" t="s">
        <v>2856</v>
      </c>
      <c r="P630" t="s">
        <v>1686</v>
      </c>
      <c r="Q630" t="s">
        <v>2856</v>
      </c>
      <c r="R630" t="s">
        <v>1046</v>
      </c>
      <c r="BI630" s="34" t="str">
        <f>HYPERLINK("#자재조서!A132","MTP-131 →")</f>
        <v>MTP-131 →</v>
      </c>
    </row>
    <row r="631" spans="1:61" ht="18.399999999999999" hidden="1" customHeight="1" x14ac:dyDescent="0.15">
      <c r="A631" s="1"/>
      <c r="B631" s="87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87"/>
    </row>
    <row r="632" spans="1:61" ht="18.399999999999999" hidden="1" customHeight="1" x14ac:dyDescent="0.15">
      <c r="A632" s="2" t="s">
        <v>1749</v>
      </c>
      <c r="B632" s="87" t="s">
        <v>2659</v>
      </c>
      <c r="C632" s="2">
        <v>1</v>
      </c>
      <c r="D632" s="2" t="s">
        <v>556</v>
      </c>
      <c r="E632" s="184"/>
      <c r="F632" s="29">
        <f t="shared" ref="F632:F638" si="165">H632+J632+L632</f>
        <v>305373</v>
      </c>
      <c r="G632" s="184"/>
      <c r="H632" s="29">
        <f>TRUNC(H633+H634+H636+H637+H638,0)</f>
        <v>44930</v>
      </c>
      <c r="I632" s="184"/>
      <c r="J632" s="29">
        <f>TRUNC(J633+J634+J636+J637+J638,0)</f>
        <v>236423</v>
      </c>
      <c r="K632" s="184"/>
      <c r="L632" s="29">
        <f>TRUNC(L633+L634+L636+L637+L638,0)</f>
        <v>24020</v>
      </c>
      <c r="M632" s="86" t="s">
        <v>2856</v>
      </c>
      <c r="N632" t="s">
        <v>2856</v>
      </c>
      <c r="O632" t="s">
        <v>515</v>
      </c>
    </row>
    <row r="633" spans="1:61" ht="18.399999999999999" hidden="1" customHeight="1" x14ac:dyDescent="0.15">
      <c r="A633" s="2" t="s">
        <v>1869</v>
      </c>
      <c r="B633" s="87" t="s">
        <v>2568</v>
      </c>
      <c r="C633" s="2">
        <v>1</v>
      </c>
      <c r="D633" s="2" t="s">
        <v>556</v>
      </c>
      <c r="E633" s="27">
        <f t="shared" ref="E633:E638" si="166">G633+I633+K633</f>
        <v>285065</v>
      </c>
      <c r="F633" s="28">
        <f t="shared" si="165"/>
        <v>285065</v>
      </c>
      <c r="G633" s="27">
        <f>일위대가목록!F221</f>
        <v>24622</v>
      </c>
      <c r="H633" s="28">
        <f t="shared" ref="H633:H638" si="167">TRUNC(G633*C633,1)</f>
        <v>24622</v>
      </c>
      <c r="I633" s="27">
        <f>일위대가목록!H221</f>
        <v>236423</v>
      </c>
      <c r="J633" s="28">
        <f>TRUNC(I633*C633,1)</f>
        <v>236423</v>
      </c>
      <c r="K633" s="27">
        <f>일위대가목록!J221</f>
        <v>24020</v>
      </c>
      <c r="L633" s="28">
        <f>TRUNC(K633*C633,1)</f>
        <v>24020</v>
      </c>
      <c r="M633" s="86" t="s">
        <v>2856</v>
      </c>
      <c r="N633" t="s">
        <v>2856</v>
      </c>
      <c r="P633" t="s">
        <v>2471</v>
      </c>
      <c r="Q633" t="s">
        <v>2856</v>
      </c>
      <c r="R633" t="s">
        <v>520</v>
      </c>
      <c r="T633" t="s">
        <v>1778</v>
      </c>
      <c r="BI633" s="34" t="str">
        <f>HYPERLINK("#일위대가목록!A216","NT205-20 →")</f>
        <v>NT205-20 →</v>
      </c>
    </row>
    <row r="634" spans="1:61" ht="18.399999999999999" hidden="1" customHeight="1" x14ac:dyDescent="0.15">
      <c r="A634" s="2" t="s">
        <v>300</v>
      </c>
      <c r="B634" s="87" t="s">
        <v>1807</v>
      </c>
      <c r="C634" s="2">
        <v>1</v>
      </c>
      <c r="D634" s="2" t="s">
        <v>1302</v>
      </c>
      <c r="E634" s="27">
        <f t="shared" si="166"/>
        <v>17700</v>
      </c>
      <c r="F634" s="28">
        <f t="shared" si="165"/>
        <v>17700</v>
      </c>
      <c r="G634" s="27">
        <f>자재조서!E132</f>
        <v>17700</v>
      </c>
      <c r="H634" s="28">
        <f t="shared" si="167"/>
        <v>17700</v>
      </c>
      <c r="I634" s="27">
        <v>0</v>
      </c>
      <c r="J634" s="28"/>
      <c r="K634" s="27">
        <v>0</v>
      </c>
      <c r="L634" s="28"/>
      <c r="M634" s="86" t="s">
        <v>2856</v>
      </c>
      <c r="N634" t="s">
        <v>2856</v>
      </c>
      <c r="P634" t="s">
        <v>1741</v>
      </c>
      <c r="Q634" t="s">
        <v>2856</v>
      </c>
      <c r="R634" t="s">
        <v>1011</v>
      </c>
      <c r="BI634" s="34" t="str">
        <f>HYPERLINK("#자재조서!A126","MTP-039 →")</f>
        <v>MTP-039 →</v>
      </c>
    </row>
    <row r="635" spans="1:61" ht="18.399999999999999" hidden="1" customHeight="1" x14ac:dyDescent="0.15">
      <c r="A635" s="2" t="s">
        <v>261</v>
      </c>
      <c r="B635" s="87" t="s">
        <v>2437</v>
      </c>
      <c r="C635" s="2">
        <v>20</v>
      </c>
      <c r="D635" s="2" t="s">
        <v>1674</v>
      </c>
      <c r="E635" s="27">
        <f t="shared" si="166"/>
        <v>433</v>
      </c>
      <c r="F635" s="28">
        <f t="shared" si="165"/>
        <v>8660</v>
      </c>
      <c r="G635" s="27">
        <f>자재조서!E129</f>
        <v>433</v>
      </c>
      <c r="H635" s="28">
        <f t="shared" si="167"/>
        <v>8660</v>
      </c>
      <c r="I635" s="27">
        <v>0</v>
      </c>
      <c r="J635" s="28"/>
      <c r="K635" s="27">
        <v>0</v>
      </c>
      <c r="L635" s="28"/>
      <c r="M635" s="86" t="s">
        <v>2856</v>
      </c>
      <c r="N635" t="s">
        <v>2856</v>
      </c>
      <c r="P635" t="s">
        <v>1036</v>
      </c>
      <c r="Q635" t="s">
        <v>1839</v>
      </c>
      <c r="R635" t="s">
        <v>1422</v>
      </c>
      <c r="BI635" s="34" t="str">
        <f>HYPERLINK("#자재조서!A123","MTP-010 →")</f>
        <v>MTP-010 →</v>
      </c>
    </row>
    <row r="636" spans="1:61" ht="18.399999999999999" hidden="1" customHeight="1" x14ac:dyDescent="0.15">
      <c r="A636" s="2" t="s">
        <v>2029</v>
      </c>
      <c r="B636" s="87" t="s">
        <v>1936</v>
      </c>
      <c r="C636" s="2">
        <v>22</v>
      </c>
      <c r="D636" s="2" t="s">
        <v>1086</v>
      </c>
      <c r="E636" s="27">
        <f t="shared" si="166"/>
        <v>40</v>
      </c>
      <c r="F636" s="28">
        <f t="shared" si="165"/>
        <v>880</v>
      </c>
      <c r="G636" s="27">
        <f>자재조서!E137</f>
        <v>40</v>
      </c>
      <c r="H636" s="28">
        <f t="shared" si="167"/>
        <v>880</v>
      </c>
      <c r="I636" s="27">
        <v>0</v>
      </c>
      <c r="J636" s="28"/>
      <c r="K636" s="27">
        <v>0</v>
      </c>
      <c r="L636" s="28"/>
      <c r="M636" s="86" t="s">
        <v>2856</v>
      </c>
      <c r="N636" t="s">
        <v>2856</v>
      </c>
      <c r="P636" t="s">
        <v>286</v>
      </c>
      <c r="Q636" t="s">
        <v>2856</v>
      </c>
      <c r="R636" t="s">
        <v>316</v>
      </c>
      <c r="BI636" s="34" t="str">
        <f>HYPERLINK("#자재조서!A131","MTP-121 →")</f>
        <v>MTP-121 →</v>
      </c>
    </row>
    <row r="637" spans="1:61" ht="18.399999999999999" hidden="1" customHeight="1" x14ac:dyDescent="0.15">
      <c r="A637" s="2" t="s">
        <v>694</v>
      </c>
      <c r="B637" s="87" t="s">
        <v>1038</v>
      </c>
      <c r="C637" s="2">
        <v>4.8</v>
      </c>
      <c r="D637" s="2" t="s">
        <v>1086</v>
      </c>
      <c r="E637" s="27">
        <f t="shared" si="166"/>
        <v>150</v>
      </c>
      <c r="F637" s="28">
        <f t="shared" si="165"/>
        <v>720</v>
      </c>
      <c r="G637" s="27">
        <f>자재조서!E136</f>
        <v>150</v>
      </c>
      <c r="H637" s="28">
        <f t="shared" si="167"/>
        <v>720</v>
      </c>
      <c r="I637" s="27">
        <v>0</v>
      </c>
      <c r="J637" s="28"/>
      <c r="K637" s="27">
        <v>0</v>
      </c>
      <c r="L637" s="28"/>
      <c r="M637" s="86" t="s">
        <v>2856</v>
      </c>
      <c r="N637" t="s">
        <v>2856</v>
      </c>
      <c r="P637" t="s">
        <v>2428</v>
      </c>
      <c r="Q637" t="s">
        <v>2856</v>
      </c>
      <c r="R637" t="s">
        <v>794</v>
      </c>
      <c r="BI637" s="34" t="str">
        <f>HYPERLINK("#자재조서!A130","MTP-110 →")</f>
        <v>MTP-110 →</v>
      </c>
    </row>
    <row r="638" spans="1:61" ht="18.399999999999999" hidden="1" customHeight="1" x14ac:dyDescent="0.15">
      <c r="A638" s="2" t="s">
        <v>1734</v>
      </c>
      <c r="B638" s="87" t="s">
        <v>2741</v>
      </c>
      <c r="C638" s="2">
        <v>0.81</v>
      </c>
      <c r="D638" s="2" t="s">
        <v>1674</v>
      </c>
      <c r="E638" s="27">
        <f t="shared" si="166"/>
        <v>1245</v>
      </c>
      <c r="F638" s="28">
        <f t="shared" si="165"/>
        <v>1008.4</v>
      </c>
      <c r="G638" s="27">
        <f>자재조서!E138</f>
        <v>1245</v>
      </c>
      <c r="H638" s="28">
        <f t="shared" si="167"/>
        <v>1008.4</v>
      </c>
      <c r="I638" s="27">
        <v>0</v>
      </c>
      <c r="J638" s="28"/>
      <c r="K638" s="27">
        <v>0</v>
      </c>
      <c r="L638" s="28"/>
      <c r="M638" s="86" t="s">
        <v>2856</v>
      </c>
      <c r="N638" t="s">
        <v>2856</v>
      </c>
      <c r="P638" t="s">
        <v>1686</v>
      </c>
      <c r="Q638" t="s">
        <v>2856</v>
      </c>
      <c r="R638" t="s">
        <v>1046</v>
      </c>
      <c r="BI638" s="34" t="str">
        <f>HYPERLINK("#자재조서!A132","MTP-131 →")</f>
        <v>MTP-131 →</v>
      </c>
    </row>
    <row r="639" spans="1:61" ht="18.399999999999999" hidden="1" customHeight="1" x14ac:dyDescent="0.15">
      <c r="A639" s="1"/>
      <c r="B639" s="87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87"/>
    </row>
    <row r="640" spans="1:61" ht="18.399999999999999" hidden="1" customHeight="1" x14ac:dyDescent="0.15">
      <c r="A640" s="2" t="s">
        <v>160</v>
      </c>
      <c r="B640" s="87" t="s">
        <v>2169</v>
      </c>
      <c r="C640" s="2">
        <v>1</v>
      </c>
      <c r="D640" s="2" t="s">
        <v>556</v>
      </c>
      <c r="E640" s="184"/>
      <c r="F640" s="29">
        <f t="shared" ref="F640:F646" si="168">H640+J640+L640</f>
        <v>622522</v>
      </c>
      <c r="G640" s="184"/>
      <c r="H640" s="29">
        <f>TRUNC(H641+H642+H644+H645+H646,0)</f>
        <v>73684</v>
      </c>
      <c r="I640" s="184"/>
      <c r="J640" s="29">
        <f>TRUNC(J641+J642+J644+J645+J646,0)</f>
        <v>443066</v>
      </c>
      <c r="K640" s="184"/>
      <c r="L640" s="29">
        <f>TRUNC(L641+L642+L644+L645+L646,0)</f>
        <v>105772</v>
      </c>
      <c r="M640" s="86" t="s">
        <v>2856</v>
      </c>
      <c r="N640" t="s">
        <v>2856</v>
      </c>
      <c r="O640" t="s">
        <v>1853</v>
      </c>
    </row>
    <row r="641" spans="1:61" ht="18.399999999999999" hidden="1" customHeight="1" x14ac:dyDescent="0.15">
      <c r="A641" s="2" t="s">
        <v>1869</v>
      </c>
      <c r="B641" s="87" t="s">
        <v>2192</v>
      </c>
      <c r="C641" s="2">
        <v>1</v>
      </c>
      <c r="D641" s="2" t="s">
        <v>556</v>
      </c>
      <c r="E641" s="27">
        <f t="shared" ref="E641:E646" si="169">G641+I641+K641</f>
        <v>598895</v>
      </c>
      <c r="F641" s="28">
        <f t="shared" si="168"/>
        <v>598895</v>
      </c>
      <c r="G641" s="27">
        <f>일위대가목록!F217</f>
        <v>50057</v>
      </c>
      <c r="H641" s="28">
        <f t="shared" ref="H641:H646" si="170">TRUNC(G641*C641,1)</f>
        <v>50057</v>
      </c>
      <c r="I641" s="27">
        <f>일위대가목록!H217</f>
        <v>443066</v>
      </c>
      <c r="J641" s="28">
        <f>TRUNC(I641*C641,1)</f>
        <v>443066</v>
      </c>
      <c r="K641" s="27">
        <f>일위대가목록!J217</f>
        <v>105772</v>
      </c>
      <c r="L641" s="28">
        <f>TRUNC(K641*C641,1)</f>
        <v>105772</v>
      </c>
      <c r="M641" s="86" t="s">
        <v>2856</v>
      </c>
      <c r="N641" t="s">
        <v>2856</v>
      </c>
      <c r="P641" t="s">
        <v>2471</v>
      </c>
      <c r="Q641" t="s">
        <v>2856</v>
      </c>
      <c r="R641" t="s">
        <v>2141</v>
      </c>
      <c r="T641" t="s">
        <v>1778</v>
      </c>
      <c r="BI641" s="34" t="str">
        <f>HYPERLINK("#일위대가목록!A212","NT205-25 →")</f>
        <v>NT205-25 →</v>
      </c>
    </row>
    <row r="642" spans="1:61" ht="18.399999999999999" hidden="1" customHeight="1" x14ac:dyDescent="0.15">
      <c r="A642" s="2" t="s">
        <v>300</v>
      </c>
      <c r="B642" s="87" t="s">
        <v>1807</v>
      </c>
      <c r="C642" s="2">
        <v>1</v>
      </c>
      <c r="D642" s="2" t="s">
        <v>1302</v>
      </c>
      <c r="E642" s="27">
        <f t="shared" si="169"/>
        <v>17700</v>
      </c>
      <c r="F642" s="28">
        <f t="shared" si="168"/>
        <v>17700</v>
      </c>
      <c r="G642" s="27">
        <f>자재조서!E132</f>
        <v>17700</v>
      </c>
      <c r="H642" s="28">
        <f t="shared" si="170"/>
        <v>17700</v>
      </c>
      <c r="I642" s="27">
        <v>0</v>
      </c>
      <c r="J642" s="28"/>
      <c r="K642" s="27">
        <v>0</v>
      </c>
      <c r="L642" s="28"/>
      <c r="M642" s="86" t="s">
        <v>2856</v>
      </c>
      <c r="N642" t="s">
        <v>2856</v>
      </c>
      <c r="P642" t="s">
        <v>1741</v>
      </c>
      <c r="Q642" t="s">
        <v>2856</v>
      </c>
      <c r="R642" t="s">
        <v>1011</v>
      </c>
      <c r="BI642" s="34" t="str">
        <f>HYPERLINK("#자재조서!A126","MTP-039 →")</f>
        <v>MTP-039 →</v>
      </c>
    </row>
    <row r="643" spans="1:61" ht="18.399999999999999" hidden="1" customHeight="1" x14ac:dyDescent="0.15">
      <c r="A643" s="2" t="s">
        <v>261</v>
      </c>
      <c r="B643" s="87" t="s">
        <v>2437</v>
      </c>
      <c r="C643" s="2">
        <v>20</v>
      </c>
      <c r="D643" s="2" t="s">
        <v>1674</v>
      </c>
      <c r="E643" s="27">
        <f t="shared" si="169"/>
        <v>433</v>
      </c>
      <c r="F643" s="28">
        <f t="shared" si="168"/>
        <v>8660</v>
      </c>
      <c r="G643" s="27">
        <f>자재조서!E129</f>
        <v>433</v>
      </c>
      <c r="H643" s="28">
        <f t="shared" si="170"/>
        <v>8660</v>
      </c>
      <c r="I643" s="27">
        <v>0</v>
      </c>
      <c r="J643" s="28"/>
      <c r="K643" s="27">
        <v>0</v>
      </c>
      <c r="L643" s="28"/>
      <c r="M643" s="86" t="s">
        <v>2856</v>
      </c>
      <c r="N643" t="s">
        <v>2856</v>
      </c>
      <c r="P643" t="s">
        <v>1036</v>
      </c>
      <c r="Q643" t="s">
        <v>1839</v>
      </c>
      <c r="R643" t="s">
        <v>1422</v>
      </c>
      <c r="BI643" s="34" t="str">
        <f>HYPERLINK("#자재조서!A123","MTP-010 →")</f>
        <v>MTP-010 →</v>
      </c>
    </row>
    <row r="644" spans="1:61" ht="18.399999999999999" hidden="1" customHeight="1" x14ac:dyDescent="0.15">
      <c r="A644" s="2" t="s">
        <v>2029</v>
      </c>
      <c r="B644" s="87" t="s">
        <v>1936</v>
      </c>
      <c r="C644" s="2">
        <v>38</v>
      </c>
      <c r="D644" s="2" t="s">
        <v>1086</v>
      </c>
      <c r="E644" s="27">
        <f t="shared" si="169"/>
        <v>40</v>
      </c>
      <c r="F644" s="28">
        <f t="shared" si="168"/>
        <v>1520</v>
      </c>
      <c r="G644" s="27">
        <f>자재조서!E137</f>
        <v>40</v>
      </c>
      <c r="H644" s="28">
        <f t="shared" si="170"/>
        <v>1520</v>
      </c>
      <c r="I644" s="27">
        <v>0</v>
      </c>
      <c r="J644" s="28"/>
      <c r="K644" s="27">
        <v>0</v>
      </c>
      <c r="L644" s="28"/>
      <c r="M644" s="86" t="s">
        <v>2856</v>
      </c>
      <c r="N644" t="s">
        <v>2856</v>
      </c>
      <c r="P644" t="s">
        <v>286</v>
      </c>
      <c r="Q644" t="s">
        <v>2856</v>
      </c>
      <c r="R644" t="s">
        <v>316</v>
      </c>
      <c r="BI644" s="34" t="str">
        <f>HYPERLINK("#자재조서!A131","MTP-121 →")</f>
        <v>MTP-121 →</v>
      </c>
    </row>
    <row r="645" spans="1:61" ht="18.399999999999999" hidden="1" customHeight="1" x14ac:dyDescent="0.15">
      <c r="A645" s="2" t="s">
        <v>694</v>
      </c>
      <c r="B645" s="87" t="s">
        <v>1038</v>
      </c>
      <c r="C645" s="2">
        <v>12.2</v>
      </c>
      <c r="D645" s="2" t="s">
        <v>1086</v>
      </c>
      <c r="E645" s="27">
        <f t="shared" si="169"/>
        <v>150</v>
      </c>
      <c r="F645" s="28">
        <f t="shared" si="168"/>
        <v>1830</v>
      </c>
      <c r="G645" s="27">
        <f>자재조서!E136</f>
        <v>150</v>
      </c>
      <c r="H645" s="28">
        <f t="shared" si="170"/>
        <v>1830</v>
      </c>
      <c r="I645" s="27">
        <v>0</v>
      </c>
      <c r="J645" s="28"/>
      <c r="K645" s="27">
        <v>0</v>
      </c>
      <c r="L645" s="28"/>
      <c r="M645" s="86" t="s">
        <v>2856</v>
      </c>
      <c r="N645" t="s">
        <v>2856</v>
      </c>
      <c r="P645" t="s">
        <v>2428</v>
      </c>
      <c r="Q645" t="s">
        <v>2856</v>
      </c>
      <c r="R645" t="s">
        <v>794</v>
      </c>
      <c r="BI645" s="34" t="str">
        <f>HYPERLINK("#자재조서!A130","MTP-110 →")</f>
        <v>MTP-110 →</v>
      </c>
    </row>
    <row r="646" spans="1:61" ht="18.399999999999999" hidden="1" customHeight="1" x14ac:dyDescent="0.15">
      <c r="A646" s="2" t="s">
        <v>1734</v>
      </c>
      <c r="B646" s="87" t="s">
        <v>2741</v>
      </c>
      <c r="C646" s="2">
        <v>2.0699999999999998</v>
      </c>
      <c r="D646" s="2" t="s">
        <v>1674</v>
      </c>
      <c r="E646" s="27">
        <f t="shared" si="169"/>
        <v>1245</v>
      </c>
      <c r="F646" s="28">
        <f t="shared" si="168"/>
        <v>2577.1</v>
      </c>
      <c r="G646" s="27">
        <f>자재조서!E138</f>
        <v>1245</v>
      </c>
      <c r="H646" s="28">
        <f t="shared" si="170"/>
        <v>2577.1</v>
      </c>
      <c r="I646" s="27">
        <v>0</v>
      </c>
      <c r="J646" s="28"/>
      <c r="K646" s="27">
        <v>0</v>
      </c>
      <c r="L646" s="28"/>
      <c r="M646" s="86" t="s">
        <v>2856</v>
      </c>
      <c r="N646" t="s">
        <v>2856</v>
      </c>
      <c r="P646" t="s">
        <v>1686</v>
      </c>
      <c r="Q646" t="s">
        <v>2856</v>
      </c>
      <c r="R646" t="s">
        <v>1046</v>
      </c>
      <c r="BI646" s="34" t="str">
        <f>HYPERLINK("#자재조서!A132","MTP-131 →")</f>
        <v>MTP-131 →</v>
      </c>
    </row>
    <row r="647" spans="1:61" ht="18.399999999999999" hidden="1" customHeight="1" x14ac:dyDescent="0.15">
      <c r="A647" s="1"/>
      <c r="B647" s="87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87"/>
    </row>
    <row r="648" spans="1:61" ht="18.399999999999999" hidden="1" customHeight="1" x14ac:dyDescent="0.15">
      <c r="A648" s="2" t="s">
        <v>800</v>
      </c>
      <c r="B648" s="87" t="s">
        <v>459</v>
      </c>
      <c r="C648" s="2">
        <v>1</v>
      </c>
      <c r="D648" s="2" t="s">
        <v>556</v>
      </c>
      <c r="E648" s="184"/>
      <c r="F648" s="29">
        <f t="shared" ref="F648:F654" si="171">H648+J648+L648</f>
        <v>306244</v>
      </c>
      <c r="G648" s="184"/>
      <c r="H648" s="29">
        <f>TRUNC(H649+H650+H652+H653+H654,0)</f>
        <v>45801</v>
      </c>
      <c r="I648" s="184"/>
      <c r="J648" s="29">
        <f>TRUNC(J649+J650+J652+J653+J654,0)</f>
        <v>236423</v>
      </c>
      <c r="K648" s="184"/>
      <c r="L648" s="29">
        <f>TRUNC(L649+L650+L652+L653+L654,0)</f>
        <v>24020</v>
      </c>
      <c r="M648" s="86" t="s">
        <v>2856</v>
      </c>
      <c r="N648" t="s">
        <v>2856</v>
      </c>
      <c r="O648" t="s">
        <v>2517</v>
      </c>
    </row>
    <row r="649" spans="1:61" ht="18.399999999999999" hidden="1" customHeight="1" x14ac:dyDescent="0.15">
      <c r="A649" s="2" t="s">
        <v>1869</v>
      </c>
      <c r="B649" s="87" t="s">
        <v>2568</v>
      </c>
      <c r="C649" s="2">
        <v>1</v>
      </c>
      <c r="D649" s="2" t="s">
        <v>556</v>
      </c>
      <c r="E649" s="27">
        <f t="shared" ref="E649:E654" si="172">G649+I649+K649</f>
        <v>285065</v>
      </c>
      <c r="F649" s="28">
        <f t="shared" si="171"/>
        <v>285065</v>
      </c>
      <c r="G649" s="27">
        <f>일위대가목록!F221</f>
        <v>24622</v>
      </c>
      <c r="H649" s="28">
        <f t="shared" ref="H649:H654" si="173">TRUNC(G649*C649,1)</f>
        <v>24622</v>
      </c>
      <c r="I649" s="27">
        <f>일위대가목록!H221</f>
        <v>236423</v>
      </c>
      <c r="J649" s="28">
        <f>TRUNC(I649*C649,1)</f>
        <v>236423</v>
      </c>
      <c r="K649" s="27">
        <f>일위대가목록!J221</f>
        <v>24020</v>
      </c>
      <c r="L649" s="28">
        <f>TRUNC(K649*C649,1)</f>
        <v>24020</v>
      </c>
      <c r="M649" s="86" t="s">
        <v>2856</v>
      </c>
      <c r="N649" t="s">
        <v>2856</v>
      </c>
      <c r="P649" t="s">
        <v>2471</v>
      </c>
      <c r="Q649" t="s">
        <v>2856</v>
      </c>
      <c r="R649" t="s">
        <v>520</v>
      </c>
      <c r="T649" t="s">
        <v>1778</v>
      </c>
      <c r="BI649" s="34" t="str">
        <f>HYPERLINK("#일위대가목록!A216","NT205-20 →")</f>
        <v>NT205-20 →</v>
      </c>
    </row>
    <row r="650" spans="1:61" ht="18.399999999999999" hidden="1" customHeight="1" x14ac:dyDescent="0.15">
      <c r="A650" s="2" t="s">
        <v>300</v>
      </c>
      <c r="B650" s="87" t="s">
        <v>1807</v>
      </c>
      <c r="C650" s="2">
        <v>1</v>
      </c>
      <c r="D650" s="2" t="s">
        <v>1302</v>
      </c>
      <c r="E650" s="27">
        <f t="shared" si="172"/>
        <v>17700</v>
      </c>
      <c r="F650" s="28">
        <f t="shared" si="171"/>
        <v>17700</v>
      </c>
      <c r="G650" s="27">
        <f>자재조서!E132</f>
        <v>17700</v>
      </c>
      <c r="H650" s="28">
        <f t="shared" si="173"/>
        <v>17700</v>
      </c>
      <c r="I650" s="27">
        <v>0</v>
      </c>
      <c r="J650" s="28"/>
      <c r="K650" s="27">
        <v>0</v>
      </c>
      <c r="L650" s="28"/>
      <c r="M650" s="86" t="s">
        <v>2856</v>
      </c>
      <c r="N650" t="s">
        <v>2856</v>
      </c>
      <c r="P650" t="s">
        <v>1741</v>
      </c>
      <c r="Q650" t="s">
        <v>2856</v>
      </c>
      <c r="R650" t="s">
        <v>1011</v>
      </c>
      <c r="BI650" s="34" t="str">
        <f>HYPERLINK("#자재조서!A126","MTP-039 →")</f>
        <v>MTP-039 →</v>
      </c>
    </row>
    <row r="651" spans="1:61" ht="18.399999999999999" hidden="1" customHeight="1" x14ac:dyDescent="0.15">
      <c r="A651" s="2" t="s">
        <v>261</v>
      </c>
      <c r="B651" s="87" t="s">
        <v>2437</v>
      </c>
      <c r="C651" s="2">
        <v>20</v>
      </c>
      <c r="D651" s="2" t="s">
        <v>1674</v>
      </c>
      <c r="E651" s="27">
        <f t="shared" si="172"/>
        <v>433</v>
      </c>
      <c r="F651" s="28">
        <f t="shared" si="171"/>
        <v>8660</v>
      </c>
      <c r="G651" s="27">
        <f>자재조서!E129</f>
        <v>433</v>
      </c>
      <c r="H651" s="28">
        <f t="shared" si="173"/>
        <v>8660</v>
      </c>
      <c r="I651" s="27">
        <v>0</v>
      </c>
      <c r="J651" s="28"/>
      <c r="K651" s="27">
        <v>0</v>
      </c>
      <c r="L651" s="28"/>
      <c r="M651" s="86" t="s">
        <v>2856</v>
      </c>
      <c r="N651" t="s">
        <v>2856</v>
      </c>
      <c r="P651" t="s">
        <v>1036</v>
      </c>
      <c r="Q651" t="s">
        <v>1839</v>
      </c>
      <c r="R651" t="s">
        <v>1422</v>
      </c>
      <c r="BI651" s="34" t="str">
        <f>HYPERLINK("#자재조서!A123","MTP-010 →")</f>
        <v>MTP-010 →</v>
      </c>
    </row>
    <row r="652" spans="1:61" ht="18.399999999999999" hidden="1" customHeight="1" x14ac:dyDescent="0.15">
      <c r="A652" s="2" t="s">
        <v>2029</v>
      </c>
      <c r="B652" s="87" t="s">
        <v>1936</v>
      </c>
      <c r="C652" s="2">
        <v>25</v>
      </c>
      <c r="D652" s="2" t="s">
        <v>1086</v>
      </c>
      <c r="E652" s="27">
        <f t="shared" si="172"/>
        <v>40</v>
      </c>
      <c r="F652" s="28">
        <f t="shared" si="171"/>
        <v>1000</v>
      </c>
      <c r="G652" s="27">
        <f>자재조서!E137</f>
        <v>40</v>
      </c>
      <c r="H652" s="28">
        <f t="shared" si="173"/>
        <v>1000</v>
      </c>
      <c r="I652" s="27">
        <v>0</v>
      </c>
      <c r="J652" s="28"/>
      <c r="K652" s="27">
        <v>0</v>
      </c>
      <c r="L652" s="28"/>
      <c r="M652" s="86" t="s">
        <v>2856</v>
      </c>
      <c r="N652" t="s">
        <v>2856</v>
      </c>
      <c r="P652" t="s">
        <v>286</v>
      </c>
      <c r="Q652" t="s">
        <v>2856</v>
      </c>
      <c r="R652" t="s">
        <v>316</v>
      </c>
      <c r="BI652" s="34" t="str">
        <f>HYPERLINK("#자재조서!A131","MTP-121 →")</f>
        <v>MTP-121 →</v>
      </c>
    </row>
    <row r="653" spans="1:61" ht="18.399999999999999" hidden="1" customHeight="1" x14ac:dyDescent="0.15">
      <c r="A653" s="2" t="s">
        <v>694</v>
      </c>
      <c r="B653" s="87" t="s">
        <v>1038</v>
      </c>
      <c r="C653" s="2">
        <v>6.9</v>
      </c>
      <c r="D653" s="2" t="s">
        <v>1086</v>
      </c>
      <c r="E653" s="27">
        <f t="shared" si="172"/>
        <v>150</v>
      </c>
      <c r="F653" s="28">
        <f t="shared" si="171"/>
        <v>1035</v>
      </c>
      <c r="G653" s="27">
        <f>자재조서!E136</f>
        <v>150</v>
      </c>
      <c r="H653" s="28">
        <f t="shared" si="173"/>
        <v>1035</v>
      </c>
      <c r="I653" s="27">
        <v>0</v>
      </c>
      <c r="J653" s="28"/>
      <c r="K653" s="27">
        <v>0</v>
      </c>
      <c r="L653" s="28"/>
      <c r="M653" s="86" t="s">
        <v>2856</v>
      </c>
      <c r="N653" t="s">
        <v>2856</v>
      </c>
      <c r="P653" t="s">
        <v>2428</v>
      </c>
      <c r="Q653" t="s">
        <v>2856</v>
      </c>
      <c r="R653" t="s">
        <v>794</v>
      </c>
      <c r="BI653" s="34" t="str">
        <f>HYPERLINK("#자재조서!A130","MTP-110 →")</f>
        <v>MTP-110 →</v>
      </c>
    </row>
    <row r="654" spans="1:61" ht="18.399999999999999" hidden="1" customHeight="1" x14ac:dyDescent="0.15">
      <c r="A654" s="2" t="s">
        <v>1734</v>
      </c>
      <c r="B654" s="87" t="s">
        <v>2741</v>
      </c>
      <c r="C654" s="2">
        <v>1.1599999999999999</v>
      </c>
      <c r="D654" s="2" t="s">
        <v>1674</v>
      </c>
      <c r="E654" s="27">
        <f t="shared" si="172"/>
        <v>1245</v>
      </c>
      <c r="F654" s="28">
        <f t="shared" si="171"/>
        <v>1444.2</v>
      </c>
      <c r="G654" s="27">
        <f>자재조서!E138</f>
        <v>1245</v>
      </c>
      <c r="H654" s="28">
        <f t="shared" si="173"/>
        <v>1444.2</v>
      </c>
      <c r="I654" s="27">
        <v>0</v>
      </c>
      <c r="J654" s="28"/>
      <c r="K654" s="27">
        <v>0</v>
      </c>
      <c r="L654" s="28"/>
      <c r="M654" s="86" t="s">
        <v>2856</v>
      </c>
      <c r="N654" t="s">
        <v>2856</v>
      </c>
      <c r="P654" t="s">
        <v>1686</v>
      </c>
      <c r="Q654" t="s">
        <v>2856</v>
      </c>
      <c r="R654" t="s">
        <v>1046</v>
      </c>
      <c r="BI654" s="34" t="str">
        <f>HYPERLINK("#자재조서!A132","MTP-131 →")</f>
        <v>MTP-131 →</v>
      </c>
    </row>
    <row r="655" spans="1:61" ht="18.399999999999999" hidden="1" customHeight="1" x14ac:dyDescent="0.15">
      <c r="A655" s="1"/>
      <c r="B655" s="87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87"/>
    </row>
    <row r="656" spans="1:61" ht="18.399999999999999" hidden="1" customHeight="1" x14ac:dyDescent="0.15">
      <c r="A656" s="2" t="s">
        <v>1448</v>
      </c>
      <c r="B656" s="87" t="s">
        <v>1133</v>
      </c>
      <c r="C656" s="2">
        <v>1</v>
      </c>
      <c r="D656" s="2" t="s">
        <v>556</v>
      </c>
      <c r="E656" s="184"/>
      <c r="F656" s="29">
        <f t="shared" ref="F656:F662" si="174">H656+J656+L656</f>
        <v>863033</v>
      </c>
      <c r="G656" s="184"/>
      <c r="H656" s="29">
        <f>TRUNC(H657+H658+H660+H661+H662,0)</f>
        <v>109813</v>
      </c>
      <c r="I656" s="184"/>
      <c r="J656" s="29">
        <f>TRUNC(J657+J658+J660+J661+J662,0)</f>
        <v>598140</v>
      </c>
      <c r="K656" s="184"/>
      <c r="L656" s="29">
        <f>TRUNC(L657+L658+L660+L661+L662,0)</f>
        <v>155080</v>
      </c>
      <c r="M656" s="86" t="s">
        <v>2856</v>
      </c>
      <c r="N656" t="s">
        <v>2856</v>
      </c>
      <c r="O656" t="s">
        <v>1256</v>
      </c>
    </row>
    <row r="657" spans="1:61" ht="18.399999999999999" hidden="1" customHeight="1" x14ac:dyDescent="0.15">
      <c r="A657" s="2" t="s">
        <v>1869</v>
      </c>
      <c r="B657" s="87" t="s">
        <v>581</v>
      </c>
      <c r="C657" s="2">
        <v>1</v>
      </c>
      <c r="D657" s="2" t="s">
        <v>556</v>
      </c>
      <c r="E657" s="27">
        <f t="shared" ref="E657:E662" si="175">G657+I657+K657</f>
        <v>822785</v>
      </c>
      <c r="F657" s="28">
        <f t="shared" si="174"/>
        <v>822785</v>
      </c>
      <c r="G657" s="27">
        <f>일위대가목록!F219</f>
        <v>69565</v>
      </c>
      <c r="H657" s="28">
        <f t="shared" ref="H657:H662" si="176">TRUNC(G657*C657,1)</f>
        <v>69565</v>
      </c>
      <c r="I657" s="27">
        <f>일위대가목록!H219</f>
        <v>598140</v>
      </c>
      <c r="J657" s="28">
        <f>TRUNC(I657*C657,1)</f>
        <v>598140</v>
      </c>
      <c r="K657" s="27">
        <f>일위대가목록!J219</f>
        <v>155080</v>
      </c>
      <c r="L657" s="28">
        <f>TRUNC(K657*C657,1)</f>
        <v>155080</v>
      </c>
      <c r="M657" s="86" t="s">
        <v>2856</v>
      </c>
      <c r="N657" t="s">
        <v>2856</v>
      </c>
      <c r="P657" t="s">
        <v>2471</v>
      </c>
      <c r="Q657" t="s">
        <v>2856</v>
      </c>
      <c r="R657" t="s">
        <v>1268</v>
      </c>
      <c r="T657" t="s">
        <v>1778</v>
      </c>
      <c r="BI657" s="34" t="str">
        <f>HYPERLINK("#일위대가목록!A214","NT205-30 →")</f>
        <v>NT205-30 →</v>
      </c>
    </row>
    <row r="658" spans="1:61" ht="18.399999999999999" hidden="1" customHeight="1" x14ac:dyDescent="0.15">
      <c r="A658" s="2" t="s">
        <v>834</v>
      </c>
      <c r="B658" s="87" t="s">
        <v>816</v>
      </c>
      <c r="C658" s="2">
        <v>1</v>
      </c>
      <c r="D658" s="2" t="s">
        <v>1302</v>
      </c>
      <c r="E658" s="27">
        <f t="shared" si="175"/>
        <v>24700</v>
      </c>
      <c r="F658" s="28">
        <f t="shared" si="174"/>
        <v>24700</v>
      </c>
      <c r="G658" s="27">
        <f>자재조서!E131</f>
        <v>24700</v>
      </c>
      <c r="H658" s="28">
        <f t="shared" si="176"/>
        <v>24700</v>
      </c>
      <c r="I658" s="27">
        <v>0</v>
      </c>
      <c r="J658" s="28"/>
      <c r="K658" s="27">
        <v>0</v>
      </c>
      <c r="L658" s="28"/>
      <c r="M658" s="86" t="s">
        <v>2856</v>
      </c>
      <c r="N658" t="s">
        <v>2856</v>
      </c>
      <c r="P658" t="s">
        <v>1741</v>
      </c>
      <c r="Q658" t="s">
        <v>2856</v>
      </c>
      <c r="R658" t="s">
        <v>2314</v>
      </c>
      <c r="BI658" s="34" t="str">
        <f>HYPERLINK("#자재조서!A125","MTP-038 →")</f>
        <v>MTP-038 →</v>
      </c>
    </row>
    <row r="659" spans="1:61" ht="18.399999999999999" hidden="1" customHeight="1" x14ac:dyDescent="0.15">
      <c r="A659" s="2" t="s">
        <v>261</v>
      </c>
      <c r="B659" s="87" t="s">
        <v>2437</v>
      </c>
      <c r="C659" s="2">
        <v>40</v>
      </c>
      <c r="D659" s="2" t="s">
        <v>1674</v>
      </c>
      <c r="E659" s="27">
        <f t="shared" si="175"/>
        <v>433</v>
      </c>
      <c r="F659" s="28">
        <f t="shared" si="174"/>
        <v>17320</v>
      </c>
      <c r="G659" s="27">
        <f>자재조서!E129</f>
        <v>433</v>
      </c>
      <c r="H659" s="28">
        <f t="shared" si="176"/>
        <v>17320</v>
      </c>
      <c r="I659" s="27">
        <v>0</v>
      </c>
      <c r="J659" s="28"/>
      <c r="K659" s="27">
        <v>0</v>
      </c>
      <c r="L659" s="28"/>
      <c r="M659" s="86" t="s">
        <v>2856</v>
      </c>
      <c r="N659" t="s">
        <v>2856</v>
      </c>
      <c r="P659" t="s">
        <v>1036</v>
      </c>
      <c r="Q659" t="s">
        <v>1839</v>
      </c>
      <c r="R659" t="s">
        <v>1422</v>
      </c>
      <c r="BI659" s="34" t="str">
        <f>HYPERLINK("#자재조서!A123","MTP-010 →")</f>
        <v>MTP-010 →</v>
      </c>
    </row>
    <row r="660" spans="1:61" ht="18.399999999999999" hidden="1" customHeight="1" x14ac:dyDescent="0.15">
      <c r="A660" s="2" t="s">
        <v>2029</v>
      </c>
      <c r="B660" s="87" t="s">
        <v>1936</v>
      </c>
      <c r="C660" s="2">
        <v>82.3</v>
      </c>
      <c r="D660" s="2" t="s">
        <v>1086</v>
      </c>
      <c r="E660" s="27">
        <f t="shared" si="175"/>
        <v>40</v>
      </c>
      <c r="F660" s="28">
        <f t="shared" si="174"/>
        <v>3292</v>
      </c>
      <c r="G660" s="27">
        <f>자재조서!E137</f>
        <v>40</v>
      </c>
      <c r="H660" s="28">
        <f t="shared" si="176"/>
        <v>3292</v>
      </c>
      <c r="I660" s="27">
        <v>0</v>
      </c>
      <c r="J660" s="28"/>
      <c r="K660" s="27">
        <v>0</v>
      </c>
      <c r="L660" s="28"/>
      <c r="M660" s="86" t="s">
        <v>2856</v>
      </c>
      <c r="N660" t="s">
        <v>2856</v>
      </c>
      <c r="P660" t="s">
        <v>286</v>
      </c>
      <c r="Q660" t="s">
        <v>2856</v>
      </c>
      <c r="R660" t="s">
        <v>316</v>
      </c>
      <c r="BI660" s="34" t="str">
        <f>HYPERLINK("#자재조서!A131","MTP-121 →")</f>
        <v>MTP-121 →</v>
      </c>
    </row>
    <row r="661" spans="1:61" ht="18.399999999999999" hidden="1" customHeight="1" x14ac:dyDescent="0.15">
      <c r="A661" s="2" t="s">
        <v>694</v>
      </c>
      <c r="B661" s="87" t="s">
        <v>1038</v>
      </c>
      <c r="C661" s="2">
        <v>33.9</v>
      </c>
      <c r="D661" s="2" t="s">
        <v>1086</v>
      </c>
      <c r="E661" s="27">
        <f t="shared" si="175"/>
        <v>150</v>
      </c>
      <c r="F661" s="28">
        <f t="shared" si="174"/>
        <v>5085</v>
      </c>
      <c r="G661" s="27">
        <f>자재조서!E136</f>
        <v>150</v>
      </c>
      <c r="H661" s="28">
        <f t="shared" si="176"/>
        <v>5085</v>
      </c>
      <c r="I661" s="27">
        <v>0</v>
      </c>
      <c r="J661" s="28"/>
      <c r="K661" s="27">
        <v>0</v>
      </c>
      <c r="L661" s="28"/>
      <c r="M661" s="86" t="s">
        <v>2856</v>
      </c>
      <c r="N661" t="s">
        <v>2856</v>
      </c>
      <c r="P661" t="s">
        <v>2428</v>
      </c>
      <c r="Q661" t="s">
        <v>2856</v>
      </c>
      <c r="R661" t="s">
        <v>794</v>
      </c>
      <c r="BI661" s="34" t="str">
        <f>HYPERLINK("#자재조서!A130","MTP-110 →")</f>
        <v>MTP-110 →</v>
      </c>
    </row>
    <row r="662" spans="1:61" ht="18.399999999999999" hidden="1" customHeight="1" x14ac:dyDescent="0.15">
      <c r="A662" s="2" t="s">
        <v>1734</v>
      </c>
      <c r="B662" s="87" t="s">
        <v>2741</v>
      </c>
      <c r="C662" s="2">
        <v>5.76</v>
      </c>
      <c r="D662" s="2" t="s">
        <v>1674</v>
      </c>
      <c r="E662" s="27">
        <f t="shared" si="175"/>
        <v>1245</v>
      </c>
      <c r="F662" s="28">
        <f t="shared" si="174"/>
        <v>7171.2</v>
      </c>
      <c r="G662" s="27">
        <f>자재조서!E138</f>
        <v>1245</v>
      </c>
      <c r="H662" s="28">
        <f t="shared" si="176"/>
        <v>7171.2</v>
      </c>
      <c r="I662" s="27">
        <v>0</v>
      </c>
      <c r="J662" s="28"/>
      <c r="K662" s="27">
        <v>0</v>
      </c>
      <c r="L662" s="28"/>
      <c r="M662" s="86" t="s">
        <v>2856</v>
      </c>
      <c r="N662" t="s">
        <v>2856</v>
      </c>
      <c r="P662" t="s">
        <v>1686</v>
      </c>
      <c r="Q662" t="s">
        <v>2856</v>
      </c>
      <c r="R662" t="s">
        <v>1046</v>
      </c>
      <c r="BI662" s="34" t="str">
        <f>HYPERLINK("#자재조서!A132","MTP-131 →")</f>
        <v>MTP-131 →</v>
      </c>
    </row>
    <row r="663" spans="1:61" ht="18.399999999999999" hidden="1" customHeight="1" x14ac:dyDescent="0.15">
      <c r="A663" s="1"/>
      <c r="B663" s="87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87"/>
    </row>
    <row r="664" spans="1:61" ht="18.399999999999999" hidden="1" customHeight="1" x14ac:dyDescent="0.15">
      <c r="A664" s="2" t="s">
        <v>2195</v>
      </c>
      <c r="B664" s="87" t="s">
        <v>376</v>
      </c>
      <c r="C664" s="2">
        <v>1</v>
      </c>
      <c r="D664" s="2" t="s">
        <v>556</v>
      </c>
      <c r="E664" s="184"/>
      <c r="F664" s="29">
        <f t="shared" ref="F664:F670" si="177">H664+J664+L664</f>
        <v>630473</v>
      </c>
      <c r="G664" s="184"/>
      <c r="H664" s="29">
        <f>TRUNC(H665+H666+H668+H669+H670,0)</f>
        <v>81635</v>
      </c>
      <c r="I664" s="184"/>
      <c r="J664" s="29">
        <f>TRUNC(J665+J666+J668+J669+J670,0)</f>
        <v>443066</v>
      </c>
      <c r="K664" s="184"/>
      <c r="L664" s="29">
        <f>TRUNC(L665+L666+L668+L669+L670,0)</f>
        <v>105772</v>
      </c>
      <c r="M664" s="86" t="s">
        <v>2856</v>
      </c>
      <c r="N664" t="s">
        <v>2856</v>
      </c>
      <c r="O664" t="s">
        <v>2576</v>
      </c>
    </row>
    <row r="665" spans="1:61" ht="18.399999999999999" hidden="1" customHeight="1" x14ac:dyDescent="0.15">
      <c r="A665" s="2" t="s">
        <v>1869</v>
      </c>
      <c r="B665" s="87" t="s">
        <v>2192</v>
      </c>
      <c r="C665" s="2">
        <v>1</v>
      </c>
      <c r="D665" s="2" t="s">
        <v>556</v>
      </c>
      <c r="E665" s="27">
        <f t="shared" ref="E665:E670" si="178">G665+I665+K665</f>
        <v>598895</v>
      </c>
      <c r="F665" s="28">
        <f t="shared" si="177"/>
        <v>598895</v>
      </c>
      <c r="G665" s="27">
        <f>일위대가목록!F217</f>
        <v>50057</v>
      </c>
      <c r="H665" s="28">
        <f t="shared" ref="H665:H670" si="179">TRUNC(G665*C665,1)</f>
        <v>50057</v>
      </c>
      <c r="I665" s="27">
        <f>일위대가목록!H217</f>
        <v>443066</v>
      </c>
      <c r="J665" s="28">
        <f>TRUNC(I665*C665,1)</f>
        <v>443066</v>
      </c>
      <c r="K665" s="27">
        <f>일위대가목록!J217</f>
        <v>105772</v>
      </c>
      <c r="L665" s="28">
        <f>TRUNC(K665*C665,1)</f>
        <v>105772</v>
      </c>
      <c r="M665" s="86" t="s">
        <v>2856</v>
      </c>
      <c r="N665" t="s">
        <v>2856</v>
      </c>
      <c r="P665" t="s">
        <v>2471</v>
      </c>
      <c r="Q665" t="s">
        <v>2856</v>
      </c>
      <c r="R665" t="s">
        <v>2141</v>
      </c>
      <c r="T665" t="s">
        <v>1778</v>
      </c>
      <c r="BI665" s="34" t="str">
        <f>HYPERLINK("#일위대가목록!A212","NT205-25 →")</f>
        <v>NT205-25 →</v>
      </c>
    </row>
    <row r="666" spans="1:61" ht="18.399999999999999" hidden="1" customHeight="1" x14ac:dyDescent="0.15">
      <c r="A666" s="2" t="s">
        <v>834</v>
      </c>
      <c r="B666" s="87" t="s">
        <v>816</v>
      </c>
      <c r="C666" s="2">
        <v>1</v>
      </c>
      <c r="D666" s="2" t="s">
        <v>1302</v>
      </c>
      <c r="E666" s="27">
        <f t="shared" si="178"/>
        <v>24700</v>
      </c>
      <c r="F666" s="28">
        <f t="shared" si="177"/>
        <v>24700</v>
      </c>
      <c r="G666" s="27">
        <f>자재조서!E131</f>
        <v>24700</v>
      </c>
      <c r="H666" s="28">
        <f t="shared" si="179"/>
        <v>24700</v>
      </c>
      <c r="I666" s="27">
        <v>0</v>
      </c>
      <c r="J666" s="28"/>
      <c r="K666" s="27">
        <v>0</v>
      </c>
      <c r="L666" s="28"/>
      <c r="M666" s="86" t="s">
        <v>2856</v>
      </c>
      <c r="N666" t="s">
        <v>2856</v>
      </c>
      <c r="P666" t="s">
        <v>1741</v>
      </c>
      <c r="Q666" t="s">
        <v>2856</v>
      </c>
      <c r="R666" t="s">
        <v>2314</v>
      </c>
      <c r="BI666" s="34" t="str">
        <f>HYPERLINK("#자재조서!A125","MTP-038 →")</f>
        <v>MTP-038 →</v>
      </c>
    </row>
    <row r="667" spans="1:61" ht="18.399999999999999" hidden="1" customHeight="1" x14ac:dyDescent="0.15">
      <c r="A667" s="2" t="s">
        <v>261</v>
      </c>
      <c r="B667" s="87" t="s">
        <v>2437</v>
      </c>
      <c r="C667" s="2">
        <v>30</v>
      </c>
      <c r="D667" s="2" t="s">
        <v>1674</v>
      </c>
      <c r="E667" s="27">
        <f t="shared" si="178"/>
        <v>433</v>
      </c>
      <c r="F667" s="28">
        <f t="shared" si="177"/>
        <v>12990</v>
      </c>
      <c r="G667" s="27">
        <f>자재조서!E129</f>
        <v>433</v>
      </c>
      <c r="H667" s="28">
        <f t="shared" si="179"/>
        <v>12990</v>
      </c>
      <c r="I667" s="27">
        <v>0</v>
      </c>
      <c r="J667" s="28"/>
      <c r="K667" s="27">
        <v>0</v>
      </c>
      <c r="L667" s="28"/>
      <c r="M667" s="86" t="s">
        <v>2856</v>
      </c>
      <c r="N667" t="s">
        <v>2856</v>
      </c>
      <c r="P667" t="s">
        <v>1036</v>
      </c>
      <c r="Q667" t="s">
        <v>1839</v>
      </c>
      <c r="R667" t="s">
        <v>1422</v>
      </c>
      <c r="BI667" s="34" t="str">
        <f>HYPERLINK("#자재조서!A123","MTP-010 →")</f>
        <v>MTP-010 →</v>
      </c>
    </row>
    <row r="668" spans="1:61" ht="18.399999999999999" hidden="1" customHeight="1" x14ac:dyDescent="0.15">
      <c r="A668" s="2" t="s">
        <v>2029</v>
      </c>
      <c r="B668" s="87" t="s">
        <v>1936</v>
      </c>
      <c r="C668" s="2">
        <v>42.7</v>
      </c>
      <c r="D668" s="2" t="s">
        <v>1086</v>
      </c>
      <c r="E668" s="27">
        <f t="shared" si="178"/>
        <v>40</v>
      </c>
      <c r="F668" s="28">
        <f t="shared" si="177"/>
        <v>1708</v>
      </c>
      <c r="G668" s="27">
        <f>자재조서!E137</f>
        <v>40</v>
      </c>
      <c r="H668" s="28">
        <f t="shared" si="179"/>
        <v>1708</v>
      </c>
      <c r="I668" s="27">
        <v>0</v>
      </c>
      <c r="J668" s="28"/>
      <c r="K668" s="27">
        <v>0</v>
      </c>
      <c r="L668" s="28"/>
      <c r="M668" s="86" t="s">
        <v>2856</v>
      </c>
      <c r="N668" t="s">
        <v>2856</v>
      </c>
      <c r="P668" t="s">
        <v>286</v>
      </c>
      <c r="Q668" t="s">
        <v>2856</v>
      </c>
      <c r="R668" t="s">
        <v>316</v>
      </c>
      <c r="BI668" s="34" t="str">
        <f>HYPERLINK("#자재조서!A131","MTP-121 →")</f>
        <v>MTP-121 →</v>
      </c>
    </row>
    <row r="669" spans="1:61" ht="18.399999999999999" hidden="1" customHeight="1" x14ac:dyDescent="0.15">
      <c r="A669" s="2" t="s">
        <v>694</v>
      </c>
      <c r="B669" s="87" t="s">
        <v>1038</v>
      </c>
      <c r="C669" s="2">
        <v>14.3</v>
      </c>
      <c r="D669" s="2" t="s">
        <v>1086</v>
      </c>
      <c r="E669" s="27">
        <f t="shared" si="178"/>
        <v>150</v>
      </c>
      <c r="F669" s="28">
        <f t="shared" si="177"/>
        <v>2145</v>
      </c>
      <c r="G669" s="27">
        <f>자재조서!E136</f>
        <v>150</v>
      </c>
      <c r="H669" s="28">
        <f t="shared" si="179"/>
        <v>2145</v>
      </c>
      <c r="I669" s="27">
        <v>0</v>
      </c>
      <c r="J669" s="28"/>
      <c r="K669" s="27">
        <v>0</v>
      </c>
      <c r="L669" s="28"/>
      <c r="M669" s="86" t="s">
        <v>2856</v>
      </c>
      <c r="N669" t="s">
        <v>2856</v>
      </c>
      <c r="P669" t="s">
        <v>2428</v>
      </c>
      <c r="Q669" t="s">
        <v>2856</v>
      </c>
      <c r="R669" t="s">
        <v>794</v>
      </c>
      <c r="BI669" s="34" t="str">
        <f>HYPERLINK("#자재조서!A130","MTP-110 →")</f>
        <v>MTP-110 →</v>
      </c>
    </row>
    <row r="670" spans="1:61" ht="18.399999999999999" hidden="1" customHeight="1" x14ac:dyDescent="0.15">
      <c r="A670" s="2" t="s">
        <v>1734</v>
      </c>
      <c r="B670" s="87" t="s">
        <v>2741</v>
      </c>
      <c r="C670" s="2">
        <v>2.4300000000000002</v>
      </c>
      <c r="D670" s="2" t="s">
        <v>1674</v>
      </c>
      <c r="E670" s="27">
        <f t="shared" si="178"/>
        <v>1245</v>
      </c>
      <c r="F670" s="28">
        <f t="shared" si="177"/>
        <v>3025.3</v>
      </c>
      <c r="G670" s="27">
        <f>자재조서!E138</f>
        <v>1245</v>
      </c>
      <c r="H670" s="28">
        <f t="shared" si="179"/>
        <v>3025.3</v>
      </c>
      <c r="I670" s="27">
        <v>0</v>
      </c>
      <c r="J670" s="28"/>
      <c r="K670" s="27">
        <v>0</v>
      </c>
      <c r="L670" s="28"/>
      <c r="M670" s="86" t="s">
        <v>2856</v>
      </c>
      <c r="N670" t="s">
        <v>2856</v>
      </c>
      <c r="P670" t="s">
        <v>1686</v>
      </c>
      <c r="Q670" t="s">
        <v>2856</v>
      </c>
      <c r="R670" t="s">
        <v>1046</v>
      </c>
      <c r="BI670" s="34" t="str">
        <f>HYPERLINK("#자재조서!A132","MTP-131 →")</f>
        <v>MTP-131 →</v>
      </c>
    </row>
    <row r="671" spans="1:61" ht="18.399999999999999" hidden="1" customHeight="1" x14ac:dyDescent="0.15">
      <c r="A671" s="1"/>
      <c r="B671" s="87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87"/>
    </row>
    <row r="672" spans="1:61" ht="18.399999999999999" hidden="1" customHeight="1" x14ac:dyDescent="0.15">
      <c r="A672" s="2" t="s">
        <v>2567</v>
      </c>
      <c r="B672" s="87" t="s">
        <v>1868</v>
      </c>
      <c r="C672" s="2">
        <v>1</v>
      </c>
      <c r="D672" s="2" t="s">
        <v>556</v>
      </c>
      <c r="E672" s="184"/>
      <c r="F672" s="29">
        <f t="shared" ref="F672:F678" si="180">H672+J672+L672</f>
        <v>621638</v>
      </c>
      <c r="G672" s="184"/>
      <c r="H672" s="29">
        <f>TRUNC(H673+H674+H676+H677+H678,0)</f>
        <v>72800</v>
      </c>
      <c r="I672" s="184"/>
      <c r="J672" s="29">
        <f>TRUNC(J673+J674+J676+J677+J678,0)</f>
        <v>443066</v>
      </c>
      <c r="K672" s="184"/>
      <c r="L672" s="29">
        <f>TRUNC(L673+L674+L676+L677+L678,0)</f>
        <v>105772</v>
      </c>
      <c r="M672" s="86" t="s">
        <v>2856</v>
      </c>
      <c r="N672" t="s">
        <v>2856</v>
      </c>
      <c r="O672" t="s">
        <v>1438</v>
      </c>
    </row>
    <row r="673" spans="1:61" ht="18.399999999999999" hidden="1" customHeight="1" x14ac:dyDescent="0.15">
      <c r="A673" s="2" t="s">
        <v>1869</v>
      </c>
      <c r="B673" s="87" t="s">
        <v>2192</v>
      </c>
      <c r="C673" s="2">
        <v>1</v>
      </c>
      <c r="D673" s="2" t="s">
        <v>556</v>
      </c>
      <c r="E673" s="27">
        <f t="shared" ref="E673:E678" si="181">G673+I673+K673</f>
        <v>598895</v>
      </c>
      <c r="F673" s="28">
        <f t="shared" si="180"/>
        <v>598895</v>
      </c>
      <c r="G673" s="27">
        <f>일위대가목록!F217</f>
        <v>50057</v>
      </c>
      <c r="H673" s="28">
        <f t="shared" ref="H673:H678" si="182">TRUNC(G673*C673,1)</f>
        <v>50057</v>
      </c>
      <c r="I673" s="27">
        <f>일위대가목록!H217</f>
        <v>443066</v>
      </c>
      <c r="J673" s="28">
        <f>TRUNC(I673*C673,1)</f>
        <v>443066</v>
      </c>
      <c r="K673" s="27">
        <f>일위대가목록!J217</f>
        <v>105772</v>
      </c>
      <c r="L673" s="28">
        <f>TRUNC(K673*C673,1)</f>
        <v>105772</v>
      </c>
      <c r="M673" s="86" t="s">
        <v>2856</v>
      </c>
      <c r="N673" t="s">
        <v>2856</v>
      </c>
      <c r="P673" t="s">
        <v>2471</v>
      </c>
      <c r="Q673" t="s">
        <v>2856</v>
      </c>
      <c r="R673" t="s">
        <v>2141</v>
      </c>
      <c r="T673" t="s">
        <v>1778</v>
      </c>
      <c r="BI673" s="34" t="str">
        <f>HYPERLINK("#일위대가목록!A212","NT205-25 →")</f>
        <v>NT205-25 →</v>
      </c>
    </row>
    <row r="674" spans="1:61" ht="18.399999999999999" hidden="1" customHeight="1" x14ac:dyDescent="0.15">
      <c r="A674" s="2" t="s">
        <v>300</v>
      </c>
      <c r="B674" s="87" t="s">
        <v>1807</v>
      </c>
      <c r="C674" s="2">
        <v>1</v>
      </c>
      <c r="D674" s="2" t="s">
        <v>1302</v>
      </c>
      <c r="E674" s="27">
        <f t="shared" si="181"/>
        <v>17700</v>
      </c>
      <c r="F674" s="28">
        <f t="shared" si="180"/>
        <v>17700</v>
      </c>
      <c r="G674" s="27">
        <f>자재조서!E132</f>
        <v>17700</v>
      </c>
      <c r="H674" s="28">
        <f t="shared" si="182"/>
        <v>17700</v>
      </c>
      <c r="I674" s="27">
        <v>0</v>
      </c>
      <c r="J674" s="28"/>
      <c r="K674" s="27">
        <v>0</v>
      </c>
      <c r="L674" s="28"/>
      <c r="M674" s="86" t="s">
        <v>2856</v>
      </c>
      <c r="N674" t="s">
        <v>2856</v>
      </c>
      <c r="P674" t="s">
        <v>1741</v>
      </c>
      <c r="Q674" t="s">
        <v>2856</v>
      </c>
      <c r="R674" t="s">
        <v>1011</v>
      </c>
      <c r="BI674" s="34" t="str">
        <f>HYPERLINK("#자재조서!A126","MTP-039 →")</f>
        <v>MTP-039 →</v>
      </c>
    </row>
    <row r="675" spans="1:61" ht="18.399999999999999" hidden="1" customHeight="1" x14ac:dyDescent="0.15">
      <c r="A675" s="2" t="s">
        <v>261</v>
      </c>
      <c r="B675" s="87" t="s">
        <v>2437</v>
      </c>
      <c r="C675" s="2">
        <v>20</v>
      </c>
      <c r="D675" s="2" t="s">
        <v>1674</v>
      </c>
      <c r="E675" s="27">
        <f t="shared" si="181"/>
        <v>433</v>
      </c>
      <c r="F675" s="28">
        <f t="shared" si="180"/>
        <v>8660</v>
      </c>
      <c r="G675" s="27">
        <f>자재조서!E129</f>
        <v>433</v>
      </c>
      <c r="H675" s="28">
        <f t="shared" si="182"/>
        <v>8660</v>
      </c>
      <c r="I675" s="27">
        <v>0</v>
      </c>
      <c r="J675" s="28"/>
      <c r="K675" s="27">
        <v>0</v>
      </c>
      <c r="L675" s="28"/>
      <c r="M675" s="86" t="s">
        <v>2856</v>
      </c>
      <c r="N675" t="s">
        <v>2856</v>
      </c>
      <c r="P675" t="s">
        <v>1036</v>
      </c>
      <c r="Q675" t="s">
        <v>1839</v>
      </c>
      <c r="R675" t="s">
        <v>1422</v>
      </c>
      <c r="BI675" s="34" t="str">
        <f>HYPERLINK("#자재조서!A123","MTP-010 →")</f>
        <v>MTP-010 →</v>
      </c>
    </row>
    <row r="676" spans="1:61" ht="18.399999999999999" hidden="1" customHeight="1" x14ac:dyDescent="0.15">
      <c r="A676" s="2" t="s">
        <v>2029</v>
      </c>
      <c r="B676" s="87" t="s">
        <v>1936</v>
      </c>
      <c r="C676" s="2">
        <v>33.299999999999997</v>
      </c>
      <c r="D676" s="2" t="s">
        <v>1086</v>
      </c>
      <c r="E676" s="27">
        <f t="shared" si="181"/>
        <v>40</v>
      </c>
      <c r="F676" s="28">
        <f t="shared" si="180"/>
        <v>1332</v>
      </c>
      <c r="G676" s="27">
        <f>자재조서!E137</f>
        <v>40</v>
      </c>
      <c r="H676" s="28">
        <f t="shared" si="182"/>
        <v>1332</v>
      </c>
      <c r="I676" s="27">
        <v>0</v>
      </c>
      <c r="J676" s="28"/>
      <c r="K676" s="27">
        <v>0</v>
      </c>
      <c r="L676" s="28"/>
      <c r="M676" s="86" t="s">
        <v>2856</v>
      </c>
      <c r="N676" t="s">
        <v>2856</v>
      </c>
      <c r="P676" t="s">
        <v>286</v>
      </c>
      <c r="Q676" t="s">
        <v>2856</v>
      </c>
      <c r="R676" t="s">
        <v>316</v>
      </c>
      <c r="BI676" s="34" t="str">
        <f>HYPERLINK("#자재조서!A131","MTP-121 →")</f>
        <v>MTP-121 →</v>
      </c>
    </row>
    <row r="677" spans="1:61" ht="18.399999999999999" hidden="1" customHeight="1" x14ac:dyDescent="0.15">
      <c r="A677" s="2" t="s">
        <v>694</v>
      </c>
      <c r="B677" s="87" t="s">
        <v>1038</v>
      </c>
      <c r="C677" s="2">
        <v>10.3</v>
      </c>
      <c r="D677" s="2" t="s">
        <v>1086</v>
      </c>
      <c r="E677" s="27">
        <f t="shared" si="181"/>
        <v>150</v>
      </c>
      <c r="F677" s="28">
        <f t="shared" si="180"/>
        <v>1545</v>
      </c>
      <c r="G677" s="27">
        <f>자재조서!E136</f>
        <v>150</v>
      </c>
      <c r="H677" s="28">
        <f t="shared" si="182"/>
        <v>1545</v>
      </c>
      <c r="I677" s="27">
        <v>0</v>
      </c>
      <c r="J677" s="28"/>
      <c r="K677" s="27">
        <v>0</v>
      </c>
      <c r="L677" s="28"/>
      <c r="M677" s="86" t="s">
        <v>2856</v>
      </c>
      <c r="N677" t="s">
        <v>2856</v>
      </c>
      <c r="P677" t="s">
        <v>2428</v>
      </c>
      <c r="Q677" t="s">
        <v>2856</v>
      </c>
      <c r="R677" t="s">
        <v>794</v>
      </c>
      <c r="BI677" s="34" t="str">
        <f>HYPERLINK("#자재조서!A130","MTP-110 →")</f>
        <v>MTP-110 →</v>
      </c>
    </row>
    <row r="678" spans="1:61" ht="18.399999999999999" hidden="1" customHeight="1" x14ac:dyDescent="0.15">
      <c r="A678" s="2" t="s">
        <v>1734</v>
      </c>
      <c r="B678" s="87" t="s">
        <v>2741</v>
      </c>
      <c r="C678" s="2">
        <v>1.74</v>
      </c>
      <c r="D678" s="2" t="s">
        <v>1674</v>
      </c>
      <c r="E678" s="27">
        <f t="shared" si="181"/>
        <v>1245</v>
      </c>
      <c r="F678" s="28">
        <f t="shared" si="180"/>
        <v>2166.3000000000002</v>
      </c>
      <c r="G678" s="27">
        <f>자재조서!E138</f>
        <v>1245</v>
      </c>
      <c r="H678" s="28">
        <f t="shared" si="182"/>
        <v>2166.3000000000002</v>
      </c>
      <c r="I678" s="27">
        <v>0</v>
      </c>
      <c r="J678" s="28"/>
      <c r="K678" s="27">
        <v>0</v>
      </c>
      <c r="L678" s="28"/>
      <c r="M678" s="86" t="s">
        <v>2856</v>
      </c>
      <c r="N678" t="s">
        <v>2856</v>
      </c>
      <c r="P678" t="s">
        <v>1686</v>
      </c>
      <c r="Q678" t="s">
        <v>2856</v>
      </c>
      <c r="R678" t="s">
        <v>1046</v>
      </c>
      <c r="BI678" s="34" t="str">
        <f>HYPERLINK("#자재조서!A132","MTP-131 →")</f>
        <v>MTP-131 →</v>
      </c>
    </row>
    <row r="679" spans="1:61" ht="18.399999999999999" hidden="1" customHeight="1" x14ac:dyDescent="0.15">
      <c r="A679" s="1"/>
      <c r="B679" s="87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87"/>
    </row>
    <row r="680" spans="1:61" ht="18.399999999999999" hidden="1" customHeight="1" x14ac:dyDescent="0.15">
      <c r="A680" s="2" t="s">
        <v>1826</v>
      </c>
      <c r="B680" s="87" t="s">
        <v>2228</v>
      </c>
      <c r="C680" s="2">
        <v>1</v>
      </c>
      <c r="D680" s="2" t="s">
        <v>556</v>
      </c>
      <c r="E680" s="184"/>
      <c r="F680" s="29">
        <f t="shared" ref="F680:F686" si="183">H680+J680+L680</f>
        <v>305373</v>
      </c>
      <c r="G680" s="184"/>
      <c r="H680" s="29">
        <f>TRUNC(H681+H682+H684+H685+H686,0)</f>
        <v>44930</v>
      </c>
      <c r="I680" s="184"/>
      <c r="J680" s="29">
        <f>TRUNC(J681+J682+J684+J685+J686,0)</f>
        <v>236423</v>
      </c>
      <c r="K680" s="184"/>
      <c r="L680" s="29">
        <f>TRUNC(L681+L682+L684+L685+L686,0)</f>
        <v>24020</v>
      </c>
      <c r="M680" s="86" t="s">
        <v>2856</v>
      </c>
      <c r="N680" t="s">
        <v>2856</v>
      </c>
      <c r="O680" t="s">
        <v>264</v>
      </c>
    </row>
    <row r="681" spans="1:61" ht="18.399999999999999" hidden="1" customHeight="1" x14ac:dyDescent="0.15">
      <c r="A681" s="2" t="s">
        <v>1869</v>
      </c>
      <c r="B681" s="87" t="s">
        <v>2568</v>
      </c>
      <c r="C681" s="2">
        <v>1</v>
      </c>
      <c r="D681" s="2" t="s">
        <v>556</v>
      </c>
      <c r="E681" s="27">
        <f t="shared" ref="E681:E686" si="184">G681+I681+K681</f>
        <v>285065</v>
      </c>
      <c r="F681" s="28">
        <f t="shared" si="183"/>
        <v>285065</v>
      </c>
      <c r="G681" s="27">
        <f>일위대가목록!F221</f>
        <v>24622</v>
      </c>
      <c r="H681" s="28">
        <f t="shared" ref="H681:H686" si="185">TRUNC(G681*C681,1)</f>
        <v>24622</v>
      </c>
      <c r="I681" s="27">
        <f>일위대가목록!H221</f>
        <v>236423</v>
      </c>
      <c r="J681" s="28">
        <f>TRUNC(I681*C681,1)</f>
        <v>236423</v>
      </c>
      <c r="K681" s="27">
        <f>일위대가목록!J221</f>
        <v>24020</v>
      </c>
      <c r="L681" s="28">
        <f>TRUNC(K681*C681,1)</f>
        <v>24020</v>
      </c>
      <c r="M681" s="86" t="s">
        <v>2856</v>
      </c>
      <c r="N681" t="s">
        <v>2856</v>
      </c>
      <c r="P681" t="s">
        <v>2471</v>
      </c>
      <c r="Q681" t="s">
        <v>2856</v>
      </c>
      <c r="R681" t="s">
        <v>520</v>
      </c>
      <c r="T681" t="s">
        <v>1778</v>
      </c>
      <c r="BI681" s="34" t="str">
        <f>HYPERLINK("#일위대가목록!A216","NT205-20 →")</f>
        <v>NT205-20 →</v>
      </c>
    </row>
    <row r="682" spans="1:61" ht="18.399999999999999" hidden="1" customHeight="1" x14ac:dyDescent="0.15">
      <c r="A682" s="2" t="s">
        <v>300</v>
      </c>
      <c r="B682" s="87" t="s">
        <v>1807</v>
      </c>
      <c r="C682" s="2">
        <v>1</v>
      </c>
      <c r="D682" s="2" t="s">
        <v>1302</v>
      </c>
      <c r="E682" s="27">
        <f t="shared" si="184"/>
        <v>17700</v>
      </c>
      <c r="F682" s="28">
        <f t="shared" si="183"/>
        <v>17700</v>
      </c>
      <c r="G682" s="27">
        <f>자재조서!E132</f>
        <v>17700</v>
      </c>
      <c r="H682" s="28">
        <f t="shared" si="185"/>
        <v>17700</v>
      </c>
      <c r="I682" s="27">
        <v>0</v>
      </c>
      <c r="J682" s="28"/>
      <c r="K682" s="27">
        <v>0</v>
      </c>
      <c r="L682" s="28"/>
      <c r="M682" s="86" t="s">
        <v>2856</v>
      </c>
      <c r="N682" t="s">
        <v>2856</v>
      </c>
      <c r="P682" t="s">
        <v>1741</v>
      </c>
      <c r="Q682" t="s">
        <v>2856</v>
      </c>
      <c r="R682" t="s">
        <v>1011</v>
      </c>
      <c r="BI682" s="34" t="str">
        <f>HYPERLINK("#자재조서!A126","MTP-039 →")</f>
        <v>MTP-039 →</v>
      </c>
    </row>
    <row r="683" spans="1:61" ht="18.399999999999999" hidden="1" customHeight="1" x14ac:dyDescent="0.15">
      <c r="A683" s="2" t="s">
        <v>261</v>
      </c>
      <c r="B683" s="87" t="s">
        <v>2437</v>
      </c>
      <c r="C683" s="2">
        <v>20</v>
      </c>
      <c r="D683" s="2" t="s">
        <v>1674</v>
      </c>
      <c r="E683" s="27">
        <f t="shared" si="184"/>
        <v>433</v>
      </c>
      <c r="F683" s="28">
        <f t="shared" si="183"/>
        <v>8660</v>
      </c>
      <c r="G683" s="27">
        <f>자재조서!E129</f>
        <v>433</v>
      </c>
      <c r="H683" s="28">
        <f t="shared" si="185"/>
        <v>8660</v>
      </c>
      <c r="I683" s="27">
        <v>0</v>
      </c>
      <c r="J683" s="28"/>
      <c r="K683" s="27">
        <v>0</v>
      </c>
      <c r="L683" s="28"/>
      <c r="M683" s="86" t="s">
        <v>2856</v>
      </c>
      <c r="N683" t="s">
        <v>2856</v>
      </c>
      <c r="P683" t="s">
        <v>1036</v>
      </c>
      <c r="Q683" t="s">
        <v>1839</v>
      </c>
      <c r="R683" t="s">
        <v>1422</v>
      </c>
      <c r="BI683" s="34" t="str">
        <f>HYPERLINK("#자재조서!A123","MTP-010 →")</f>
        <v>MTP-010 →</v>
      </c>
    </row>
    <row r="684" spans="1:61" ht="18.399999999999999" hidden="1" customHeight="1" x14ac:dyDescent="0.15">
      <c r="A684" s="2" t="s">
        <v>2029</v>
      </c>
      <c r="B684" s="87" t="s">
        <v>1936</v>
      </c>
      <c r="C684" s="2">
        <v>22</v>
      </c>
      <c r="D684" s="2" t="s">
        <v>1086</v>
      </c>
      <c r="E684" s="27">
        <f t="shared" si="184"/>
        <v>40</v>
      </c>
      <c r="F684" s="28">
        <f t="shared" si="183"/>
        <v>880</v>
      </c>
      <c r="G684" s="27">
        <f>자재조서!E137</f>
        <v>40</v>
      </c>
      <c r="H684" s="28">
        <f t="shared" si="185"/>
        <v>880</v>
      </c>
      <c r="I684" s="27">
        <v>0</v>
      </c>
      <c r="J684" s="28"/>
      <c r="K684" s="27">
        <v>0</v>
      </c>
      <c r="L684" s="28"/>
      <c r="M684" s="86" t="s">
        <v>2856</v>
      </c>
      <c r="N684" t="s">
        <v>2856</v>
      </c>
      <c r="P684" t="s">
        <v>286</v>
      </c>
      <c r="Q684" t="s">
        <v>2856</v>
      </c>
      <c r="R684" t="s">
        <v>316</v>
      </c>
      <c r="BI684" s="34" t="str">
        <f>HYPERLINK("#자재조서!A131","MTP-121 →")</f>
        <v>MTP-121 →</v>
      </c>
    </row>
    <row r="685" spans="1:61" ht="18.399999999999999" hidden="1" customHeight="1" x14ac:dyDescent="0.15">
      <c r="A685" s="2" t="s">
        <v>694</v>
      </c>
      <c r="B685" s="87" t="s">
        <v>1038</v>
      </c>
      <c r="C685" s="2">
        <v>4.8</v>
      </c>
      <c r="D685" s="2" t="s">
        <v>1086</v>
      </c>
      <c r="E685" s="27">
        <f t="shared" si="184"/>
        <v>150</v>
      </c>
      <c r="F685" s="28">
        <f t="shared" si="183"/>
        <v>720</v>
      </c>
      <c r="G685" s="27">
        <f>자재조서!E136</f>
        <v>150</v>
      </c>
      <c r="H685" s="28">
        <f t="shared" si="185"/>
        <v>720</v>
      </c>
      <c r="I685" s="27">
        <v>0</v>
      </c>
      <c r="J685" s="28"/>
      <c r="K685" s="27">
        <v>0</v>
      </c>
      <c r="L685" s="28"/>
      <c r="M685" s="86" t="s">
        <v>2856</v>
      </c>
      <c r="N685" t="s">
        <v>2856</v>
      </c>
      <c r="P685" t="s">
        <v>2428</v>
      </c>
      <c r="Q685" t="s">
        <v>2856</v>
      </c>
      <c r="R685" t="s">
        <v>794</v>
      </c>
      <c r="BI685" s="34" t="str">
        <f>HYPERLINK("#자재조서!A130","MTP-110 →")</f>
        <v>MTP-110 →</v>
      </c>
    </row>
    <row r="686" spans="1:61" ht="18.399999999999999" hidden="1" customHeight="1" x14ac:dyDescent="0.15">
      <c r="A686" s="2" t="s">
        <v>1734</v>
      </c>
      <c r="B686" s="87" t="s">
        <v>2741</v>
      </c>
      <c r="C686" s="2">
        <v>0.81</v>
      </c>
      <c r="D686" s="2" t="s">
        <v>1674</v>
      </c>
      <c r="E686" s="27">
        <f t="shared" si="184"/>
        <v>1245</v>
      </c>
      <c r="F686" s="28">
        <f t="shared" si="183"/>
        <v>1008.4</v>
      </c>
      <c r="G686" s="27">
        <f>자재조서!E138</f>
        <v>1245</v>
      </c>
      <c r="H686" s="28">
        <f t="shared" si="185"/>
        <v>1008.4</v>
      </c>
      <c r="I686" s="27">
        <v>0</v>
      </c>
      <c r="J686" s="28"/>
      <c r="K686" s="27">
        <v>0</v>
      </c>
      <c r="L686" s="28"/>
      <c r="M686" s="86" t="s">
        <v>2856</v>
      </c>
      <c r="N686" t="s">
        <v>2856</v>
      </c>
      <c r="P686" t="s">
        <v>1686</v>
      </c>
      <c r="Q686" t="s">
        <v>2856</v>
      </c>
      <c r="R686" t="s">
        <v>1046</v>
      </c>
      <c r="BI686" s="34" t="str">
        <f>HYPERLINK("#자재조서!A132","MTP-131 →")</f>
        <v>MTP-131 →</v>
      </c>
    </row>
    <row r="687" spans="1:61" ht="18.399999999999999" hidden="1" customHeight="1" x14ac:dyDescent="0.15">
      <c r="A687" s="1"/>
      <c r="B687" s="87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87"/>
    </row>
    <row r="688" spans="1:61" ht="18.399999999999999" hidden="1" customHeight="1" x14ac:dyDescent="0.15">
      <c r="A688" s="2" t="s">
        <v>1806</v>
      </c>
      <c r="B688" s="87" t="s">
        <v>2228</v>
      </c>
      <c r="C688" s="2">
        <v>1</v>
      </c>
      <c r="D688" s="2" t="s">
        <v>556</v>
      </c>
      <c r="E688" s="184"/>
      <c r="F688" s="29">
        <f t="shared" ref="F688:F694" si="186">H688+J688+L688</f>
        <v>305373</v>
      </c>
      <c r="G688" s="184"/>
      <c r="H688" s="29">
        <f>TRUNC(H689+H690+H692+H693+H694,0)</f>
        <v>44930</v>
      </c>
      <c r="I688" s="184"/>
      <c r="J688" s="29">
        <f>TRUNC(J689+J690+J692+J693+J694,0)</f>
        <v>236423</v>
      </c>
      <c r="K688" s="184"/>
      <c r="L688" s="29">
        <f>TRUNC(L689+L690+L692+L693+L694,0)</f>
        <v>24020</v>
      </c>
      <c r="M688" s="86" t="s">
        <v>2856</v>
      </c>
      <c r="N688" t="s">
        <v>2856</v>
      </c>
      <c r="O688" t="s">
        <v>1924</v>
      </c>
    </row>
    <row r="689" spans="1:61" ht="18.399999999999999" hidden="1" customHeight="1" x14ac:dyDescent="0.15">
      <c r="A689" s="2" t="s">
        <v>1869</v>
      </c>
      <c r="B689" s="87" t="s">
        <v>2568</v>
      </c>
      <c r="C689" s="2">
        <v>1</v>
      </c>
      <c r="D689" s="2" t="s">
        <v>556</v>
      </c>
      <c r="E689" s="27">
        <f t="shared" ref="E689:E694" si="187">G689+I689+K689</f>
        <v>285065</v>
      </c>
      <c r="F689" s="28">
        <f t="shared" si="186"/>
        <v>285065</v>
      </c>
      <c r="G689" s="27">
        <f>일위대가목록!F221</f>
        <v>24622</v>
      </c>
      <c r="H689" s="28">
        <f t="shared" ref="H689:H694" si="188">TRUNC(G689*C689,1)</f>
        <v>24622</v>
      </c>
      <c r="I689" s="27">
        <f>일위대가목록!H221</f>
        <v>236423</v>
      </c>
      <c r="J689" s="28">
        <f>TRUNC(I689*C689,1)</f>
        <v>236423</v>
      </c>
      <c r="K689" s="27">
        <f>일위대가목록!J221</f>
        <v>24020</v>
      </c>
      <c r="L689" s="28">
        <f>TRUNC(K689*C689,1)</f>
        <v>24020</v>
      </c>
      <c r="M689" s="86" t="s">
        <v>2856</v>
      </c>
      <c r="N689" t="s">
        <v>2856</v>
      </c>
      <c r="P689" t="s">
        <v>2471</v>
      </c>
      <c r="Q689" t="s">
        <v>2856</v>
      </c>
      <c r="R689" t="s">
        <v>520</v>
      </c>
      <c r="T689" t="s">
        <v>1778</v>
      </c>
      <c r="BI689" s="34" t="str">
        <f>HYPERLINK("#일위대가목록!A216","NT205-20 →")</f>
        <v>NT205-20 →</v>
      </c>
    </row>
    <row r="690" spans="1:61" ht="18.399999999999999" hidden="1" customHeight="1" x14ac:dyDescent="0.15">
      <c r="A690" s="2" t="s">
        <v>300</v>
      </c>
      <c r="B690" s="87" t="s">
        <v>1807</v>
      </c>
      <c r="C690" s="2">
        <v>1</v>
      </c>
      <c r="D690" s="2" t="s">
        <v>1302</v>
      </c>
      <c r="E690" s="27">
        <f t="shared" si="187"/>
        <v>17700</v>
      </c>
      <c r="F690" s="28">
        <f t="shared" si="186"/>
        <v>17700</v>
      </c>
      <c r="G690" s="27">
        <f>자재조서!E132</f>
        <v>17700</v>
      </c>
      <c r="H690" s="28">
        <f t="shared" si="188"/>
        <v>17700</v>
      </c>
      <c r="I690" s="27">
        <v>0</v>
      </c>
      <c r="J690" s="28"/>
      <c r="K690" s="27">
        <v>0</v>
      </c>
      <c r="L690" s="28"/>
      <c r="M690" s="86" t="s">
        <v>2856</v>
      </c>
      <c r="N690" t="s">
        <v>2856</v>
      </c>
      <c r="P690" t="s">
        <v>1741</v>
      </c>
      <c r="Q690" t="s">
        <v>2856</v>
      </c>
      <c r="R690" t="s">
        <v>1011</v>
      </c>
      <c r="BI690" s="34" t="str">
        <f>HYPERLINK("#자재조서!A126","MTP-039 →")</f>
        <v>MTP-039 →</v>
      </c>
    </row>
    <row r="691" spans="1:61" ht="18.399999999999999" hidden="1" customHeight="1" x14ac:dyDescent="0.15">
      <c r="A691" s="2" t="s">
        <v>261</v>
      </c>
      <c r="B691" s="87" t="s">
        <v>2437</v>
      </c>
      <c r="C691" s="2">
        <v>20</v>
      </c>
      <c r="D691" s="2" t="s">
        <v>1674</v>
      </c>
      <c r="E691" s="27">
        <f t="shared" si="187"/>
        <v>433</v>
      </c>
      <c r="F691" s="28">
        <f t="shared" si="186"/>
        <v>8660</v>
      </c>
      <c r="G691" s="27">
        <f>자재조서!E129</f>
        <v>433</v>
      </c>
      <c r="H691" s="28">
        <f t="shared" si="188"/>
        <v>8660</v>
      </c>
      <c r="I691" s="27">
        <v>0</v>
      </c>
      <c r="J691" s="28"/>
      <c r="K691" s="27">
        <v>0</v>
      </c>
      <c r="L691" s="28"/>
      <c r="M691" s="86" t="s">
        <v>2856</v>
      </c>
      <c r="N691" t="s">
        <v>2856</v>
      </c>
      <c r="P691" t="s">
        <v>1036</v>
      </c>
      <c r="Q691" t="s">
        <v>1839</v>
      </c>
      <c r="R691" t="s">
        <v>1422</v>
      </c>
      <c r="BI691" s="34" t="str">
        <f>HYPERLINK("#자재조서!A123","MTP-010 →")</f>
        <v>MTP-010 →</v>
      </c>
    </row>
    <row r="692" spans="1:61" ht="18.399999999999999" hidden="1" customHeight="1" x14ac:dyDescent="0.15">
      <c r="A692" s="2" t="s">
        <v>2029</v>
      </c>
      <c r="B692" s="87" t="s">
        <v>1936</v>
      </c>
      <c r="C692" s="2">
        <v>22</v>
      </c>
      <c r="D692" s="2" t="s">
        <v>1086</v>
      </c>
      <c r="E692" s="27">
        <f t="shared" si="187"/>
        <v>40</v>
      </c>
      <c r="F692" s="28">
        <f t="shared" si="186"/>
        <v>880</v>
      </c>
      <c r="G692" s="27">
        <f>자재조서!E137</f>
        <v>40</v>
      </c>
      <c r="H692" s="28">
        <f t="shared" si="188"/>
        <v>880</v>
      </c>
      <c r="I692" s="27">
        <v>0</v>
      </c>
      <c r="J692" s="28"/>
      <c r="K692" s="27">
        <v>0</v>
      </c>
      <c r="L692" s="28"/>
      <c r="M692" s="86" t="s">
        <v>2856</v>
      </c>
      <c r="N692" t="s">
        <v>2856</v>
      </c>
      <c r="P692" t="s">
        <v>286</v>
      </c>
      <c r="Q692" t="s">
        <v>2856</v>
      </c>
      <c r="R692" t="s">
        <v>316</v>
      </c>
      <c r="BI692" s="34" t="str">
        <f>HYPERLINK("#자재조서!A131","MTP-121 →")</f>
        <v>MTP-121 →</v>
      </c>
    </row>
    <row r="693" spans="1:61" ht="18.399999999999999" hidden="1" customHeight="1" x14ac:dyDescent="0.15">
      <c r="A693" s="2" t="s">
        <v>694</v>
      </c>
      <c r="B693" s="87" t="s">
        <v>1038</v>
      </c>
      <c r="C693" s="2">
        <v>4.8</v>
      </c>
      <c r="D693" s="2" t="s">
        <v>1086</v>
      </c>
      <c r="E693" s="27">
        <f t="shared" si="187"/>
        <v>150</v>
      </c>
      <c r="F693" s="28">
        <f t="shared" si="186"/>
        <v>720</v>
      </c>
      <c r="G693" s="27">
        <f>자재조서!E136</f>
        <v>150</v>
      </c>
      <c r="H693" s="28">
        <f t="shared" si="188"/>
        <v>720</v>
      </c>
      <c r="I693" s="27">
        <v>0</v>
      </c>
      <c r="J693" s="28"/>
      <c r="K693" s="27">
        <v>0</v>
      </c>
      <c r="L693" s="28"/>
      <c r="M693" s="86" t="s">
        <v>2856</v>
      </c>
      <c r="N693" t="s">
        <v>2856</v>
      </c>
      <c r="P693" t="s">
        <v>2428</v>
      </c>
      <c r="Q693" t="s">
        <v>2856</v>
      </c>
      <c r="R693" t="s">
        <v>794</v>
      </c>
      <c r="BI693" s="34" t="str">
        <f>HYPERLINK("#자재조서!A130","MTP-110 →")</f>
        <v>MTP-110 →</v>
      </c>
    </row>
    <row r="694" spans="1:61" ht="18.399999999999999" hidden="1" customHeight="1" x14ac:dyDescent="0.15">
      <c r="A694" s="2" t="s">
        <v>1734</v>
      </c>
      <c r="B694" s="87" t="s">
        <v>2741</v>
      </c>
      <c r="C694" s="2">
        <v>0.81</v>
      </c>
      <c r="D694" s="2" t="s">
        <v>1674</v>
      </c>
      <c r="E694" s="27">
        <f t="shared" si="187"/>
        <v>1245</v>
      </c>
      <c r="F694" s="28">
        <f t="shared" si="186"/>
        <v>1008.4</v>
      </c>
      <c r="G694" s="27">
        <f>자재조서!E138</f>
        <v>1245</v>
      </c>
      <c r="H694" s="28">
        <f t="shared" si="188"/>
        <v>1008.4</v>
      </c>
      <c r="I694" s="27">
        <v>0</v>
      </c>
      <c r="J694" s="28"/>
      <c r="K694" s="27">
        <v>0</v>
      </c>
      <c r="L694" s="28"/>
      <c r="M694" s="86" t="s">
        <v>2856</v>
      </c>
      <c r="N694" t="s">
        <v>2856</v>
      </c>
      <c r="P694" t="s">
        <v>1686</v>
      </c>
      <c r="Q694" t="s">
        <v>2856</v>
      </c>
      <c r="R694" t="s">
        <v>1046</v>
      </c>
      <c r="BI694" s="34" t="str">
        <f>HYPERLINK("#자재조서!A132","MTP-131 →")</f>
        <v>MTP-131 →</v>
      </c>
    </row>
    <row r="695" spans="1:61" ht="18.399999999999999" hidden="1" customHeight="1" x14ac:dyDescent="0.15">
      <c r="A695" s="1"/>
      <c r="B695" s="87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87"/>
    </row>
    <row r="696" spans="1:61" ht="18.399999999999999" hidden="1" customHeight="1" x14ac:dyDescent="0.15">
      <c r="A696" s="2" t="s">
        <v>2559</v>
      </c>
      <c r="B696" s="87" t="s">
        <v>1125</v>
      </c>
      <c r="C696" s="2">
        <v>1</v>
      </c>
      <c r="D696" s="2" t="s">
        <v>556</v>
      </c>
      <c r="E696" s="184"/>
      <c r="F696" s="29">
        <f t="shared" ref="F696:F702" si="189">H696+J696+L696</f>
        <v>252669</v>
      </c>
      <c r="G696" s="184"/>
      <c r="H696" s="29">
        <f>TRUNC(H697+H698+H700+H701+H702,0)</f>
        <v>39580</v>
      </c>
      <c r="I696" s="184"/>
      <c r="J696" s="29">
        <f>TRUNC(J697+J698+J700+J701+J702,0)</f>
        <v>193437</v>
      </c>
      <c r="K696" s="184"/>
      <c r="L696" s="29">
        <f>TRUNC(L697+L698+L700+L701+L702,0)</f>
        <v>19652</v>
      </c>
      <c r="M696" s="86" t="s">
        <v>2856</v>
      </c>
      <c r="N696" t="s">
        <v>2856</v>
      </c>
      <c r="O696" t="s">
        <v>639</v>
      </c>
    </row>
    <row r="697" spans="1:61" ht="18.399999999999999" hidden="1" customHeight="1" x14ac:dyDescent="0.15">
      <c r="A697" s="2" t="s">
        <v>1869</v>
      </c>
      <c r="B697" s="87" t="s">
        <v>2520</v>
      </c>
      <c r="C697" s="2">
        <v>1</v>
      </c>
      <c r="D697" s="2" t="s">
        <v>556</v>
      </c>
      <c r="E697" s="27">
        <f t="shared" ref="E697:E702" si="190">G697+I697+K697</f>
        <v>233234</v>
      </c>
      <c r="F697" s="28">
        <f t="shared" si="189"/>
        <v>233234</v>
      </c>
      <c r="G697" s="27">
        <f>일위대가목록!F224</f>
        <v>20145</v>
      </c>
      <c r="H697" s="28">
        <f t="shared" ref="H697:H702" si="191">TRUNC(G697*C697,1)</f>
        <v>20145</v>
      </c>
      <c r="I697" s="27">
        <f>일위대가목록!H224</f>
        <v>193437</v>
      </c>
      <c r="J697" s="28">
        <f>TRUNC(I697*C697,1)</f>
        <v>193437</v>
      </c>
      <c r="K697" s="27">
        <f>일위대가목록!J224</f>
        <v>19652</v>
      </c>
      <c r="L697" s="28">
        <f>TRUNC(K697*C697,1)</f>
        <v>19652</v>
      </c>
      <c r="M697" s="86" t="s">
        <v>2856</v>
      </c>
      <c r="N697" t="s">
        <v>2856</v>
      </c>
      <c r="P697" t="s">
        <v>2471</v>
      </c>
      <c r="Q697" t="s">
        <v>2856</v>
      </c>
      <c r="R697" t="s">
        <v>2163</v>
      </c>
      <c r="T697" t="s">
        <v>1778</v>
      </c>
      <c r="BI697" s="34" t="str">
        <f>HYPERLINK("#일위대가목록!A219","NT205-18 →")</f>
        <v>NT205-18 →</v>
      </c>
    </row>
    <row r="698" spans="1:61" ht="18.399999999999999" hidden="1" customHeight="1" x14ac:dyDescent="0.15">
      <c r="A698" s="2" t="s">
        <v>300</v>
      </c>
      <c r="B698" s="87" t="s">
        <v>1807</v>
      </c>
      <c r="C698" s="2">
        <v>1</v>
      </c>
      <c r="D698" s="2" t="s">
        <v>1302</v>
      </c>
      <c r="E698" s="27">
        <f t="shared" si="190"/>
        <v>17700</v>
      </c>
      <c r="F698" s="28">
        <f t="shared" si="189"/>
        <v>17700</v>
      </c>
      <c r="G698" s="27">
        <f>자재조서!E132</f>
        <v>17700</v>
      </c>
      <c r="H698" s="28">
        <f t="shared" si="191"/>
        <v>17700</v>
      </c>
      <c r="I698" s="27">
        <v>0</v>
      </c>
      <c r="J698" s="28"/>
      <c r="K698" s="27">
        <v>0</v>
      </c>
      <c r="L698" s="28"/>
      <c r="M698" s="86" t="s">
        <v>2856</v>
      </c>
      <c r="N698" t="s">
        <v>2856</v>
      </c>
      <c r="P698" t="s">
        <v>1741</v>
      </c>
      <c r="Q698" t="s">
        <v>2856</v>
      </c>
      <c r="R698" t="s">
        <v>1011</v>
      </c>
      <c r="BI698" s="34" t="str">
        <f>HYPERLINK("#자재조서!A126","MTP-039 →")</f>
        <v>MTP-039 →</v>
      </c>
    </row>
    <row r="699" spans="1:61" ht="18.399999999999999" hidden="1" customHeight="1" x14ac:dyDescent="0.15">
      <c r="A699" s="2" t="s">
        <v>261</v>
      </c>
      <c r="B699" s="87" t="s">
        <v>2437</v>
      </c>
      <c r="C699" s="2">
        <v>15</v>
      </c>
      <c r="D699" s="2" t="s">
        <v>1674</v>
      </c>
      <c r="E699" s="27">
        <f t="shared" si="190"/>
        <v>433</v>
      </c>
      <c r="F699" s="28">
        <f t="shared" si="189"/>
        <v>6495</v>
      </c>
      <c r="G699" s="27">
        <f>자재조서!E129</f>
        <v>433</v>
      </c>
      <c r="H699" s="28">
        <f t="shared" si="191"/>
        <v>6495</v>
      </c>
      <c r="I699" s="27">
        <v>0</v>
      </c>
      <c r="J699" s="28"/>
      <c r="K699" s="27">
        <v>0</v>
      </c>
      <c r="L699" s="28"/>
      <c r="M699" s="86" t="s">
        <v>2856</v>
      </c>
      <c r="N699" t="s">
        <v>2856</v>
      </c>
      <c r="P699" t="s">
        <v>1036</v>
      </c>
      <c r="Q699" t="s">
        <v>1839</v>
      </c>
      <c r="R699" t="s">
        <v>1422</v>
      </c>
      <c r="BI699" s="34" t="str">
        <f>HYPERLINK("#자재조서!A123","MTP-010 →")</f>
        <v>MTP-010 →</v>
      </c>
    </row>
    <row r="700" spans="1:61" ht="18.399999999999999" hidden="1" customHeight="1" x14ac:dyDescent="0.15">
      <c r="A700" s="2" t="s">
        <v>2029</v>
      </c>
      <c r="B700" s="87" t="s">
        <v>1936</v>
      </c>
      <c r="C700" s="2">
        <v>15.9</v>
      </c>
      <c r="D700" s="2" t="s">
        <v>1086</v>
      </c>
      <c r="E700" s="27">
        <f t="shared" si="190"/>
        <v>40</v>
      </c>
      <c r="F700" s="28">
        <f t="shared" si="189"/>
        <v>636</v>
      </c>
      <c r="G700" s="27">
        <f>자재조서!E137</f>
        <v>40</v>
      </c>
      <c r="H700" s="28">
        <f t="shared" si="191"/>
        <v>636</v>
      </c>
      <c r="I700" s="27">
        <v>0</v>
      </c>
      <c r="J700" s="28"/>
      <c r="K700" s="27">
        <v>0</v>
      </c>
      <c r="L700" s="28"/>
      <c r="M700" s="86" t="s">
        <v>2856</v>
      </c>
      <c r="N700" t="s">
        <v>2856</v>
      </c>
      <c r="P700" t="s">
        <v>286</v>
      </c>
      <c r="Q700" t="s">
        <v>2856</v>
      </c>
      <c r="R700" t="s">
        <v>316</v>
      </c>
      <c r="BI700" s="34" t="str">
        <f>HYPERLINK("#자재조서!A131","MTP-121 →")</f>
        <v>MTP-121 →</v>
      </c>
    </row>
    <row r="701" spans="1:61" ht="18.399999999999999" hidden="1" customHeight="1" x14ac:dyDescent="0.15">
      <c r="A701" s="2" t="s">
        <v>694</v>
      </c>
      <c r="B701" s="87" t="s">
        <v>1038</v>
      </c>
      <c r="C701" s="2">
        <v>3.1</v>
      </c>
      <c r="D701" s="2" t="s">
        <v>1086</v>
      </c>
      <c r="E701" s="27">
        <f t="shared" si="190"/>
        <v>150</v>
      </c>
      <c r="F701" s="28">
        <f t="shared" si="189"/>
        <v>465</v>
      </c>
      <c r="G701" s="27">
        <f>자재조서!E136</f>
        <v>150</v>
      </c>
      <c r="H701" s="28">
        <f t="shared" si="191"/>
        <v>465</v>
      </c>
      <c r="I701" s="27">
        <v>0</v>
      </c>
      <c r="J701" s="28"/>
      <c r="K701" s="27">
        <v>0</v>
      </c>
      <c r="L701" s="28"/>
      <c r="M701" s="86" t="s">
        <v>2856</v>
      </c>
      <c r="N701" t="s">
        <v>2856</v>
      </c>
      <c r="P701" t="s">
        <v>2428</v>
      </c>
      <c r="Q701" t="s">
        <v>2856</v>
      </c>
      <c r="R701" t="s">
        <v>794</v>
      </c>
      <c r="BI701" s="34" t="str">
        <f>HYPERLINK("#자재조서!A130","MTP-110 →")</f>
        <v>MTP-110 →</v>
      </c>
    </row>
    <row r="702" spans="1:61" ht="18.399999999999999" hidden="1" customHeight="1" x14ac:dyDescent="0.15">
      <c r="A702" s="2" t="s">
        <v>1734</v>
      </c>
      <c r="B702" s="87" t="s">
        <v>2741</v>
      </c>
      <c r="C702" s="2">
        <v>0.51</v>
      </c>
      <c r="D702" s="2" t="s">
        <v>1674</v>
      </c>
      <c r="E702" s="27">
        <f t="shared" si="190"/>
        <v>1245</v>
      </c>
      <c r="F702" s="28">
        <f t="shared" si="189"/>
        <v>634.9</v>
      </c>
      <c r="G702" s="27">
        <f>자재조서!E138</f>
        <v>1245</v>
      </c>
      <c r="H702" s="28">
        <f t="shared" si="191"/>
        <v>634.9</v>
      </c>
      <c r="I702" s="27">
        <v>0</v>
      </c>
      <c r="J702" s="28"/>
      <c r="K702" s="27">
        <v>0</v>
      </c>
      <c r="L702" s="28"/>
      <c r="M702" s="86" t="s">
        <v>2856</v>
      </c>
      <c r="N702" t="s">
        <v>2856</v>
      </c>
      <c r="P702" t="s">
        <v>1686</v>
      </c>
      <c r="Q702" t="s">
        <v>2856</v>
      </c>
      <c r="R702" t="s">
        <v>1046</v>
      </c>
      <c r="BI702" s="34" t="str">
        <f>HYPERLINK("#자재조서!A132","MTP-131 →")</f>
        <v>MTP-131 →</v>
      </c>
    </row>
    <row r="703" spans="1:61" ht="18.399999999999999" hidden="1" customHeight="1" x14ac:dyDescent="0.15">
      <c r="A703" s="1"/>
      <c r="B703" s="87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87"/>
    </row>
    <row r="704" spans="1:61" ht="18.399999999999999" hidden="1" customHeight="1" x14ac:dyDescent="0.15">
      <c r="A704" s="2" t="s">
        <v>1802</v>
      </c>
      <c r="B704" s="87" t="s">
        <v>2461</v>
      </c>
      <c r="C704" s="2">
        <v>1</v>
      </c>
      <c r="D704" s="2" t="s">
        <v>556</v>
      </c>
      <c r="E704" s="184"/>
      <c r="F704" s="29">
        <f t="shared" ref="F704:F710" si="192">H704+J704+L704</f>
        <v>622522</v>
      </c>
      <c r="G704" s="184"/>
      <c r="H704" s="29">
        <f>TRUNC(H705+H706+H708+H709+H710,0)</f>
        <v>73684</v>
      </c>
      <c r="I704" s="184"/>
      <c r="J704" s="29">
        <f>TRUNC(J705+J706+J708+J709+J710,0)</f>
        <v>443066</v>
      </c>
      <c r="K704" s="184"/>
      <c r="L704" s="29">
        <f>TRUNC(L705+L706+L708+L709+L710,0)</f>
        <v>105772</v>
      </c>
      <c r="M704" s="86" t="s">
        <v>2856</v>
      </c>
      <c r="N704" t="s">
        <v>2856</v>
      </c>
      <c r="O704" t="s">
        <v>1688</v>
      </c>
    </row>
    <row r="705" spans="1:61" ht="18.399999999999999" hidden="1" customHeight="1" x14ac:dyDescent="0.15">
      <c r="A705" s="2" t="s">
        <v>1869</v>
      </c>
      <c r="B705" s="87" t="s">
        <v>2192</v>
      </c>
      <c r="C705" s="2">
        <v>1</v>
      </c>
      <c r="D705" s="2" t="s">
        <v>556</v>
      </c>
      <c r="E705" s="27">
        <f t="shared" ref="E705:E710" si="193">G705+I705+K705</f>
        <v>598895</v>
      </c>
      <c r="F705" s="28">
        <f t="shared" si="192"/>
        <v>598895</v>
      </c>
      <c r="G705" s="27">
        <f>일위대가목록!F217</f>
        <v>50057</v>
      </c>
      <c r="H705" s="28">
        <f t="shared" ref="H705:H710" si="194">TRUNC(G705*C705,1)</f>
        <v>50057</v>
      </c>
      <c r="I705" s="27">
        <f>일위대가목록!H217</f>
        <v>443066</v>
      </c>
      <c r="J705" s="28">
        <f>TRUNC(I705*C705,1)</f>
        <v>443066</v>
      </c>
      <c r="K705" s="27">
        <f>일위대가목록!J217</f>
        <v>105772</v>
      </c>
      <c r="L705" s="28">
        <f>TRUNC(K705*C705,1)</f>
        <v>105772</v>
      </c>
      <c r="M705" s="86" t="s">
        <v>2856</v>
      </c>
      <c r="N705" t="s">
        <v>2856</v>
      </c>
      <c r="P705" t="s">
        <v>2471</v>
      </c>
      <c r="Q705" t="s">
        <v>2856</v>
      </c>
      <c r="R705" t="s">
        <v>2141</v>
      </c>
      <c r="T705" t="s">
        <v>1778</v>
      </c>
      <c r="BI705" s="34" t="str">
        <f>HYPERLINK("#일위대가목록!A212","NT205-25 →")</f>
        <v>NT205-25 →</v>
      </c>
    </row>
    <row r="706" spans="1:61" ht="18.399999999999999" hidden="1" customHeight="1" x14ac:dyDescent="0.15">
      <c r="A706" s="2" t="s">
        <v>300</v>
      </c>
      <c r="B706" s="87" t="s">
        <v>1807</v>
      </c>
      <c r="C706" s="2">
        <v>1</v>
      </c>
      <c r="D706" s="2" t="s">
        <v>1302</v>
      </c>
      <c r="E706" s="27">
        <f t="shared" si="193"/>
        <v>17700</v>
      </c>
      <c r="F706" s="28">
        <f t="shared" si="192"/>
        <v>17700</v>
      </c>
      <c r="G706" s="27">
        <f>자재조서!E132</f>
        <v>17700</v>
      </c>
      <c r="H706" s="28">
        <f t="shared" si="194"/>
        <v>17700</v>
      </c>
      <c r="I706" s="27">
        <v>0</v>
      </c>
      <c r="J706" s="28"/>
      <c r="K706" s="27">
        <v>0</v>
      </c>
      <c r="L706" s="28"/>
      <c r="M706" s="86" t="s">
        <v>2856</v>
      </c>
      <c r="N706" t="s">
        <v>2856</v>
      </c>
      <c r="P706" t="s">
        <v>1741</v>
      </c>
      <c r="Q706" t="s">
        <v>2856</v>
      </c>
      <c r="R706" t="s">
        <v>1011</v>
      </c>
      <c r="BI706" s="34" t="str">
        <f>HYPERLINK("#자재조서!A126","MTP-039 →")</f>
        <v>MTP-039 →</v>
      </c>
    </row>
    <row r="707" spans="1:61" ht="18.399999999999999" hidden="1" customHeight="1" x14ac:dyDescent="0.15">
      <c r="A707" s="2" t="s">
        <v>261</v>
      </c>
      <c r="B707" s="87" t="s">
        <v>2437</v>
      </c>
      <c r="C707" s="2">
        <v>20</v>
      </c>
      <c r="D707" s="2" t="s">
        <v>1674</v>
      </c>
      <c r="E707" s="27">
        <f t="shared" si="193"/>
        <v>433</v>
      </c>
      <c r="F707" s="28">
        <f t="shared" si="192"/>
        <v>8660</v>
      </c>
      <c r="G707" s="27">
        <f>자재조서!E129</f>
        <v>433</v>
      </c>
      <c r="H707" s="28">
        <f t="shared" si="194"/>
        <v>8660</v>
      </c>
      <c r="I707" s="27">
        <v>0</v>
      </c>
      <c r="J707" s="28"/>
      <c r="K707" s="27">
        <v>0</v>
      </c>
      <c r="L707" s="28"/>
      <c r="M707" s="86" t="s">
        <v>2856</v>
      </c>
      <c r="N707" t="s">
        <v>2856</v>
      </c>
      <c r="P707" t="s">
        <v>1036</v>
      </c>
      <c r="Q707" t="s">
        <v>1839</v>
      </c>
      <c r="R707" t="s">
        <v>1422</v>
      </c>
      <c r="BI707" s="34" t="str">
        <f>HYPERLINK("#자재조서!A123","MTP-010 →")</f>
        <v>MTP-010 →</v>
      </c>
    </row>
    <row r="708" spans="1:61" ht="18.399999999999999" hidden="1" customHeight="1" x14ac:dyDescent="0.15">
      <c r="A708" s="2" t="s">
        <v>2029</v>
      </c>
      <c r="B708" s="87" t="s">
        <v>1936</v>
      </c>
      <c r="C708" s="2">
        <v>38</v>
      </c>
      <c r="D708" s="2" t="s">
        <v>1086</v>
      </c>
      <c r="E708" s="27">
        <f t="shared" si="193"/>
        <v>40</v>
      </c>
      <c r="F708" s="28">
        <f t="shared" si="192"/>
        <v>1520</v>
      </c>
      <c r="G708" s="27">
        <f>자재조서!E137</f>
        <v>40</v>
      </c>
      <c r="H708" s="28">
        <f t="shared" si="194"/>
        <v>1520</v>
      </c>
      <c r="I708" s="27">
        <v>0</v>
      </c>
      <c r="J708" s="28"/>
      <c r="K708" s="27">
        <v>0</v>
      </c>
      <c r="L708" s="28"/>
      <c r="M708" s="86" t="s">
        <v>2856</v>
      </c>
      <c r="N708" t="s">
        <v>2856</v>
      </c>
      <c r="P708" t="s">
        <v>286</v>
      </c>
      <c r="Q708" t="s">
        <v>2856</v>
      </c>
      <c r="R708" t="s">
        <v>316</v>
      </c>
      <c r="BI708" s="34" t="str">
        <f>HYPERLINK("#자재조서!A131","MTP-121 →")</f>
        <v>MTP-121 →</v>
      </c>
    </row>
    <row r="709" spans="1:61" ht="18.399999999999999" hidden="1" customHeight="1" x14ac:dyDescent="0.15">
      <c r="A709" s="2" t="s">
        <v>694</v>
      </c>
      <c r="B709" s="87" t="s">
        <v>1038</v>
      </c>
      <c r="C709" s="2">
        <v>12.2</v>
      </c>
      <c r="D709" s="2" t="s">
        <v>1086</v>
      </c>
      <c r="E709" s="27">
        <f t="shared" si="193"/>
        <v>150</v>
      </c>
      <c r="F709" s="28">
        <f t="shared" si="192"/>
        <v>1830</v>
      </c>
      <c r="G709" s="27">
        <f>자재조서!E136</f>
        <v>150</v>
      </c>
      <c r="H709" s="28">
        <f t="shared" si="194"/>
        <v>1830</v>
      </c>
      <c r="I709" s="27">
        <v>0</v>
      </c>
      <c r="J709" s="28"/>
      <c r="K709" s="27">
        <v>0</v>
      </c>
      <c r="L709" s="28"/>
      <c r="M709" s="86" t="s">
        <v>2856</v>
      </c>
      <c r="N709" t="s">
        <v>2856</v>
      </c>
      <c r="P709" t="s">
        <v>2428</v>
      </c>
      <c r="Q709" t="s">
        <v>2856</v>
      </c>
      <c r="R709" t="s">
        <v>794</v>
      </c>
      <c r="BI709" s="34" t="str">
        <f>HYPERLINK("#자재조서!A130","MTP-110 →")</f>
        <v>MTP-110 →</v>
      </c>
    </row>
    <row r="710" spans="1:61" ht="18.399999999999999" hidden="1" customHeight="1" x14ac:dyDescent="0.15">
      <c r="A710" s="2" t="s">
        <v>1734</v>
      </c>
      <c r="B710" s="87" t="s">
        <v>2741</v>
      </c>
      <c r="C710" s="2">
        <v>2.0699999999999998</v>
      </c>
      <c r="D710" s="2" t="s">
        <v>1674</v>
      </c>
      <c r="E710" s="27">
        <f t="shared" si="193"/>
        <v>1245</v>
      </c>
      <c r="F710" s="28">
        <f t="shared" si="192"/>
        <v>2577.1</v>
      </c>
      <c r="G710" s="27">
        <f>자재조서!E138</f>
        <v>1245</v>
      </c>
      <c r="H710" s="28">
        <f t="shared" si="194"/>
        <v>2577.1</v>
      </c>
      <c r="I710" s="27">
        <v>0</v>
      </c>
      <c r="J710" s="28"/>
      <c r="K710" s="27">
        <v>0</v>
      </c>
      <c r="L710" s="28"/>
      <c r="M710" s="86" t="s">
        <v>2856</v>
      </c>
      <c r="N710" t="s">
        <v>2856</v>
      </c>
      <c r="P710" t="s">
        <v>1686</v>
      </c>
      <c r="Q710" t="s">
        <v>2856</v>
      </c>
      <c r="R710" t="s">
        <v>1046</v>
      </c>
      <c r="BI710" s="34" t="str">
        <f>HYPERLINK("#자재조서!A132","MTP-131 →")</f>
        <v>MTP-131 →</v>
      </c>
    </row>
    <row r="711" spans="1:61" ht="18.399999999999999" hidden="1" customHeight="1" x14ac:dyDescent="0.15">
      <c r="A711" s="1"/>
      <c r="B711" s="87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87"/>
    </row>
    <row r="712" spans="1:61" ht="18.399999999999999" hidden="1" customHeight="1" x14ac:dyDescent="0.15">
      <c r="A712" s="2" t="s">
        <v>2588</v>
      </c>
      <c r="B712" s="87" t="s">
        <v>1125</v>
      </c>
      <c r="C712" s="2">
        <v>1</v>
      </c>
      <c r="D712" s="2" t="s">
        <v>556</v>
      </c>
      <c r="E712" s="184"/>
      <c r="F712" s="29">
        <f t="shared" ref="F712:F718" si="195">H712+J712+L712</f>
        <v>252669</v>
      </c>
      <c r="G712" s="184"/>
      <c r="H712" s="29">
        <f>TRUNC(H713+H714+H716+H717+H718,0)</f>
        <v>39580</v>
      </c>
      <c r="I712" s="184"/>
      <c r="J712" s="29">
        <f>TRUNC(J713+J714+J716+J717+J718,0)</f>
        <v>193437</v>
      </c>
      <c r="K712" s="184"/>
      <c r="L712" s="29">
        <f>TRUNC(L713+L714+L716+L717+L718,0)</f>
        <v>19652</v>
      </c>
      <c r="M712" s="86" t="s">
        <v>2856</v>
      </c>
      <c r="N712" t="s">
        <v>2856</v>
      </c>
      <c r="O712" t="s">
        <v>161</v>
      </c>
    </row>
    <row r="713" spans="1:61" ht="18.399999999999999" hidden="1" customHeight="1" x14ac:dyDescent="0.15">
      <c r="A713" s="2" t="s">
        <v>1869</v>
      </c>
      <c r="B713" s="87" t="s">
        <v>2520</v>
      </c>
      <c r="C713" s="2">
        <v>1</v>
      </c>
      <c r="D713" s="2" t="s">
        <v>556</v>
      </c>
      <c r="E713" s="27">
        <f t="shared" ref="E713:E718" si="196">G713+I713+K713</f>
        <v>233234</v>
      </c>
      <c r="F713" s="28">
        <f t="shared" si="195"/>
        <v>233234</v>
      </c>
      <c r="G713" s="27">
        <f>일위대가목록!F224</f>
        <v>20145</v>
      </c>
      <c r="H713" s="28">
        <f t="shared" ref="H713:H718" si="197">TRUNC(G713*C713,1)</f>
        <v>20145</v>
      </c>
      <c r="I713" s="27">
        <f>일위대가목록!H224</f>
        <v>193437</v>
      </c>
      <c r="J713" s="28">
        <f>TRUNC(I713*C713,1)</f>
        <v>193437</v>
      </c>
      <c r="K713" s="27">
        <f>일위대가목록!J224</f>
        <v>19652</v>
      </c>
      <c r="L713" s="28">
        <f>TRUNC(K713*C713,1)</f>
        <v>19652</v>
      </c>
      <c r="M713" s="86" t="s">
        <v>2856</v>
      </c>
      <c r="N713" t="s">
        <v>2856</v>
      </c>
      <c r="P713" t="s">
        <v>2471</v>
      </c>
      <c r="Q713" t="s">
        <v>2856</v>
      </c>
      <c r="R713" t="s">
        <v>2163</v>
      </c>
      <c r="T713" t="s">
        <v>1778</v>
      </c>
      <c r="BI713" s="34" t="str">
        <f>HYPERLINK("#일위대가목록!A219","NT205-18 →")</f>
        <v>NT205-18 →</v>
      </c>
    </row>
    <row r="714" spans="1:61" ht="18.399999999999999" hidden="1" customHeight="1" x14ac:dyDescent="0.15">
      <c r="A714" s="2" t="s">
        <v>300</v>
      </c>
      <c r="B714" s="87" t="s">
        <v>1807</v>
      </c>
      <c r="C714" s="2">
        <v>1</v>
      </c>
      <c r="D714" s="2" t="s">
        <v>1302</v>
      </c>
      <c r="E714" s="27">
        <f t="shared" si="196"/>
        <v>17700</v>
      </c>
      <c r="F714" s="28">
        <f t="shared" si="195"/>
        <v>17700</v>
      </c>
      <c r="G714" s="27">
        <f>자재조서!E132</f>
        <v>17700</v>
      </c>
      <c r="H714" s="28">
        <f t="shared" si="197"/>
        <v>17700</v>
      </c>
      <c r="I714" s="27">
        <v>0</v>
      </c>
      <c r="J714" s="28"/>
      <c r="K714" s="27">
        <v>0</v>
      </c>
      <c r="L714" s="28"/>
      <c r="M714" s="86" t="s">
        <v>2856</v>
      </c>
      <c r="N714" t="s">
        <v>2856</v>
      </c>
      <c r="P714" t="s">
        <v>1741</v>
      </c>
      <c r="Q714" t="s">
        <v>2856</v>
      </c>
      <c r="R714" t="s">
        <v>1011</v>
      </c>
      <c r="BI714" s="34" t="str">
        <f>HYPERLINK("#자재조서!A126","MTP-039 →")</f>
        <v>MTP-039 →</v>
      </c>
    </row>
    <row r="715" spans="1:61" ht="18.399999999999999" hidden="1" customHeight="1" x14ac:dyDescent="0.15">
      <c r="A715" s="2" t="s">
        <v>261</v>
      </c>
      <c r="B715" s="87" t="s">
        <v>2437</v>
      </c>
      <c r="C715" s="2">
        <v>15</v>
      </c>
      <c r="D715" s="2" t="s">
        <v>1674</v>
      </c>
      <c r="E715" s="27">
        <f t="shared" si="196"/>
        <v>433</v>
      </c>
      <c r="F715" s="28">
        <f t="shared" si="195"/>
        <v>6495</v>
      </c>
      <c r="G715" s="27">
        <f>자재조서!E129</f>
        <v>433</v>
      </c>
      <c r="H715" s="28">
        <f t="shared" si="197"/>
        <v>6495</v>
      </c>
      <c r="I715" s="27">
        <v>0</v>
      </c>
      <c r="J715" s="28"/>
      <c r="K715" s="27">
        <v>0</v>
      </c>
      <c r="L715" s="28"/>
      <c r="M715" s="86" t="s">
        <v>2856</v>
      </c>
      <c r="N715" t="s">
        <v>2856</v>
      </c>
      <c r="P715" t="s">
        <v>1036</v>
      </c>
      <c r="Q715" t="s">
        <v>1839</v>
      </c>
      <c r="R715" t="s">
        <v>1422</v>
      </c>
      <c r="BI715" s="34" t="str">
        <f>HYPERLINK("#자재조서!A123","MTP-010 →")</f>
        <v>MTP-010 →</v>
      </c>
    </row>
    <row r="716" spans="1:61" ht="18.399999999999999" hidden="1" customHeight="1" x14ac:dyDescent="0.15">
      <c r="A716" s="2" t="s">
        <v>2029</v>
      </c>
      <c r="B716" s="87" t="s">
        <v>1936</v>
      </c>
      <c r="C716" s="2">
        <v>15.9</v>
      </c>
      <c r="D716" s="2" t="s">
        <v>1086</v>
      </c>
      <c r="E716" s="27">
        <f t="shared" si="196"/>
        <v>40</v>
      </c>
      <c r="F716" s="28">
        <f t="shared" si="195"/>
        <v>636</v>
      </c>
      <c r="G716" s="27">
        <f>자재조서!E137</f>
        <v>40</v>
      </c>
      <c r="H716" s="28">
        <f t="shared" si="197"/>
        <v>636</v>
      </c>
      <c r="I716" s="27">
        <v>0</v>
      </c>
      <c r="J716" s="28"/>
      <c r="K716" s="27">
        <v>0</v>
      </c>
      <c r="L716" s="28"/>
      <c r="M716" s="86" t="s">
        <v>2856</v>
      </c>
      <c r="N716" t="s">
        <v>2856</v>
      </c>
      <c r="P716" t="s">
        <v>286</v>
      </c>
      <c r="Q716" t="s">
        <v>2856</v>
      </c>
      <c r="R716" t="s">
        <v>316</v>
      </c>
      <c r="BI716" s="34" t="str">
        <f>HYPERLINK("#자재조서!A131","MTP-121 →")</f>
        <v>MTP-121 →</v>
      </c>
    </row>
    <row r="717" spans="1:61" ht="18.399999999999999" hidden="1" customHeight="1" x14ac:dyDescent="0.15">
      <c r="A717" s="2" t="s">
        <v>694</v>
      </c>
      <c r="B717" s="87" t="s">
        <v>1038</v>
      </c>
      <c r="C717" s="2">
        <v>3.1</v>
      </c>
      <c r="D717" s="2" t="s">
        <v>1086</v>
      </c>
      <c r="E717" s="27">
        <f t="shared" si="196"/>
        <v>150</v>
      </c>
      <c r="F717" s="28">
        <f t="shared" si="195"/>
        <v>465</v>
      </c>
      <c r="G717" s="27">
        <f>자재조서!E136</f>
        <v>150</v>
      </c>
      <c r="H717" s="28">
        <f t="shared" si="197"/>
        <v>465</v>
      </c>
      <c r="I717" s="27">
        <v>0</v>
      </c>
      <c r="J717" s="28"/>
      <c r="K717" s="27">
        <v>0</v>
      </c>
      <c r="L717" s="28"/>
      <c r="M717" s="86" t="s">
        <v>2856</v>
      </c>
      <c r="N717" t="s">
        <v>2856</v>
      </c>
      <c r="P717" t="s">
        <v>2428</v>
      </c>
      <c r="Q717" t="s">
        <v>2856</v>
      </c>
      <c r="R717" t="s">
        <v>794</v>
      </c>
      <c r="BI717" s="34" t="str">
        <f>HYPERLINK("#자재조서!A130","MTP-110 →")</f>
        <v>MTP-110 →</v>
      </c>
    </row>
    <row r="718" spans="1:61" ht="18.399999999999999" hidden="1" customHeight="1" x14ac:dyDescent="0.15">
      <c r="A718" s="2" t="s">
        <v>1734</v>
      </c>
      <c r="B718" s="87" t="s">
        <v>2741</v>
      </c>
      <c r="C718" s="2">
        <v>0.51</v>
      </c>
      <c r="D718" s="2" t="s">
        <v>1674</v>
      </c>
      <c r="E718" s="27">
        <f t="shared" si="196"/>
        <v>1245</v>
      </c>
      <c r="F718" s="28">
        <f t="shared" si="195"/>
        <v>634.9</v>
      </c>
      <c r="G718" s="27">
        <f>자재조서!E138</f>
        <v>1245</v>
      </c>
      <c r="H718" s="28">
        <f t="shared" si="197"/>
        <v>634.9</v>
      </c>
      <c r="I718" s="27">
        <v>0</v>
      </c>
      <c r="J718" s="28"/>
      <c r="K718" s="27">
        <v>0</v>
      </c>
      <c r="L718" s="28"/>
      <c r="M718" s="86" t="s">
        <v>2856</v>
      </c>
      <c r="N718" t="s">
        <v>2856</v>
      </c>
      <c r="P718" t="s">
        <v>1686</v>
      </c>
      <c r="Q718" t="s">
        <v>2856</v>
      </c>
      <c r="R718" t="s">
        <v>1046</v>
      </c>
      <c r="BI718" s="34" t="str">
        <f>HYPERLINK("#자재조서!A132","MTP-131 →")</f>
        <v>MTP-131 →</v>
      </c>
    </row>
    <row r="719" spans="1:61" ht="18.399999999999999" hidden="1" customHeight="1" x14ac:dyDescent="0.15">
      <c r="A719" s="1"/>
      <c r="B719" s="87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87"/>
    </row>
    <row r="720" spans="1:61" ht="18.399999999999999" hidden="1" customHeight="1" x14ac:dyDescent="0.15">
      <c r="A720" s="2" t="s">
        <v>17</v>
      </c>
      <c r="B720" s="87" t="s">
        <v>2264</v>
      </c>
      <c r="C720" s="2">
        <v>1</v>
      </c>
      <c r="D720" s="2" t="s">
        <v>556</v>
      </c>
      <c r="E720" s="184"/>
      <c r="F720" s="29">
        <f t="shared" ref="F720:F726" si="198">H720+J720+L720</f>
        <v>856463</v>
      </c>
      <c r="G720" s="184"/>
      <c r="H720" s="29">
        <f>TRUNC(H721+H722+H724+H725+H726,0)</f>
        <v>103243</v>
      </c>
      <c r="I720" s="184"/>
      <c r="J720" s="29">
        <f>TRUNC(J721+J722+J724+J725+J726,0)</f>
        <v>598140</v>
      </c>
      <c r="K720" s="184"/>
      <c r="L720" s="29">
        <f>TRUNC(L721+L722+L724+L725+L726,0)</f>
        <v>155080</v>
      </c>
      <c r="M720" s="86" t="s">
        <v>2856</v>
      </c>
      <c r="N720" t="s">
        <v>2856</v>
      </c>
      <c r="O720" t="s">
        <v>2014</v>
      </c>
    </row>
    <row r="721" spans="1:61" ht="18.399999999999999" hidden="1" customHeight="1" x14ac:dyDescent="0.15">
      <c r="A721" s="2" t="s">
        <v>1869</v>
      </c>
      <c r="B721" s="87" t="s">
        <v>581</v>
      </c>
      <c r="C721" s="2">
        <v>1</v>
      </c>
      <c r="D721" s="2" t="s">
        <v>556</v>
      </c>
      <c r="E721" s="27">
        <f t="shared" ref="E721:E726" si="199">G721+I721+K721</f>
        <v>822785</v>
      </c>
      <c r="F721" s="28">
        <f t="shared" si="198"/>
        <v>822785</v>
      </c>
      <c r="G721" s="27">
        <f>일위대가목록!F219</f>
        <v>69565</v>
      </c>
      <c r="H721" s="28">
        <f t="shared" ref="H721:H726" si="200">TRUNC(G721*C721,1)</f>
        <v>69565</v>
      </c>
      <c r="I721" s="27">
        <f>일위대가목록!H219</f>
        <v>598140</v>
      </c>
      <c r="J721" s="28">
        <f>TRUNC(I721*C721,1)</f>
        <v>598140</v>
      </c>
      <c r="K721" s="27">
        <f>일위대가목록!J219</f>
        <v>155080</v>
      </c>
      <c r="L721" s="28">
        <f>TRUNC(K721*C721,1)</f>
        <v>155080</v>
      </c>
      <c r="M721" s="86" t="s">
        <v>2856</v>
      </c>
      <c r="N721" t="s">
        <v>2856</v>
      </c>
      <c r="P721" t="s">
        <v>2471</v>
      </c>
      <c r="Q721" t="s">
        <v>2856</v>
      </c>
      <c r="R721" t="s">
        <v>1268</v>
      </c>
      <c r="T721" t="s">
        <v>1778</v>
      </c>
      <c r="BI721" s="34" t="str">
        <f>HYPERLINK("#일위대가목록!A214","NT205-30 →")</f>
        <v>NT205-30 →</v>
      </c>
    </row>
    <row r="722" spans="1:61" ht="18.399999999999999" hidden="1" customHeight="1" x14ac:dyDescent="0.15">
      <c r="A722" s="2" t="s">
        <v>834</v>
      </c>
      <c r="B722" s="87" t="s">
        <v>816</v>
      </c>
      <c r="C722" s="2">
        <v>1</v>
      </c>
      <c r="D722" s="2" t="s">
        <v>1302</v>
      </c>
      <c r="E722" s="27">
        <f t="shared" si="199"/>
        <v>24700</v>
      </c>
      <c r="F722" s="28">
        <f t="shared" si="198"/>
        <v>24700</v>
      </c>
      <c r="G722" s="27">
        <f>자재조서!E131</f>
        <v>24700</v>
      </c>
      <c r="H722" s="28">
        <f t="shared" si="200"/>
        <v>24700</v>
      </c>
      <c r="I722" s="27">
        <v>0</v>
      </c>
      <c r="J722" s="28"/>
      <c r="K722" s="27">
        <v>0</v>
      </c>
      <c r="L722" s="28"/>
      <c r="M722" s="86" t="s">
        <v>2856</v>
      </c>
      <c r="N722" t="s">
        <v>2856</v>
      </c>
      <c r="P722" t="s">
        <v>1741</v>
      </c>
      <c r="Q722" t="s">
        <v>2856</v>
      </c>
      <c r="R722" t="s">
        <v>2314</v>
      </c>
      <c r="BI722" s="34" t="str">
        <f>HYPERLINK("#자재조서!A125","MTP-038 →")</f>
        <v>MTP-038 →</v>
      </c>
    </row>
    <row r="723" spans="1:61" ht="18.399999999999999" hidden="1" customHeight="1" x14ac:dyDescent="0.15">
      <c r="A723" s="2" t="s">
        <v>261</v>
      </c>
      <c r="B723" s="87" t="s">
        <v>2437</v>
      </c>
      <c r="C723" s="2">
        <v>30</v>
      </c>
      <c r="D723" s="2" t="s">
        <v>1674</v>
      </c>
      <c r="E723" s="27">
        <f t="shared" si="199"/>
        <v>433</v>
      </c>
      <c r="F723" s="28">
        <f t="shared" si="198"/>
        <v>12990</v>
      </c>
      <c r="G723" s="27">
        <f>자재조서!E129</f>
        <v>433</v>
      </c>
      <c r="H723" s="28">
        <f t="shared" si="200"/>
        <v>12990</v>
      </c>
      <c r="I723" s="27">
        <v>0</v>
      </c>
      <c r="J723" s="28"/>
      <c r="K723" s="27">
        <v>0</v>
      </c>
      <c r="L723" s="28"/>
      <c r="M723" s="86" t="s">
        <v>2856</v>
      </c>
      <c r="N723" t="s">
        <v>2856</v>
      </c>
      <c r="P723" t="s">
        <v>1036</v>
      </c>
      <c r="Q723" t="s">
        <v>1839</v>
      </c>
      <c r="R723" t="s">
        <v>1422</v>
      </c>
      <c r="BI723" s="34" t="str">
        <f>HYPERLINK("#자재조서!A123","MTP-010 →")</f>
        <v>MTP-010 →</v>
      </c>
    </row>
    <row r="724" spans="1:61" ht="18.399999999999999" hidden="1" customHeight="1" x14ac:dyDescent="0.15">
      <c r="A724" s="2" t="s">
        <v>2029</v>
      </c>
      <c r="B724" s="87" t="s">
        <v>1936</v>
      </c>
      <c r="C724" s="2">
        <v>52</v>
      </c>
      <c r="D724" s="2" t="s">
        <v>1086</v>
      </c>
      <c r="E724" s="27">
        <f t="shared" si="199"/>
        <v>40</v>
      </c>
      <c r="F724" s="28">
        <f t="shared" si="198"/>
        <v>2080</v>
      </c>
      <c r="G724" s="27">
        <f>자재조서!E137</f>
        <v>40</v>
      </c>
      <c r="H724" s="28">
        <f t="shared" si="200"/>
        <v>2080</v>
      </c>
      <c r="I724" s="27">
        <v>0</v>
      </c>
      <c r="J724" s="28"/>
      <c r="K724" s="27">
        <v>0</v>
      </c>
      <c r="L724" s="28"/>
      <c r="M724" s="86" t="s">
        <v>2856</v>
      </c>
      <c r="N724" t="s">
        <v>2856</v>
      </c>
      <c r="P724" t="s">
        <v>286</v>
      </c>
      <c r="Q724" t="s">
        <v>2856</v>
      </c>
      <c r="R724" t="s">
        <v>316</v>
      </c>
      <c r="BI724" s="34" t="str">
        <f>HYPERLINK("#자재조서!A131","MTP-121 →")</f>
        <v>MTP-121 →</v>
      </c>
    </row>
    <row r="725" spans="1:61" ht="18.399999999999999" hidden="1" customHeight="1" x14ac:dyDescent="0.15">
      <c r="A725" s="2" t="s">
        <v>694</v>
      </c>
      <c r="B725" s="87" t="s">
        <v>1038</v>
      </c>
      <c r="C725" s="2">
        <v>19.100000000000001</v>
      </c>
      <c r="D725" s="2" t="s">
        <v>1086</v>
      </c>
      <c r="E725" s="27">
        <f t="shared" si="199"/>
        <v>150</v>
      </c>
      <c r="F725" s="28">
        <f t="shared" si="198"/>
        <v>2865</v>
      </c>
      <c r="G725" s="27">
        <f>자재조서!E136</f>
        <v>150</v>
      </c>
      <c r="H725" s="28">
        <f t="shared" si="200"/>
        <v>2865</v>
      </c>
      <c r="I725" s="27">
        <v>0</v>
      </c>
      <c r="J725" s="28"/>
      <c r="K725" s="27">
        <v>0</v>
      </c>
      <c r="L725" s="28"/>
      <c r="M725" s="86" t="s">
        <v>2856</v>
      </c>
      <c r="N725" t="s">
        <v>2856</v>
      </c>
      <c r="P725" t="s">
        <v>2428</v>
      </c>
      <c r="Q725" t="s">
        <v>2856</v>
      </c>
      <c r="R725" t="s">
        <v>794</v>
      </c>
      <c r="BI725" s="34" t="str">
        <f>HYPERLINK("#자재조서!A130","MTP-110 →")</f>
        <v>MTP-110 →</v>
      </c>
    </row>
    <row r="726" spans="1:61" ht="18.399999999999999" hidden="1" customHeight="1" x14ac:dyDescent="0.15">
      <c r="A726" s="2" t="s">
        <v>1734</v>
      </c>
      <c r="B726" s="87" t="s">
        <v>2741</v>
      </c>
      <c r="C726" s="2">
        <v>3.24</v>
      </c>
      <c r="D726" s="2" t="s">
        <v>1674</v>
      </c>
      <c r="E726" s="27">
        <f t="shared" si="199"/>
        <v>1245</v>
      </c>
      <c r="F726" s="28">
        <f t="shared" si="198"/>
        <v>4033.8</v>
      </c>
      <c r="G726" s="27">
        <f>자재조서!E138</f>
        <v>1245</v>
      </c>
      <c r="H726" s="28">
        <f t="shared" si="200"/>
        <v>4033.8</v>
      </c>
      <c r="I726" s="27">
        <v>0</v>
      </c>
      <c r="J726" s="28"/>
      <c r="K726" s="27">
        <v>0</v>
      </c>
      <c r="L726" s="28"/>
      <c r="M726" s="86" t="s">
        <v>2856</v>
      </c>
      <c r="N726" t="s">
        <v>2856</v>
      </c>
      <c r="P726" t="s">
        <v>1686</v>
      </c>
      <c r="Q726" t="s">
        <v>2856</v>
      </c>
      <c r="R726" t="s">
        <v>1046</v>
      </c>
      <c r="BI726" s="34" t="str">
        <f>HYPERLINK("#자재조서!A132","MTP-131 →")</f>
        <v>MTP-131 →</v>
      </c>
    </row>
    <row r="727" spans="1:61" ht="18.399999999999999" hidden="1" customHeight="1" x14ac:dyDescent="0.15">
      <c r="A727" s="1"/>
      <c r="B727" s="87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87"/>
    </row>
    <row r="728" spans="1:61" ht="18.399999999999999" hidden="1" customHeight="1" x14ac:dyDescent="0.15">
      <c r="A728" s="2" t="s">
        <v>1004</v>
      </c>
      <c r="B728" s="87" t="s">
        <v>2244</v>
      </c>
      <c r="C728" s="2">
        <v>1</v>
      </c>
      <c r="D728" s="2" t="s">
        <v>556</v>
      </c>
      <c r="E728" s="184"/>
      <c r="F728" s="29">
        <f t="shared" ref="F728:F734" si="201">H728+J728+L728</f>
        <v>252953</v>
      </c>
      <c r="G728" s="184"/>
      <c r="H728" s="29">
        <f>TRUNC(H729+H730+H732+H733+H734,0)</f>
        <v>39864</v>
      </c>
      <c r="I728" s="184"/>
      <c r="J728" s="29">
        <f>TRUNC(J729+J730+J732+J733+J734,0)</f>
        <v>193437</v>
      </c>
      <c r="K728" s="184"/>
      <c r="L728" s="29">
        <f>TRUNC(L729+L730+L732+L733+L734,0)</f>
        <v>19652</v>
      </c>
      <c r="M728" s="86" t="s">
        <v>2856</v>
      </c>
      <c r="N728" t="s">
        <v>2856</v>
      </c>
      <c r="O728" t="s">
        <v>372</v>
      </c>
    </row>
    <row r="729" spans="1:61" ht="18.399999999999999" hidden="1" customHeight="1" x14ac:dyDescent="0.15">
      <c r="A729" s="2" t="s">
        <v>1869</v>
      </c>
      <c r="B729" s="87" t="s">
        <v>2520</v>
      </c>
      <c r="C729" s="2">
        <v>1</v>
      </c>
      <c r="D729" s="2" t="s">
        <v>556</v>
      </c>
      <c r="E729" s="27">
        <f t="shared" ref="E729:E734" si="202">G729+I729+K729</f>
        <v>233234</v>
      </c>
      <c r="F729" s="28">
        <f t="shared" si="201"/>
        <v>233234</v>
      </c>
      <c r="G729" s="27">
        <f>일위대가목록!F224</f>
        <v>20145</v>
      </c>
      <c r="H729" s="28">
        <f t="shared" ref="H729:H734" si="203">TRUNC(G729*C729,1)</f>
        <v>20145</v>
      </c>
      <c r="I729" s="27">
        <f>일위대가목록!H224</f>
        <v>193437</v>
      </c>
      <c r="J729" s="28">
        <f>TRUNC(I729*C729,1)</f>
        <v>193437</v>
      </c>
      <c r="K729" s="27">
        <f>일위대가목록!J224</f>
        <v>19652</v>
      </c>
      <c r="L729" s="28">
        <f>TRUNC(K729*C729,1)</f>
        <v>19652</v>
      </c>
      <c r="M729" s="86" t="s">
        <v>2856</v>
      </c>
      <c r="N729" t="s">
        <v>2856</v>
      </c>
      <c r="P729" t="s">
        <v>2471</v>
      </c>
      <c r="Q729" t="s">
        <v>2856</v>
      </c>
      <c r="R729" t="s">
        <v>2163</v>
      </c>
      <c r="T729" t="s">
        <v>1778</v>
      </c>
      <c r="BI729" s="34" t="str">
        <f>HYPERLINK("#일위대가목록!A219","NT205-18 →")</f>
        <v>NT205-18 →</v>
      </c>
    </row>
    <row r="730" spans="1:61" ht="18.399999999999999" hidden="1" customHeight="1" x14ac:dyDescent="0.15">
      <c r="A730" s="2" t="s">
        <v>300</v>
      </c>
      <c r="B730" s="87" t="s">
        <v>1807</v>
      </c>
      <c r="C730" s="2">
        <v>1</v>
      </c>
      <c r="D730" s="2" t="s">
        <v>1302</v>
      </c>
      <c r="E730" s="27">
        <f t="shared" si="202"/>
        <v>17700</v>
      </c>
      <c r="F730" s="28">
        <f t="shared" si="201"/>
        <v>17700</v>
      </c>
      <c r="G730" s="27">
        <f>자재조서!E132</f>
        <v>17700</v>
      </c>
      <c r="H730" s="28">
        <f t="shared" si="203"/>
        <v>17700</v>
      </c>
      <c r="I730" s="27">
        <v>0</v>
      </c>
      <c r="J730" s="28"/>
      <c r="K730" s="27">
        <v>0</v>
      </c>
      <c r="L730" s="28"/>
      <c r="M730" s="86" t="s">
        <v>2856</v>
      </c>
      <c r="N730" t="s">
        <v>2856</v>
      </c>
      <c r="P730" t="s">
        <v>1741</v>
      </c>
      <c r="Q730" t="s">
        <v>2856</v>
      </c>
      <c r="R730" t="s">
        <v>1011</v>
      </c>
      <c r="BI730" s="34" t="str">
        <f>HYPERLINK("#자재조서!A126","MTP-039 →")</f>
        <v>MTP-039 →</v>
      </c>
    </row>
    <row r="731" spans="1:61" ht="18.399999999999999" hidden="1" customHeight="1" x14ac:dyDescent="0.15">
      <c r="A731" s="2" t="s">
        <v>261</v>
      </c>
      <c r="B731" s="87" t="s">
        <v>2437</v>
      </c>
      <c r="C731" s="2">
        <v>15</v>
      </c>
      <c r="D731" s="2" t="s">
        <v>1674</v>
      </c>
      <c r="E731" s="27">
        <f t="shared" si="202"/>
        <v>433</v>
      </c>
      <c r="F731" s="28">
        <f t="shared" si="201"/>
        <v>6495</v>
      </c>
      <c r="G731" s="27">
        <f>자재조서!E129</f>
        <v>433</v>
      </c>
      <c r="H731" s="28">
        <f t="shared" si="203"/>
        <v>6495</v>
      </c>
      <c r="I731" s="27">
        <v>0</v>
      </c>
      <c r="J731" s="28"/>
      <c r="K731" s="27">
        <v>0</v>
      </c>
      <c r="L731" s="28"/>
      <c r="M731" s="86" t="s">
        <v>2856</v>
      </c>
      <c r="N731" t="s">
        <v>2856</v>
      </c>
      <c r="P731" t="s">
        <v>1036</v>
      </c>
      <c r="Q731" t="s">
        <v>1839</v>
      </c>
      <c r="R731" t="s">
        <v>1422</v>
      </c>
      <c r="BI731" s="34" t="str">
        <f>HYPERLINK("#자재조서!A123","MTP-010 →")</f>
        <v>MTP-010 →</v>
      </c>
    </row>
    <row r="732" spans="1:61" ht="18.399999999999999" hidden="1" customHeight="1" x14ac:dyDescent="0.15">
      <c r="A732" s="2" t="s">
        <v>2029</v>
      </c>
      <c r="B732" s="87" t="s">
        <v>1936</v>
      </c>
      <c r="C732" s="2">
        <v>18.3</v>
      </c>
      <c r="D732" s="2" t="s">
        <v>1086</v>
      </c>
      <c r="E732" s="27">
        <f t="shared" si="202"/>
        <v>40</v>
      </c>
      <c r="F732" s="28">
        <f t="shared" si="201"/>
        <v>732</v>
      </c>
      <c r="G732" s="27">
        <f>자재조서!E137</f>
        <v>40</v>
      </c>
      <c r="H732" s="28">
        <f t="shared" si="203"/>
        <v>732</v>
      </c>
      <c r="I732" s="27">
        <v>0</v>
      </c>
      <c r="J732" s="28"/>
      <c r="K732" s="27">
        <v>0</v>
      </c>
      <c r="L732" s="28"/>
      <c r="M732" s="86" t="s">
        <v>2856</v>
      </c>
      <c r="N732" t="s">
        <v>2856</v>
      </c>
      <c r="P732" t="s">
        <v>286</v>
      </c>
      <c r="Q732" t="s">
        <v>2856</v>
      </c>
      <c r="R732" t="s">
        <v>316</v>
      </c>
      <c r="BI732" s="34" t="str">
        <f>HYPERLINK("#자재조서!A131","MTP-121 →")</f>
        <v>MTP-121 →</v>
      </c>
    </row>
    <row r="733" spans="1:61" ht="18.399999999999999" hidden="1" customHeight="1" x14ac:dyDescent="0.15">
      <c r="A733" s="2" t="s">
        <v>694</v>
      </c>
      <c r="B733" s="87" t="s">
        <v>1038</v>
      </c>
      <c r="C733" s="2">
        <v>3.6</v>
      </c>
      <c r="D733" s="2" t="s">
        <v>1086</v>
      </c>
      <c r="E733" s="27">
        <f t="shared" si="202"/>
        <v>150</v>
      </c>
      <c r="F733" s="28">
        <f t="shared" si="201"/>
        <v>540</v>
      </c>
      <c r="G733" s="27">
        <f>자재조서!E136</f>
        <v>150</v>
      </c>
      <c r="H733" s="28">
        <f t="shared" si="203"/>
        <v>540</v>
      </c>
      <c r="I733" s="27">
        <v>0</v>
      </c>
      <c r="J733" s="28"/>
      <c r="K733" s="27">
        <v>0</v>
      </c>
      <c r="L733" s="28"/>
      <c r="M733" s="86" t="s">
        <v>2856</v>
      </c>
      <c r="N733" t="s">
        <v>2856</v>
      </c>
      <c r="P733" t="s">
        <v>2428</v>
      </c>
      <c r="Q733" t="s">
        <v>2856</v>
      </c>
      <c r="R733" t="s">
        <v>794</v>
      </c>
      <c r="BI733" s="34" t="str">
        <f>HYPERLINK("#자재조서!A130","MTP-110 →")</f>
        <v>MTP-110 →</v>
      </c>
    </row>
    <row r="734" spans="1:61" ht="18.399999999999999" hidden="1" customHeight="1" x14ac:dyDescent="0.15">
      <c r="A734" s="2" t="s">
        <v>1734</v>
      </c>
      <c r="B734" s="87" t="s">
        <v>2741</v>
      </c>
      <c r="C734" s="2">
        <v>0.6</v>
      </c>
      <c r="D734" s="2" t="s">
        <v>1674</v>
      </c>
      <c r="E734" s="27">
        <f t="shared" si="202"/>
        <v>1245</v>
      </c>
      <c r="F734" s="28">
        <f t="shared" si="201"/>
        <v>747</v>
      </c>
      <c r="G734" s="27">
        <f>자재조서!E138</f>
        <v>1245</v>
      </c>
      <c r="H734" s="28">
        <f t="shared" si="203"/>
        <v>747</v>
      </c>
      <c r="I734" s="27">
        <v>0</v>
      </c>
      <c r="J734" s="28"/>
      <c r="K734" s="27">
        <v>0</v>
      </c>
      <c r="L734" s="28"/>
      <c r="M734" s="86" t="s">
        <v>2856</v>
      </c>
      <c r="N734" t="s">
        <v>2856</v>
      </c>
      <c r="P734" t="s">
        <v>1686</v>
      </c>
      <c r="Q734" t="s">
        <v>2856</v>
      </c>
      <c r="R734" t="s">
        <v>1046</v>
      </c>
      <c r="BI734" s="34" t="str">
        <f>HYPERLINK("#자재조서!A132","MTP-131 →")</f>
        <v>MTP-131 →</v>
      </c>
    </row>
    <row r="735" spans="1:61" ht="18.399999999999999" hidden="1" customHeight="1" x14ac:dyDescent="0.15">
      <c r="A735" s="1"/>
      <c r="B735" s="87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87"/>
    </row>
    <row r="736" spans="1:61" ht="18.399999999999999" hidden="1" customHeight="1" x14ac:dyDescent="0.15">
      <c r="A736" s="2" t="s">
        <v>2368</v>
      </c>
      <c r="B736" s="87" t="s">
        <v>1816</v>
      </c>
      <c r="C736" s="2">
        <v>1</v>
      </c>
      <c r="D736" s="2" t="s">
        <v>556</v>
      </c>
      <c r="E736" s="184"/>
      <c r="F736" s="29">
        <f t="shared" ref="F736:F742" si="204">H736+J736+L736</f>
        <v>620822</v>
      </c>
      <c r="G736" s="184"/>
      <c r="H736" s="29">
        <f>TRUNC(H737+H738+H740+H741+H742,0)</f>
        <v>71984</v>
      </c>
      <c r="I736" s="184"/>
      <c r="J736" s="29">
        <f>TRUNC(J737+J738+J740+J741+J742,0)</f>
        <v>443066</v>
      </c>
      <c r="K736" s="184"/>
      <c r="L736" s="29">
        <f>TRUNC(L737+L738+L740+L741+L742,0)</f>
        <v>105772</v>
      </c>
      <c r="M736" s="86" t="s">
        <v>2856</v>
      </c>
      <c r="N736" t="s">
        <v>2856</v>
      </c>
      <c r="O736" t="s">
        <v>2011</v>
      </c>
    </row>
    <row r="737" spans="1:61" ht="18.399999999999999" hidden="1" customHeight="1" x14ac:dyDescent="0.15">
      <c r="A737" s="2" t="s">
        <v>1869</v>
      </c>
      <c r="B737" s="87" t="s">
        <v>2192</v>
      </c>
      <c r="C737" s="2">
        <v>1</v>
      </c>
      <c r="D737" s="2" t="s">
        <v>556</v>
      </c>
      <c r="E737" s="27">
        <f t="shared" ref="E737:E742" si="205">G737+I737+K737</f>
        <v>598895</v>
      </c>
      <c r="F737" s="28">
        <f t="shared" si="204"/>
        <v>598895</v>
      </c>
      <c r="G737" s="27">
        <f>일위대가목록!F217</f>
        <v>50057</v>
      </c>
      <c r="H737" s="28">
        <f t="shared" ref="H737:H742" si="206">TRUNC(G737*C737,1)</f>
        <v>50057</v>
      </c>
      <c r="I737" s="27">
        <f>일위대가목록!H217</f>
        <v>443066</v>
      </c>
      <c r="J737" s="28">
        <f>TRUNC(I737*C737,1)</f>
        <v>443066</v>
      </c>
      <c r="K737" s="27">
        <f>일위대가목록!J217</f>
        <v>105772</v>
      </c>
      <c r="L737" s="28">
        <f>TRUNC(K737*C737,1)</f>
        <v>105772</v>
      </c>
      <c r="M737" s="86" t="s">
        <v>2856</v>
      </c>
      <c r="N737" t="s">
        <v>2856</v>
      </c>
      <c r="P737" t="s">
        <v>2471</v>
      </c>
      <c r="Q737" t="s">
        <v>2856</v>
      </c>
      <c r="R737" t="s">
        <v>2141</v>
      </c>
      <c r="T737" t="s">
        <v>1778</v>
      </c>
      <c r="BI737" s="34" t="str">
        <f>HYPERLINK("#일위대가목록!A212","NT205-25 →")</f>
        <v>NT205-25 →</v>
      </c>
    </row>
    <row r="738" spans="1:61" ht="18.399999999999999" hidden="1" customHeight="1" x14ac:dyDescent="0.15">
      <c r="A738" s="2" t="s">
        <v>300</v>
      </c>
      <c r="B738" s="87" t="s">
        <v>1807</v>
      </c>
      <c r="C738" s="2">
        <v>1</v>
      </c>
      <c r="D738" s="2" t="s">
        <v>1302</v>
      </c>
      <c r="E738" s="27">
        <f t="shared" si="205"/>
        <v>17700</v>
      </c>
      <c r="F738" s="28">
        <f t="shared" si="204"/>
        <v>17700</v>
      </c>
      <c r="G738" s="27">
        <f>자재조서!E132</f>
        <v>17700</v>
      </c>
      <c r="H738" s="28">
        <f t="shared" si="206"/>
        <v>17700</v>
      </c>
      <c r="I738" s="27">
        <v>0</v>
      </c>
      <c r="J738" s="28"/>
      <c r="K738" s="27">
        <v>0</v>
      </c>
      <c r="L738" s="28"/>
      <c r="M738" s="86" t="s">
        <v>2856</v>
      </c>
      <c r="N738" t="s">
        <v>2856</v>
      </c>
      <c r="P738" t="s">
        <v>1741</v>
      </c>
      <c r="Q738" t="s">
        <v>2856</v>
      </c>
      <c r="R738" t="s">
        <v>1011</v>
      </c>
      <c r="BI738" s="34" t="str">
        <f>HYPERLINK("#자재조서!A126","MTP-039 →")</f>
        <v>MTP-039 →</v>
      </c>
    </row>
    <row r="739" spans="1:61" ht="18.399999999999999" hidden="1" customHeight="1" x14ac:dyDescent="0.15">
      <c r="A739" s="2" t="s">
        <v>261</v>
      </c>
      <c r="B739" s="87" t="s">
        <v>2437</v>
      </c>
      <c r="C739" s="2">
        <v>20</v>
      </c>
      <c r="D739" s="2" t="s">
        <v>1674</v>
      </c>
      <c r="E739" s="27">
        <f t="shared" si="205"/>
        <v>433</v>
      </c>
      <c r="F739" s="28">
        <f t="shared" si="204"/>
        <v>8660</v>
      </c>
      <c r="G739" s="27">
        <f>자재조서!E129</f>
        <v>433</v>
      </c>
      <c r="H739" s="28">
        <f t="shared" si="206"/>
        <v>8660</v>
      </c>
      <c r="I739" s="27">
        <v>0</v>
      </c>
      <c r="J739" s="28"/>
      <c r="K739" s="27">
        <v>0</v>
      </c>
      <c r="L739" s="28"/>
      <c r="M739" s="86" t="s">
        <v>2856</v>
      </c>
      <c r="N739" t="s">
        <v>2856</v>
      </c>
      <c r="P739" t="s">
        <v>1036</v>
      </c>
      <c r="Q739" t="s">
        <v>1839</v>
      </c>
      <c r="R739" t="s">
        <v>1422</v>
      </c>
      <c r="BI739" s="34" t="str">
        <f>HYPERLINK("#자재조서!A123","MTP-010 →")</f>
        <v>MTP-010 →</v>
      </c>
    </row>
    <row r="740" spans="1:61" ht="18.399999999999999" hidden="1" customHeight="1" x14ac:dyDescent="0.15">
      <c r="A740" s="2" t="s">
        <v>2029</v>
      </c>
      <c r="B740" s="87" t="s">
        <v>1936</v>
      </c>
      <c r="C740" s="2">
        <v>29</v>
      </c>
      <c r="D740" s="2" t="s">
        <v>1086</v>
      </c>
      <c r="E740" s="27">
        <f t="shared" si="205"/>
        <v>40</v>
      </c>
      <c r="F740" s="28">
        <f t="shared" si="204"/>
        <v>1160</v>
      </c>
      <c r="G740" s="27">
        <f>자재조서!E137</f>
        <v>40</v>
      </c>
      <c r="H740" s="28">
        <f t="shared" si="206"/>
        <v>1160</v>
      </c>
      <c r="I740" s="27">
        <v>0</v>
      </c>
      <c r="J740" s="28"/>
      <c r="K740" s="27">
        <v>0</v>
      </c>
      <c r="L740" s="28"/>
      <c r="M740" s="86" t="s">
        <v>2856</v>
      </c>
      <c r="N740" t="s">
        <v>2856</v>
      </c>
      <c r="P740" t="s">
        <v>286</v>
      </c>
      <c r="Q740" t="s">
        <v>2856</v>
      </c>
      <c r="R740" t="s">
        <v>316</v>
      </c>
      <c r="BI740" s="34" t="str">
        <f>HYPERLINK("#자재조서!A131","MTP-121 →")</f>
        <v>MTP-121 →</v>
      </c>
    </row>
    <row r="741" spans="1:61" ht="18.399999999999999" hidden="1" customHeight="1" x14ac:dyDescent="0.15">
      <c r="A741" s="2" t="s">
        <v>694</v>
      </c>
      <c r="B741" s="87" t="s">
        <v>1038</v>
      </c>
      <c r="C741" s="2">
        <v>8.5</v>
      </c>
      <c r="D741" s="2" t="s">
        <v>1086</v>
      </c>
      <c r="E741" s="27">
        <f t="shared" si="205"/>
        <v>150</v>
      </c>
      <c r="F741" s="28">
        <f t="shared" si="204"/>
        <v>1275</v>
      </c>
      <c r="G741" s="27">
        <f>자재조서!E136</f>
        <v>150</v>
      </c>
      <c r="H741" s="28">
        <f t="shared" si="206"/>
        <v>1275</v>
      </c>
      <c r="I741" s="27">
        <v>0</v>
      </c>
      <c r="J741" s="28"/>
      <c r="K741" s="27">
        <v>0</v>
      </c>
      <c r="L741" s="28"/>
      <c r="M741" s="86" t="s">
        <v>2856</v>
      </c>
      <c r="N741" t="s">
        <v>2856</v>
      </c>
      <c r="P741" t="s">
        <v>2428</v>
      </c>
      <c r="Q741" t="s">
        <v>2856</v>
      </c>
      <c r="R741" t="s">
        <v>794</v>
      </c>
      <c r="BI741" s="34" t="str">
        <f>HYPERLINK("#자재조서!A130","MTP-110 →")</f>
        <v>MTP-110 →</v>
      </c>
    </row>
    <row r="742" spans="1:61" ht="18.399999999999999" hidden="1" customHeight="1" x14ac:dyDescent="0.15">
      <c r="A742" s="2" t="s">
        <v>1734</v>
      </c>
      <c r="B742" s="87" t="s">
        <v>2741</v>
      </c>
      <c r="C742" s="2">
        <v>1.44</v>
      </c>
      <c r="D742" s="2" t="s">
        <v>1674</v>
      </c>
      <c r="E742" s="27">
        <f t="shared" si="205"/>
        <v>1245</v>
      </c>
      <c r="F742" s="28">
        <f t="shared" si="204"/>
        <v>1792.8</v>
      </c>
      <c r="G742" s="27">
        <f>자재조서!E138</f>
        <v>1245</v>
      </c>
      <c r="H742" s="28">
        <f t="shared" si="206"/>
        <v>1792.8</v>
      </c>
      <c r="I742" s="27">
        <v>0</v>
      </c>
      <c r="J742" s="28"/>
      <c r="K742" s="27">
        <v>0</v>
      </c>
      <c r="L742" s="28"/>
      <c r="M742" s="86" t="s">
        <v>2856</v>
      </c>
      <c r="N742" t="s">
        <v>2856</v>
      </c>
      <c r="P742" t="s">
        <v>1686</v>
      </c>
      <c r="Q742" t="s">
        <v>2856</v>
      </c>
      <c r="R742" t="s">
        <v>1046</v>
      </c>
      <c r="BI742" s="34" t="str">
        <f>HYPERLINK("#자재조서!A132","MTP-131 →")</f>
        <v>MTP-131 →</v>
      </c>
    </row>
    <row r="743" spans="1:61" ht="18.399999999999999" hidden="1" customHeight="1" x14ac:dyDescent="0.15">
      <c r="A743" s="1"/>
      <c r="B743" s="87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87"/>
    </row>
    <row r="744" spans="1:61" ht="18.399999999999999" hidden="1" customHeight="1" x14ac:dyDescent="0.15">
      <c r="A744" s="2" t="s">
        <v>586</v>
      </c>
      <c r="B744" s="87" t="s">
        <v>2019</v>
      </c>
      <c r="C744" s="2">
        <v>1</v>
      </c>
      <c r="D744" s="2" t="s">
        <v>556</v>
      </c>
      <c r="E744" s="184"/>
      <c r="F744" s="29">
        <f t="shared" ref="F744:F750" si="207">H744+J744+L744</f>
        <v>252669</v>
      </c>
      <c r="G744" s="184"/>
      <c r="H744" s="29">
        <f>TRUNC(H745+H746+H748+H749+H750,0)</f>
        <v>39580</v>
      </c>
      <c r="I744" s="184"/>
      <c r="J744" s="29">
        <f>TRUNC(J745+J746+J748+J749+J750,0)</f>
        <v>193437</v>
      </c>
      <c r="K744" s="184"/>
      <c r="L744" s="29">
        <f>TRUNC(L745+L746+L748+L749+L750,0)</f>
        <v>19652</v>
      </c>
      <c r="M744" s="86" t="s">
        <v>2856</v>
      </c>
      <c r="N744" t="s">
        <v>2856</v>
      </c>
      <c r="O744" t="s">
        <v>411</v>
      </c>
    </row>
    <row r="745" spans="1:61" ht="18.399999999999999" hidden="1" customHeight="1" x14ac:dyDescent="0.15">
      <c r="A745" s="2" t="s">
        <v>1869</v>
      </c>
      <c r="B745" s="87" t="s">
        <v>2520</v>
      </c>
      <c r="C745" s="2">
        <v>1</v>
      </c>
      <c r="D745" s="2" t="s">
        <v>556</v>
      </c>
      <c r="E745" s="27">
        <f t="shared" ref="E745:E750" si="208">G745+I745+K745</f>
        <v>233234</v>
      </c>
      <c r="F745" s="28">
        <f t="shared" si="207"/>
        <v>233234</v>
      </c>
      <c r="G745" s="27">
        <f>일위대가목록!F224</f>
        <v>20145</v>
      </c>
      <c r="H745" s="28">
        <f t="shared" ref="H745:H750" si="209">TRUNC(G745*C745,1)</f>
        <v>20145</v>
      </c>
      <c r="I745" s="27">
        <f>일위대가목록!H224</f>
        <v>193437</v>
      </c>
      <c r="J745" s="28">
        <f>TRUNC(I745*C745,1)</f>
        <v>193437</v>
      </c>
      <c r="K745" s="27">
        <f>일위대가목록!J224</f>
        <v>19652</v>
      </c>
      <c r="L745" s="28">
        <f>TRUNC(K745*C745,1)</f>
        <v>19652</v>
      </c>
      <c r="M745" s="86" t="s">
        <v>2856</v>
      </c>
      <c r="N745" t="s">
        <v>2856</v>
      </c>
      <c r="P745" t="s">
        <v>2471</v>
      </c>
      <c r="Q745" t="s">
        <v>2856</v>
      </c>
      <c r="R745" t="s">
        <v>2163</v>
      </c>
      <c r="T745" t="s">
        <v>1778</v>
      </c>
      <c r="BI745" s="34" t="str">
        <f>HYPERLINK("#일위대가목록!A219","NT205-18 →")</f>
        <v>NT205-18 →</v>
      </c>
    </row>
    <row r="746" spans="1:61" ht="18.399999999999999" hidden="1" customHeight="1" x14ac:dyDescent="0.15">
      <c r="A746" s="2" t="s">
        <v>300</v>
      </c>
      <c r="B746" s="87" t="s">
        <v>1807</v>
      </c>
      <c r="C746" s="2">
        <v>1</v>
      </c>
      <c r="D746" s="2" t="s">
        <v>1302</v>
      </c>
      <c r="E746" s="27">
        <f t="shared" si="208"/>
        <v>17700</v>
      </c>
      <c r="F746" s="28">
        <f t="shared" si="207"/>
        <v>17700</v>
      </c>
      <c r="G746" s="27">
        <f>자재조서!E132</f>
        <v>17700</v>
      </c>
      <c r="H746" s="28">
        <f t="shared" si="209"/>
        <v>17700</v>
      </c>
      <c r="I746" s="27">
        <v>0</v>
      </c>
      <c r="J746" s="28"/>
      <c r="K746" s="27">
        <v>0</v>
      </c>
      <c r="L746" s="28"/>
      <c r="M746" s="86" t="s">
        <v>2856</v>
      </c>
      <c r="N746" t="s">
        <v>2856</v>
      </c>
      <c r="P746" t="s">
        <v>1741</v>
      </c>
      <c r="Q746" t="s">
        <v>2856</v>
      </c>
      <c r="R746" t="s">
        <v>1011</v>
      </c>
      <c r="BI746" s="34" t="str">
        <f>HYPERLINK("#자재조서!A126","MTP-039 →")</f>
        <v>MTP-039 →</v>
      </c>
    </row>
    <row r="747" spans="1:61" ht="18.399999999999999" hidden="1" customHeight="1" x14ac:dyDescent="0.15">
      <c r="A747" s="2" t="s">
        <v>261</v>
      </c>
      <c r="B747" s="87" t="s">
        <v>2437</v>
      </c>
      <c r="C747" s="2">
        <v>15</v>
      </c>
      <c r="D747" s="2" t="s">
        <v>1674</v>
      </c>
      <c r="E747" s="27">
        <f t="shared" si="208"/>
        <v>433</v>
      </c>
      <c r="F747" s="28">
        <f t="shared" si="207"/>
        <v>6495</v>
      </c>
      <c r="G747" s="27">
        <f>자재조서!E129</f>
        <v>433</v>
      </c>
      <c r="H747" s="28">
        <f t="shared" si="209"/>
        <v>6495</v>
      </c>
      <c r="I747" s="27">
        <v>0</v>
      </c>
      <c r="J747" s="28"/>
      <c r="K747" s="27">
        <v>0</v>
      </c>
      <c r="L747" s="28"/>
      <c r="M747" s="86" t="s">
        <v>2856</v>
      </c>
      <c r="N747" t="s">
        <v>2856</v>
      </c>
      <c r="P747" t="s">
        <v>1036</v>
      </c>
      <c r="Q747" t="s">
        <v>1839</v>
      </c>
      <c r="R747" t="s">
        <v>1422</v>
      </c>
      <c r="BI747" s="34" t="str">
        <f>HYPERLINK("#자재조서!A123","MTP-010 →")</f>
        <v>MTP-010 →</v>
      </c>
    </row>
    <row r="748" spans="1:61" ht="18.399999999999999" hidden="1" customHeight="1" x14ac:dyDescent="0.15">
      <c r="A748" s="2" t="s">
        <v>2029</v>
      </c>
      <c r="B748" s="87" t="s">
        <v>1936</v>
      </c>
      <c r="C748" s="2">
        <v>15.9</v>
      </c>
      <c r="D748" s="2" t="s">
        <v>1086</v>
      </c>
      <c r="E748" s="27">
        <f t="shared" si="208"/>
        <v>40</v>
      </c>
      <c r="F748" s="28">
        <f t="shared" si="207"/>
        <v>636</v>
      </c>
      <c r="G748" s="27">
        <f>자재조서!E137</f>
        <v>40</v>
      </c>
      <c r="H748" s="28">
        <f t="shared" si="209"/>
        <v>636</v>
      </c>
      <c r="I748" s="27">
        <v>0</v>
      </c>
      <c r="J748" s="28"/>
      <c r="K748" s="27">
        <v>0</v>
      </c>
      <c r="L748" s="28"/>
      <c r="M748" s="86" t="s">
        <v>2856</v>
      </c>
      <c r="N748" t="s">
        <v>2856</v>
      </c>
      <c r="P748" t="s">
        <v>286</v>
      </c>
      <c r="Q748" t="s">
        <v>2856</v>
      </c>
      <c r="R748" t="s">
        <v>316</v>
      </c>
      <c r="BI748" s="34" t="str">
        <f>HYPERLINK("#자재조서!A131","MTP-121 →")</f>
        <v>MTP-121 →</v>
      </c>
    </row>
    <row r="749" spans="1:61" ht="18.399999999999999" hidden="1" customHeight="1" x14ac:dyDescent="0.15">
      <c r="A749" s="2" t="s">
        <v>694</v>
      </c>
      <c r="B749" s="87" t="s">
        <v>1038</v>
      </c>
      <c r="C749" s="2">
        <v>3.1</v>
      </c>
      <c r="D749" s="2" t="s">
        <v>1086</v>
      </c>
      <c r="E749" s="27">
        <f t="shared" si="208"/>
        <v>150</v>
      </c>
      <c r="F749" s="28">
        <f t="shared" si="207"/>
        <v>465</v>
      </c>
      <c r="G749" s="27">
        <f>자재조서!E136</f>
        <v>150</v>
      </c>
      <c r="H749" s="28">
        <f t="shared" si="209"/>
        <v>465</v>
      </c>
      <c r="I749" s="27">
        <v>0</v>
      </c>
      <c r="J749" s="28"/>
      <c r="K749" s="27">
        <v>0</v>
      </c>
      <c r="L749" s="28"/>
      <c r="M749" s="86" t="s">
        <v>2856</v>
      </c>
      <c r="N749" t="s">
        <v>2856</v>
      </c>
      <c r="P749" t="s">
        <v>2428</v>
      </c>
      <c r="Q749" t="s">
        <v>2856</v>
      </c>
      <c r="R749" t="s">
        <v>794</v>
      </c>
      <c r="BI749" s="34" t="str">
        <f>HYPERLINK("#자재조서!A130","MTP-110 →")</f>
        <v>MTP-110 →</v>
      </c>
    </row>
    <row r="750" spans="1:61" ht="18.399999999999999" hidden="1" customHeight="1" x14ac:dyDescent="0.15">
      <c r="A750" s="2" t="s">
        <v>1734</v>
      </c>
      <c r="B750" s="87" t="s">
        <v>2741</v>
      </c>
      <c r="C750" s="2">
        <v>0.51</v>
      </c>
      <c r="D750" s="2" t="s">
        <v>1674</v>
      </c>
      <c r="E750" s="27">
        <f t="shared" si="208"/>
        <v>1245</v>
      </c>
      <c r="F750" s="28">
        <f t="shared" si="207"/>
        <v>634.9</v>
      </c>
      <c r="G750" s="27">
        <f>자재조서!E138</f>
        <v>1245</v>
      </c>
      <c r="H750" s="28">
        <f t="shared" si="209"/>
        <v>634.9</v>
      </c>
      <c r="I750" s="27">
        <v>0</v>
      </c>
      <c r="J750" s="28"/>
      <c r="K750" s="27">
        <v>0</v>
      </c>
      <c r="L750" s="28"/>
      <c r="M750" s="86" t="s">
        <v>2856</v>
      </c>
      <c r="N750" t="s">
        <v>2856</v>
      </c>
      <c r="P750" t="s">
        <v>1686</v>
      </c>
      <c r="Q750" t="s">
        <v>2856</v>
      </c>
      <c r="R750" t="s">
        <v>1046</v>
      </c>
      <c r="BI750" s="34" t="str">
        <f>HYPERLINK("#자재조서!A132","MTP-131 →")</f>
        <v>MTP-131 →</v>
      </c>
    </row>
    <row r="751" spans="1:61" ht="18.399999999999999" hidden="1" customHeight="1" x14ac:dyDescent="0.15">
      <c r="A751" s="1"/>
      <c r="B751" s="87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87"/>
    </row>
    <row r="752" spans="1:61" ht="18.399999999999999" customHeight="1" x14ac:dyDescent="0.15">
      <c r="A752" s="69" t="s">
        <v>3240</v>
      </c>
      <c r="B752" s="174" t="s">
        <v>3205</v>
      </c>
      <c r="C752" s="69">
        <v>1</v>
      </c>
      <c r="D752" s="69" t="s">
        <v>556</v>
      </c>
      <c r="E752" s="185"/>
      <c r="F752" s="70"/>
      <c r="G752" s="185"/>
      <c r="H752" s="70">
        <f>SUM(H753:H758)</f>
        <v>179378.2</v>
      </c>
      <c r="I752" s="185"/>
      <c r="J752" s="70">
        <f>SUM(J753:J758)</f>
        <v>1196280</v>
      </c>
      <c r="K752" s="185"/>
      <c r="L752" s="70">
        <f>SUM(L753:L758)</f>
        <v>310160</v>
      </c>
      <c r="M752" s="181"/>
      <c r="N752" t="s">
        <v>2856</v>
      </c>
      <c r="O752" t="s">
        <v>411</v>
      </c>
    </row>
    <row r="753" spans="1:61" ht="18.399999999999999" customHeight="1" x14ac:dyDescent="0.15">
      <c r="A753" s="2" t="s">
        <v>3207</v>
      </c>
      <c r="B753" s="87" t="s">
        <v>3206</v>
      </c>
      <c r="C753" s="2">
        <v>1</v>
      </c>
      <c r="D753" s="2" t="s">
        <v>556</v>
      </c>
      <c r="E753" s="27">
        <f t="shared" ref="E753:E758" si="210">G753+I753+K753</f>
        <v>822785</v>
      </c>
      <c r="F753" s="28">
        <f t="shared" ref="F753:F759" si="211">H753+J753+L753</f>
        <v>822785</v>
      </c>
      <c r="G753" s="27">
        <f>일위대가목록!F219</f>
        <v>69565</v>
      </c>
      <c r="H753" s="28">
        <f t="shared" ref="H753:H758" si="212">TRUNC(G753*C753,1)</f>
        <v>69565</v>
      </c>
      <c r="I753" s="27">
        <f>일위대가목록!H219</f>
        <v>598140</v>
      </c>
      <c r="J753" s="28">
        <f>TRUNC(I753*C753,1)</f>
        <v>598140</v>
      </c>
      <c r="K753" s="27">
        <f>일위대가목록!J219</f>
        <v>155080</v>
      </c>
      <c r="L753" s="28">
        <f>TRUNC(K753*C753,1)</f>
        <v>155080</v>
      </c>
      <c r="M753" s="86" t="s">
        <v>2856</v>
      </c>
      <c r="N753" t="s">
        <v>2856</v>
      </c>
      <c r="P753" t="s">
        <v>2471</v>
      </c>
      <c r="Q753" t="s">
        <v>2856</v>
      </c>
      <c r="R753" t="s">
        <v>2163</v>
      </c>
      <c r="T753" t="s">
        <v>1778</v>
      </c>
      <c r="BI753" s="34" t="str">
        <f>HYPERLINK("#일위대가목록!A219","NT205-18 →")</f>
        <v>NT205-18 →</v>
      </c>
    </row>
    <row r="754" spans="1:61" ht="18.399999999999999" customHeight="1" x14ac:dyDescent="0.15">
      <c r="A754" s="2" t="s">
        <v>3208</v>
      </c>
      <c r="B754" s="87" t="s">
        <v>3206</v>
      </c>
      <c r="C754" s="2">
        <v>1</v>
      </c>
      <c r="D754" s="2" t="s">
        <v>556</v>
      </c>
      <c r="E754" s="27">
        <f>G754+I754+K754</f>
        <v>822785</v>
      </c>
      <c r="F754" s="28">
        <f>H754+J754+L754</f>
        <v>822785</v>
      </c>
      <c r="G754" s="27">
        <f>G753</f>
        <v>69565</v>
      </c>
      <c r="H754" s="28">
        <f>TRUNC(G754*C754,1)</f>
        <v>69565</v>
      </c>
      <c r="I754" s="27">
        <f>I753</f>
        <v>598140</v>
      </c>
      <c r="J754" s="28">
        <f>TRUNC(I754*C754,1)</f>
        <v>598140</v>
      </c>
      <c r="K754" s="27">
        <f>K753</f>
        <v>155080</v>
      </c>
      <c r="L754" s="28">
        <f>TRUNC(K754*C754,1)</f>
        <v>155080</v>
      </c>
      <c r="M754" s="86" t="s">
        <v>2856</v>
      </c>
      <c r="N754" t="s">
        <v>2856</v>
      </c>
      <c r="P754" t="s">
        <v>2471</v>
      </c>
      <c r="Q754" t="s">
        <v>2856</v>
      </c>
      <c r="R754" t="s">
        <v>2163</v>
      </c>
      <c r="T754" t="s">
        <v>1778</v>
      </c>
      <c r="BI754" s="34" t="str">
        <f>HYPERLINK("#일위대가목록!A219","NT205-18 →")</f>
        <v>NT205-18 →</v>
      </c>
    </row>
    <row r="755" spans="1:61" ht="18.399999999999999" customHeight="1" x14ac:dyDescent="0.15">
      <c r="A755" s="2" t="s">
        <v>3209</v>
      </c>
      <c r="B755" s="87" t="s">
        <v>3210</v>
      </c>
      <c r="C755" s="2">
        <v>1</v>
      </c>
      <c r="D755" s="2" t="s">
        <v>1302</v>
      </c>
      <c r="E755" s="27">
        <f t="shared" si="210"/>
        <v>24700</v>
      </c>
      <c r="F755" s="28">
        <f t="shared" si="211"/>
        <v>24700</v>
      </c>
      <c r="G755" s="27">
        <f>자재조서!E131</f>
        <v>24700</v>
      </c>
      <c r="H755" s="28">
        <f t="shared" si="212"/>
        <v>24700</v>
      </c>
      <c r="I755" s="27">
        <v>0</v>
      </c>
      <c r="J755" s="28"/>
      <c r="K755" s="27">
        <v>0</v>
      </c>
      <c r="L755" s="28"/>
      <c r="M755" s="86" t="s">
        <v>2856</v>
      </c>
      <c r="N755" t="s">
        <v>2856</v>
      </c>
      <c r="P755" t="s">
        <v>1741</v>
      </c>
      <c r="Q755" t="s">
        <v>2856</v>
      </c>
      <c r="R755" t="s">
        <v>1011</v>
      </c>
      <c r="BI755" s="34" t="str">
        <f>HYPERLINK("#자재조서!A126","MTP-039 →")</f>
        <v>MTP-039 →</v>
      </c>
    </row>
    <row r="756" spans="1:61" ht="18.399999999999999" customHeight="1" x14ac:dyDescent="0.15">
      <c r="A756" s="2" t="s">
        <v>2029</v>
      </c>
      <c r="B756" s="87" t="s">
        <v>1936</v>
      </c>
      <c r="C756" s="82" t="s">
        <v>3211</v>
      </c>
      <c r="D756" s="2" t="s">
        <v>1086</v>
      </c>
      <c r="E756" s="27">
        <f t="shared" si="210"/>
        <v>40</v>
      </c>
      <c r="F756" s="28">
        <f t="shared" si="211"/>
        <v>3292</v>
      </c>
      <c r="G756" s="27">
        <f>자재조서!E137</f>
        <v>40</v>
      </c>
      <c r="H756" s="28">
        <f t="shared" si="212"/>
        <v>3292</v>
      </c>
      <c r="I756" s="27">
        <v>0</v>
      </c>
      <c r="J756" s="28"/>
      <c r="K756" s="27">
        <v>0</v>
      </c>
      <c r="L756" s="28"/>
      <c r="M756" s="86" t="s">
        <v>2856</v>
      </c>
      <c r="N756" t="s">
        <v>2856</v>
      </c>
      <c r="P756" t="s">
        <v>286</v>
      </c>
      <c r="Q756" t="s">
        <v>2856</v>
      </c>
      <c r="R756" t="s">
        <v>316</v>
      </c>
      <c r="BI756" s="34" t="str">
        <f>HYPERLINK("#자재조서!A131","MTP-121 →")</f>
        <v>MTP-121 →</v>
      </c>
    </row>
    <row r="757" spans="1:61" ht="18.399999999999999" customHeight="1" x14ac:dyDescent="0.15">
      <c r="A757" s="2" t="s">
        <v>694</v>
      </c>
      <c r="B757" s="87" t="s">
        <v>1038</v>
      </c>
      <c r="C757" s="82" t="s">
        <v>3212</v>
      </c>
      <c r="D757" s="2" t="s">
        <v>1086</v>
      </c>
      <c r="E757" s="27">
        <f t="shared" si="210"/>
        <v>150</v>
      </c>
      <c r="F757" s="28">
        <f t="shared" si="211"/>
        <v>5085</v>
      </c>
      <c r="G757" s="27">
        <f>자재조서!E136</f>
        <v>150</v>
      </c>
      <c r="H757" s="28">
        <f t="shared" si="212"/>
        <v>5085</v>
      </c>
      <c r="I757" s="27">
        <v>0</v>
      </c>
      <c r="J757" s="28"/>
      <c r="K757" s="27">
        <v>0</v>
      </c>
      <c r="L757" s="28"/>
      <c r="M757" s="86" t="s">
        <v>2856</v>
      </c>
      <c r="N757" t="s">
        <v>2856</v>
      </c>
      <c r="P757" t="s">
        <v>2428</v>
      </c>
      <c r="Q757" t="s">
        <v>2856</v>
      </c>
      <c r="R757" t="s">
        <v>794</v>
      </c>
      <c r="BI757" s="34" t="str">
        <f>HYPERLINK("#자재조서!A130","MTP-110 →")</f>
        <v>MTP-110 →</v>
      </c>
    </row>
    <row r="758" spans="1:61" ht="18.399999999999999" customHeight="1" x14ac:dyDescent="0.15">
      <c r="A758" s="2" t="s">
        <v>1734</v>
      </c>
      <c r="B758" s="87" t="s">
        <v>2741</v>
      </c>
      <c r="C758" s="82" t="s">
        <v>3213</v>
      </c>
      <c r="D758" s="2" t="s">
        <v>1674</v>
      </c>
      <c r="E758" s="27">
        <f t="shared" si="210"/>
        <v>1245</v>
      </c>
      <c r="F758" s="28">
        <f t="shared" si="211"/>
        <v>7171.2</v>
      </c>
      <c r="G758" s="27">
        <f>자재조서!E138</f>
        <v>1245</v>
      </c>
      <c r="H758" s="28">
        <f t="shared" si="212"/>
        <v>7171.2</v>
      </c>
      <c r="I758" s="27">
        <v>0</v>
      </c>
      <c r="J758" s="28"/>
      <c r="K758" s="27">
        <v>0</v>
      </c>
      <c r="L758" s="28"/>
      <c r="M758" s="86" t="s">
        <v>2856</v>
      </c>
      <c r="N758" t="s">
        <v>2856</v>
      </c>
      <c r="P758" t="s">
        <v>1686</v>
      </c>
      <c r="Q758" t="s">
        <v>2856</v>
      </c>
      <c r="R758" t="s">
        <v>1046</v>
      </c>
      <c r="BI758" s="34" t="str">
        <f>HYPERLINK("#자재조서!A132","MTP-131 →")</f>
        <v>MTP-131 →</v>
      </c>
    </row>
    <row r="759" spans="1:61" ht="18.399999999999999" customHeight="1" x14ac:dyDescent="0.15">
      <c r="A759" s="66" t="s">
        <v>3046</v>
      </c>
      <c r="B759" s="175" t="s">
        <v>3245</v>
      </c>
      <c r="C759" s="63"/>
      <c r="D759" s="63"/>
      <c r="E759" s="64"/>
      <c r="F759" s="65">
        <f t="shared" si="211"/>
        <v>1471634</v>
      </c>
      <c r="G759" s="66"/>
      <c r="H759" s="65">
        <f>TRUNC(H752*$B$1158)</f>
        <v>156588</v>
      </c>
      <c r="I759" s="66"/>
      <c r="J759" s="65">
        <f>TRUNC(J752*$B$1158)</f>
        <v>1044292</v>
      </c>
      <c r="K759" s="66"/>
      <c r="L759" s="65">
        <f>TRUNC(L752*$B$1158)</f>
        <v>270754</v>
      </c>
      <c r="M759" s="186"/>
      <c r="AA759" s="42"/>
      <c r="AB759" s="8"/>
      <c r="AC759" s="42"/>
      <c r="AD759" s="7"/>
    </row>
    <row r="760" spans="1:61" ht="18.399999999999999" customHeight="1" x14ac:dyDescent="0.15">
      <c r="A760" s="2"/>
      <c r="B760" s="87"/>
      <c r="C760" s="2"/>
      <c r="D760" s="2"/>
      <c r="E760" s="90"/>
      <c r="F760" s="28"/>
      <c r="G760" s="90"/>
      <c r="H760" s="28"/>
      <c r="I760" s="90"/>
      <c r="J760" s="28"/>
      <c r="K760" s="90"/>
      <c r="L760" s="28"/>
      <c r="M760" s="86"/>
      <c r="BI760" s="34"/>
    </row>
    <row r="761" spans="1:61" ht="18.399999999999999" customHeight="1" x14ac:dyDescent="0.15">
      <c r="A761" s="69" t="s">
        <v>3246</v>
      </c>
      <c r="B761" s="174" t="s">
        <v>3223</v>
      </c>
      <c r="C761" s="69">
        <v>1</v>
      </c>
      <c r="D761" s="69" t="s">
        <v>556</v>
      </c>
      <c r="E761" s="185"/>
      <c r="F761" s="70"/>
      <c r="G761" s="185"/>
      <c r="H761" s="70">
        <f>SUM(H762:H767)</f>
        <v>171340.79999999999</v>
      </c>
      <c r="I761" s="185"/>
      <c r="J761" s="70">
        <f>SUM(J762:J767)</f>
        <v>1196280</v>
      </c>
      <c r="K761" s="185"/>
      <c r="L761" s="70">
        <f>SUM(L762:L767)</f>
        <v>310160</v>
      </c>
      <c r="M761" s="181"/>
      <c r="N761" t="s">
        <v>2856</v>
      </c>
      <c r="O761" t="s">
        <v>411</v>
      </c>
    </row>
    <row r="762" spans="1:61" ht="18.399999999999999" customHeight="1" x14ac:dyDescent="0.15">
      <c r="A762" s="2" t="s">
        <v>3207</v>
      </c>
      <c r="B762" s="87" t="s">
        <v>3206</v>
      </c>
      <c r="C762" s="2">
        <v>1</v>
      </c>
      <c r="D762" s="2" t="s">
        <v>556</v>
      </c>
      <c r="E762" s="27">
        <f t="shared" ref="E762:E767" si="213">G762+I762+K762</f>
        <v>822785</v>
      </c>
      <c r="F762" s="28">
        <f t="shared" ref="F762:F768" si="214">H762+J762+L762</f>
        <v>822785</v>
      </c>
      <c r="G762" s="27">
        <f>G753</f>
        <v>69565</v>
      </c>
      <c r="H762" s="28">
        <f t="shared" ref="H762:H767" si="215">TRUNC(G762*C762,1)</f>
        <v>69565</v>
      </c>
      <c r="I762" s="27">
        <f>I753</f>
        <v>598140</v>
      </c>
      <c r="J762" s="28">
        <f>TRUNC(I762*C762,1)</f>
        <v>598140</v>
      </c>
      <c r="K762" s="27">
        <f>K753</f>
        <v>155080</v>
      </c>
      <c r="L762" s="28">
        <f>TRUNC(K762*C762,1)</f>
        <v>155080</v>
      </c>
      <c r="M762" s="86" t="s">
        <v>2856</v>
      </c>
      <c r="N762" t="s">
        <v>2856</v>
      </c>
      <c r="P762" t="s">
        <v>2471</v>
      </c>
      <c r="Q762" t="s">
        <v>2856</v>
      </c>
      <c r="R762" t="s">
        <v>2163</v>
      </c>
      <c r="T762" t="s">
        <v>1778</v>
      </c>
      <c r="BI762" s="34" t="str">
        <f>HYPERLINK("#일위대가목록!A219","NT205-18 →")</f>
        <v>NT205-18 →</v>
      </c>
    </row>
    <row r="763" spans="1:61" ht="18.399999999999999" customHeight="1" x14ac:dyDescent="0.15">
      <c r="A763" s="2" t="s">
        <v>3208</v>
      </c>
      <c r="B763" s="87" t="s">
        <v>3206</v>
      </c>
      <c r="C763" s="2">
        <v>1</v>
      </c>
      <c r="D763" s="2" t="s">
        <v>556</v>
      </c>
      <c r="E763" s="27">
        <f t="shared" si="213"/>
        <v>822785</v>
      </c>
      <c r="F763" s="28">
        <f t="shared" si="214"/>
        <v>822785</v>
      </c>
      <c r="G763" s="27">
        <f>G754</f>
        <v>69565</v>
      </c>
      <c r="H763" s="28">
        <f t="shared" si="215"/>
        <v>69565</v>
      </c>
      <c r="I763" s="27">
        <f>I754</f>
        <v>598140</v>
      </c>
      <c r="J763" s="28">
        <f>TRUNC(I763*C763,1)</f>
        <v>598140</v>
      </c>
      <c r="K763" s="27">
        <f>K754</f>
        <v>155080</v>
      </c>
      <c r="L763" s="28">
        <f>TRUNC(K763*C763,1)</f>
        <v>155080</v>
      </c>
      <c r="M763" s="86" t="s">
        <v>2856</v>
      </c>
      <c r="N763" t="s">
        <v>2856</v>
      </c>
      <c r="P763" t="s">
        <v>2471</v>
      </c>
      <c r="Q763" t="s">
        <v>2856</v>
      </c>
      <c r="R763" t="s">
        <v>2163</v>
      </c>
      <c r="T763" t="s">
        <v>1778</v>
      </c>
      <c r="BI763" s="34" t="str">
        <f>HYPERLINK("#일위대가목록!A219","NT205-18 →")</f>
        <v>NT205-18 →</v>
      </c>
    </row>
    <row r="764" spans="1:61" ht="18.399999999999999" customHeight="1" x14ac:dyDescent="0.15">
      <c r="A764" s="2" t="s">
        <v>3209</v>
      </c>
      <c r="B764" s="87" t="s">
        <v>3210</v>
      </c>
      <c r="C764" s="2">
        <v>1</v>
      </c>
      <c r="D764" s="2" t="s">
        <v>1302</v>
      </c>
      <c r="E764" s="27">
        <f t="shared" si="213"/>
        <v>23232</v>
      </c>
      <c r="F764" s="28">
        <f t="shared" si="214"/>
        <v>23232</v>
      </c>
      <c r="G764" s="27">
        <f>자재조서!E140</f>
        <v>23232</v>
      </c>
      <c r="H764" s="28">
        <f t="shared" si="215"/>
        <v>23232</v>
      </c>
      <c r="I764" s="27">
        <v>0</v>
      </c>
      <c r="J764" s="28"/>
      <c r="K764" s="27">
        <v>0</v>
      </c>
      <c r="L764" s="28"/>
      <c r="M764" s="86" t="s">
        <v>2856</v>
      </c>
      <c r="N764" t="s">
        <v>2856</v>
      </c>
      <c r="P764" t="s">
        <v>1741</v>
      </c>
      <c r="Q764" t="s">
        <v>2856</v>
      </c>
      <c r="R764" t="s">
        <v>1011</v>
      </c>
      <c r="BI764" s="34" t="str">
        <f>HYPERLINK("#자재조서!A126","MTP-039 →")</f>
        <v>MTP-039 →</v>
      </c>
    </row>
    <row r="765" spans="1:61" ht="18.399999999999999" customHeight="1" x14ac:dyDescent="0.15">
      <c r="A765" s="2" t="s">
        <v>2029</v>
      </c>
      <c r="B765" s="87" t="s">
        <v>1936</v>
      </c>
      <c r="C765" s="82" t="s">
        <v>3220</v>
      </c>
      <c r="D765" s="2" t="s">
        <v>1086</v>
      </c>
      <c r="E765" s="27">
        <f t="shared" si="213"/>
        <v>40</v>
      </c>
      <c r="F765" s="28">
        <f t="shared" si="214"/>
        <v>2080</v>
      </c>
      <c r="G765" s="27">
        <f>G756</f>
        <v>40</v>
      </c>
      <c r="H765" s="28">
        <f t="shared" si="215"/>
        <v>2080</v>
      </c>
      <c r="I765" s="27">
        <v>0</v>
      </c>
      <c r="J765" s="28"/>
      <c r="K765" s="27">
        <v>0</v>
      </c>
      <c r="L765" s="28"/>
      <c r="M765" s="86" t="s">
        <v>2856</v>
      </c>
      <c r="N765" t="s">
        <v>2856</v>
      </c>
      <c r="P765" t="s">
        <v>286</v>
      </c>
      <c r="Q765" t="s">
        <v>2856</v>
      </c>
      <c r="R765" t="s">
        <v>316</v>
      </c>
      <c r="BI765" s="34" t="str">
        <f>HYPERLINK("#자재조서!A131","MTP-121 →")</f>
        <v>MTP-121 →</v>
      </c>
    </row>
    <row r="766" spans="1:61" ht="18.399999999999999" customHeight="1" x14ac:dyDescent="0.15">
      <c r="A766" s="2" t="s">
        <v>694</v>
      </c>
      <c r="B766" s="87" t="s">
        <v>1038</v>
      </c>
      <c r="C766" s="82" t="s">
        <v>3221</v>
      </c>
      <c r="D766" s="2" t="s">
        <v>1086</v>
      </c>
      <c r="E766" s="27">
        <f t="shared" si="213"/>
        <v>150</v>
      </c>
      <c r="F766" s="28">
        <f t="shared" si="214"/>
        <v>2865</v>
      </c>
      <c r="G766" s="27">
        <f>G757</f>
        <v>150</v>
      </c>
      <c r="H766" s="28">
        <f t="shared" si="215"/>
        <v>2865</v>
      </c>
      <c r="I766" s="27">
        <v>0</v>
      </c>
      <c r="J766" s="28"/>
      <c r="K766" s="27">
        <v>0</v>
      </c>
      <c r="L766" s="28"/>
      <c r="M766" s="86" t="s">
        <v>2856</v>
      </c>
      <c r="N766" t="s">
        <v>2856</v>
      </c>
      <c r="P766" t="s">
        <v>2428</v>
      </c>
      <c r="Q766" t="s">
        <v>2856</v>
      </c>
      <c r="R766" t="s">
        <v>794</v>
      </c>
      <c r="BI766" s="34" t="str">
        <f>HYPERLINK("#자재조서!A130","MTP-110 →")</f>
        <v>MTP-110 →</v>
      </c>
    </row>
    <row r="767" spans="1:61" ht="18.399999999999999" customHeight="1" x14ac:dyDescent="0.15">
      <c r="A767" s="2" t="s">
        <v>1734</v>
      </c>
      <c r="B767" s="87" t="s">
        <v>2741</v>
      </c>
      <c r="C767" s="82" t="s">
        <v>3222</v>
      </c>
      <c r="D767" s="2" t="s">
        <v>1674</v>
      </c>
      <c r="E767" s="27">
        <f t="shared" si="213"/>
        <v>1245</v>
      </c>
      <c r="F767" s="28">
        <f t="shared" si="214"/>
        <v>4033.8</v>
      </c>
      <c r="G767" s="27">
        <f>G758</f>
        <v>1245</v>
      </c>
      <c r="H767" s="28">
        <f t="shared" si="215"/>
        <v>4033.8</v>
      </c>
      <c r="I767" s="27">
        <v>0</v>
      </c>
      <c r="J767" s="28"/>
      <c r="K767" s="27">
        <v>0</v>
      </c>
      <c r="L767" s="28"/>
      <c r="M767" s="86" t="s">
        <v>2856</v>
      </c>
      <c r="N767" t="s">
        <v>2856</v>
      </c>
      <c r="P767" t="s">
        <v>1686</v>
      </c>
      <c r="Q767" t="s">
        <v>2856</v>
      </c>
      <c r="R767" t="s">
        <v>1046</v>
      </c>
      <c r="BI767" s="34" t="str">
        <f>HYPERLINK("#자재조서!A132","MTP-131 →")</f>
        <v>MTP-131 →</v>
      </c>
    </row>
    <row r="768" spans="1:61" ht="18.399999999999999" customHeight="1" x14ac:dyDescent="0.15">
      <c r="A768" s="66" t="s">
        <v>3046</v>
      </c>
      <c r="B768" s="175" t="s">
        <v>3245</v>
      </c>
      <c r="C768" s="63"/>
      <c r="D768" s="63"/>
      <c r="E768" s="64"/>
      <c r="F768" s="65">
        <f t="shared" si="214"/>
        <v>1464617</v>
      </c>
      <c r="G768" s="66"/>
      <c r="H768" s="65">
        <f>TRUNC(H761*$B$1158)</f>
        <v>149571</v>
      </c>
      <c r="I768" s="66"/>
      <c r="J768" s="65">
        <f>TRUNC(J761*$B$1158)</f>
        <v>1044292</v>
      </c>
      <c r="K768" s="66"/>
      <c r="L768" s="65">
        <f>TRUNC(L761*$B$1158)</f>
        <v>270754</v>
      </c>
      <c r="M768" s="186"/>
      <c r="AA768" s="42"/>
      <c r="AB768" s="8"/>
      <c r="AC768" s="42"/>
      <c r="AD768" s="7"/>
    </row>
    <row r="769" spans="1:61" ht="18.399999999999999" customHeight="1" x14ac:dyDescent="0.15">
      <c r="A769" s="63"/>
      <c r="B769" s="175"/>
      <c r="C769" s="63"/>
      <c r="D769" s="63"/>
      <c r="E769" s="94"/>
      <c r="F769" s="65"/>
      <c r="G769" s="95"/>
      <c r="H769" s="65"/>
      <c r="I769" s="95"/>
      <c r="J769" s="65"/>
      <c r="K769" s="95"/>
      <c r="L769" s="65"/>
      <c r="M769" s="186"/>
      <c r="AA769" s="91"/>
      <c r="AB769" s="92"/>
      <c r="AC769" s="91"/>
      <c r="AD769" s="93"/>
    </row>
    <row r="770" spans="1:61" ht="18.399999999999999" customHeight="1" x14ac:dyDescent="0.15">
      <c r="A770" s="96" t="s">
        <v>3241</v>
      </c>
      <c r="B770" s="176" t="s">
        <v>3225</v>
      </c>
      <c r="C770" s="96">
        <v>1</v>
      </c>
      <c r="D770" s="96" t="s">
        <v>556</v>
      </c>
      <c r="E770" s="185"/>
      <c r="F770" s="97"/>
      <c r="G770" s="185"/>
      <c r="H770" s="97">
        <f>SUM(H771:H776)</f>
        <v>122857.3</v>
      </c>
      <c r="I770" s="185"/>
      <c r="J770" s="97">
        <f>SUM(J771:J776)</f>
        <v>886132</v>
      </c>
      <c r="K770" s="185"/>
      <c r="L770" s="97">
        <f>SUM(L771:L776)</f>
        <v>211544</v>
      </c>
      <c r="M770" s="182"/>
      <c r="N770" t="s">
        <v>2856</v>
      </c>
      <c r="O770" t="s">
        <v>411</v>
      </c>
    </row>
    <row r="771" spans="1:61" ht="18.399999999999999" customHeight="1" x14ac:dyDescent="0.15">
      <c r="A771" s="2" t="s">
        <v>3207</v>
      </c>
      <c r="B771" s="87" t="s">
        <v>3214</v>
      </c>
      <c r="C771" s="2">
        <v>1</v>
      </c>
      <c r="D771" s="2" t="s">
        <v>556</v>
      </c>
      <c r="E771" s="27">
        <f t="shared" ref="E771:E776" si="216">G771+I771+K771</f>
        <v>598895</v>
      </c>
      <c r="F771" s="28">
        <f t="shared" ref="F771:F777" si="217">H771+J771+L771</f>
        <v>598895</v>
      </c>
      <c r="G771" s="27">
        <f>일위대가목록!F217</f>
        <v>50057</v>
      </c>
      <c r="H771" s="28">
        <f t="shared" ref="H771:H776" si="218">TRUNC(G771*C771,1)</f>
        <v>50057</v>
      </c>
      <c r="I771" s="27">
        <f>일위대가목록!H217</f>
        <v>443066</v>
      </c>
      <c r="J771" s="28">
        <f>TRUNC(I771*C771,1)</f>
        <v>443066</v>
      </c>
      <c r="K771" s="27">
        <f>일위대가목록!J217</f>
        <v>105772</v>
      </c>
      <c r="L771" s="28">
        <f>TRUNC(K771*C771,1)</f>
        <v>105772</v>
      </c>
      <c r="M771" s="86" t="s">
        <v>2856</v>
      </c>
      <c r="N771" t="s">
        <v>2856</v>
      </c>
      <c r="P771" t="s">
        <v>2471</v>
      </c>
      <c r="Q771" t="s">
        <v>2856</v>
      </c>
      <c r="R771" t="s">
        <v>2163</v>
      </c>
      <c r="T771" t="s">
        <v>1778</v>
      </c>
      <c r="BI771" s="34" t="str">
        <f>HYPERLINK("#일위대가목록!A219","NT205-18 →")</f>
        <v>NT205-18 →</v>
      </c>
    </row>
    <row r="772" spans="1:61" ht="18.399999999999999" customHeight="1" x14ac:dyDescent="0.15">
      <c r="A772" s="2" t="s">
        <v>3208</v>
      </c>
      <c r="B772" s="87" t="str">
        <f>B771</f>
        <v>R20~29</v>
      </c>
      <c r="C772" s="2">
        <v>1</v>
      </c>
      <c r="D772" s="2" t="s">
        <v>556</v>
      </c>
      <c r="E772" s="27">
        <f t="shared" si="216"/>
        <v>598895</v>
      </c>
      <c r="F772" s="28">
        <f t="shared" si="217"/>
        <v>598895</v>
      </c>
      <c r="G772" s="27">
        <f>G771</f>
        <v>50057</v>
      </c>
      <c r="H772" s="28">
        <f t="shared" si="218"/>
        <v>50057</v>
      </c>
      <c r="I772" s="27">
        <f>I771</f>
        <v>443066</v>
      </c>
      <c r="J772" s="28">
        <f>TRUNC(I772*C772,1)</f>
        <v>443066</v>
      </c>
      <c r="K772" s="27">
        <f>K771</f>
        <v>105772</v>
      </c>
      <c r="L772" s="28">
        <f>TRUNC(K772*C772,1)</f>
        <v>105772</v>
      </c>
      <c r="M772" s="86" t="s">
        <v>2856</v>
      </c>
      <c r="N772" t="s">
        <v>2856</v>
      </c>
      <c r="P772" t="s">
        <v>2471</v>
      </c>
      <c r="Q772" t="s">
        <v>2856</v>
      </c>
      <c r="R772" t="s">
        <v>2163</v>
      </c>
      <c r="T772" t="s">
        <v>1778</v>
      </c>
      <c r="BI772" s="34" t="str">
        <f>HYPERLINK("#일위대가목록!A219","NT205-18 →")</f>
        <v>NT205-18 →</v>
      </c>
    </row>
    <row r="773" spans="1:61" ht="18.399999999999999" customHeight="1" x14ac:dyDescent="0.15">
      <c r="A773" s="2" t="s">
        <v>3215</v>
      </c>
      <c r="B773" s="87" t="s">
        <v>3216</v>
      </c>
      <c r="C773" s="2">
        <v>1</v>
      </c>
      <c r="D773" s="2" t="s">
        <v>1302</v>
      </c>
      <c r="E773" s="27">
        <f t="shared" si="216"/>
        <v>17700</v>
      </c>
      <c r="F773" s="28">
        <f t="shared" si="217"/>
        <v>17700</v>
      </c>
      <c r="G773" s="27">
        <f>자재조서!E132</f>
        <v>17700</v>
      </c>
      <c r="H773" s="28">
        <f t="shared" si="218"/>
        <v>17700</v>
      </c>
      <c r="I773" s="27">
        <v>0</v>
      </c>
      <c r="J773" s="28"/>
      <c r="K773" s="27">
        <v>0</v>
      </c>
      <c r="L773" s="28"/>
      <c r="M773" s="86" t="s">
        <v>2856</v>
      </c>
      <c r="N773" t="s">
        <v>2856</v>
      </c>
      <c r="P773" t="s">
        <v>1741</v>
      </c>
      <c r="Q773" t="s">
        <v>2856</v>
      </c>
      <c r="R773" t="s">
        <v>1011</v>
      </c>
      <c r="BI773" s="34" t="str">
        <f>HYPERLINK("#자재조서!A126","MTP-039 →")</f>
        <v>MTP-039 →</v>
      </c>
    </row>
    <row r="774" spans="1:61" ht="18.399999999999999" customHeight="1" x14ac:dyDescent="0.15">
      <c r="A774" s="2" t="s">
        <v>2029</v>
      </c>
      <c r="B774" s="87" t="s">
        <v>1936</v>
      </c>
      <c r="C774" s="82" t="s">
        <v>3226</v>
      </c>
      <c r="D774" s="2" t="s">
        <v>1086</v>
      </c>
      <c r="E774" s="27">
        <f t="shared" si="216"/>
        <v>40</v>
      </c>
      <c r="F774" s="28">
        <f t="shared" si="217"/>
        <v>1332</v>
      </c>
      <c r="G774" s="27">
        <f>G748</f>
        <v>40</v>
      </c>
      <c r="H774" s="28">
        <f t="shared" si="218"/>
        <v>1332</v>
      </c>
      <c r="I774" s="27">
        <v>0</v>
      </c>
      <c r="J774" s="28"/>
      <c r="K774" s="27">
        <v>0</v>
      </c>
      <c r="L774" s="28"/>
      <c r="M774" s="86" t="s">
        <v>2856</v>
      </c>
      <c r="N774" t="s">
        <v>2856</v>
      </c>
      <c r="P774" t="s">
        <v>286</v>
      </c>
      <c r="Q774" t="s">
        <v>2856</v>
      </c>
      <c r="R774" t="s">
        <v>316</v>
      </c>
      <c r="BI774" s="34" t="str">
        <f>HYPERLINK("#자재조서!A131","MTP-121 →")</f>
        <v>MTP-121 →</v>
      </c>
    </row>
    <row r="775" spans="1:61" ht="18.399999999999999" customHeight="1" x14ac:dyDescent="0.15">
      <c r="A775" s="2" t="s">
        <v>694</v>
      </c>
      <c r="B775" s="87" t="s">
        <v>1038</v>
      </c>
      <c r="C775" s="82" t="s">
        <v>3227</v>
      </c>
      <c r="D775" s="2" t="s">
        <v>1086</v>
      </c>
      <c r="E775" s="27">
        <f t="shared" si="216"/>
        <v>150</v>
      </c>
      <c r="F775" s="28">
        <f t="shared" si="217"/>
        <v>1545</v>
      </c>
      <c r="G775" s="27">
        <f>G749</f>
        <v>150</v>
      </c>
      <c r="H775" s="28">
        <f t="shared" si="218"/>
        <v>1545</v>
      </c>
      <c r="I775" s="27">
        <v>0</v>
      </c>
      <c r="J775" s="28"/>
      <c r="K775" s="27">
        <v>0</v>
      </c>
      <c r="L775" s="28"/>
      <c r="M775" s="86" t="s">
        <v>2856</v>
      </c>
      <c r="N775" t="s">
        <v>2856</v>
      </c>
      <c r="P775" t="s">
        <v>2428</v>
      </c>
      <c r="Q775" t="s">
        <v>2856</v>
      </c>
      <c r="R775" t="s">
        <v>794</v>
      </c>
      <c r="BI775" s="34" t="str">
        <f>HYPERLINK("#자재조서!A130","MTP-110 →")</f>
        <v>MTP-110 →</v>
      </c>
    </row>
    <row r="776" spans="1:61" ht="18.399999999999999" customHeight="1" x14ac:dyDescent="0.15">
      <c r="A776" s="2" t="s">
        <v>1734</v>
      </c>
      <c r="B776" s="87" t="s">
        <v>2741</v>
      </c>
      <c r="C776" s="82" t="s">
        <v>3228</v>
      </c>
      <c r="D776" s="2" t="s">
        <v>1674</v>
      </c>
      <c r="E776" s="27">
        <f t="shared" si="216"/>
        <v>1245</v>
      </c>
      <c r="F776" s="28">
        <f t="shared" si="217"/>
        <v>2166.3000000000002</v>
      </c>
      <c r="G776" s="27">
        <f>G750</f>
        <v>1245</v>
      </c>
      <c r="H776" s="28">
        <f t="shared" si="218"/>
        <v>2166.3000000000002</v>
      </c>
      <c r="I776" s="27">
        <v>0</v>
      </c>
      <c r="J776" s="28"/>
      <c r="K776" s="27">
        <v>0</v>
      </c>
      <c r="L776" s="28"/>
      <c r="M776" s="86" t="s">
        <v>2856</v>
      </c>
      <c r="N776" t="s">
        <v>2856</v>
      </c>
      <c r="P776" t="s">
        <v>1686</v>
      </c>
      <c r="Q776" t="s">
        <v>2856</v>
      </c>
      <c r="R776" t="s">
        <v>1046</v>
      </c>
      <c r="BI776" s="34" t="str">
        <f>HYPERLINK("#자재조서!A132","MTP-131 →")</f>
        <v>MTP-131 →</v>
      </c>
    </row>
    <row r="777" spans="1:61" ht="18.399999999999999" customHeight="1" x14ac:dyDescent="0.15">
      <c r="A777" s="66" t="s">
        <v>3046</v>
      </c>
      <c r="B777" s="175" t="s">
        <v>3245</v>
      </c>
      <c r="C777" s="63"/>
      <c r="D777" s="63"/>
      <c r="E777" s="64"/>
      <c r="F777" s="65">
        <f t="shared" si="217"/>
        <v>1065463</v>
      </c>
      <c r="G777" s="66"/>
      <c r="H777" s="65">
        <f>TRUNC(H770*$B$1158)</f>
        <v>107248</v>
      </c>
      <c r="I777" s="66"/>
      <c r="J777" s="65">
        <f>TRUNC(J770*$B$1158)</f>
        <v>773548</v>
      </c>
      <c r="K777" s="66"/>
      <c r="L777" s="65">
        <f>TRUNC(L770*$B$1158)</f>
        <v>184667</v>
      </c>
      <c r="M777" s="186"/>
      <c r="AA777" s="42"/>
      <c r="AB777" s="8"/>
      <c r="AC777" s="42"/>
      <c r="AD777" s="7"/>
    </row>
    <row r="778" spans="1:61" ht="18.399999999999999" customHeight="1" x14ac:dyDescent="0.15">
      <c r="A778" s="63"/>
      <c r="B778" s="175"/>
      <c r="C778" s="63"/>
      <c r="D778" s="63"/>
      <c r="E778" s="94"/>
      <c r="F778" s="65"/>
      <c r="G778" s="95"/>
      <c r="H778" s="65"/>
      <c r="I778" s="95"/>
      <c r="J778" s="65"/>
      <c r="K778" s="95"/>
      <c r="L778" s="65"/>
      <c r="M778" s="186"/>
      <c r="AA778" s="91"/>
      <c r="AB778" s="92"/>
      <c r="AC778" s="91"/>
      <c r="AD778" s="93"/>
    </row>
    <row r="779" spans="1:61" ht="18.399999999999999" customHeight="1" x14ac:dyDescent="0.15">
      <c r="A779" s="96" t="s">
        <v>3242</v>
      </c>
      <c r="B779" s="176" t="s">
        <v>3224</v>
      </c>
      <c r="C779" s="96">
        <v>1</v>
      </c>
      <c r="D779" s="96" t="s">
        <v>556</v>
      </c>
      <c r="E779" s="185"/>
      <c r="F779" s="97"/>
      <c r="G779" s="185"/>
      <c r="H779" s="97">
        <f>SUM(H780:H785)</f>
        <v>122041.8</v>
      </c>
      <c r="I779" s="185"/>
      <c r="J779" s="97">
        <f>SUM(J780:J785)</f>
        <v>886132</v>
      </c>
      <c r="K779" s="185"/>
      <c r="L779" s="97">
        <f>SUM(L780:L785)</f>
        <v>211544</v>
      </c>
      <c r="M779" s="182"/>
      <c r="N779" t="s">
        <v>2856</v>
      </c>
      <c r="O779" t="s">
        <v>411</v>
      </c>
    </row>
    <row r="780" spans="1:61" ht="18.399999999999999" customHeight="1" x14ac:dyDescent="0.15">
      <c r="A780" s="2" t="s">
        <v>3207</v>
      </c>
      <c r="B780" s="87" t="s">
        <v>3214</v>
      </c>
      <c r="C780" s="2">
        <v>1</v>
      </c>
      <c r="D780" s="2" t="s">
        <v>556</v>
      </c>
      <c r="E780" s="27">
        <f t="shared" ref="E780:E785" si="219">G780+I780+K780</f>
        <v>598895</v>
      </c>
      <c r="F780" s="28">
        <f t="shared" ref="F780:F786" si="220">H780+J780+L780</f>
        <v>598895</v>
      </c>
      <c r="G780" s="27">
        <f>일위대가목록!F217</f>
        <v>50057</v>
      </c>
      <c r="H780" s="28">
        <f t="shared" ref="H780:H785" si="221">TRUNC(G780*C780,1)</f>
        <v>50057</v>
      </c>
      <c r="I780" s="27">
        <f>일위대가목록!H217</f>
        <v>443066</v>
      </c>
      <c r="J780" s="28">
        <f>TRUNC(I780*C780,1)</f>
        <v>443066</v>
      </c>
      <c r="K780" s="27">
        <f>일위대가목록!J217</f>
        <v>105772</v>
      </c>
      <c r="L780" s="28">
        <f>TRUNC(K780*C780,1)</f>
        <v>105772</v>
      </c>
      <c r="M780" s="86" t="s">
        <v>2856</v>
      </c>
      <c r="N780" t="s">
        <v>2856</v>
      </c>
      <c r="P780" t="s">
        <v>2471</v>
      </c>
      <c r="Q780" t="s">
        <v>2856</v>
      </c>
      <c r="R780" t="s">
        <v>2163</v>
      </c>
      <c r="T780" t="s">
        <v>1778</v>
      </c>
      <c r="BI780" s="34" t="str">
        <f>HYPERLINK("#일위대가목록!A219","NT205-18 →")</f>
        <v>NT205-18 →</v>
      </c>
    </row>
    <row r="781" spans="1:61" ht="18.399999999999999" customHeight="1" x14ac:dyDescent="0.15">
      <c r="A781" s="2" t="s">
        <v>3208</v>
      </c>
      <c r="B781" s="87" t="str">
        <f>B780</f>
        <v>R20~29</v>
      </c>
      <c r="C781" s="2">
        <v>1</v>
      </c>
      <c r="D781" s="2" t="s">
        <v>556</v>
      </c>
      <c r="E781" s="27">
        <f t="shared" si="219"/>
        <v>598895</v>
      </c>
      <c r="F781" s="28">
        <f t="shared" si="220"/>
        <v>598895</v>
      </c>
      <c r="G781" s="27">
        <f>G780</f>
        <v>50057</v>
      </c>
      <c r="H781" s="28">
        <f t="shared" si="221"/>
        <v>50057</v>
      </c>
      <c r="I781" s="27">
        <f>I780</f>
        <v>443066</v>
      </c>
      <c r="J781" s="28">
        <f>TRUNC(I781*C781,1)</f>
        <v>443066</v>
      </c>
      <c r="K781" s="27">
        <f>K780</f>
        <v>105772</v>
      </c>
      <c r="L781" s="28">
        <f>TRUNC(K781*C781,1)</f>
        <v>105772</v>
      </c>
      <c r="M781" s="86" t="s">
        <v>2856</v>
      </c>
      <c r="N781" t="s">
        <v>2856</v>
      </c>
      <c r="P781" t="s">
        <v>2471</v>
      </c>
      <c r="Q781" t="s">
        <v>2856</v>
      </c>
      <c r="R781" t="s">
        <v>2163</v>
      </c>
      <c r="T781" t="s">
        <v>1778</v>
      </c>
      <c r="BI781" s="34" t="str">
        <f>HYPERLINK("#일위대가목록!A219","NT205-18 →")</f>
        <v>NT205-18 →</v>
      </c>
    </row>
    <row r="782" spans="1:61" ht="18.399999999999999" customHeight="1" x14ac:dyDescent="0.15">
      <c r="A782" s="2" t="s">
        <v>3215</v>
      </c>
      <c r="B782" s="87" t="s">
        <v>3216</v>
      </c>
      <c r="C782" s="2">
        <v>1</v>
      </c>
      <c r="D782" s="2" t="s">
        <v>1302</v>
      </c>
      <c r="E782" s="27">
        <f t="shared" si="219"/>
        <v>17700</v>
      </c>
      <c r="F782" s="28">
        <f t="shared" si="220"/>
        <v>17700</v>
      </c>
      <c r="G782" s="27">
        <f>자재조서!E132</f>
        <v>17700</v>
      </c>
      <c r="H782" s="28">
        <f t="shared" si="221"/>
        <v>17700</v>
      </c>
      <c r="I782" s="27">
        <v>0</v>
      </c>
      <c r="J782" s="28"/>
      <c r="K782" s="27">
        <v>0</v>
      </c>
      <c r="L782" s="28"/>
      <c r="M782" s="86" t="s">
        <v>2856</v>
      </c>
      <c r="N782" t="s">
        <v>2856</v>
      </c>
      <c r="P782" t="s">
        <v>1741</v>
      </c>
      <c r="Q782" t="s">
        <v>2856</v>
      </c>
      <c r="R782" t="s">
        <v>1011</v>
      </c>
      <c r="BI782" s="34" t="str">
        <f>HYPERLINK("#자재조서!A126","MTP-039 →")</f>
        <v>MTP-039 →</v>
      </c>
    </row>
    <row r="783" spans="1:61" ht="18.399999999999999" customHeight="1" x14ac:dyDescent="0.15">
      <c r="A783" s="2" t="s">
        <v>2029</v>
      </c>
      <c r="B783" s="87" t="s">
        <v>1936</v>
      </c>
      <c r="C783" s="82" t="s">
        <v>3217</v>
      </c>
      <c r="D783" s="2" t="s">
        <v>1086</v>
      </c>
      <c r="E783" s="27">
        <f t="shared" si="219"/>
        <v>40</v>
      </c>
      <c r="F783" s="28">
        <f t="shared" si="220"/>
        <v>1160</v>
      </c>
      <c r="G783" s="27">
        <f>G756</f>
        <v>40</v>
      </c>
      <c r="H783" s="28">
        <f t="shared" si="221"/>
        <v>1160</v>
      </c>
      <c r="I783" s="27">
        <v>0</v>
      </c>
      <c r="J783" s="28"/>
      <c r="K783" s="27">
        <v>0</v>
      </c>
      <c r="L783" s="28"/>
      <c r="M783" s="86" t="s">
        <v>2856</v>
      </c>
      <c r="N783" t="s">
        <v>2856</v>
      </c>
      <c r="P783" t="s">
        <v>286</v>
      </c>
      <c r="Q783" t="s">
        <v>2856</v>
      </c>
      <c r="R783" t="s">
        <v>316</v>
      </c>
      <c r="BI783" s="34" t="str">
        <f>HYPERLINK("#자재조서!A131","MTP-121 →")</f>
        <v>MTP-121 →</v>
      </c>
    </row>
    <row r="784" spans="1:61" ht="18.399999999999999" customHeight="1" x14ac:dyDescent="0.15">
      <c r="A784" s="2" t="s">
        <v>694</v>
      </c>
      <c r="B784" s="87" t="s">
        <v>1038</v>
      </c>
      <c r="C784" s="82" t="s">
        <v>3218</v>
      </c>
      <c r="D784" s="2" t="s">
        <v>1086</v>
      </c>
      <c r="E784" s="27">
        <f t="shared" si="219"/>
        <v>150</v>
      </c>
      <c r="F784" s="28">
        <f t="shared" si="220"/>
        <v>1275</v>
      </c>
      <c r="G784" s="27">
        <f>G757</f>
        <v>150</v>
      </c>
      <c r="H784" s="28">
        <f t="shared" si="221"/>
        <v>1275</v>
      </c>
      <c r="I784" s="27">
        <v>0</v>
      </c>
      <c r="J784" s="28"/>
      <c r="K784" s="27">
        <v>0</v>
      </c>
      <c r="L784" s="28"/>
      <c r="M784" s="86" t="s">
        <v>2856</v>
      </c>
      <c r="N784" t="s">
        <v>2856</v>
      </c>
      <c r="P784" t="s">
        <v>2428</v>
      </c>
      <c r="Q784" t="s">
        <v>2856</v>
      </c>
      <c r="R784" t="s">
        <v>794</v>
      </c>
      <c r="BI784" s="34" t="str">
        <f>HYPERLINK("#자재조서!A130","MTP-110 →")</f>
        <v>MTP-110 →</v>
      </c>
    </row>
    <row r="785" spans="1:61" ht="18.399999999999999" customHeight="1" x14ac:dyDescent="0.15">
      <c r="A785" s="2" t="s">
        <v>1734</v>
      </c>
      <c r="B785" s="87" t="s">
        <v>2741</v>
      </c>
      <c r="C785" s="82" t="s">
        <v>3219</v>
      </c>
      <c r="D785" s="2" t="s">
        <v>1674</v>
      </c>
      <c r="E785" s="27">
        <f t="shared" si="219"/>
        <v>1245</v>
      </c>
      <c r="F785" s="28">
        <f t="shared" si="220"/>
        <v>1792.8</v>
      </c>
      <c r="G785" s="27">
        <f>G758</f>
        <v>1245</v>
      </c>
      <c r="H785" s="28">
        <f t="shared" si="221"/>
        <v>1792.8</v>
      </c>
      <c r="I785" s="27">
        <v>0</v>
      </c>
      <c r="J785" s="28"/>
      <c r="K785" s="27">
        <v>0</v>
      </c>
      <c r="L785" s="28"/>
      <c r="M785" s="86" t="s">
        <v>2856</v>
      </c>
      <c r="N785" t="s">
        <v>2856</v>
      </c>
      <c r="P785" t="s">
        <v>1686</v>
      </c>
      <c r="Q785" t="s">
        <v>2856</v>
      </c>
      <c r="R785" t="s">
        <v>1046</v>
      </c>
      <c r="BI785" s="34" t="str">
        <f>HYPERLINK("#자재조서!A132","MTP-131 →")</f>
        <v>MTP-131 →</v>
      </c>
    </row>
    <row r="786" spans="1:61" ht="18.399999999999999" customHeight="1" x14ac:dyDescent="0.15">
      <c r="A786" s="66" t="s">
        <v>3046</v>
      </c>
      <c r="B786" s="175" t="s">
        <v>3245</v>
      </c>
      <c r="C786" s="63"/>
      <c r="D786" s="63"/>
      <c r="E786" s="64"/>
      <c r="F786" s="65">
        <f t="shared" si="220"/>
        <v>1064751</v>
      </c>
      <c r="G786" s="66"/>
      <c r="H786" s="65">
        <f>TRUNC(H779*$B$1158)</f>
        <v>106536</v>
      </c>
      <c r="I786" s="66"/>
      <c r="J786" s="65">
        <f>TRUNC(J779*$B$1158)</f>
        <v>773548</v>
      </c>
      <c r="K786" s="66"/>
      <c r="L786" s="65">
        <f>TRUNC(L779*$B$1158)</f>
        <v>184667</v>
      </c>
      <c r="M786" s="186"/>
      <c r="AA786" s="42"/>
      <c r="AB786" s="8"/>
      <c r="AC786" s="42"/>
      <c r="AD786" s="7"/>
    </row>
    <row r="787" spans="1:61" ht="18.399999999999999" customHeight="1" x14ac:dyDescent="0.15">
      <c r="A787" s="63"/>
      <c r="B787" s="175"/>
      <c r="C787" s="63"/>
      <c r="D787" s="63"/>
      <c r="E787" s="94"/>
      <c r="F787" s="65"/>
      <c r="G787" s="95"/>
      <c r="H787" s="65"/>
      <c r="I787" s="95"/>
      <c r="J787" s="65"/>
      <c r="K787" s="95"/>
      <c r="L787" s="65"/>
      <c r="M787" s="186"/>
      <c r="AA787" s="91"/>
      <c r="AB787" s="92"/>
      <c r="AC787" s="91"/>
      <c r="AD787" s="93"/>
    </row>
    <row r="788" spans="1:61" ht="18.399999999999999" customHeight="1" x14ac:dyDescent="0.15">
      <c r="A788" s="96" t="s">
        <v>3247</v>
      </c>
      <c r="B788" s="176" t="s">
        <v>3229</v>
      </c>
      <c r="C788" s="96">
        <v>1</v>
      </c>
      <c r="D788" s="96" t="s">
        <v>556</v>
      </c>
      <c r="E788" s="185"/>
      <c r="F788" s="97"/>
      <c r="G788" s="185"/>
      <c r="H788" s="97">
        <f>SUM(H789:H794)</f>
        <v>69552.399999999994</v>
      </c>
      <c r="I788" s="185"/>
      <c r="J788" s="97">
        <f>SUM(J789:J794)</f>
        <v>472846</v>
      </c>
      <c r="K788" s="185"/>
      <c r="L788" s="97">
        <f>SUM(L789:L794)</f>
        <v>48040</v>
      </c>
      <c r="M788" s="182"/>
      <c r="N788" t="s">
        <v>2856</v>
      </c>
      <c r="O788" t="s">
        <v>411</v>
      </c>
    </row>
    <row r="789" spans="1:61" ht="18.399999999999999" customHeight="1" x14ac:dyDescent="0.15">
      <c r="A789" s="2" t="s">
        <v>3207</v>
      </c>
      <c r="B789" s="87" t="s">
        <v>3230</v>
      </c>
      <c r="C789" s="2">
        <v>1</v>
      </c>
      <c r="D789" s="2" t="s">
        <v>556</v>
      </c>
      <c r="E789" s="27">
        <f t="shared" ref="E789:E794" si="222">G789+I789+K789</f>
        <v>285065</v>
      </c>
      <c r="F789" s="28">
        <f t="shared" ref="F789:F795" si="223">H789+J789+L789</f>
        <v>285065</v>
      </c>
      <c r="G789" s="27">
        <f>일위대가목록!F221</f>
        <v>24622</v>
      </c>
      <c r="H789" s="28">
        <f t="shared" ref="H789:H794" si="224">TRUNC(G789*C789,1)</f>
        <v>24622</v>
      </c>
      <c r="I789" s="27">
        <f>일위대가목록!H221</f>
        <v>236423</v>
      </c>
      <c r="J789" s="28">
        <f>TRUNC(I789*C789,1)</f>
        <v>236423</v>
      </c>
      <c r="K789" s="27">
        <f>일위대가목록!J221</f>
        <v>24020</v>
      </c>
      <c r="L789" s="28">
        <f>TRUNC(K789*C789,1)</f>
        <v>24020</v>
      </c>
      <c r="M789" s="86" t="s">
        <v>2856</v>
      </c>
      <c r="N789" t="s">
        <v>2856</v>
      </c>
      <c r="P789" t="s">
        <v>2471</v>
      </c>
      <c r="Q789" t="s">
        <v>2856</v>
      </c>
      <c r="R789" t="s">
        <v>2163</v>
      </c>
      <c r="T789" t="s">
        <v>1778</v>
      </c>
      <c r="BI789" s="34" t="str">
        <f>HYPERLINK("#일위대가목록!A219","NT205-18 →")</f>
        <v>NT205-18 →</v>
      </c>
    </row>
    <row r="790" spans="1:61" ht="18.399999999999999" customHeight="1" x14ac:dyDescent="0.15">
      <c r="A790" s="2" t="s">
        <v>3208</v>
      </c>
      <c r="B790" s="87" t="str">
        <f>B789</f>
        <v>R15~19</v>
      </c>
      <c r="C790" s="2">
        <v>1</v>
      </c>
      <c r="D790" s="2" t="s">
        <v>556</v>
      </c>
      <c r="E790" s="27">
        <f t="shared" si="222"/>
        <v>285065</v>
      </c>
      <c r="F790" s="28">
        <f t="shared" si="223"/>
        <v>285065</v>
      </c>
      <c r="G790" s="27">
        <f>G789</f>
        <v>24622</v>
      </c>
      <c r="H790" s="28">
        <f t="shared" si="224"/>
        <v>24622</v>
      </c>
      <c r="I790" s="27">
        <f>I789</f>
        <v>236423</v>
      </c>
      <c r="J790" s="28">
        <f>TRUNC(I790*C790,1)</f>
        <v>236423</v>
      </c>
      <c r="K790" s="27">
        <f>K789</f>
        <v>24020</v>
      </c>
      <c r="L790" s="28">
        <f>TRUNC(K790*C790,1)</f>
        <v>24020</v>
      </c>
      <c r="M790" s="86" t="s">
        <v>2856</v>
      </c>
      <c r="N790" t="s">
        <v>2856</v>
      </c>
      <c r="P790" t="s">
        <v>2471</v>
      </c>
      <c r="Q790" t="s">
        <v>2856</v>
      </c>
      <c r="R790" t="s">
        <v>2163</v>
      </c>
      <c r="T790" t="s">
        <v>1778</v>
      </c>
      <c r="BI790" s="34" t="str">
        <f>HYPERLINK("#일위대가목록!A219","NT205-18 →")</f>
        <v>NT205-18 →</v>
      </c>
    </row>
    <row r="791" spans="1:61" ht="18.399999999999999" customHeight="1" x14ac:dyDescent="0.15">
      <c r="A791" s="2" t="s">
        <v>3215</v>
      </c>
      <c r="B791" s="87" t="s">
        <v>3216</v>
      </c>
      <c r="C791" s="2">
        <v>1</v>
      </c>
      <c r="D791" s="2" t="s">
        <v>1302</v>
      </c>
      <c r="E791" s="27">
        <f t="shared" si="222"/>
        <v>17700</v>
      </c>
      <c r="F791" s="28">
        <f t="shared" si="223"/>
        <v>17700</v>
      </c>
      <c r="G791" s="27">
        <f>G782</f>
        <v>17700</v>
      </c>
      <c r="H791" s="28">
        <f t="shared" si="224"/>
        <v>17700</v>
      </c>
      <c r="I791" s="27">
        <v>0</v>
      </c>
      <c r="J791" s="28"/>
      <c r="K791" s="27">
        <v>0</v>
      </c>
      <c r="L791" s="28"/>
      <c r="M791" s="86" t="s">
        <v>2856</v>
      </c>
      <c r="N791" t="s">
        <v>2856</v>
      </c>
      <c r="P791" t="s">
        <v>1741</v>
      </c>
      <c r="Q791" t="s">
        <v>2856</v>
      </c>
      <c r="R791" t="s">
        <v>1011</v>
      </c>
      <c r="BI791" s="34" t="str">
        <f>HYPERLINK("#자재조서!A126","MTP-039 →")</f>
        <v>MTP-039 →</v>
      </c>
    </row>
    <row r="792" spans="1:61" ht="18.399999999999999" customHeight="1" x14ac:dyDescent="0.15">
      <c r="A792" s="2" t="s">
        <v>2029</v>
      </c>
      <c r="B792" s="87" t="s">
        <v>1936</v>
      </c>
      <c r="C792" s="82" t="s">
        <v>3231</v>
      </c>
      <c r="D792" s="2" t="s">
        <v>1086</v>
      </c>
      <c r="E792" s="27">
        <f t="shared" si="222"/>
        <v>40</v>
      </c>
      <c r="F792" s="28">
        <f t="shared" si="223"/>
        <v>880</v>
      </c>
      <c r="G792" s="27">
        <f>G765</f>
        <v>40</v>
      </c>
      <c r="H792" s="28">
        <f t="shared" si="224"/>
        <v>880</v>
      </c>
      <c r="I792" s="27">
        <v>0</v>
      </c>
      <c r="J792" s="28"/>
      <c r="K792" s="27">
        <v>0</v>
      </c>
      <c r="L792" s="28"/>
      <c r="M792" s="86" t="s">
        <v>2856</v>
      </c>
      <c r="N792" t="s">
        <v>2856</v>
      </c>
      <c r="P792" t="s">
        <v>286</v>
      </c>
      <c r="Q792" t="s">
        <v>2856</v>
      </c>
      <c r="R792" t="s">
        <v>316</v>
      </c>
      <c r="BI792" s="34" t="str">
        <f>HYPERLINK("#자재조서!A131","MTP-121 →")</f>
        <v>MTP-121 →</v>
      </c>
    </row>
    <row r="793" spans="1:61" ht="18.399999999999999" customHeight="1" x14ac:dyDescent="0.15">
      <c r="A793" s="2" t="s">
        <v>694</v>
      </c>
      <c r="B793" s="87" t="s">
        <v>1038</v>
      </c>
      <c r="C793" s="82" t="s">
        <v>3232</v>
      </c>
      <c r="D793" s="2" t="s">
        <v>1086</v>
      </c>
      <c r="E793" s="27">
        <f t="shared" si="222"/>
        <v>150</v>
      </c>
      <c r="F793" s="28">
        <f t="shared" si="223"/>
        <v>720</v>
      </c>
      <c r="G793" s="27">
        <f>G766</f>
        <v>150</v>
      </c>
      <c r="H793" s="28">
        <f t="shared" si="224"/>
        <v>720</v>
      </c>
      <c r="I793" s="27">
        <v>0</v>
      </c>
      <c r="J793" s="28"/>
      <c r="K793" s="27">
        <v>0</v>
      </c>
      <c r="L793" s="28"/>
      <c r="M793" s="86" t="s">
        <v>2856</v>
      </c>
      <c r="N793" t="s">
        <v>2856</v>
      </c>
      <c r="P793" t="s">
        <v>2428</v>
      </c>
      <c r="Q793" t="s">
        <v>2856</v>
      </c>
      <c r="R793" t="s">
        <v>794</v>
      </c>
      <c r="BI793" s="34" t="str">
        <f>HYPERLINK("#자재조서!A130","MTP-110 →")</f>
        <v>MTP-110 →</v>
      </c>
    </row>
    <row r="794" spans="1:61" ht="18.399999999999999" customHeight="1" x14ac:dyDescent="0.15">
      <c r="A794" s="2" t="s">
        <v>1734</v>
      </c>
      <c r="B794" s="87" t="s">
        <v>2741</v>
      </c>
      <c r="C794" s="82" t="s">
        <v>3233</v>
      </c>
      <c r="D794" s="2" t="s">
        <v>1674</v>
      </c>
      <c r="E794" s="27">
        <f t="shared" si="222"/>
        <v>1245</v>
      </c>
      <c r="F794" s="28">
        <f t="shared" si="223"/>
        <v>1008.4</v>
      </c>
      <c r="G794" s="27">
        <f>G767</f>
        <v>1245</v>
      </c>
      <c r="H794" s="28">
        <f t="shared" si="224"/>
        <v>1008.4</v>
      </c>
      <c r="I794" s="27">
        <v>0</v>
      </c>
      <c r="J794" s="28"/>
      <c r="K794" s="27">
        <v>0</v>
      </c>
      <c r="L794" s="28"/>
      <c r="M794" s="86" t="s">
        <v>2856</v>
      </c>
      <c r="N794" t="s">
        <v>2856</v>
      </c>
      <c r="P794" t="s">
        <v>1686</v>
      </c>
      <c r="Q794" t="s">
        <v>2856</v>
      </c>
      <c r="R794" t="s">
        <v>1046</v>
      </c>
      <c r="BI794" s="34" t="str">
        <f>HYPERLINK("#자재조서!A132","MTP-131 →")</f>
        <v>MTP-131 →</v>
      </c>
    </row>
    <row r="795" spans="1:61" ht="18.399999999999999" customHeight="1" x14ac:dyDescent="0.15">
      <c r="A795" s="66" t="s">
        <v>3046</v>
      </c>
      <c r="B795" s="175" t="s">
        <v>3245</v>
      </c>
      <c r="C795" s="63"/>
      <c r="D795" s="63"/>
      <c r="E795" s="64"/>
      <c r="F795" s="65">
        <f t="shared" si="223"/>
        <v>515421</v>
      </c>
      <c r="G795" s="66"/>
      <c r="H795" s="65">
        <f>TRUNC(H788*$B$1158)</f>
        <v>60715</v>
      </c>
      <c r="I795" s="66"/>
      <c r="J795" s="65">
        <f>TRUNC(J788*$B$1158)</f>
        <v>412770</v>
      </c>
      <c r="K795" s="66"/>
      <c r="L795" s="65">
        <f>TRUNC(L788*$B$1158)</f>
        <v>41936</v>
      </c>
      <c r="M795" s="186"/>
      <c r="AA795" s="42"/>
      <c r="AB795" s="8"/>
      <c r="AC795" s="42"/>
      <c r="AD795" s="7"/>
    </row>
    <row r="796" spans="1:61" ht="18.399999999999999" customHeight="1" x14ac:dyDescent="0.15">
      <c r="A796" s="63"/>
      <c r="B796" s="175"/>
      <c r="C796" s="63"/>
      <c r="D796" s="63"/>
      <c r="E796" s="94"/>
      <c r="F796" s="65"/>
      <c r="G796" s="95"/>
      <c r="H796" s="65"/>
      <c r="I796" s="95"/>
      <c r="J796" s="65"/>
      <c r="K796" s="95"/>
      <c r="L796" s="65"/>
      <c r="M796" s="186"/>
      <c r="AA796" s="91"/>
      <c r="AB796" s="92"/>
      <c r="AC796" s="91"/>
      <c r="AD796" s="93"/>
    </row>
    <row r="797" spans="1:61" ht="18.399999999999999" hidden="1" customHeight="1" x14ac:dyDescent="0.15">
      <c r="A797" s="88" t="s">
        <v>1595</v>
      </c>
      <c r="B797" s="177" t="s">
        <v>664</v>
      </c>
      <c r="C797" s="88">
        <v>1</v>
      </c>
      <c r="D797" s="88" t="s">
        <v>556</v>
      </c>
      <c r="E797" s="184"/>
      <c r="F797" s="89">
        <f>H797+J797+L797</f>
        <v>647275</v>
      </c>
      <c r="G797" s="184"/>
      <c r="H797" s="89">
        <f>TRUNC(H798+H799+H800,0)</f>
        <v>528892</v>
      </c>
      <c r="I797" s="184"/>
      <c r="J797" s="89">
        <f>TRUNC(J798+J799+J800,0)</f>
        <v>107465</v>
      </c>
      <c r="K797" s="184"/>
      <c r="L797" s="89">
        <f>TRUNC(L798+L799+L800,0)</f>
        <v>10918</v>
      </c>
      <c r="M797" s="187" t="s">
        <v>2856</v>
      </c>
      <c r="N797" t="s">
        <v>2856</v>
      </c>
      <c r="O797" t="s">
        <v>236</v>
      </c>
    </row>
    <row r="798" spans="1:61" ht="18.399999999999999" hidden="1" customHeight="1" x14ac:dyDescent="0.15">
      <c r="A798" s="2" t="s">
        <v>2794</v>
      </c>
      <c r="B798" s="87" t="s">
        <v>664</v>
      </c>
      <c r="C798" s="2">
        <v>1</v>
      </c>
      <c r="D798" s="2" t="s">
        <v>556</v>
      </c>
      <c r="E798" s="27">
        <f>G798+I798+K798</f>
        <v>500000</v>
      </c>
      <c r="F798" s="28">
        <f>H798+J798+L798</f>
        <v>500000</v>
      </c>
      <c r="G798" s="27">
        <f>자재조서!E14</f>
        <v>500000</v>
      </c>
      <c r="H798" s="28">
        <f>TRUNC(G798*C798,1)</f>
        <v>500000</v>
      </c>
      <c r="I798" s="27">
        <v>0</v>
      </c>
      <c r="J798" s="28"/>
      <c r="K798" s="27">
        <v>0</v>
      </c>
      <c r="L798" s="28"/>
      <c r="M798" s="86" t="s">
        <v>2856</v>
      </c>
      <c r="N798" t="s">
        <v>2856</v>
      </c>
      <c r="P798" t="s">
        <v>334</v>
      </c>
      <c r="Q798" t="s">
        <v>2856</v>
      </c>
      <c r="R798" t="s">
        <v>696</v>
      </c>
      <c r="BI798" s="34" t="str">
        <f>HYPERLINK("#자재조서!A13","M2140015 →")</f>
        <v>M2140015 →</v>
      </c>
    </row>
    <row r="799" spans="1:61" ht="18.399999999999999" hidden="1" customHeight="1" x14ac:dyDescent="0.15">
      <c r="A799" s="2" t="s">
        <v>2173</v>
      </c>
      <c r="B799" s="87" t="s">
        <v>1266</v>
      </c>
      <c r="C799" s="2">
        <v>1</v>
      </c>
      <c r="D799" s="2" t="s">
        <v>556</v>
      </c>
      <c r="E799" s="27">
        <f>G799+I799+K799</f>
        <v>129575</v>
      </c>
      <c r="F799" s="28">
        <f>H799+J799+L799</f>
        <v>129575</v>
      </c>
      <c r="G799" s="27">
        <f>일위대가목록!F225</f>
        <v>11192</v>
      </c>
      <c r="H799" s="28">
        <f>TRUNC(G799*C799,1)</f>
        <v>11192</v>
      </c>
      <c r="I799" s="27">
        <f>일위대가목록!H225</f>
        <v>107465</v>
      </c>
      <c r="J799" s="28">
        <f>TRUNC(I799*C799,1)</f>
        <v>107465</v>
      </c>
      <c r="K799" s="27">
        <f>일위대가목록!J225</f>
        <v>10918</v>
      </c>
      <c r="L799" s="28">
        <f>TRUNC(K799*C799,1)</f>
        <v>10918</v>
      </c>
      <c r="M799" s="86" t="s">
        <v>2856</v>
      </c>
      <c r="N799" t="s">
        <v>2856</v>
      </c>
      <c r="P799" t="s">
        <v>2471</v>
      </c>
      <c r="Q799" t="s">
        <v>2856</v>
      </c>
      <c r="R799" t="s">
        <v>1740</v>
      </c>
      <c r="T799" t="s">
        <v>1778</v>
      </c>
      <c r="BI799" s="34" t="str">
        <f>HYPERLINK("#일위대가목록!A220","NT0763 →")</f>
        <v>NT0763 →</v>
      </c>
    </row>
    <row r="800" spans="1:61" ht="18.399999999999999" hidden="1" customHeight="1" x14ac:dyDescent="0.15">
      <c r="A800" s="2" t="s">
        <v>300</v>
      </c>
      <c r="B800" s="87" t="s">
        <v>1807</v>
      </c>
      <c r="C800" s="2">
        <v>1</v>
      </c>
      <c r="D800" s="2" t="s">
        <v>1302</v>
      </c>
      <c r="E800" s="27">
        <f>G800+I800+K800</f>
        <v>17700</v>
      </c>
      <c r="F800" s="28">
        <f>H800+J800+L800</f>
        <v>17700</v>
      </c>
      <c r="G800" s="27">
        <f>자재조서!E132</f>
        <v>17700</v>
      </c>
      <c r="H800" s="28">
        <f>TRUNC(G800*C800,1)</f>
        <v>17700</v>
      </c>
      <c r="I800" s="27">
        <v>0</v>
      </c>
      <c r="J800" s="28"/>
      <c r="K800" s="27">
        <v>0</v>
      </c>
      <c r="L800" s="28"/>
      <c r="M800" s="86" t="s">
        <v>2856</v>
      </c>
      <c r="N800" t="s">
        <v>2856</v>
      </c>
      <c r="P800" t="s">
        <v>286</v>
      </c>
      <c r="Q800" t="s">
        <v>2856</v>
      </c>
      <c r="R800" t="s">
        <v>1011</v>
      </c>
      <c r="BI800" s="34" t="str">
        <f>HYPERLINK("#자재조서!A126","MTP-039 →")</f>
        <v>MTP-039 →</v>
      </c>
    </row>
    <row r="801" spans="1:61" ht="18.399999999999999" hidden="1" customHeight="1" x14ac:dyDescent="0.15">
      <c r="A801" s="2" t="s">
        <v>261</v>
      </c>
      <c r="B801" s="87" t="s">
        <v>2437</v>
      </c>
      <c r="C801" s="2">
        <v>20</v>
      </c>
      <c r="D801" s="2" t="s">
        <v>1674</v>
      </c>
      <c r="E801" s="27">
        <f>G801+I801+K801</f>
        <v>433</v>
      </c>
      <c r="F801" s="28">
        <f>H801+J801+L801</f>
        <v>8660</v>
      </c>
      <c r="G801" s="27">
        <f>자재조서!E129</f>
        <v>433</v>
      </c>
      <c r="H801" s="28">
        <f>TRUNC(G801*C801,1)</f>
        <v>8660</v>
      </c>
      <c r="I801" s="27">
        <v>0</v>
      </c>
      <c r="J801" s="28"/>
      <c r="K801" s="27">
        <v>0</v>
      </c>
      <c r="L801" s="28"/>
      <c r="M801" s="86" t="s">
        <v>2856</v>
      </c>
      <c r="N801" t="s">
        <v>2856</v>
      </c>
      <c r="P801" t="s">
        <v>2428</v>
      </c>
      <c r="Q801" t="s">
        <v>1839</v>
      </c>
      <c r="R801" t="s">
        <v>1422</v>
      </c>
      <c r="BI801" s="34" t="str">
        <f>HYPERLINK("#자재조서!A123","MTP-010 →")</f>
        <v>MTP-010 →</v>
      </c>
    </row>
    <row r="802" spans="1:61" ht="18.399999999999999" hidden="1" customHeight="1" x14ac:dyDescent="0.15">
      <c r="A802" s="1"/>
      <c r="B802" s="87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87"/>
    </row>
    <row r="803" spans="1:61" ht="18.399999999999999" hidden="1" customHeight="1" x14ac:dyDescent="0.15">
      <c r="A803" s="2" t="s">
        <v>1295</v>
      </c>
      <c r="B803" s="87" t="s">
        <v>2781</v>
      </c>
      <c r="C803" s="2">
        <v>1</v>
      </c>
      <c r="D803" s="2" t="s">
        <v>556</v>
      </c>
      <c r="E803" s="184"/>
      <c r="F803" s="29">
        <f>H803+J803+L803</f>
        <v>211011</v>
      </c>
      <c r="G803" s="184"/>
      <c r="H803" s="29">
        <f>TRUNC(H804+H805+H806,0)</f>
        <v>129400</v>
      </c>
      <c r="I803" s="184"/>
      <c r="J803" s="29">
        <f>TRUNC(J804+J805+J806,0)</f>
        <v>81611</v>
      </c>
      <c r="K803" s="184"/>
      <c r="L803" s="29">
        <f>TRUNC(L804+L805+L806,0)</f>
        <v>0</v>
      </c>
      <c r="M803" s="86" t="s">
        <v>2856</v>
      </c>
      <c r="N803" t="s">
        <v>2856</v>
      </c>
      <c r="O803" t="s">
        <v>85</v>
      </c>
    </row>
    <row r="804" spans="1:61" ht="18.399999999999999" hidden="1" customHeight="1" x14ac:dyDescent="0.15">
      <c r="A804" s="2" t="s">
        <v>2555</v>
      </c>
      <c r="B804" s="87" t="s">
        <v>2781</v>
      </c>
      <c r="C804" s="2">
        <v>1</v>
      </c>
      <c r="D804" s="2" t="s">
        <v>556</v>
      </c>
      <c r="E804" s="27">
        <f>G804+I804+K804</f>
        <v>119000</v>
      </c>
      <c r="F804" s="28">
        <f>H804+J804+L804</f>
        <v>119000</v>
      </c>
      <c r="G804" s="27">
        <f>자재조서!E27</f>
        <v>119000</v>
      </c>
      <c r="H804" s="28">
        <f>TRUNC(G804*C804,1)</f>
        <v>119000</v>
      </c>
      <c r="I804" s="27">
        <v>0</v>
      </c>
      <c r="J804" s="28"/>
      <c r="K804" s="27">
        <v>0</v>
      </c>
      <c r="L804" s="28"/>
      <c r="M804" s="86" t="s">
        <v>2856</v>
      </c>
      <c r="N804" t="s">
        <v>2856</v>
      </c>
      <c r="P804" t="s">
        <v>334</v>
      </c>
      <c r="Q804" t="s">
        <v>2856</v>
      </c>
      <c r="R804" t="s">
        <v>1401</v>
      </c>
      <c r="BI804" s="34" t="str">
        <f>HYPERLINK("#자재조서!A26","M2371008 →")</f>
        <v>M2371008 →</v>
      </c>
    </row>
    <row r="805" spans="1:61" ht="18.399999999999999" hidden="1" customHeight="1" x14ac:dyDescent="0.15">
      <c r="A805" s="2" t="s">
        <v>2173</v>
      </c>
      <c r="B805" s="87" t="s">
        <v>243</v>
      </c>
      <c r="C805" s="2">
        <v>1</v>
      </c>
      <c r="D805" s="2" t="s">
        <v>556</v>
      </c>
      <c r="E805" s="27">
        <f>G805+I805+K805</f>
        <v>81611</v>
      </c>
      <c r="F805" s="28">
        <f>H805+J805+L805</f>
        <v>81611</v>
      </c>
      <c r="G805" s="27">
        <f>일위대가목록!F226</f>
        <v>0</v>
      </c>
      <c r="H805" s="28">
        <f>TRUNC(G805*C805,1)</f>
        <v>0</v>
      </c>
      <c r="I805" s="27">
        <f>일위대가목록!H226</f>
        <v>81611</v>
      </c>
      <c r="J805" s="28">
        <f>TRUNC(I805*C805,1)</f>
        <v>81611</v>
      </c>
      <c r="K805" s="27">
        <f>일위대가목록!J226</f>
        <v>0</v>
      </c>
      <c r="L805" s="28">
        <f>TRUNC(K805*C805,1)</f>
        <v>0</v>
      </c>
      <c r="M805" s="86" t="s">
        <v>2856</v>
      </c>
      <c r="N805" t="s">
        <v>2856</v>
      </c>
      <c r="P805" t="s">
        <v>2471</v>
      </c>
      <c r="Q805" t="s">
        <v>2856</v>
      </c>
      <c r="R805" t="s">
        <v>1833</v>
      </c>
      <c r="T805" t="s">
        <v>1778</v>
      </c>
      <c r="BI805" s="34" t="str">
        <f>HYPERLINK("#일위대가목록!A221","NT0740 →")</f>
        <v>NT0740 →</v>
      </c>
    </row>
    <row r="806" spans="1:61" ht="18.399999999999999" hidden="1" customHeight="1" x14ac:dyDescent="0.15">
      <c r="A806" s="2" t="s">
        <v>792</v>
      </c>
      <c r="B806" s="87" t="s">
        <v>2570</v>
      </c>
      <c r="C806" s="2">
        <v>1</v>
      </c>
      <c r="D806" s="2" t="s">
        <v>1302</v>
      </c>
      <c r="E806" s="27">
        <f>G806+I806+K806</f>
        <v>10400</v>
      </c>
      <c r="F806" s="28">
        <f>H806+J806+L806</f>
        <v>10400</v>
      </c>
      <c r="G806" s="27">
        <f>자재조서!E133</f>
        <v>10400</v>
      </c>
      <c r="H806" s="28">
        <f>TRUNC(G806*C806,1)</f>
        <v>10400</v>
      </c>
      <c r="I806" s="27">
        <v>0</v>
      </c>
      <c r="J806" s="28"/>
      <c r="K806" s="27">
        <v>0</v>
      </c>
      <c r="L806" s="28"/>
      <c r="M806" s="86" t="s">
        <v>2856</v>
      </c>
      <c r="N806" t="s">
        <v>2856</v>
      </c>
      <c r="P806" t="s">
        <v>1741</v>
      </c>
      <c r="Q806" t="s">
        <v>2856</v>
      </c>
      <c r="R806" t="s">
        <v>627</v>
      </c>
      <c r="BI806" s="34" t="str">
        <f>HYPERLINK("#자재조서!A127","MTP-040 →")</f>
        <v>MTP-040 →</v>
      </c>
    </row>
    <row r="807" spans="1:61" ht="18.399999999999999" hidden="1" customHeight="1" x14ac:dyDescent="0.15">
      <c r="A807" s="2" t="s">
        <v>261</v>
      </c>
      <c r="B807" s="87" t="s">
        <v>2437</v>
      </c>
      <c r="C807" s="2">
        <v>10</v>
      </c>
      <c r="D807" s="2" t="s">
        <v>1674</v>
      </c>
      <c r="E807" s="27">
        <f>G807+I807+K807</f>
        <v>433</v>
      </c>
      <c r="F807" s="28">
        <f>H807+J807+L807</f>
        <v>4330</v>
      </c>
      <c r="G807" s="27">
        <f>자재조서!E129</f>
        <v>433</v>
      </c>
      <c r="H807" s="28">
        <f>TRUNC(G807*C807,1)</f>
        <v>4330</v>
      </c>
      <c r="I807" s="27">
        <v>0</v>
      </c>
      <c r="J807" s="28"/>
      <c r="K807" s="27">
        <v>0</v>
      </c>
      <c r="L807" s="28"/>
      <c r="M807" s="86" t="s">
        <v>1601</v>
      </c>
      <c r="N807" t="s">
        <v>2856</v>
      </c>
      <c r="P807" t="s">
        <v>1036</v>
      </c>
      <c r="Q807" t="s">
        <v>1839</v>
      </c>
      <c r="R807" t="s">
        <v>1422</v>
      </c>
      <c r="W807" t="s">
        <v>1601</v>
      </c>
      <c r="BI807" s="34" t="str">
        <f>HYPERLINK("#자재조서!A123","MTP-010 →")</f>
        <v>MTP-010 →</v>
      </c>
    </row>
    <row r="808" spans="1:61" ht="18.399999999999999" hidden="1" customHeight="1" x14ac:dyDescent="0.15">
      <c r="A808" s="1"/>
      <c r="B808" s="87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87"/>
    </row>
    <row r="809" spans="1:61" ht="18.399999999999999" hidden="1" customHeight="1" x14ac:dyDescent="0.15">
      <c r="A809" s="2" t="s">
        <v>1534</v>
      </c>
      <c r="B809" s="87" t="s">
        <v>2264</v>
      </c>
      <c r="C809" s="2">
        <v>1</v>
      </c>
      <c r="D809" s="2" t="s">
        <v>556</v>
      </c>
      <c r="E809" s="184"/>
      <c r="F809" s="29">
        <f>H809+J809+L809</f>
        <v>2575854</v>
      </c>
      <c r="G809" s="184"/>
      <c r="H809" s="29">
        <f>TRUNC(H810+H811+H812,0)</f>
        <v>2254845</v>
      </c>
      <c r="I809" s="184"/>
      <c r="J809" s="29">
        <f>TRUNC(J810+J811+J812,0)</f>
        <v>249225</v>
      </c>
      <c r="K809" s="184"/>
      <c r="L809" s="29">
        <f>TRUNC(L810+L811+L812,0)</f>
        <v>71784</v>
      </c>
      <c r="M809" s="86" t="s">
        <v>2856</v>
      </c>
      <c r="N809" t="s">
        <v>2856</v>
      </c>
      <c r="O809" t="s">
        <v>1551</v>
      </c>
    </row>
    <row r="810" spans="1:61" ht="18.399999999999999" hidden="1" customHeight="1" x14ac:dyDescent="0.15">
      <c r="A810" s="2" t="s">
        <v>612</v>
      </c>
      <c r="B810" s="87" t="s">
        <v>2264</v>
      </c>
      <c r="C810" s="2">
        <v>1</v>
      </c>
      <c r="D810" s="2" t="s">
        <v>556</v>
      </c>
      <c r="E810" s="27">
        <f>G810+I810+K810</f>
        <v>2200000</v>
      </c>
      <c r="F810" s="28">
        <f>H810+J810+L810</f>
        <v>2200000</v>
      </c>
      <c r="G810" s="27">
        <f>자재조서!E15</f>
        <v>2200000</v>
      </c>
      <c r="H810" s="28">
        <f>TRUNC(G810*C810,1)</f>
        <v>2200000</v>
      </c>
      <c r="I810" s="27">
        <v>0</v>
      </c>
      <c r="J810" s="28"/>
      <c r="K810" s="27">
        <v>0</v>
      </c>
      <c r="L810" s="28"/>
      <c r="M810" s="86" t="s">
        <v>2856</v>
      </c>
      <c r="N810" t="s">
        <v>2728</v>
      </c>
      <c r="P810" t="s">
        <v>334</v>
      </c>
      <c r="Q810" t="s">
        <v>2856</v>
      </c>
      <c r="R810" t="s">
        <v>8</v>
      </c>
      <c r="BI810" s="34" t="str">
        <f>HYPERLINK("#자재조서!A14","M2145030 →")</f>
        <v>M2145030 →</v>
      </c>
    </row>
    <row r="811" spans="1:61" ht="18.399999999999999" hidden="1" customHeight="1" x14ac:dyDescent="0.15">
      <c r="A811" s="2" t="s">
        <v>2173</v>
      </c>
      <c r="B811" s="87" t="s">
        <v>426</v>
      </c>
      <c r="C811" s="2">
        <v>1</v>
      </c>
      <c r="D811" s="2" t="s">
        <v>556</v>
      </c>
      <c r="E811" s="27">
        <f>G811+I811+K811</f>
        <v>351154</v>
      </c>
      <c r="F811" s="28">
        <f>H811+J811+L811</f>
        <v>351154</v>
      </c>
      <c r="G811" s="27">
        <f>일위대가목록!F227</f>
        <v>30145</v>
      </c>
      <c r="H811" s="28">
        <f>TRUNC(G811*C811,1)</f>
        <v>30145</v>
      </c>
      <c r="I811" s="27">
        <f>일위대가목록!H227</f>
        <v>249225</v>
      </c>
      <c r="J811" s="28">
        <f>TRUNC(I811*C811,1)</f>
        <v>249225</v>
      </c>
      <c r="K811" s="27">
        <f>일위대가목록!J227</f>
        <v>71784</v>
      </c>
      <c r="L811" s="28">
        <f>TRUNC(K811*C811,1)</f>
        <v>71784</v>
      </c>
      <c r="M811" s="86" t="s">
        <v>2856</v>
      </c>
      <c r="N811" t="s">
        <v>2856</v>
      </c>
      <c r="P811" t="s">
        <v>2471</v>
      </c>
      <c r="Q811" t="s">
        <v>2856</v>
      </c>
      <c r="R811" t="s">
        <v>1750</v>
      </c>
      <c r="T811" t="s">
        <v>1778</v>
      </c>
      <c r="BI811" s="34" t="str">
        <f>HYPERLINK("#일위대가목록!A222","NT0800 →")</f>
        <v>NT0800 →</v>
      </c>
    </row>
    <row r="812" spans="1:61" ht="18.399999999999999" hidden="1" customHeight="1" x14ac:dyDescent="0.15">
      <c r="A812" s="2" t="s">
        <v>834</v>
      </c>
      <c r="B812" s="87" t="s">
        <v>816</v>
      </c>
      <c r="C812" s="2">
        <v>1</v>
      </c>
      <c r="D812" s="2" t="s">
        <v>1302</v>
      </c>
      <c r="E812" s="27">
        <f>G812+I812+K812</f>
        <v>24700</v>
      </c>
      <c r="F812" s="28">
        <f>H812+J812+L812</f>
        <v>24700</v>
      </c>
      <c r="G812" s="27">
        <f>자재조서!E131</f>
        <v>24700</v>
      </c>
      <c r="H812" s="28">
        <f>TRUNC(G812*C812,1)</f>
        <v>24700</v>
      </c>
      <c r="I812" s="27">
        <v>0</v>
      </c>
      <c r="J812" s="28"/>
      <c r="K812" s="27">
        <v>0</v>
      </c>
      <c r="L812" s="28"/>
      <c r="M812" s="86" t="s">
        <v>2856</v>
      </c>
      <c r="N812" t="s">
        <v>2856</v>
      </c>
      <c r="P812" t="s">
        <v>1741</v>
      </c>
      <c r="Q812" t="s">
        <v>2856</v>
      </c>
      <c r="R812" t="s">
        <v>2314</v>
      </c>
      <c r="BI812" s="34" t="str">
        <f>HYPERLINK("#자재조서!A125","MTP-038 →")</f>
        <v>MTP-038 →</v>
      </c>
    </row>
    <row r="813" spans="1:61" ht="18.399999999999999" hidden="1" customHeight="1" x14ac:dyDescent="0.15">
      <c r="A813" s="2" t="s">
        <v>261</v>
      </c>
      <c r="B813" s="87" t="s">
        <v>2437</v>
      </c>
      <c r="C813" s="2">
        <v>30</v>
      </c>
      <c r="D813" s="2" t="s">
        <v>1674</v>
      </c>
      <c r="E813" s="27">
        <f>G813+I813+K813</f>
        <v>433</v>
      </c>
      <c r="F813" s="28">
        <f>H813+J813+L813</f>
        <v>12990</v>
      </c>
      <c r="G813" s="27">
        <f>자재조서!E129</f>
        <v>433</v>
      </c>
      <c r="H813" s="28">
        <f>TRUNC(G813*C813,1)</f>
        <v>12990</v>
      </c>
      <c r="I813" s="27">
        <v>0</v>
      </c>
      <c r="J813" s="28"/>
      <c r="K813" s="27">
        <v>0</v>
      </c>
      <c r="L813" s="28"/>
      <c r="M813" s="86" t="s">
        <v>1601</v>
      </c>
      <c r="N813" t="s">
        <v>2856</v>
      </c>
      <c r="P813" t="s">
        <v>1036</v>
      </c>
      <c r="Q813" t="s">
        <v>1839</v>
      </c>
      <c r="R813" t="s">
        <v>1422</v>
      </c>
      <c r="W813" t="s">
        <v>1601</v>
      </c>
      <c r="BI813" s="34" t="str">
        <f>HYPERLINK("#자재조서!A123","MTP-010 →")</f>
        <v>MTP-010 →</v>
      </c>
    </row>
    <row r="814" spans="1:61" ht="18.399999999999999" hidden="1" customHeight="1" x14ac:dyDescent="0.15">
      <c r="A814" s="1"/>
      <c r="B814" s="87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87"/>
    </row>
    <row r="815" spans="1:61" ht="18.399999999999999" hidden="1" customHeight="1" x14ac:dyDescent="0.15">
      <c r="A815" s="2" t="s">
        <v>2497</v>
      </c>
      <c r="B815" s="87" t="s">
        <v>28</v>
      </c>
      <c r="C815" s="2">
        <v>1</v>
      </c>
      <c r="D815" s="2" t="s">
        <v>556</v>
      </c>
      <c r="E815" s="184"/>
      <c r="F815" s="29">
        <f>H815+J815+L815</f>
        <v>295864</v>
      </c>
      <c r="G815" s="184"/>
      <c r="H815" s="29">
        <f>TRUNC(H816+H817+H818,0)</f>
        <v>212300</v>
      </c>
      <c r="I815" s="184"/>
      <c r="J815" s="29">
        <f>TRUNC(J816+J817+J818,0)</f>
        <v>75857</v>
      </c>
      <c r="K815" s="184"/>
      <c r="L815" s="29">
        <f>TRUNC(L816+L817+L818,0)</f>
        <v>7707</v>
      </c>
      <c r="M815" s="86" t="s">
        <v>2856</v>
      </c>
      <c r="N815" t="s">
        <v>2856</v>
      </c>
      <c r="O815" t="s">
        <v>472</v>
      </c>
    </row>
    <row r="816" spans="1:61" ht="18.399999999999999" hidden="1" customHeight="1" x14ac:dyDescent="0.15">
      <c r="A816" s="2" t="s">
        <v>274</v>
      </c>
      <c r="B816" s="87" t="s">
        <v>28</v>
      </c>
      <c r="C816" s="2">
        <v>1</v>
      </c>
      <c r="D816" s="2" t="s">
        <v>556</v>
      </c>
      <c r="E816" s="27">
        <f>G816+I816+K816</f>
        <v>194000</v>
      </c>
      <c r="F816" s="28">
        <f>H816+J816+L816</f>
        <v>194000</v>
      </c>
      <c r="G816" s="27">
        <f>자재조서!E13</f>
        <v>194000</v>
      </c>
      <c r="H816" s="28">
        <f>TRUNC(G816*C816,1)</f>
        <v>194000</v>
      </c>
      <c r="I816" s="27">
        <v>0</v>
      </c>
      <c r="J816" s="28"/>
      <c r="K816" s="27">
        <v>0</v>
      </c>
      <c r="L816" s="28"/>
      <c r="M816" s="86" t="s">
        <v>2856</v>
      </c>
      <c r="N816" t="s">
        <v>2856</v>
      </c>
      <c r="P816" t="s">
        <v>334</v>
      </c>
      <c r="Q816" t="s">
        <v>2856</v>
      </c>
      <c r="R816" t="s">
        <v>1676</v>
      </c>
      <c r="BI816" s="34" t="str">
        <f>HYPERLINK("#자재조서!A12","M2114010 →")</f>
        <v>M2114010 →</v>
      </c>
    </row>
    <row r="817" spans="1:61" ht="18.399999999999999" hidden="1" customHeight="1" x14ac:dyDescent="0.15">
      <c r="A817" s="2" t="s">
        <v>2173</v>
      </c>
      <c r="B817" s="87" t="s">
        <v>2254</v>
      </c>
      <c r="C817" s="2">
        <v>1</v>
      </c>
      <c r="D817" s="2" t="s">
        <v>556</v>
      </c>
      <c r="E817" s="27">
        <f>G817+I817+K817</f>
        <v>91464</v>
      </c>
      <c r="F817" s="28">
        <f>H817+J817+L817</f>
        <v>91464</v>
      </c>
      <c r="G817" s="27">
        <f>일위대가목록!F228</f>
        <v>7900</v>
      </c>
      <c r="H817" s="28">
        <f>TRUNC(G817*C817,1)</f>
        <v>7900</v>
      </c>
      <c r="I817" s="27">
        <f>일위대가목록!H228</f>
        <v>75857</v>
      </c>
      <c r="J817" s="28">
        <f>TRUNC(I817*C817,1)</f>
        <v>75857</v>
      </c>
      <c r="K817" s="27">
        <f>일위대가목록!J228</f>
        <v>7707</v>
      </c>
      <c r="L817" s="28">
        <f>TRUNC(K817*C817,1)</f>
        <v>7707</v>
      </c>
      <c r="M817" s="86" t="s">
        <v>2856</v>
      </c>
      <c r="N817" t="s">
        <v>2856</v>
      </c>
      <c r="P817" t="s">
        <v>2471</v>
      </c>
      <c r="Q817" t="s">
        <v>2856</v>
      </c>
      <c r="R817" t="s">
        <v>2569</v>
      </c>
      <c r="T817" t="s">
        <v>1778</v>
      </c>
      <c r="BI817" s="34" t="str">
        <f>HYPERLINK("#일위대가목록!A223","NT0750 →")</f>
        <v>NT0750 →</v>
      </c>
    </row>
    <row r="818" spans="1:61" ht="18.399999999999999" hidden="1" customHeight="1" x14ac:dyDescent="0.15">
      <c r="A818" s="2" t="s">
        <v>792</v>
      </c>
      <c r="B818" s="87" t="s">
        <v>2570</v>
      </c>
      <c r="C818" s="2">
        <v>1</v>
      </c>
      <c r="D818" s="2" t="s">
        <v>1302</v>
      </c>
      <c r="E818" s="27">
        <f>G818+I818+K818</f>
        <v>10400</v>
      </c>
      <c r="F818" s="28">
        <f>H818+J818+L818</f>
        <v>10400</v>
      </c>
      <c r="G818" s="27">
        <f>자재조서!E133</f>
        <v>10400</v>
      </c>
      <c r="H818" s="28">
        <f>TRUNC(G818*C818,1)</f>
        <v>10400</v>
      </c>
      <c r="I818" s="27">
        <v>0</v>
      </c>
      <c r="J818" s="28"/>
      <c r="K818" s="27">
        <v>0</v>
      </c>
      <c r="L818" s="28"/>
      <c r="M818" s="86" t="s">
        <v>2856</v>
      </c>
      <c r="N818" t="s">
        <v>2856</v>
      </c>
      <c r="P818" t="s">
        <v>1741</v>
      </c>
      <c r="Q818" t="s">
        <v>2856</v>
      </c>
      <c r="R818" t="s">
        <v>627</v>
      </c>
      <c r="BI818" s="34" t="str">
        <f>HYPERLINK("#자재조서!A127","MTP-040 →")</f>
        <v>MTP-040 →</v>
      </c>
    </row>
    <row r="819" spans="1:61" ht="18.399999999999999" hidden="1" customHeight="1" x14ac:dyDescent="0.15">
      <c r="A819" s="2" t="s">
        <v>261</v>
      </c>
      <c r="B819" s="87" t="s">
        <v>2437</v>
      </c>
      <c r="C819" s="2">
        <v>15</v>
      </c>
      <c r="D819" s="2" t="s">
        <v>1674</v>
      </c>
      <c r="E819" s="27">
        <f>G819+I819+K819</f>
        <v>433</v>
      </c>
      <c r="F819" s="28">
        <f>H819+J819+L819</f>
        <v>6495</v>
      </c>
      <c r="G819" s="27">
        <f>자재조서!E129</f>
        <v>433</v>
      </c>
      <c r="H819" s="28">
        <f>TRUNC(G819*C819,1)</f>
        <v>6495</v>
      </c>
      <c r="I819" s="27">
        <v>0</v>
      </c>
      <c r="J819" s="28"/>
      <c r="K819" s="27">
        <v>0</v>
      </c>
      <c r="L819" s="28"/>
      <c r="M819" s="86" t="s">
        <v>1601</v>
      </c>
      <c r="N819" t="s">
        <v>2856</v>
      </c>
      <c r="P819" t="s">
        <v>1036</v>
      </c>
      <c r="Q819" t="s">
        <v>1839</v>
      </c>
      <c r="R819" t="s">
        <v>1422</v>
      </c>
      <c r="W819" t="s">
        <v>1601</v>
      </c>
      <c r="BI819" s="34" t="str">
        <f>HYPERLINK("#자재조서!A123","MTP-010 →")</f>
        <v>MTP-010 →</v>
      </c>
    </row>
    <row r="820" spans="1:61" ht="18.399999999999999" hidden="1" customHeight="1" x14ac:dyDescent="0.15">
      <c r="A820" s="1"/>
      <c r="B820" s="87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87"/>
    </row>
    <row r="821" spans="1:61" ht="18.399999999999999" hidden="1" customHeight="1" x14ac:dyDescent="0.15">
      <c r="A821" s="2" t="s">
        <v>1562</v>
      </c>
      <c r="B821" s="87" t="s">
        <v>28</v>
      </c>
      <c r="C821" s="2">
        <v>1</v>
      </c>
      <c r="D821" s="2" t="s">
        <v>556</v>
      </c>
      <c r="E821" s="184"/>
      <c r="F821" s="29">
        <f>H821+J821+L821</f>
        <v>267464</v>
      </c>
      <c r="G821" s="184"/>
      <c r="H821" s="29">
        <f>TRUNC(H822+H823+H824,0)</f>
        <v>183900</v>
      </c>
      <c r="I821" s="184"/>
      <c r="J821" s="29">
        <f>TRUNC(J822+J823+J824,0)</f>
        <v>75857</v>
      </c>
      <c r="K821" s="184"/>
      <c r="L821" s="29">
        <f>TRUNC(L822+L823+L824,0)</f>
        <v>7707</v>
      </c>
      <c r="M821" s="86" t="s">
        <v>2856</v>
      </c>
      <c r="N821" t="s">
        <v>2856</v>
      </c>
      <c r="O821" t="s">
        <v>734</v>
      </c>
    </row>
    <row r="822" spans="1:61" ht="18.399999999999999" hidden="1" customHeight="1" x14ac:dyDescent="0.15">
      <c r="A822" s="2" t="s">
        <v>1606</v>
      </c>
      <c r="B822" s="87" t="s">
        <v>28</v>
      </c>
      <c r="C822" s="2">
        <v>1</v>
      </c>
      <c r="D822" s="2" t="s">
        <v>556</v>
      </c>
      <c r="E822" s="27">
        <f>G822+I822+K822</f>
        <v>165600</v>
      </c>
      <c r="F822" s="28">
        <f>H822+J822+L822</f>
        <v>165600</v>
      </c>
      <c r="G822" s="27">
        <f>자재조서!E28</f>
        <v>165600</v>
      </c>
      <c r="H822" s="28">
        <f>TRUNC(G822*C822,1)</f>
        <v>165600</v>
      </c>
      <c r="I822" s="27">
        <v>0</v>
      </c>
      <c r="J822" s="28"/>
      <c r="K822" s="27">
        <v>0</v>
      </c>
      <c r="L822" s="28"/>
      <c r="M822" s="86" t="s">
        <v>2856</v>
      </c>
      <c r="N822" t="s">
        <v>2856</v>
      </c>
      <c r="P822" t="s">
        <v>334</v>
      </c>
      <c r="Q822" t="s">
        <v>2856</v>
      </c>
      <c r="R822" t="s">
        <v>1486</v>
      </c>
      <c r="BI822" s="34" t="str">
        <f>HYPERLINK("#자재조서!A27","M2373010 →")</f>
        <v>M2373010 →</v>
      </c>
    </row>
    <row r="823" spans="1:61" ht="18.399999999999999" hidden="1" customHeight="1" x14ac:dyDescent="0.15">
      <c r="A823" s="2" t="s">
        <v>2173</v>
      </c>
      <c r="B823" s="87" t="s">
        <v>2254</v>
      </c>
      <c r="C823" s="2">
        <v>1</v>
      </c>
      <c r="D823" s="2" t="s">
        <v>556</v>
      </c>
      <c r="E823" s="27">
        <f>G823+I823+K823</f>
        <v>91464</v>
      </c>
      <c r="F823" s="28">
        <f>H823+J823+L823</f>
        <v>91464</v>
      </c>
      <c r="G823" s="27">
        <f>일위대가목록!F228</f>
        <v>7900</v>
      </c>
      <c r="H823" s="28">
        <f>TRUNC(G823*C823,1)</f>
        <v>7900</v>
      </c>
      <c r="I823" s="27">
        <f>일위대가목록!H228</f>
        <v>75857</v>
      </c>
      <c r="J823" s="28">
        <f>TRUNC(I823*C823,1)</f>
        <v>75857</v>
      </c>
      <c r="K823" s="27">
        <f>일위대가목록!J228</f>
        <v>7707</v>
      </c>
      <c r="L823" s="28">
        <f>TRUNC(K823*C823,1)</f>
        <v>7707</v>
      </c>
      <c r="M823" s="86" t="s">
        <v>2856</v>
      </c>
      <c r="N823" t="s">
        <v>2856</v>
      </c>
      <c r="P823" t="s">
        <v>2471</v>
      </c>
      <c r="Q823" t="s">
        <v>2856</v>
      </c>
      <c r="R823" t="s">
        <v>2569</v>
      </c>
      <c r="T823" t="s">
        <v>1778</v>
      </c>
      <c r="BI823" s="34" t="str">
        <f>HYPERLINK("#일위대가목록!A223","NT0750 →")</f>
        <v>NT0750 →</v>
      </c>
    </row>
    <row r="824" spans="1:61" ht="18.399999999999999" hidden="1" customHeight="1" x14ac:dyDescent="0.15">
      <c r="A824" s="2" t="s">
        <v>792</v>
      </c>
      <c r="B824" s="87" t="s">
        <v>2570</v>
      </c>
      <c r="C824" s="2">
        <v>1</v>
      </c>
      <c r="D824" s="2" t="s">
        <v>1302</v>
      </c>
      <c r="E824" s="27">
        <f>G824+I824+K824</f>
        <v>10400</v>
      </c>
      <c r="F824" s="28">
        <f>H824+J824+L824</f>
        <v>10400</v>
      </c>
      <c r="G824" s="27">
        <f>자재조서!E133</f>
        <v>10400</v>
      </c>
      <c r="H824" s="28">
        <f>TRUNC(G824*C824,1)</f>
        <v>10400</v>
      </c>
      <c r="I824" s="27">
        <v>0</v>
      </c>
      <c r="J824" s="28"/>
      <c r="K824" s="27">
        <v>0</v>
      </c>
      <c r="L824" s="28"/>
      <c r="M824" s="86" t="s">
        <v>2856</v>
      </c>
      <c r="N824" t="s">
        <v>2856</v>
      </c>
      <c r="P824" t="s">
        <v>1741</v>
      </c>
      <c r="Q824" t="s">
        <v>2856</v>
      </c>
      <c r="R824" t="s">
        <v>627</v>
      </c>
      <c r="BI824" s="34" t="str">
        <f>HYPERLINK("#자재조서!A127","MTP-040 →")</f>
        <v>MTP-040 →</v>
      </c>
    </row>
    <row r="825" spans="1:61" ht="18.399999999999999" hidden="1" customHeight="1" x14ac:dyDescent="0.15">
      <c r="A825" s="2" t="s">
        <v>261</v>
      </c>
      <c r="B825" s="87" t="s">
        <v>2437</v>
      </c>
      <c r="C825" s="2">
        <v>15</v>
      </c>
      <c r="D825" s="2" t="s">
        <v>1674</v>
      </c>
      <c r="E825" s="27">
        <f>G825+I825+K825</f>
        <v>433</v>
      </c>
      <c r="F825" s="28">
        <f>H825+J825+L825</f>
        <v>6495</v>
      </c>
      <c r="G825" s="27">
        <f>자재조서!E129</f>
        <v>433</v>
      </c>
      <c r="H825" s="28">
        <f>TRUNC(G825*C825,1)</f>
        <v>6495</v>
      </c>
      <c r="I825" s="27">
        <v>0</v>
      </c>
      <c r="J825" s="28"/>
      <c r="K825" s="27">
        <v>0</v>
      </c>
      <c r="L825" s="28"/>
      <c r="M825" s="86" t="s">
        <v>1601</v>
      </c>
      <c r="N825" t="s">
        <v>2856</v>
      </c>
      <c r="P825" t="s">
        <v>1036</v>
      </c>
      <c r="Q825" t="s">
        <v>1839</v>
      </c>
      <c r="R825" t="s">
        <v>1422</v>
      </c>
      <c r="W825" t="s">
        <v>1601</v>
      </c>
      <c r="BI825" s="34" t="str">
        <f>HYPERLINK("#자재조서!A123","MTP-010 →")</f>
        <v>MTP-010 →</v>
      </c>
    </row>
    <row r="826" spans="1:61" ht="18.399999999999999" hidden="1" customHeight="1" x14ac:dyDescent="0.15">
      <c r="A826" s="1"/>
      <c r="B826" s="87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87"/>
    </row>
    <row r="827" spans="1:61" ht="18.399999999999999" hidden="1" customHeight="1" x14ac:dyDescent="0.15">
      <c r="A827" s="2" t="s">
        <v>1452</v>
      </c>
      <c r="B827" s="87" t="s">
        <v>494</v>
      </c>
      <c r="C827" s="2">
        <v>1</v>
      </c>
      <c r="D827" s="2" t="s">
        <v>556</v>
      </c>
      <c r="E827" s="184"/>
      <c r="F827" s="29">
        <f>H827+J827+L827</f>
        <v>489975</v>
      </c>
      <c r="G827" s="184"/>
      <c r="H827" s="29">
        <f>TRUNC(H828+H829+H830,0)</f>
        <v>371592</v>
      </c>
      <c r="I827" s="184"/>
      <c r="J827" s="29">
        <f>TRUNC(J828+J829+J830,0)</f>
        <v>107465</v>
      </c>
      <c r="K827" s="184"/>
      <c r="L827" s="29">
        <f>TRUNC(L828+L829+L830,0)</f>
        <v>10918</v>
      </c>
      <c r="M827" s="86" t="s">
        <v>2856</v>
      </c>
      <c r="N827" t="s">
        <v>2856</v>
      </c>
      <c r="O827" t="s">
        <v>2082</v>
      </c>
    </row>
    <row r="828" spans="1:61" ht="18.399999999999999" hidden="1" customHeight="1" x14ac:dyDescent="0.15">
      <c r="A828" s="2" t="s">
        <v>2597</v>
      </c>
      <c r="B828" s="87" t="s">
        <v>494</v>
      </c>
      <c r="C828" s="2">
        <v>1</v>
      </c>
      <c r="D828" s="2" t="s">
        <v>556</v>
      </c>
      <c r="E828" s="27">
        <f>G828+I828+K828</f>
        <v>350000</v>
      </c>
      <c r="F828" s="28">
        <f>H828+J828+L828</f>
        <v>350000</v>
      </c>
      <c r="G828" s="27">
        <f>자재조서!E29</f>
        <v>350000</v>
      </c>
      <c r="H828" s="28">
        <f>TRUNC(G828*C828,1)</f>
        <v>350000</v>
      </c>
      <c r="I828" s="27">
        <v>0</v>
      </c>
      <c r="J828" s="28"/>
      <c r="K828" s="27">
        <v>0</v>
      </c>
      <c r="L828" s="28"/>
      <c r="M828" s="86" t="s">
        <v>2856</v>
      </c>
      <c r="N828" t="s">
        <v>2856</v>
      </c>
      <c r="P828" t="s">
        <v>334</v>
      </c>
      <c r="Q828" t="s">
        <v>2856</v>
      </c>
      <c r="R828" t="s">
        <v>301</v>
      </c>
      <c r="BI828" s="34" t="str">
        <f>HYPERLINK("#자재조서!A28","M2373612 →")</f>
        <v>M2373612 →</v>
      </c>
    </row>
    <row r="829" spans="1:61" ht="18.399999999999999" hidden="1" customHeight="1" x14ac:dyDescent="0.15">
      <c r="A829" s="2" t="s">
        <v>2173</v>
      </c>
      <c r="B829" s="87" t="s">
        <v>1266</v>
      </c>
      <c r="C829" s="2">
        <v>1</v>
      </c>
      <c r="D829" s="2" t="s">
        <v>556</v>
      </c>
      <c r="E829" s="27">
        <f>G829+I829+K829</f>
        <v>129575</v>
      </c>
      <c r="F829" s="28">
        <f>H829+J829+L829</f>
        <v>129575</v>
      </c>
      <c r="G829" s="27">
        <f>일위대가목록!F225</f>
        <v>11192</v>
      </c>
      <c r="H829" s="28">
        <f>TRUNC(G829*C829,1)</f>
        <v>11192</v>
      </c>
      <c r="I829" s="27">
        <f>일위대가목록!H225</f>
        <v>107465</v>
      </c>
      <c r="J829" s="28">
        <f>TRUNC(I829*C829,1)</f>
        <v>107465</v>
      </c>
      <c r="K829" s="27">
        <f>일위대가목록!J225</f>
        <v>10918</v>
      </c>
      <c r="L829" s="28">
        <f>TRUNC(K829*C829,1)</f>
        <v>10918</v>
      </c>
      <c r="M829" s="86" t="s">
        <v>2856</v>
      </c>
      <c r="N829" t="s">
        <v>2856</v>
      </c>
      <c r="P829" t="s">
        <v>2471</v>
      </c>
      <c r="Q829" t="s">
        <v>2856</v>
      </c>
      <c r="R829" t="s">
        <v>1740</v>
      </c>
      <c r="T829" t="s">
        <v>1778</v>
      </c>
      <c r="BI829" s="34" t="str">
        <f>HYPERLINK("#일위대가목록!A220","NT0763 →")</f>
        <v>NT0763 →</v>
      </c>
    </row>
    <row r="830" spans="1:61" ht="18.399999999999999" hidden="1" customHeight="1" x14ac:dyDescent="0.15">
      <c r="A830" s="2" t="s">
        <v>792</v>
      </c>
      <c r="B830" s="87" t="s">
        <v>2570</v>
      </c>
      <c r="C830" s="2">
        <v>1</v>
      </c>
      <c r="D830" s="2" t="s">
        <v>1302</v>
      </c>
      <c r="E830" s="27">
        <f>G830+I830+K830</f>
        <v>10400</v>
      </c>
      <c r="F830" s="28">
        <f>H830+J830+L830</f>
        <v>10400</v>
      </c>
      <c r="G830" s="27">
        <f>자재조서!E133</f>
        <v>10400</v>
      </c>
      <c r="H830" s="28">
        <f>TRUNC(G830*C830,1)</f>
        <v>10400</v>
      </c>
      <c r="I830" s="27">
        <v>0</v>
      </c>
      <c r="J830" s="28"/>
      <c r="K830" s="27">
        <v>0</v>
      </c>
      <c r="L830" s="28"/>
      <c r="M830" s="86" t="s">
        <v>2856</v>
      </c>
      <c r="N830" t="s">
        <v>2856</v>
      </c>
      <c r="P830" t="s">
        <v>1741</v>
      </c>
      <c r="Q830" t="s">
        <v>2856</v>
      </c>
      <c r="R830" t="s">
        <v>627</v>
      </c>
      <c r="BI830" s="34" t="str">
        <f>HYPERLINK("#자재조서!A127","MTP-040 →")</f>
        <v>MTP-040 →</v>
      </c>
    </row>
    <row r="831" spans="1:61" ht="18.399999999999999" hidden="1" customHeight="1" x14ac:dyDescent="0.15">
      <c r="A831" s="2" t="s">
        <v>261</v>
      </c>
      <c r="B831" s="87" t="s">
        <v>2437</v>
      </c>
      <c r="C831" s="2">
        <v>15</v>
      </c>
      <c r="D831" s="2" t="s">
        <v>1674</v>
      </c>
      <c r="E831" s="27">
        <f>G831+I831+K831</f>
        <v>433</v>
      </c>
      <c r="F831" s="28">
        <f>H831+J831+L831</f>
        <v>6495</v>
      </c>
      <c r="G831" s="27">
        <f>자재조서!E129</f>
        <v>433</v>
      </c>
      <c r="H831" s="28">
        <f>TRUNC(G831*C831,1)</f>
        <v>6495</v>
      </c>
      <c r="I831" s="27">
        <v>0</v>
      </c>
      <c r="J831" s="28"/>
      <c r="K831" s="27">
        <v>0</v>
      </c>
      <c r="L831" s="28"/>
      <c r="M831" s="86" t="s">
        <v>1601</v>
      </c>
      <c r="N831" t="s">
        <v>2856</v>
      </c>
      <c r="P831" t="s">
        <v>1036</v>
      </c>
      <c r="Q831" t="s">
        <v>1839</v>
      </c>
      <c r="R831" t="s">
        <v>1422</v>
      </c>
      <c r="W831" t="s">
        <v>1601</v>
      </c>
      <c r="BI831" s="34" t="str">
        <f>HYPERLINK("#자재조서!A123","MTP-010 →")</f>
        <v>MTP-010 →</v>
      </c>
    </row>
    <row r="832" spans="1:61" ht="18.399999999999999" hidden="1" customHeight="1" x14ac:dyDescent="0.15">
      <c r="A832" s="1"/>
      <c r="B832" s="87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87"/>
    </row>
    <row r="833" spans="1:61" ht="18.399999999999999" hidden="1" customHeight="1" x14ac:dyDescent="0.15">
      <c r="A833" s="2" t="s">
        <v>106</v>
      </c>
      <c r="B833" s="87" t="s">
        <v>1567</v>
      </c>
      <c r="C833" s="2">
        <v>1</v>
      </c>
      <c r="D833" s="2" t="s">
        <v>556</v>
      </c>
      <c r="E833" s="184"/>
      <c r="F833" s="29">
        <f>H833+J833+L833</f>
        <v>697275</v>
      </c>
      <c r="G833" s="184"/>
      <c r="H833" s="29">
        <f>TRUNC(H834+H835+H836,0)</f>
        <v>578892</v>
      </c>
      <c r="I833" s="184"/>
      <c r="J833" s="29">
        <f>TRUNC(J834+J835+J836,0)</f>
        <v>107465</v>
      </c>
      <c r="K833" s="184"/>
      <c r="L833" s="29">
        <f>TRUNC(L834+L835+L836,0)</f>
        <v>10918</v>
      </c>
      <c r="M833" s="86" t="s">
        <v>2856</v>
      </c>
      <c r="N833" t="s">
        <v>2856</v>
      </c>
      <c r="O833" t="s">
        <v>1096</v>
      </c>
    </row>
    <row r="834" spans="1:61" ht="18.399999999999999" hidden="1" customHeight="1" x14ac:dyDescent="0.15">
      <c r="A834" s="2" t="s">
        <v>1950</v>
      </c>
      <c r="B834" s="87" t="s">
        <v>1567</v>
      </c>
      <c r="C834" s="2">
        <v>1</v>
      </c>
      <c r="D834" s="2" t="s">
        <v>556</v>
      </c>
      <c r="E834" s="27">
        <f>G834+I834+K834</f>
        <v>550000</v>
      </c>
      <c r="F834" s="28">
        <f>H834+J834+L834</f>
        <v>550000</v>
      </c>
      <c r="G834" s="27">
        <f>자재조서!E30</f>
        <v>550000</v>
      </c>
      <c r="H834" s="28">
        <f>TRUNC(G834*C834,1)</f>
        <v>550000</v>
      </c>
      <c r="I834" s="27">
        <v>0</v>
      </c>
      <c r="J834" s="28"/>
      <c r="K834" s="27">
        <v>0</v>
      </c>
      <c r="L834" s="28"/>
      <c r="M834" s="86" t="s">
        <v>2856</v>
      </c>
      <c r="N834" t="s">
        <v>2856</v>
      </c>
      <c r="P834" t="s">
        <v>334</v>
      </c>
      <c r="Q834" t="s">
        <v>2856</v>
      </c>
      <c r="R834" t="s">
        <v>1594</v>
      </c>
      <c r="BI834" s="34" t="str">
        <f>HYPERLINK("#자재조서!A29","M2373715 →")</f>
        <v>M2373715 →</v>
      </c>
    </row>
    <row r="835" spans="1:61" ht="18.399999999999999" hidden="1" customHeight="1" x14ac:dyDescent="0.15">
      <c r="A835" s="2" t="s">
        <v>2173</v>
      </c>
      <c r="B835" s="87" t="s">
        <v>1266</v>
      </c>
      <c r="C835" s="2">
        <v>1</v>
      </c>
      <c r="D835" s="2" t="s">
        <v>556</v>
      </c>
      <c r="E835" s="27">
        <f>G835+I835+K835</f>
        <v>129575</v>
      </c>
      <c r="F835" s="28">
        <f>H835+J835+L835</f>
        <v>129575</v>
      </c>
      <c r="G835" s="27">
        <f>일위대가목록!F225</f>
        <v>11192</v>
      </c>
      <c r="H835" s="28">
        <f>TRUNC(G835*C835,1)</f>
        <v>11192</v>
      </c>
      <c r="I835" s="27">
        <f>일위대가목록!H225</f>
        <v>107465</v>
      </c>
      <c r="J835" s="28">
        <f>TRUNC(I835*C835,1)</f>
        <v>107465</v>
      </c>
      <c r="K835" s="27">
        <f>일위대가목록!J225</f>
        <v>10918</v>
      </c>
      <c r="L835" s="28">
        <f>TRUNC(K835*C835,1)</f>
        <v>10918</v>
      </c>
      <c r="M835" s="86" t="s">
        <v>2856</v>
      </c>
      <c r="N835" t="s">
        <v>2856</v>
      </c>
      <c r="P835" t="s">
        <v>983</v>
      </c>
      <c r="Q835" t="s">
        <v>2856</v>
      </c>
      <c r="R835" t="s">
        <v>1740</v>
      </c>
      <c r="T835" t="s">
        <v>1778</v>
      </c>
      <c r="BI835" s="34" t="str">
        <f>HYPERLINK("#일위대가목록!A220","NT0763 →")</f>
        <v>NT0763 →</v>
      </c>
    </row>
    <row r="836" spans="1:61" ht="18.399999999999999" hidden="1" customHeight="1" x14ac:dyDescent="0.15">
      <c r="A836" s="2" t="s">
        <v>300</v>
      </c>
      <c r="B836" s="87" t="s">
        <v>1807</v>
      </c>
      <c r="C836" s="2">
        <v>1</v>
      </c>
      <c r="D836" s="2" t="s">
        <v>1302</v>
      </c>
      <c r="E836" s="27">
        <f>G836+I836+K836</f>
        <v>17700</v>
      </c>
      <c r="F836" s="28">
        <f>H836+J836+L836</f>
        <v>17700</v>
      </c>
      <c r="G836" s="27">
        <f>자재조서!E132</f>
        <v>17700</v>
      </c>
      <c r="H836" s="28">
        <f>TRUNC(G836*C836,1)</f>
        <v>17700</v>
      </c>
      <c r="I836" s="27">
        <v>0</v>
      </c>
      <c r="J836" s="28"/>
      <c r="K836" s="27">
        <v>0</v>
      </c>
      <c r="L836" s="28"/>
      <c r="M836" s="86" t="s">
        <v>2856</v>
      </c>
      <c r="N836" t="s">
        <v>2856</v>
      </c>
      <c r="P836" t="s">
        <v>248</v>
      </c>
      <c r="Q836" t="s">
        <v>2856</v>
      </c>
      <c r="R836" t="s">
        <v>1011</v>
      </c>
      <c r="BI836" s="34" t="str">
        <f>HYPERLINK("#자재조서!A126","MTP-039 →")</f>
        <v>MTP-039 →</v>
      </c>
    </row>
    <row r="837" spans="1:61" ht="18.399999999999999" hidden="1" customHeight="1" x14ac:dyDescent="0.15">
      <c r="A837" s="2" t="s">
        <v>261</v>
      </c>
      <c r="B837" s="87" t="s">
        <v>2437</v>
      </c>
      <c r="C837" s="2">
        <v>20</v>
      </c>
      <c r="D837" s="2" t="s">
        <v>1674</v>
      </c>
      <c r="E837" s="27">
        <f>G837+I837+K837</f>
        <v>433</v>
      </c>
      <c r="F837" s="28">
        <f>H837+J837+L837</f>
        <v>8660</v>
      </c>
      <c r="G837" s="27">
        <f>자재조서!E129</f>
        <v>433</v>
      </c>
      <c r="H837" s="28">
        <f>TRUNC(G837*C837,1)</f>
        <v>8660</v>
      </c>
      <c r="I837" s="27">
        <v>0</v>
      </c>
      <c r="J837" s="28"/>
      <c r="K837" s="27">
        <v>0</v>
      </c>
      <c r="L837" s="28"/>
      <c r="M837" s="86" t="s">
        <v>1601</v>
      </c>
      <c r="N837" t="s">
        <v>2856</v>
      </c>
      <c r="P837" t="s">
        <v>241</v>
      </c>
      <c r="Q837" t="s">
        <v>1839</v>
      </c>
      <c r="R837" t="s">
        <v>1422</v>
      </c>
      <c r="W837" t="s">
        <v>1601</v>
      </c>
      <c r="BI837" s="34" t="str">
        <f>HYPERLINK("#자재조서!A123","MTP-010 →")</f>
        <v>MTP-010 →</v>
      </c>
    </row>
    <row r="838" spans="1:61" ht="18.399999999999999" hidden="1" customHeight="1" x14ac:dyDescent="0.15">
      <c r="A838" s="1"/>
      <c r="B838" s="87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87"/>
    </row>
    <row r="839" spans="1:61" ht="18.399999999999999" hidden="1" customHeight="1" x14ac:dyDescent="0.15">
      <c r="A839" s="2" t="s">
        <v>1776</v>
      </c>
      <c r="B839" s="87" t="s">
        <v>1783</v>
      </c>
      <c r="C839" s="2">
        <v>1</v>
      </c>
      <c r="D839" s="2" t="s">
        <v>556</v>
      </c>
      <c r="E839" s="184"/>
      <c r="F839" s="29">
        <f>H839+J839+L839</f>
        <v>597275</v>
      </c>
      <c r="G839" s="184"/>
      <c r="H839" s="29">
        <f>TRUNC(H840+H841+H842,0)</f>
        <v>478892</v>
      </c>
      <c r="I839" s="184"/>
      <c r="J839" s="29">
        <f>TRUNC(J840+J841+J842,0)</f>
        <v>107465</v>
      </c>
      <c r="K839" s="184"/>
      <c r="L839" s="29">
        <f>TRUNC(L840+L841+L842,0)</f>
        <v>10918</v>
      </c>
      <c r="M839" s="86" t="s">
        <v>2856</v>
      </c>
      <c r="N839" t="s">
        <v>2856</v>
      </c>
      <c r="O839" t="s">
        <v>2214</v>
      </c>
    </row>
    <row r="840" spans="1:61" ht="18.399999999999999" hidden="1" customHeight="1" x14ac:dyDescent="0.15">
      <c r="A840" s="2" t="s">
        <v>745</v>
      </c>
      <c r="B840" s="87" t="s">
        <v>1783</v>
      </c>
      <c r="C840" s="2">
        <v>1</v>
      </c>
      <c r="D840" s="2" t="s">
        <v>556</v>
      </c>
      <c r="E840" s="27">
        <f>G840+I840+K840</f>
        <v>450000</v>
      </c>
      <c r="F840" s="28">
        <f>H840+J840+L840</f>
        <v>450000</v>
      </c>
      <c r="G840" s="27">
        <f>자재조서!E31</f>
        <v>450000</v>
      </c>
      <c r="H840" s="28">
        <f>TRUNC(G840*C840,1)</f>
        <v>450000</v>
      </c>
      <c r="I840" s="27">
        <v>0</v>
      </c>
      <c r="J840" s="28"/>
      <c r="K840" s="27">
        <v>0</v>
      </c>
      <c r="L840" s="28"/>
      <c r="M840" s="86" t="s">
        <v>2856</v>
      </c>
      <c r="N840" t="s">
        <v>2856</v>
      </c>
      <c r="P840" t="s">
        <v>334</v>
      </c>
      <c r="Q840" t="s">
        <v>2856</v>
      </c>
      <c r="R840" t="s">
        <v>430</v>
      </c>
      <c r="BI840" s="34" t="str">
        <f>HYPERLINK("#자재조서!A30","M2374112 →")</f>
        <v>M2374112 →</v>
      </c>
    </row>
    <row r="841" spans="1:61" ht="18.399999999999999" hidden="1" customHeight="1" x14ac:dyDescent="0.15">
      <c r="A841" s="2" t="s">
        <v>2173</v>
      </c>
      <c r="B841" s="87" t="s">
        <v>1266</v>
      </c>
      <c r="C841" s="2">
        <v>1</v>
      </c>
      <c r="D841" s="2" t="s">
        <v>556</v>
      </c>
      <c r="E841" s="27">
        <f>G841+I841+K841</f>
        <v>129575</v>
      </c>
      <c r="F841" s="28">
        <f>H841+J841+L841</f>
        <v>129575</v>
      </c>
      <c r="G841" s="27">
        <f>일위대가목록!F225</f>
        <v>11192</v>
      </c>
      <c r="H841" s="28">
        <f>TRUNC(G841*C841,1)</f>
        <v>11192</v>
      </c>
      <c r="I841" s="27">
        <f>일위대가목록!H225</f>
        <v>107465</v>
      </c>
      <c r="J841" s="28">
        <f>TRUNC(I841*C841,1)</f>
        <v>107465</v>
      </c>
      <c r="K841" s="27">
        <f>일위대가목록!J225</f>
        <v>10918</v>
      </c>
      <c r="L841" s="28">
        <f>TRUNC(K841*C841,1)</f>
        <v>10918</v>
      </c>
      <c r="M841" s="86" t="s">
        <v>2856</v>
      </c>
      <c r="N841" t="s">
        <v>2856</v>
      </c>
      <c r="P841" t="s">
        <v>2471</v>
      </c>
      <c r="Q841" t="s">
        <v>2856</v>
      </c>
      <c r="R841" t="s">
        <v>1740</v>
      </c>
      <c r="T841" t="s">
        <v>1778</v>
      </c>
      <c r="BI841" s="34" t="str">
        <f>HYPERLINK("#일위대가목록!A220","NT0763 →")</f>
        <v>NT0763 →</v>
      </c>
    </row>
    <row r="842" spans="1:61" ht="18.399999999999999" hidden="1" customHeight="1" x14ac:dyDescent="0.15">
      <c r="A842" s="2" t="s">
        <v>300</v>
      </c>
      <c r="B842" s="87" t="s">
        <v>1807</v>
      </c>
      <c r="C842" s="2">
        <v>1</v>
      </c>
      <c r="D842" s="2" t="s">
        <v>1302</v>
      </c>
      <c r="E842" s="27">
        <f>G842+I842+K842</f>
        <v>17700</v>
      </c>
      <c r="F842" s="28">
        <f>H842+J842+L842</f>
        <v>17700</v>
      </c>
      <c r="G842" s="27">
        <f>자재조서!E132</f>
        <v>17700</v>
      </c>
      <c r="H842" s="28">
        <f>TRUNC(G842*C842,1)</f>
        <v>17700</v>
      </c>
      <c r="I842" s="27">
        <v>0</v>
      </c>
      <c r="J842" s="28"/>
      <c r="K842" s="27">
        <v>0</v>
      </c>
      <c r="L842" s="28"/>
      <c r="M842" s="86" t="s">
        <v>2856</v>
      </c>
      <c r="N842" t="s">
        <v>2856</v>
      </c>
      <c r="P842" t="s">
        <v>1741</v>
      </c>
      <c r="Q842" t="s">
        <v>2856</v>
      </c>
      <c r="R842" t="s">
        <v>1011</v>
      </c>
      <c r="BI842" s="34" t="str">
        <f>HYPERLINK("#자재조서!A126","MTP-039 →")</f>
        <v>MTP-039 →</v>
      </c>
    </row>
    <row r="843" spans="1:61" ht="18.399999999999999" hidden="1" customHeight="1" x14ac:dyDescent="0.15">
      <c r="A843" s="2" t="s">
        <v>261</v>
      </c>
      <c r="B843" s="87" t="s">
        <v>2437</v>
      </c>
      <c r="C843" s="2">
        <v>20</v>
      </c>
      <c r="D843" s="2" t="s">
        <v>1674</v>
      </c>
      <c r="E843" s="27">
        <f>G843+I843+K843</f>
        <v>433</v>
      </c>
      <c r="F843" s="28">
        <f>H843+J843+L843</f>
        <v>8660</v>
      </c>
      <c r="G843" s="27">
        <f>자재조서!E129</f>
        <v>433</v>
      </c>
      <c r="H843" s="28">
        <f>TRUNC(G843*C843,1)</f>
        <v>8660</v>
      </c>
      <c r="I843" s="27">
        <v>0</v>
      </c>
      <c r="J843" s="28"/>
      <c r="K843" s="27">
        <v>0</v>
      </c>
      <c r="L843" s="28"/>
      <c r="M843" s="86" t="s">
        <v>1601</v>
      </c>
      <c r="N843" t="s">
        <v>2856</v>
      </c>
      <c r="P843" t="s">
        <v>1036</v>
      </c>
      <c r="Q843" t="s">
        <v>1839</v>
      </c>
      <c r="R843" t="s">
        <v>1422</v>
      </c>
      <c r="W843" t="s">
        <v>1601</v>
      </c>
      <c r="BI843" s="34" t="str">
        <f>HYPERLINK("#자재조서!A123","MTP-010 →")</f>
        <v>MTP-010 →</v>
      </c>
    </row>
    <row r="844" spans="1:61" ht="18.399999999999999" hidden="1" customHeight="1" x14ac:dyDescent="0.15">
      <c r="A844" s="1"/>
      <c r="B844" s="87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87"/>
    </row>
    <row r="845" spans="1:61" ht="18.399999999999999" hidden="1" customHeight="1" x14ac:dyDescent="0.15">
      <c r="A845" s="2" t="s">
        <v>1150</v>
      </c>
      <c r="B845" s="87" t="s">
        <v>53</v>
      </c>
      <c r="C845" s="2">
        <v>1</v>
      </c>
      <c r="D845" s="2" t="s">
        <v>556</v>
      </c>
      <c r="E845" s="184"/>
      <c r="F845" s="29">
        <f>H845+J845+L845</f>
        <v>786716</v>
      </c>
      <c r="G845" s="184"/>
      <c r="H845" s="29">
        <f>TRUNC(H846+H847+H848,0)</f>
        <v>546600</v>
      </c>
      <c r="I845" s="184"/>
      <c r="J845" s="29">
        <f>TRUNC(J846+J847+J848,0)</f>
        <v>193841</v>
      </c>
      <c r="K845" s="184"/>
      <c r="L845" s="29">
        <f>TRUNC(L846+L847+L848,0)</f>
        <v>46275</v>
      </c>
      <c r="M845" s="86" t="s">
        <v>2856</v>
      </c>
      <c r="N845" t="s">
        <v>2856</v>
      </c>
      <c r="O845" t="s">
        <v>2590</v>
      </c>
    </row>
    <row r="846" spans="1:61" ht="18.399999999999999" hidden="1" customHeight="1" x14ac:dyDescent="0.15">
      <c r="A846" s="2" t="s">
        <v>1052</v>
      </c>
      <c r="B846" s="87" t="s">
        <v>53</v>
      </c>
      <c r="C846" s="2">
        <v>1</v>
      </c>
      <c r="D846" s="2" t="s">
        <v>556</v>
      </c>
      <c r="E846" s="27">
        <f>G846+I846+K846</f>
        <v>500000</v>
      </c>
      <c r="F846" s="28">
        <f>H846+J846+L846</f>
        <v>500000</v>
      </c>
      <c r="G846" s="27">
        <f>자재조서!E32</f>
        <v>500000</v>
      </c>
      <c r="H846" s="28">
        <f>TRUNC(G846*C846,1)</f>
        <v>500000</v>
      </c>
      <c r="I846" s="27">
        <v>0</v>
      </c>
      <c r="J846" s="28"/>
      <c r="K846" s="27">
        <v>0</v>
      </c>
      <c r="L846" s="28"/>
      <c r="M846" s="86" t="s">
        <v>2856</v>
      </c>
      <c r="N846" t="s">
        <v>2856</v>
      </c>
      <c r="P846" t="s">
        <v>334</v>
      </c>
      <c r="Q846" t="s">
        <v>2856</v>
      </c>
      <c r="R846" t="s">
        <v>707</v>
      </c>
      <c r="BI846" s="34" t="str">
        <f>HYPERLINK("#자재조서!A31","M2375014 →")</f>
        <v>M2375014 →</v>
      </c>
    </row>
    <row r="847" spans="1:61" ht="18.399999999999999" hidden="1" customHeight="1" x14ac:dyDescent="0.15">
      <c r="A847" s="2" t="s">
        <v>2173</v>
      </c>
      <c r="B847" s="87" t="s">
        <v>328</v>
      </c>
      <c r="C847" s="2">
        <v>1</v>
      </c>
      <c r="D847" s="2" t="s">
        <v>556</v>
      </c>
      <c r="E847" s="27">
        <f>G847+I847+K847</f>
        <v>262016</v>
      </c>
      <c r="F847" s="28">
        <f>H847+J847+L847</f>
        <v>262016</v>
      </c>
      <c r="G847" s="27">
        <f>일위대가목록!F229</f>
        <v>21900</v>
      </c>
      <c r="H847" s="28">
        <f>TRUNC(G847*C847,1)</f>
        <v>21900</v>
      </c>
      <c r="I847" s="27">
        <f>일위대가목록!H229</f>
        <v>193841</v>
      </c>
      <c r="J847" s="28">
        <f>TRUNC(I847*C847,1)</f>
        <v>193841</v>
      </c>
      <c r="K847" s="27">
        <f>일위대가목록!J229</f>
        <v>46275</v>
      </c>
      <c r="L847" s="28">
        <f>TRUNC(K847*C847,1)</f>
        <v>46275</v>
      </c>
      <c r="M847" s="86" t="s">
        <v>2856</v>
      </c>
      <c r="N847" t="s">
        <v>2856</v>
      </c>
      <c r="P847" t="s">
        <v>2471</v>
      </c>
      <c r="Q847" t="s">
        <v>2856</v>
      </c>
      <c r="R847" t="s">
        <v>1162</v>
      </c>
      <c r="T847" t="s">
        <v>1778</v>
      </c>
      <c r="BI847" s="34" t="str">
        <f>HYPERLINK("#일위대가목록!A224","NT0770 →")</f>
        <v>NT0770 →</v>
      </c>
    </row>
    <row r="848" spans="1:61" ht="18.399999999999999" hidden="1" customHeight="1" x14ac:dyDescent="0.15">
      <c r="A848" s="2" t="s">
        <v>834</v>
      </c>
      <c r="B848" s="87" t="s">
        <v>816</v>
      </c>
      <c r="C848" s="2">
        <v>1</v>
      </c>
      <c r="D848" s="2" t="s">
        <v>1302</v>
      </c>
      <c r="E848" s="27">
        <f>G848+I848+K848</f>
        <v>24700</v>
      </c>
      <c r="F848" s="28">
        <f>H848+J848+L848</f>
        <v>24700</v>
      </c>
      <c r="G848" s="27">
        <f>자재조서!E131</f>
        <v>24700</v>
      </c>
      <c r="H848" s="28">
        <f>TRUNC(G848*C848,1)</f>
        <v>24700</v>
      </c>
      <c r="I848" s="27">
        <v>0</v>
      </c>
      <c r="J848" s="28"/>
      <c r="K848" s="27">
        <v>0</v>
      </c>
      <c r="L848" s="28"/>
      <c r="M848" s="86" t="s">
        <v>2856</v>
      </c>
      <c r="N848" t="s">
        <v>2856</v>
      </c>
      <c r="P848" t="s">
        <v>1741</v>
      </c>
      <c r="Q848" t="s">
        <v>2856</v>
      </c>
      <c r="R848" t="s">
        <v>2314</v>
      </c>
      <c r="BI848" s="34" t="str">
        <f>HYPERLINK("#자재조서!A125","MTP-038 →")</f>
        <v>MTP-038 →</v>
      </c>
    </row>
    <row r="849" spans="1:61" ht="18.399999999999999" hidden="1" customHeight="1" x14ac:dyDescent="0.15">
      <c r="A849" s="2" t="s">
        <v>261</v>
      </c>
      <c r="B849" s="87" t="s">
        <v>2437</v>
      </c>
      <c r="C849" s="2">
        <v>30</v>
      </c>
      <c r="D849" s="2" t="s">
        <v>1674</v>
      </c>
      <c r="E849" s="27">
        <f>G849+I849+K849</f>
        <v>433</v>
      </c>
      <c r="F849" s="28">
        <f>H849+J849+L849</f>
        <v>12990</v>
      </c>
      <c r="G849" s="27">
        <f>자재조서!E129</f>
        <v>433</v>
      </c>
      <c r="H849" s="28">
        <f>TRUNC(G849*C849,1)</f>
        <v>12990</v>
      </c>
      <c r="I849" s="27">
        <v>0</v>
      </c>
      <c r="J849" s="28"/>
      <c r="K849" s="27">
        <v>0</v>
      </c>
      <c r="L849" s="28"/>
      <c r="M849" s="86" t="s">
        <v>1601</v>
      </c>
      <c r="N849" t="s">
        <v>2856</v>
      </c>
      <c r="P849" t="s">
        <v>1036</v>
      </c>
      <c r="Q849" t="s">
        <v>1839</v>
      </c>
      <c r="R849" t="s">
        <v>1422</v>
      </c>
      <c r="W849" t="s">
        <v>1601</v>
      </c>
      <c r="BI849" s="34" t="str">
        <f>HYPERLINK("#자재조서!A123","MTP-010 →")</f>
        <v>MTP-010 →</v>
      </c>
    </row>
    <row r="850" spans="1:61" ht="18.399999999999999" hidden="1" customHeight="1" x14ac:dyDescent="0.15">
      <c r="A850" s="1"/>
      <c r="B850" s="87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87"/>
    </row>
    <row r="851" spans="1:61" ht="18.399999999999999" hidden="1" customHeight="1" x14ac:dyDescent="0.15">
      <c r="A851" s="2" t="s">
        <v>559</v>
      </c>
      <c r="B851" s="87" t="s">
        <v>1567</v>
      </c>
      <c r="C851" s="2">
        <v>1</v>
      </c>
      <c r="D851" s="2" t="s">
        <v>556</v>
      </c>
      <c r="E851" s="184"/>
      <c r="F851" s="29">
        <f>H851+J851+L851</f>
        <v>647275</v>
      </c>
      <c r="G851" s="184"/>
      <c r="H851" s="29">
        <f>TRUNC(H852+H853+H854,0)</f>
        <v>528892</v>
      </c>
      <c r="I851" s="184"/>
      <c r="J851" s="29">
        <f>TRUNC(J852+J853+J854,0)</f>
        <v>107465</v>
      </c>
      <c r="K851" s="184"/>
      <c r="L851" s="29">
        <f>TRUNC(L852+L853+L854,0)</f>
        <v>10918</v>
      </c>
      <c r="M851" s="86" t="s">
        <v>2856</v>
      </c>
      <c r="N851" t="s">
        <v>2856</v>
      </c>
      <c r="O851" t="s">
        <v>2842</v>
      </c>
    </row>
    <row r="852" spans="1:61" ht="18.399999999999999" hidden="1" customHeight="1" x14ac:dyDescent="0.15">
      <c r="A852" s="2" t="s">
        <v>1146</v>
      </c>
      <c r="B852" s="87" t="s">
        <v>1567</v>
      </c>
      <c r="C852" s="2">
        <v>1</v>
      </c>
      <c r="D852" s="2" t="s">
        <v>556</v>
      </c>
      <c r="E852" s="27">
        <f>G852+I852+K852</f>
        <v>500000</v>
      </c>
      <c r="F852" s="28">
        <f>H852+J852+L852</f>
        <v>500000</v>
      </c>
      <c r="G852" s="27">
        <f>자재조서!E33</f>
        <v>500000</v>
      </c>
      <c r="H852" s="28">
        <f>TRUNC(G852*C852,1)</f>
        <v>500000</v>
      </c>
      <c r="I852" s="27">
        <v>0</v>
      </c>
      <c r="J852" s="28"/>
      <c r="K852" s="27">
        <v>0</v>
      </c>
      <c r="L852" s="28"/>
      <c r="M852" s="86" t="s">
        <v>2856</v>
      </c>
      <c r="N852" t="s">
        <v>2856</v>
      </c>
      <c r="P852" t="s">
        <v>334</v>
      </c>
      <c r="Q852" t="s">
        <v>2856</v>
      </c>
      <c r="R852" t="s">
        <v>2392</v>
      </c>
      <c r="BI852" s="34" t="str">
        <f>HYPERLINK("#자재조서!A32","M2375015 →")</f>
        <v>M2375015 →</v>
      </c>
    </row>
    <row r="853" spans="1:61" ht="18.399999999999999" hidden="1" customHeight="1" x14ac:dyDescent="0.15">
      <c r="A853" s="2" t="s">
        <v>2173</v>
      </c>
      <c r="B853" s="87" t="s">
        <v>1266</v>
      </c>
      <c r="C853" s="2">
        <v>1</v>
      </c>
      <c r="D853" s="2" t="s">
        <v>556</v>
      </c>
      <c r="E853" s="27">
        <f>G853+I853+K853</f>
        <v>129575</v>
      </c>
      <c r="F853" s="28">
        <f>H853+J853+L853</f>
        <v>129575</v>
      </c>
      <c r="G853" s="27">
        <f>일위대가목록!F225</f>
        <v>11192</v>
      </c>
      <c r="H853" s="28">
        <f>TRUNC(G853*C853,1)</f>
        <v>11192</v>
      </c>
      <c r="I853" s="27">
        <f>일위대가목록!H225</f>
        <v>107465</v>
      </c>
      <c r="J853" s="28">
        <f>TRUNC(I853*C853,1)</f>
        <v>107465</v>
      </c>
      <c r="K853" s="27">
        <f>일위대가목록!J225</f>
        <v>10918</v>
      </c>
      <c r="L853" s="28">
        <f>TRUNC(K853*C853,1)</f>
        <v>10918</v>
      </c>
      <c r="M853" s="86" t="s">
        <v>2856</v>
      </c>
      <c r="N853" t="s">
        <v>2856</v>
      </c>
      <c r="P853" t="s">
        <v>2471</v>
      </c>
      <c r="Q853" t="s">
        <v>2856</v>
      </c>
      <c r="R853" t="s">
        <v>1740</v>
      </c>
      <c r="T853" t="s">
        <v>1778</v>
      </c>
      <c r="BI853" s="34" t="str">
        <f>HYPERLINK("#일위대가목록!A220","NT0763 →")</f>
        <v>NT0763 →</v>
      </c>
    </row>
    <row r="854" spans="1:61" ht="18.399999999999999" hidden="1" customHeight="1" x14ac:dyDescent="0.15">
      <c r="A854" s="2" t="s">
        <v>300</v>
      </c>
      <c r="B854" s="87" t="s">
        <v>1807</v>
      </c>
      <c r="C854" s="2">
        <v>1</v>
      </c>
      <c r="D854" s="2" t="s">
        <v>1302</v>
      </c>
      <c r="E854" s="27">
        <f>G854+I854+K854</f>
        <v>17700</v>
      </c>
      <c r="F854" s="28">
        <f>H854+J854+L854</f>
        <v>17700</v>
      </c>
      <c r="G854" s="27">
        <f>자재조서!E132</f>
        <v>17700</v>
      </c>
      <c r="H854" s="28">
        <f>TRUNC(G854*C854,1)</f>
        <v>17700</v>
      </c>
      <c r="I854" s="27">
        <v>0</v>
      </c>
      <c r="J854" s="28"/>
      <c r="K854" s="27">
        <v>0</v>
      </c>
      <c r="L854" s="28"/>
      <c r="M854" s="86" t="s">
        <v>2856</v>
      </c>
      <c r="N854" t="s">
        <v>2856</v>
      </c>
      <c r="P854" t="s">
        <v>1741</v>
      </c>
      <c r="Q854" t="s">
        <v>2856</v>
      </c>
      <c r="R854" t="s">
        <v>1011</v>
      </c>
      <c r="BI854" s="34" t="str">
        <f>HYPERLINK("#자재조서!A126","MTP-039 →")</f>
        <v>MTP-039 →</v>
      </c>
    </row>
    <row r="855" spans="1:61" ht="18.399999999999999" hidden="1" customHeight="1" x14ac:dyDescent="0.15">
      <c r="A855" s="2" t="s">
        <v>261</v>
      </c>
      <c r="B855" s="87" t="s">
        <v>2437</v>
      </c>
      <c r="C855" s="2">
        <v>20</v>
      </c>
      <c r="D855" s="2" t="s">
        <v>1674</v>
      </c>
      <c r="E855" s="27">
        <f>G855+I855+K855</f>
        <v>433</v>
      </c>
      <c r="F855" s="28">
        <f>H855+J855+L855</f>
        <v>8660</v>
      </c>
      <c r="G855" s="27">
        <f>자재조서!E129</f>
        <v>433</v>
      </c>
      <c r="H855" s="28">
        <f>TRUNC(G855*C855,1)</f>
        <v>8660</v>
      </c>
      <c r="I855" s="27">
        <v>0</v>
      </c>
      <c r="J855" s="28"/>
      <c r="K855" s="27">
        <v>0</v>
      </c>
      <c r="L855" s="28"/>
      <c r="M855" s="86" t="s">
        <v>1601</v>
      </c>
      <c r="N855" t="s">
        <v>2856</v>
      </c>
      <c r="P855" t="s">
        <v>1036</v>
      </c>
      <c r="Q855" t="s">
        <v>1839</v>
      </c>
      <c r="R855" t="s">
        <v>1422</v>
      </c>
      <c r="W855" t="s">
        <v>1601</v>
      </c>
      <c r="BI855" s="34" t="str">
        <f>HYPERLINK("#자재조서!A123","MTP-010 →")</f>
        <v>MTP-010 →</v>
      </c>
    </row>
    <row r="856" spans="1:61" ht="18.399999999999999" hidden="1" customHeight="1" x14ac:dyDescent="0.15">
      <c r="A856" s="1"/>
      <c r="B856" s="87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87"/>
    </row>
    <row r="857" spans="1:61" ht="18.399999999999999" hidden="1" customHeight="1" x14ac:dyDescent="0.15">
      <c r="A857" s="2" t="s">
        <v>2030</v>
      </c>
      <c r="B857" s="87" t="s">
        <v>2322</v>
      </c>
      <c r="C857" s="2">
        <v>1</v>
      </c>
      <c r="D857" s="2" t="s">
        <v>556</v>
      </c>
      <c r="E857" s="184"/>
      <c r="F857" s="29">
        <f>H857+J857+L857</f>
        <v>539975</v>
      </c>
      <c r="G857" s="184"/>
      <c r="H857" s="29">
        <f>TRUNC(H858+H859+H860,0)</f>
        <v>421592</v>
      </c>
      <c r="I857" s="184"/>
      <c r="J857" s="29">
        <f>TRUNC(J858+J859+J860,0)</f>
        <v>107465</v>
      </c>
      <c r="K857" s="184"/>
      <c r="L857" s="29">
        <f>TRUNC(L858+L859+L860,0)</f>
        <v>10918</v>
      </c>
      <c r="M857" s="86" t="s">
        <v>2856</v>
      </c>
      <c r="N857" t="s">
        <v>2856</v>
      </c>
      <c r="O857" t="s">
        <v>1666</v>
      </c>
    </row>
    <row r="858" spans="1:61" ht="18.399999999999999" hidden="1" customHeight="1" x14ac:dyDescent="0.15">
      <c r="A858" s="2" t="s">
        <v>541</v>
      </c>
      <c r="B858" s="87" t="s">
        <v>2322</v>
      </c>
      <c r="C858" s="2">
        <v>1</v>
      </c>
      <c r="D858" s="2" t="s">
        <v>556</v>
      </c>
      <c r="E858" s="27">
        <f>G858+I858+K858</f>
        <v>400000</v>
      </c>
      <c r="F858" s="28">
        <f>H858+J858+L858</f>
        <v>400000</v>
      </c>
      <c r="G858" s="27">
        <f>자재조서!E34</f>
        <v>400000</v>
      </c>
      <c r="H858" s="28">
        <f>TRUNC(G858*C858,1)</f>
        <v>400000</v>
      </c>
      <c r="I858" s="27">
        <v>0</v>
      </c>
      <c r="J858" s="28"/>
      <c r="K858" s="27">
        <v>0</v>
      </c>
      <c r="L858" s="28"/>
      <c r="M858" s="86" t="s">
        <v>2856</v>
      </c>
      <c r="N858" t="s">
        <v>2856</v>
      </c>
      <c r="P858" t="s">
        <v>334</v>
      </c>
      <c r="Q858" t="s">
        <v>2856</v>
      </c>
      <c r="R858" t="s">
        <v>1729</v>
      </c>
      <c r="BI858" s="34" t="str">
        <f>HYPERLINK("#자재조서!A33","M2376012 →")</f>
        <v>M2376012 →</v>
      </c>
    </row>
    <row r="859" spans="1:61" ht="18.399999999999999" hidden="1" customHeight="1" x14ac:dyDescent="0.15">
      <c r="A859" s="2" t="s">
        <v>2173</v>
      </c>
      <c r="B859" s="87" t="s">
        <v>1266</v>
      </c>
      <c r="C859" s="2">
        <v>1</v>
      </c>
      <c r="D859" s="2" t="s">
        <v>556</v>
      </c>
      <c r="E859" s="27">
        <f>G859+I859+K859</f>
        <v>129575</v>
      </c>
      <c r="F859" s="28">
        <f>H859+J859+L859</f>
        <v>129575</v>
      </c>
      <c r="G859" s="27">
        <f>일위대가목록!F225</f>
        <v>11192</v>
      </c>
      <c r="H859" s="28">
        <f>TRUNC(G859*C859,1)</f>
        <v>11192</v>
      </c>
      <c r="I859" s="27">
        <f>일위대가목록!H225</f>
        <v>107465</v>
      </c>
      <c r="J859" s="28">
        <f>TRUNC(I859*C859,1)</f>
        <v>107465</v>
      </c>
      <c r="K859" s="27">
        <f>일위대가목록!J225</f>
        <v>10918</v>
      </c>
      <c r="L859" s="28">
        <f>TRUNC(K859*C859,1)</f>
        <v>10918</v>
      </c>
      <c r="M859" s="86" t="s">
        <v>2856</v>
      </c>
      <c r="N859" t="s">
        <v>2856</v>
      </c>
      <c r="P859" t="s">
        <v>2471</v>
      </c>
      <c r="Q859" t="s">
        <v>2856</v>
      </c>
      <c r="R859" t="s">
        <v>1740</v>
      </c>
      <c r="T859" t="s">
        <v>1778</v>
      </c>
      <c r="BI859" s="34" t="str">
        <f>HYPERLINK("#일위대가목록!A220","NT0763 →")</f>
        <v>NT0763 →</v>
      </c>
    </row>
    <row r="860" spans="1:61" ht="18.399999999999999" hidden="1" customHeight="1" x14ac:dyDescent="0.15">
      <c r="A860" s="2" t="s">
        <v>792</v>
      </c>
      <c r="B860" s="87" t="s">
        <v>2570</v>
      </c>
      <c r="C860" s="2">
        <v>1</v>
      </c>
      <c r="D860" s="2" t="s">
        <v>1302</v>
      </c>
      <c r="E860" s="27">
        <f>G860+I860+K860</f>
        <v>10400</v>
      </c>
      <c r="F860" s="28">
        <f>H860+J860+L860</f>
        <v>10400</v>
      </c>
      <c r="G860" s="27">
        <f>자재조서!E133</f>
        <v>10400</v>
      </c>
      <c r="H860" s="28">
        <f>TRUNC(G860*C860,1)</f>
        <v>10400</v>
      </c>
      <c r="I860" s="27">
        <v>0</v>
      </c>
      <c r="J860" s="28"/>
      <c r="K860" s="27">
        <v>0</v>
      </c>
      <c r="L860" s="28"/>
      <c r="M860" s="86" t="s">
        <v>2856</v>
      </c>
      <c r="N860" t="s">
        <v>2856</v>
      </c>
      <c r="P860" t="s">
        <v>1741</v>
      </c>
      <c r="Q860" t="s">
        <v>2856</v>
      </c>
      <c r="R860" t="s">
        <v>627</v>
      </c>
      <c r="BI860" s="34" t="str">
        <f>HYPERLINK("#자재조서!A127","MTP-040 →")</f>
        <v>MTP-040 →</v>
      </c>
    </row>
    <row r="861" spans="1:61" ht="18.399999999999999" hidden="1" customHeight="1" x14ac:dyDescent="0.15">
      <c r="A861" s="2" t="s">
        <v>261</v>
      </c>
      <c r="B861" s="87" t="s">
        <v>2437</v>
      </c>
      <c r="C861" s="2">
        <v>15</v>
      </c>
      <c r="D861" s="2" t="s">
        <v>1674</v>
      </c>
      <c r="E861" s="27">
        <f>G861+I861+K861</f>
        <v>433</v>
      </c>
      <c r="F861" s="28">
        <f>H861+J861+L861</f>
        <v>6495</v>
      </c>
      <c r="G861" s="27">
        <f>자재조서!E129</f>
        <v>433</v>
      </c>
      <c r="H861" s="28">
        <f>TRUNC(G861*C861,1)</f>
        <v>6495</v>
      </c>
      <c r="I861" s="27">
        <v>0</v>
      </c>
      <c r="J861" s="28"/>
      <c r="K861" s="27">
        <v>0</v>
      </c>
      <c r="L861" s="28"/>
      <c r="M861" s="86" t="s">
        <v>1601</v>
      </c>
      <c r="N861" t="s">
        <v>2856</v>
      </c>
      <c r="P861" t="s">
        <v>1036</v>
      </c>
      <c r="Q861" t="s">
        <v>1839</v>
      </c>
      <c r="R861" t="s">
        <v>1422</v>
      </c>
      <c r="W861" t="s">
        <v>1601</v>
      </c>
      <c r="BI861" s="34" t="str">
        <f>HYPERLINK("#자재조서!A123","MTP-010 →")</f>
        <v>MTP-010 →</v>
      </c>
    </row>
    <row r="862" spans="1:61" ht="18.399999999999999" hidden="1" customHeight="1" x14ac:dyDescent="0.15">
      <c r="A862" s="1"/>
      <c r="B862" s="87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87"/>
    </row>
    <row r="863" spans="1:61" ht="18.399999999999999" hidden="1" customHeight="1" x14ac:dyDescent="0.15">
      <c r="A863" s="2" t="s">
        <v>2767</v>
      </c>
      <c r="B863" s="87" t="s">
        <v>988</v>
      </c>
      <c r="C863" s="2">
        <v>1</v>
      </c>
      <c r="D863" s="2" t="s">
        <v>556</v>
      </c>
      <c r="E863" s="184"/>
      <c r="F863" s="29">
        <f>H863+J863+L863</f>
        <v>3025854</v>
      </c>
      <c r="G863" s="184"/>
      <c r="H863" s="29">
        <f>TRUNC(H864+H865+H866,0)</f>
        <v>2704845</v>
      </c>
      <c r="I863" s="184"/>
      <c r="J863" s="29">
        <f>TRUNC(J864+J865+J866,0)</f>
        <v>249225</v>
      </c>
      <c r="K863" s="184"/>
      <c r="L863" s="29">
        <f>TRUNC(L864+L865+L866,0)</f>
        <v>71784</v>
      </c>
      <c r="M863" s="86" t="s">
        <v>2856</v>
      </c>
      <c r="N863" t="s">
        <v>2856</v>
      </c>
      <c r="O863" t="s">
        <v>2390</v>
      </c>
    </row>
    <row r="864" spans="1:61" ht="18.399999999999999" hidden="1" customHeight="1" x14ac:dyDescent="0.15">
      <c r="A864" s="2" t="s">
        <v>2109</v>
      </c>
      <c r="B864" s="87" t="s">
        <v>988</v>
      </c>
      <c r="C864" s="2">
        <v>1</v>
      </c>
      <c r="D864" s="2" t="s">
        <v>556</v>
      </c>
      <c r="E864" s="27">
        <f>G864+I864+K864</f>
        <v>2650000</v>
      </c>
      <c r="F864" s="28">
        <f>H864+J864+L864</f>
        <v>2650000</v>
      </c>
      <c r="G864" s="27">
        <f>자재조서!E37</f>
        <v>2650000</v>
      </c>
      <c r="H864" s="28">
        <f>TRUNC(G864*C864,1)</f>
        <v>2650000</v>
      </c>
      <c r="I864" s="27">
        <v>0</v>
      </c>
      <c r="J864" s="28"/>
      <c r="K864" s="27">
        <v>0</v>
      </c>
      <c r="L864" s="28"/>
      <c r="M864" s="86" t="s">
        <v>2856</v>
      </c>
      <c r="N864" t="s">
        <v>2856</v>
      </c>
      <c r="P864" t="s">
        <v>334</v>
      </c>
      <c r="Q864" t="s">
        <v>2856</v>
      </c>
      <c r="R864" t="s">
        <v>2288</v>
      </c>
      <c r="BI864" s="34" t="str">
        <f>HYPERLINK("#자재조서!A36","M2439021 →")</f>
        <v>M2439021 →</v>
      </c>
    </row>
    <row r="865" spans="1:61" ht="18.399999999999999" hidden="1" customHeight="1" x14ac:dyDescent="0.15">
      <c r="A865" s="2" t="s">
        <v>2173</v>
      </c>
      <c r="B865" s="87" t="s">
        <v>426</v>
      </c>
      <c r="C865" s="2">
        <v>1</v>
      </c>
      <c r="D865" s="2" t="s">
        <v>556</v>
      </c>
      <c r="E865" s="27">
        <f>G865+I865+K865</f>
        <v>351154</v>
      </c>
      <c r="F865" s="28">
        <f>H865+J865+L865</f>
        <v>351154</v>
      </c>
      <c r="G865" s="27">
        <f>일위대가목록!F227</f>
        <v>30145</v>
      </c>
      <c r="H865" s="28">
        <f>TRUNC(G865*C865,1)</f>
        <v>30145</v>
      </c>
      <c r="I865" s="27">
        <f>일위대가목록!H227</f>
        <v>249225</v>
      </c>
      <c r="J865" s="28">
        <f>TRUNC(I865*C865,1)</f>
        <v>249225</v>
      </c>
      <c r="K865" s="27">
        <f>일위대가목록!J227</f>
        <v>71784</v>
      </c>
      <c r="L865" s="28">
        <f>TRUNC(K865*C865,1)</f>
        <v>71784</v>
      </c>
      <c r="M865" s="86" t="s">
        <v>2856</v>
      </c>
      <c r="N865" t="s">
        <v>2856</v>
      </c>
      <c r="P865" t="s">
        <v>2471</v>
      </c>
      <c r="Q865" t="s">
        <v>2856</v>
      </c>
      <c r="R865" t="s">
        <v>1750</v>
      </c>
      <c r="T865" t="s">
        <v>1778</v>
      </c>
      <c r="BI865" s="34" t="str">
        <f>HYPERLINK("#일위대가목록!A222","NT0800 →")</f>
        <v>NT0800 →</v>
      </c>
    </row>
    <row r="866" spans="1:61" ht="18.399999999999999" hidden="1" customHeight="1" x14ac:dyDescent="0.15">
      <c r="A866" s="2" t="s">
        <v>834</v>
      </c>
      <c r="B866" s="87" t="s">
        <v>816</v>
      </c>
      <c r="C866" s="2">
        <v>1</v>
      </c>
      <c r="D866" s="2" t="s">
        <v>1302</v>
      </c>
      <c r="E866" s="27">
        <f>G866+I866+K866</f>
        <v>24700</v>
      </c>
      <c r="F866" s="28">
        <f>H866+J866+L866</f>
        <v>24700</v>
      </c>
      <c r="G866" s="27">
        <f>자재조서!E131</f>
        <v>24700</v>
      </c>
      <c r="H866" s="28">
        <f>TRUNC(G866*C866,1)</f>
        <v>24700</v>
      </c>
      <c r="I866" s="27">
        <v>0</v>
      </c>
      <c r="J866" s="28"/>
      <c r="K866" s="27">
        <v>0</v>
      </c>
      <c r="L866" s="28"/>
      <c r="M866" s="86" t="s">
        <v>2856</v>
      </c>
      <c r="N866" t="s">
        <v>2856</v>
      </c>
      <c r="P866" t="s">
        <v>1741</v>
      </c>
      <c r="Q866" t="s">
        <v>2856</v>
      </c>
      <c r="R866" t="s">
        <v>2314</v>
      </c>
      <c r="BI866" s="34" t="str">
        <f>HYPERLINK("#자재조서!A125","MTP-038 →")</f>
        <v>MTP-038 →</v>
      </c>
    </row>
    <row r="867" spans="1:61" ht="18.399999999999999" hidden="1" customHeight="1" x14ac:dyDescent="0.15">
      <c r="A867" s="2" t="s">
        <v>261</v>
      </c>
      <c r="B867" s="87" t="s">
        <v>2437</v>
      </c>
      <c r="C867" s="2">
        <v>40</v>
      </c>
      <c r="D867" s="2" t="s">
        <v>1674</v>
      </c>
      <c r="E867" s="27">
        <f>G867+I867+K867</f>
        <v>433</v>
      </c>
      <c r="F867" s="28">
        <f>H867+J867+L867</f>
        <v>17320</v>
      </c>
      <c r="G867" s="27">
        <f>자재조서!E129</f>
        <v>433</v>
      </c>
      <c r="H867" s="28">
        <f>TRUNC(G867*C867,1)</f>
        <v>17320</v>
      </c>
      <c r="I867" s="27">
        <v>0</v>
      </c>
      <c r="J867" s="28"/>
      <c r="K867" s="27">
        <v>0</v>
      </c>
      <c r="L867" s="28"/>
      <c r="M867" s="86" t="s">
        <v>1601</v>
      </c>
      <c r="N867" t="s">
        <v>2856</v>
      </c>
      <c r="P867" t="s">
        <v>1036</v>
      </c>
      <c r="Q867" t="s">
        <v>1839</v>
      </c>
      <c r="R867" t="s">
        <v>1422</v>
      </c>
      <c r="W867" t="s">
        <v>1601</v>
      </c>
      <c r="BI867" s="34" t="str">
        <f>HYPERLINK("#자재조서!A123","MTP-010 →")</f>
        <v>MTP-010 →</v>
      </c>
    </row>
    <row r="868" spans="1:61" ht="18.399999999999999" hidden="1" customHeight="1" x14ac:dyDescent="0.15">
      <c r="A868" s="1"/>
      <c r="B868" s="87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87"/>
    </row>
    <row r="869" spans="1:61" ht="18.399999999999999" hidden="1" customHeight="1" x14ac:dyDescent="0.15">
      <c r="A869" s="2" t="s">
        <v>180</v>
      </c>
      <c r="B869" s="87" t="s">
        <v>1558</v>
      </c>
      <c r="C869" s="2">
        <v>1</v>
      </c>
      <c r="D869" s="2" t="s">
        <v>556</v>
      </c>
      <c r="E869" s="184"/>
      <c r="F869" s="29">
        <f>H869+J869+L869</f>
        <v>1147275</v>
      </c>
      <c r="G869" s="184"/>
      <c r="H869" s="29">
        <f>TRUNC(H870+H871+H872,0)</f>
        <v>1028892</v>
      </c>
      <c r="I869" s="184"/>
      <c r="J869" s="29">
        <f>TRUNC(J870+J871+J872,0)</f>
        <v>107465</v>
      </c>
      <c r="K869" s="184"/>
      <c r="L869" s="29">
        <f>TRUNC(L870+L871+L872,0)</f>
        <v>10918</v>
      </c>
      <c r="M869" s="86" t="s">
        <v>2856</v>
      </c>
      <c r="N869" t="s">
        <v>2856</v>
      </c>
      <c r="O869" t="s">
        <v>1669</v>
      </c>
    </row>
    <row r="870" spans="1:61" ht="18.399999999999999" hidden="1" customHeight="1" x14ac:dyDescent="0.15">
      <c r="A870" s="2" t="s">
        <v>2109</v>
      </c>
      <c r="B870" s="87" t="s">
        <v>1558</v>
      </c>
      <c r="C870" s="2">
        <v>1</v>
      </c>
      <c r="D870" s="2" t="s">
        <v>556</v>
      </c>
      <c r="E870" s="27">
        <f>G870+I870+K870</f>
        <v>1000000</v>
      </c>
      <c r="F870" s="28">
        <f>H870+J870+L870</f>
        <v>1000000</v>
      </c>
      <c r="G870" s="27">
        <f>자재조서!E36</f>
        <v>1000000</v>
      </c>
      <c r="H870" s="28">
        <f>TRUNC(G870*C870,1)</f>
        <v>1000000</v>
      </c>
      <c r="I870" s="27">
        <v>0</v>
      </c>
      <c r="J870" s="28"/>
      <c r="K870" s="27">
        <v>0</v>
      </c>
      <c r="L870" s="28"/>
      <c r="M870" s="86" t="s">
        <v>2856</v>
      </c>
      <c r="N870" t="s">
        <v>2856</v>
      </c>
      <c r="P870" t="s">
        <v>334</v>
      </c>
      <c r="Q870" t="s">
        <v>2856</v>
      </c>
      <c r="R870" t="s">
        <v>1907</v>
      </c>
      <c r="BI870" s="34" t="str">
        <f>HYPERLINK("#자재조서!A35","M2439016 →")</f>
        <v>M2439016 →</v>
      </c>
    </row>
    <row r="871" spans="1:61" ht="18.399999999999999" hidden="1" customHeight="1" x14ac:dyDescent="0.15">
      <c r="A871" s="2" t="s">
        <v>2173</v>
      </c>
      <c r="B871" s="87" t="s">
        <v>1266</v>
      </c>
      <c r="C871" s="2">
        <v>1</v>
      </c>
      <c r="D871" s="2" t="s">
        <v>556</v>
      </c>
      <c r="E871" s="27">
        <f>G871+I871+K871</f>
        <v>129575</v>
      </c>
      <c r="F871" s="28">
        <f>H871+J871+L871</f>
        <v>129575</v>
      </c>
      <c r="G871" s="27">
        <f>일위대가목록!F225</f>
        <v>11192</v>
      </c>
      <c r="H871" s="28">
        <f>TRUNC(G871*C871,1)</f>
        <v>11192</v>
      </c>
      <c r="I871" s="27">
        <f>일위대가목록!H225</f>
        <v>107465</v>
      </c>
      <c r="J871" s="28">
        <f>TRUNC(I871*C871,1)</f>
        <v>107465</v>
      </c>
      <c r="K871" s="27">
        <f>일위대가목록!J225</f>
        <v>10918</v>
      </c>
      <c r="L871" s="28">
        <f>TRUNC(K871*C871,1)</f>
        <v>10918</v>
      </c>
      <c r="M871" s="86" t="s">
        <v>2856</v>
      </c>
      <c r="N871" t="s">
        <v>2856</v>
      </c>
      <c r="P871" t="s">
        <v>2471</v>
      </c>
      <c r="Q871" t="s">
        <v>2856</v>
      </c>
      <c r="R871" t="s">
        <v>1740</v>
      </c>
      <c r="T871" t="s">
        <v>1778</v>
      </c>
      <c r="BI871" s="34" t="str">
        <f>HYPERLINK("#일위대가목록!A220","NT0763 →")</f>
        <v>NT0763 →</v>
      </c>
    </row>
    <row r="872" spans="1:61" ht="18.399999999999999" hidden="1" customHeight="1" x14ac:dyDescent="0.15">
      <c r="A872" s="2" t="s">
        <v>300</v>
      </c>
      <c r="B872" s="87" t="s">
        <v>1807</v>
      </c>
      <c r="C872" s="2">
        <v>1</v>
      </c>
      <c r="D872" s="2" t="s">
        <v>1302</v>
      </c>
      <c r="E872" s="27">
        <f>G872+I872+K872</f>
        <v>17700</v>
      </c>
      <c r="F872" s="28">
        <f>H872+J872+L872</f>
        <v>17700</v>
      </c>
      <c r="G872" s="27">
        <f>자재조서!E132</f>
        <v>17700</v>
      </c>
      <c r="H872" s="28">
        <f>TRUNC(G872*C872,1)</f>
        <v>17700</v>
      </c>
      <c r="I872" s="27">
        <v>0</v>
      </c>
      <c r="J872" s="28"/>
      <c r="K872" s="27">
        <v>0</v>
      </c>
      <c r="L872" s="28"/>
      <c r="M872" s="86" t="s">
        <v>2856</v>
      </c>
      <c r="N872" t="s">
        <v>2856</v>
      </c>
      <c r="P872" t="s">
        <v>1741</v>
      </c>
      <c r="Q872" t="s">
        <v>2856</v>
      </c>
      <c r="R872" t="s">
        <v>1011</v>
      </c>
      <c r="BI872" s="34" t="str">
        <f>HYPERLINK("#자재조서!A126","MTP-039 →")</f>
        <v>MTP-039 →</v>
      </c>
    </row>
    <row r="873" spans="1:61" ht="18.399999999999999" hidden="1" customHeight="1" x14ac:dyDescent="0.15">
      <c r="A873" s="2" t="s">
        <v>261</v>
      </c>
      <c r="B873" s="87" t="s">
        <v>2437</v>
      </c>
      <c r="C873" s="2">
        <v>30</v>
      </c>
      <c r="D873" s="2" t="s">
        <v>1674</v>
      </c>
      <c r="E873" s="27">
        <f>G873+I873+K873</f>
        <v>433</v>
      </c>
      <c r="F873" s="28">
        <f>H873+J873+L873</f>
        <v>12990</v>
      </c>
      <c r="G873" s="27">
        <f>자재조서!E129</f>
        <v>433</v>
      </c>
      <c r="H873" s="28">
        <f>TRUNC(G873*C873,1)</f>
        <v>12990</v>
      </c>
      <c r="I873" s="27">
        <v>0</v>
      </c>
      <c r="J873" s="28"/>
      <c r="K873" s="27">
        <v>0</v>
      </c>
      <c r="L873" s="28"/>
      <c r="M873" s="86" t="s">
        <v>1601</v>
      </c>
      <c r="N873" t="s">
        <v>2856</v>
      </c>
      <c r="P873" t="s">
        <v>1036</v>
      </c>
      <c r="Q873" t="s">
        <v>1839</v>
      </c>
      <c r="R873" t="s">
        <v>1422</v>
      </c>
      <c r="W873" t="s">
        <v>1601</v>
      </c>
      <c r="BI873" s="34" t="str">
        <f>HYPERLINK("#자재조서!A123","MTP-010 →")</f>
        <v>MTP-010 →</v>
      </c>
    </row>
    <row r="874" spans="1:61" ht="18.399999999999999" hidden="1" customHeight="1" x14ac:dyDescent="0.15">
      <c r="A874" s="1"/>
      <c r="B874" s="87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87"/>
    </row>
    <row r="875" spans="1:61" ht="18.399999999999999" hidden="1" customHeight="1" x14ac:dyDescent="0.15">
      <c r="A875" s="2" t="s">
        <v>2262</v>
      </c>
      <c r="B875" s="87" t="s">
        <v>1377</v>
      </c>
      <c r="C875" s="2">
        <v>1</v>
      </c>
      <c r="D875" s="2" t="s">
        <v>556</v>
      </c>
      <c r="E875" s="184"/>
      <c r="F875" s="29">
        <f>H875+J875+L875</f>
        <v>10972</v>
      </c>
      <c r="G875" s="184"/>
      <c r="H875" s="29">
        <f>TRUNC(H876+H877,0)</f>
        <v>6800</v>
      </c>
      <c r="I875" s="184"/>
      <c r="J875" s="29">
        <f>TRUNC(J876+J877,0)</f>
        <v>4172</v>
      </c>
      <c r="K875" s="184"/>
      <c r="L875" s="29">
        <f>TRUNC(L876+L877,0)</f>
        <v>0</v>
      </c>
      <c r="M875" s="86" t="s">
        <v>2856</v>
      </c>
      <c r="N875" t="s">
        <v>2856</v>
      </c>
      <c r="O875" t="s">
        <v>1161</v>
      </c>
    </row>
    <row r="876" spans="1:61" ht="18.399999999999999" hidden="1" customHeight="1" x14ac:dyDescent="0.15">
      <c r="A876" s="2" t="s">
        <v>867</v>
      </c>
      <c r="B876" s="87" t="s">
        <v>1377</v>
      </c>
      <c r="C876" s="2">
        <v>1</v>
      </c>
      <c r="D876" s="2" t="s">
        <v>556</v>
      </c>
      <c r="E876" s="27">
        <f>G876+I876+K876</f>
        <v>6800</v>
      </c>
      <c r="F876" s="28">
        <f>H876+J876+L876</f>
        <v>6800</v>
      </c>
      <c r="G876" s="27">
        <f>자재조서!E16</f>
        <v>6800</v>
      </c>
      <c r="H876" s="28">
        <f>TRUNC(G876*C876,1)</f>
        <v>6800</v>
      </c>
      <c r="I876" s="27">
        <v>0</v>
      </c>
      <c r="J876" s="28"/>
      <c r="K876" s="27">
        <v>0</v>
      </c>
      <c r="L876" s="28"/>
      <c r="M876" s="86" t="s">
        <v>2856</v>
      </c>
      <c r="N876" t="s">
        <v>2856</v>
      </c>
      <c r="P876" t="s">
        <v>334</v>
      </c>
      <c r="Q876" t="s">
        <v>2856</v>
      </c>
      <c r="R876" t="s">
        <v>1779</v>
      </c>
      <c r="BI876" s="34" t="str">
        <f>HYPERLINK("#자재조서!A15","M2369005 →")</f>
        <v>M2369005 →</v>
      </c>
    </row>
    <row r="877" spans="1:61" ht="18.399999999999999" hidden="1" customHeight="1" x14ac:dyDescent="0.15">
      <c r="A877" s="2" t="s">
        <v>1653</v>
      </c>
      <c r="B877" s="87" t="s">
        <v>2283</v>
      </c>
      <c r="C877" s="2">
        <v>1</v>
      </c>
      <c r="D877" s="2" t="s">
        <v>556</v>
      </c>
      <c r="E877" s="27">
        <f>G877+I877+K877</f>
        <v>4172</v>
      </c>
      <c r="F877" s="28">
        <f>H877+J877+L877</f>
        <v>4172</v>
      </c>
      <c r="G877" s="27">
        <f>일위대가목록!F230</f>
        <v>0</v>
      </c>
      <c r="H877" s="28">
        <f>TRUNC(G877*C877,1)</f>
        <v>0</v>
      </c>
      <c r="I877" s="27">
        <f>일위대가목록!H230</f>
        <v>4172</v>
      </c>
      <c r="J877" s="28">
        <f>TRUNC(I877*C877,1)</f>
        <v>4172</v>
      </c>
      <c r="K877" s="27">
        <f>일위대가목록!J230</f>
        <v>0</v>
      </c>
      <c r="L877" s="28">
        <f>TRUNC(K877*C877,1)</f>
        <v>0</v>
      </c>
      <c r="M877" s="86" t="s">
        <v>2856</v>
      </c>
      <c r="N877" t="s">
        <v>2856</v>
      </c>
      <c r="P877" t="s">
        <v>2471</v>
      </c>
      <c r="Q877" t="s">
        <v>2856</v>
      </c>
      <c r="R877" t="s">
        <v>1186</v>
      </c>
      <c r="T877" t="s">
        <v>1778</v>
      </c>
      <c r="BI877" s="34" t="str">
        <f>HYPERLINK("#일위대가목록!A225","NT0930 →")</f>
        <v>NT0930 →</v>
      </c>
    </row>
    <row r="878" spans="1:61" ht="18.399999999999999" hidden="1" customHeight="1" x14ac:dyDescent="0.15">
      <c r="A878" s="2" t="s">
        <v>261</v>
      </c>
      <c r="B878" s="87" t="s">
        <v>2437</v>
      </c>
      <c r="C878" s="2">
        <v>1</v>
      </c>
      <c r="D878" s="2" t="s">
        <v>1674</v>
      </c>
      <c r="E878" s="27">
        <f>G878+I878+K878</f>
        <v>433</v>
      </c>
      <c r="F878" s="28">
        <f>H878+J878+L878</f>
        <v>433</v>
      </c>
      <c r="G878" s="27">
        <f>자재조서!E129</f>
        <v>433</v>
      </c>
      <c r="H878" s="28">
        <f>TRUNC(G878*C878,1)</f>
        <v>433</v>
      </c>
      <c r="I878" s="27">
        <v>0</v>
      </c>
      <c r="J878" s="28"/>
      <c r="K878" s="27">
        <v>0</v>
      </c>
      <c r="L878" s="28"/>
      <c r="M878" s="86" t="s">
        <v>1601</v>
      </c>
      <c r="N878" t="s">
        <v>2856</v>
      </c>
      <c r="P878" t="s">
        <v>1741</v>
      </c>
      <c r="Q878" t="s">
        <v>1839</v>
      </c>
      <c r="R878" t="s">
        <v>1422</v>
      </c>
      <c r="W878" t="s">
        <v>1601</v>
      </c>
      <c r="BI878" s="34" t="str">
        <f>HYPERLINK("#자재조서!A123","MTP-010 →")</f>
        <v>MTP-010 →</v>
      </c>
    </row>
    <row r="879" spans="1:61" ht="18.399999999999999" hidden="1" customHeight="1" x14ac:dyDescent="0.15">
      <c r="A879" s="1"/>
      <c r="B879" s="87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87"/>
    </row>
    <row r="880" spans="1:61" ht="18.399999999999999" hidden="1" customHeight="1" x14ac:dyDescent="0.15">
      <c r="A880" s="2" t="s">
        <v>1597</v>
      </c>
      <c r="B880" s="87" t="s">
        <v>1407</v>
      </c>
      <c r="C880" s="2">
        <v>1</v>
      </c>
      <c r="D880" s="2" t="s">
        <v>556</v>
      </c>
      <c r="E880" s="184"/>
      <c r="F880" s="29">
        <f>H880+J880+L880</f>
        <v>9322</v>
      </c>
      <c r="G880" s="184"/>
      <c r="H880" s="29">
        <f>TRUNC(H881+H882,0)</f>
        <v>5150</v>
      </c>
      <c r="I880" s="184"/>
      <c r="J880" s="29">
        <f>TRUNC(J881+J882,0)</f>
        <v>4172</v>
      </c>
      <c r="K880" s="184"/>
      <c r="L880" s="29">
        <f>TRUNC(L881+L882,0)</f>
        <v>0</v>
      </c>
      <c r="M880" s="86" t="s">
        <v>2856</v>
      </c>
      <c r="N880" t="s">
        <v>2856</v>
      </c>
      <c r="O880" t="s">
        <v>1178</v>
      </c>
    </row>
    <row r="881" spans="1:61" ht="18.399999999999999" hidden="1" customHeight="1" x14ac:dyDescent="0.15">
      <c r="A881" s="2" t="s">
        <v>1054</v>
      </c>
      <c r="B881" s="87" t="s">
        <v>1407</v>
      </c>
      <c r="C881" s="2">
        <v>1</v>
      </c>
      <c r="D881" s="2" t="s">
        <v>556</v>
      </c>
      <c r="E881" s="27">
        <f>G881+I881+K881</f>
        <v>5150</v>
      </c>
      <c r="F881" s="28">
        <f>H881+J881+L881</f>
        <v>5150</v>
      </c>
      <c r="G881" s="27">
        <f>자재조서!E35</f>
        <v>5150</v>
      </c>
      <c r="H881" s="28">
        <f>TRUNC(G881*C881,1)</f>
        <v>5150</v>
      </c>
      <c r="I881" s="27">
        <v>0</v>
      </c>
      <c r="J881" s="28"/>
      <c r="K881" s="27">
        <v>0</v>
      </c>
      <c r="L881" s="28"/>
      <c r="M881" s="86" t="s">
        <v>2856</v>
      </c>
      <c r="N881" t="s">
        <v>1051</v>
      </c>
      <c r="P881" t="s">
        <v>334</v>
      </c>
      <c r="Q881" t="s">
        <v>2856</v>
      </c>
      <c r="R881" t="s">
        <v>142</v>
      </c>
      <c r="BI881" s="34" t="str">
        <f>HYPERLINK("#자재조서!A34","M2388004 →")</f>
        <v>M2388004 →</v>
      </c>
    </row>
    <row r="882" spans="1:61" ht="18.399999999999999" hidden="1" customHeight="1" x14ac:dyDescent="0.15">
      <c r="A882" s="2" t="s">
        <v>1653</v>
      </c>
      <c r="B882" s="87" t="s">
        <v>2283</v>
      </c>
      <c r="C882" s="2">
        <v>1</v>
      </c>
      <c r="D882" s="2" t="s">
        <v>556</v>
      </c>
      <c r="E882" s="27">
        <f>G882+I882+K882</f>
        <v>4172</v>
      </c>
      <c r="F882" s="28">
        <f>H882+J882+L882</f>
        <v>4172</v>
      </c>
      <c r="G882" s="27">
        <f>일위대가목록!F230</f>
        <v>0</v>
      </c>
      <c r="H882" s="28">
        <f>TRUNC(G882*C882,1)</f>
        <v>0</v>
      </c>
      <c r="I882" s="27">
        <f>일위대가목록!H230</f>
        <v>4172</v>
      </c>
      <c r="J882" s="28">
        <f>TRUNC(I882*C882,1)</f>
        <v>4172</v>
      </c>
      <c r="K882" s="27">
        <f>일위대가목록!J230</f>
        <v>0</v>
      </c>
      <c r="L882" s="28">
        <f>TRUNC(K882*C882,1)</f>
        <v>0</v>
      </c>
      <c r="M882" s="86" t="s">
        <v>2856</v>
      </c>
      <c r="N882" t="s">
        <v>2856</v>
      </c>
      <c r="P882" t="s">
        <v>2471</v>
      </c>
      <c r="Q882" t="s">
        <v>2856</v>
      </c>
      <c r="R882" t="s">
        <v>1186</v>
      </c>
      <c r="T882" t="s">
        <v>1778</v>
      </c>
      <c r="BI882" s="34" t="str">
        <f>HYPERLINK("#일위대가목록!A225","NT0930 →")</f>
        <v>NT0930 →</v>
      </c>
    </row>
    <row r="883" spans="1:61" ht="18.399999999999999" hidden="1" customHeight="1" x14ac:dyDescent="0.15">
      <c r="A883" s="2" t="s">
        <v>261</v>
      </c>
      <c r="B883" s="87" t="s">
        <v>2437</v>
      </c>
      <c r="C883" s="2">
        <v>1</v>
      </c>
      <c r="D883" s="2" t="s">
        <v>1674</v>
      </c>
      <c r="E883" s="27">
        <f>G883+I883+K883</f>
        <v>433</v>
      </c>
      <c r="F883" s="28">
        <f>H883+J883+L883</f>
        <v>433</v>
      </c>
      <c r="G883" s="27">
        <f>자재조서!E129</f>
        <v>433</v>
      </c>
      <c r="H883" s="28">
        <f>TRUNC(G883*C883,1)</f>
        <v>433</v>
      </c>
      <c r="I883" s="27">
        <v>0</v>
      </c>
      <c r="J883" s="28"/>
      <c r="K883" s="27">
        <v>0</v>
      </c>
      <c r="L883" s="28"/>
      <c r="M883" s="86" t="s">
        <v>1601</v>
      </c>
      <c r="N883" t="s">
        <v>2856</v>
      </c>
      <c r="P883" t="s">
        <v>286</v>
      </c>
      <c r="Q883" t="s">
        <v>1839</v>
      </c>
      <c r="R883" t="s">
        <v>1422</v>
      </c>
      <c r="W883" t="s">
        <v>1601</v>
      </c>
      <c r="BI883" s="34" t="str">
        <f>HYPERLINK("#자재조서!A123","MTP-010 →")</f>
        <v>MTP-010 →</v>
      </c>
    </row>
    <row r="884" spans="1:61" ht="18.399999999999999" hidden="1" customHeight="1" x14ac:dyDescent="0.15">
      <c r="A884" s="1"/>
      <c r="B884" s="87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87"/>
    </row>
    <row r="885" spans="1:61" ht="18.399999999999999" hidden="1" customHeight="1" x14ac:dyDescent="0.15">
      <c r="A885" s="2" t="s">
        <v>1968</v>
      </c>
      <c r="B885" s="87" t="s">
        <v>863</v>
      </c>
      <c r="C885" s="2">
        <v>1</v>
      </c>
      <c r="D885" s="2" t="s">
        <v>556</v>
      </c>
      <c r="E885" s="184"/>
      <c r="F885" s="29">
        <f>H885+J885+L885</f>
        <v>6481</v>
      </c>
      <c r="G885" s="184"/>
      <c r="H885" s="29">
        <f>TRUNC(H886+H887,0)</f>
        <v>3700</v>
      </c>
      <c r="I885" s="184"/>
      <c r="J885" s="29">
        <f>TRUNC(J886+J887,0)</f>
        <v>2781</v>
      </c>
      <c r="K885" s="184"/>
      <c r="L885" s="29">
        <f>TRUNC(L886+L887,0)</f>
        <v>0</v>
      </c>
      <c r="M885" s="86" t="s">
        <v>2856</v>
      </c>
      <c r="N885" t="s">
        <v>2856</v>
      </c>
      <c r="O885" t="s">
        <v>245</v>
      </c>
    </row>
    <row r="886" spans="1:61" ht="18.399999999999999" hidden="1" customHeight="1" x14ac:dyDescent="0.15">
      <c r="A886" s="2" t="s">
        <v>2644</v>
      </c>
      <c r="B886" s="87" t="s">
        <v>863</v>
      </c>
      <c r="C886" s="2">
        <v>1</v>
      </c>
      <c r="D886" s="2" t="s">
        <v>556</v>
      </c>
      <c r="E886" s="27">
        <f>G886+I886+K886</f>
        <v>3700</v>
      </c>
      <c r="F886" s="28">
        <f>H886+J886+L886</f>
        <v>3700</v>
      </c>
      <c r="G886" s="27">
        <f>자재조서!E38</f>
        <v>3700</v>
      </c>
      <c r="H886" s="28">
        <f>TRUNC(G886*C886,1)</f>
        <v>3700</v>
      </c>
      <c r="I886" s="27">
        <v>0</v>
      </c>
      <c r="J886" s="28"/>
      <c r="K886" s="27">
        <v>0</v>
      </c>
      <c r="L886" s="28"/>
      <c r="M886" s="86" t="s">
        <v>2856</v>
      </c>
      <c r="N886" t="s">
        <v>859</v>
      </c>
      <c r="P886" t="s">
        <v>334</v>
      </c>
      <c r="Q886" t="s">
        <v>2856</v>
      </c>
      <c r="R886" t="s">
        <v>1316</v>
      </c>
      <c r="BI886" s="34" t="str">
        <f>HYPERLINK("#자재조서!A37","M249000C →")</f>
        <v>M249000C →</v>
      </c>
    </row>
    <row r="887" spans="1:61" ht="18.399999999999999" hidden="1" customHeight="1" x14ac:dyDescent="0.15">
      <c r="A887" s="2" t="s">
        <v>1653</v>
      </c>
      <c r="B887" s="87" t="s">
        <v>2494</v>
      </c>
      <c r="C887" s="2">
        <v>1</v>
      </c>
      <c r="D887" s="2" t="s">
        <v>556</v>
      </c>
      <c r="E887" s="27">
        <f>G887+I887+K887</f>
        <v>2781</v>
      </c>
      <c r="F887" s="28">
        <f>H887+J887+L887</f>
        <v>2781</v>
      </c>
      <c r="G887" s="27">
        <f>일위대가목록!F231</f>
        <v>0</v>
      </c>
      <c r="H887" s="28">
        <f>TRUNC(G887*C887,1)</f>
        <v>0</v>
      </c>
      <c r="I887" s="27">
        <f>일위대가목록!H231</f>
        <v>2781</v>
      </c>
      <c r="J887" s="28">
        <f>TRUNC(I887*C887,1)</f>
        <v>2781</v>
      </c>
      <c r="K887" s="27">
        <f>일위대가목록!J231</f>
        <v>0</v>
      </c>
      <c r="L887" s="28">
        <f>TRUNC(K887*C887,1)</f>
        <v>0</v>
      </c>
      <c r="M887" s="86" t="s">
        <v>2856</v>
      </c>
      <c r="N887" t="s">
        <v>2856</v>
      </c>
      <c r="P887" t="s">
        <v>2471</v>
      </c>
      <c r="Q887" t="s">
        <v>2856</v>
      </c>
      <c r="R887" t="s">
        <v>436</v>
      </c>
      <c r="T887" t="s">
        <v>1778</v>
      </c>
      <c r="BI887" s="34" t="str">
        <f>HYPERLINK("#일위대가목록!A226","NT0920 →")</f>
        <v>NT0920 →</v>
      </c>
    </row>
    <row r="888" spans="1:61" ht="18.399999999999999" hidden="1" customHeight="1" x14ac:dyDescent="0.15">
      <c r="A888" s="2" t="s">
        <v>261</v>
      </c>
      <c r="B888" s="87" t="s">
        <v>2437</v>
      </c>
      <c r="C888" s="2">
        <v>0.5</v>
      </c>
      <c r="D888" s="2" t="s">
        <v>1674</v>
      </c>
      <c r="E888" s="27">
        <f>G888+I888+K888</f>
        <v>433</v>
      </c>
      <c r="F888" s="28">
        <f>H888+J888+L888</f>
        <v>216.5</v>
      </c>
      <c r="G888" s="27">
        <f>자재조서!E129</f>
        <v>433</v>
      </c>
      <c r="H888" s="28">
        <f>TRUNC(G888*C888,1)</f>
        <v>216.5</v>
      </c>
      <c r="I888" s="27">
        <v>0</v>
      </c>
      <c r="J888" s="28"/>
      <c r="K888" s="27">
        <v>0</v>
      </c>
      <c r="L888" s="28"/>
      <c r="M888" s="86" t="s">
        <v>1601</v>
      </c>
      <c r="N888" t="s">
        <v>2856</v>
      </c>
      <c r="P888" t="s">
        <v>1741</v>
      </c>
      <c r="Q888" t="s">
        <v>1839</v>
      </c>
      <c r="R888" t="s">
        <v>1422</v>
      </c>
      <c r="W888" t="s">
        <v>1601</v>
      </c>
      <c r="BI888" s="34" t="str">
        <f>HYPERLINK("#자재조서!A123","MTP-010 →")</f>
        <v>MTP-010 →</v>
      </c>
    </row>
    <row r="889" spans="1:61" ht="18.399999999999999" hidden="1" customHeight="1" x14ac:dyDescent="0.15">
      <c r="A889" s="1"/>
      <c r="B889" s="87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87"/>
    </row>
    <row r="890" spans="1:61" ht="18.399999999999999" hidden="1" customHeight="1" x14ac:dyDescent="0.15">
      <c r="A890" s="2" t="s">
        <v>437</v>
      </c>
      <c r="B890" s="87" t="s">
        <v>2464</v>
      </c>
      <c r="C890" s="2">
        <v>1</v>
      </c>
      <c r="D890" s="2" t="s">
        <v>556</v>
      </c>
      <c r="E890" s="184"/>
      <c r="F890" s="29">
        <f>H890+J890+L890</f>
        <v>11472</v>
      </c>
      <c r="G890" s="184"/>
      <c r="H890" s="29">
        <f>TRUNC(H891+H892,0)</f>
        <v>7300</v>
      </c>
      <c r="I890" s="184"/>
      <c r="J890" s="29">
        <f>TRUNC(J891+J892,0)</f>
        <v>4172</v>
      </c>
      <c r="K890" s="184"/>
      <c r="L890" s="29">
        <f>TRUNC(L891+L892,0)</f>
        <v>0</v>
      </c>
      <c r="M890" s="86" t="s">
        <v>2856</v>
      </c>
      <c r="N890" t="s">
        <v>2856</v>
      </c>
      <c r="O890" t="s">
        <v>416</v>
      </c>
    </row>
    <row r="891" spans="1:61" ht="18.399999999999999" hidden="1" customHeight="1" x14ac:dyDescent="0.15">
      <c r="A891" s="2" t="s">
        <v>2812</v>
      </c>
      <c r="B891" s="87" t="s">
        <v>2464</v>
      </c>
      <c r="C891" s="2">
        <v>1</v>
      </c>
      <c r="D891" s="2" t="s">
        <v>556</v>
      </c>
      <c r="E891" s="27">
        <f>G891+I891+K891</f>
        <v>7300</v>
      </c>
      <c r="F891" s="28">
        <f>H891+J891+L891</f>
        <v>7300</v>
      </c>
      <c r="G891" s="27">
        <f>자재조서!E17</f>
        <v>7300</v>
      </c>
      <c r="H891" s="28">
        <f>TRUNC(G891*C891,1)</f>
        <v>7300</v>
      </c>
      <c r="I891" s="27">
        <v>0</v>
      </c>
      <c r="J891" s="28"/>
      <c r="K891" s="27">
        <v>0</v>
      </c>
      <c r="L891" s="28"/>
      <c r="M891" s="86" t="s">
        <v>2856</v>
      </c>
      <c r="N891" t="s">
        <v>2856</v>
      </c>
      <c r="P891" t="s">
        <v>334</v>
      </c>
      <c r="Q891" t="s">
        <v>2856</v>
      </c>
      <c r="R891" t="s">
        <v>1147</v>
      </c>
      <c r="BI891" s="34" t="str">
        <f>HYPERLINK("#자재조서!A16","M2369110 →")</f>
        <v>M2369110 →</v>
      </c>
    </row>
    <row r="892" spans="1:61" ht="18.399999999999999" hidden="1" customHeight="1" x14ac:dyDescent="0.15">
      <c r="A892" s="2" t="s">
        <v>1653</v>
      </c>
      <c r="B892" s="87" t="s">
        <v>2283</v>
      </c>
      <c r="C892" s="2">
        <v>1</v>
      </c>
      <c r="D892" s="2" t="s">
        <v>556</v>
      </c>
      <c r="E892" s="27">
        <f>G892+I892+K892</f>
        <v>4172</v>
      </c>
      <c r="F892" s="28">
        <f>H892+J892+L892</f>
        <v>4172</v>
      </c>
      <c r="G892" s="27">
        <f>일위대가목록!F230</f>
        <v>0</v>
      </c>
      <c r="H892" s="28">
        <f>TRUNC(G892*C892,1)</f>
        <v>0</v>
      </c>
      <c r="I892" s="27">
        <f>일위대가목록!H230</f>
        <v>4172</v>
      </c>
      <c r="J892" s="28">
        <f>TRUNC(I892*C892,1)</f>
        <v>4172</v>
      </c>
      <c r="K892" s="27">
        <f>일위대가목록!J230</f>
        <v>0</v>
      </c>
      <c r="L892" s="28">
        <f>TRUNC(K892*C892,1)</f>
        <v>0</v>
      </c>
      <c r="M892" s="86" t="s">
        <v>2856</v>
      </c>
      <c r="N892" t="s">
        <v>2856</v>
      </c>
      <c r="P892" t="s">
        <v>2471</v>
      </c>
      <c r="Q892" t="s">
        <v>2856</v>
      </c>
      <c r="R892" t="s">
        <v>1186</v>
      </c>
      <c r="T892" t="s">
        <v>1778</v>
      </c>
      <c r="BI892" s="34" t="str">
        <f>HYPERLINK("#일위대가목록!A225","NT0930 →")</f>
        <v>NT0930 →</v>
      </c>
    </row>
    <row r="893" spans="1:61" ht="18.399999999999999" hidden="1" customHeight="1" x14ac:dyDescent="0.15">
      <c r="A893" s="2" t="s">
        <v>261</v>
      </c>
      <c r="B893" s="87" t="s">
        <v>2437</v>
      </c>
      <c r="C893" s="2">
        <v>1</v>
      </c>
      <c r="D893" s="2" t="s">
        <v>1674</v>
      </c>
      <c r="E893" s="27">
        <f>G893+I893+K893</f>
        <v>433</v>
      </c>
      <c r="F893" s="28">
        <f>H893+J893+L893</f>
        <v>433</v>
      </c>
      <c r="G893" s="27">
        <f>자재조서!E129</f>
        <v>433</v>
      </c>
      <c r="H893" s="28">
        <f>TRUNC(G893*C893,1)</f>
        <v>433</v>
      </c>
      <c r="I893" s="27">
        <v>0</v>
      </c>
      <c r="J893" s="28"/>
      <c r="K893" s="27">
        <v>0</v>
      </c>
      <c r="L893" s="28"/>
      <c r="M893" s="86" t="s">
        <v>1601</v>
      </c>
      <c r="N893" t="s">
        <v>2856</v>
      </c>
      <c r="P893" t="s">
        <v>1741</v>
      </c>
      <c r="Q893" t="s">
        <v>1839</v>
      </c>
      <c r="R893" t="s">
        <v>1422</v>
      </c>
      <c r="W893" t="s">
        <v>1601</v>
      </c>
      <c r="BI893" s="34" t="str">
        <f>HYPERLINK("#자재조서!A123","MTP-010 →")</f>
        <v>MTP-010 →</v>
      </c>
    </row>
    <row r="894" spans="1:61" ht="18.399999999999999" hidden="1" customHeight="1" x14ac:dyDescent="0.15">
      <c r="A894" s="1"/>
      <c r="B894" s="87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87"/>
    </row>
    <row r="895" spans="1:61" ht="18.399999999999999" hidden="1" customHeight="1" x14ac:dyDescent="0.15">
      <c r="A895" s="2" t="s">
        <v>1605</v>
      </c>
      <c r="B895" s="87" t="s">
        <v>1407</v>
      </c>
      <c r="C895" s="2">
        <v>1</v>
      </c>
      <c r="D895" s="2" t="s">
        <v>556</v>
      </c>
      <c r="E895" s="184"/>
      <c r="F895" s="29">
        <f>H895+J895+L895</f>
        <v>9372</v>
      </c>
      <c r="G895" s="184"/>
      <c r="H895" s="29">
        <f>TRUNC(H896+H897,0)</f>
        <v>5200</v>
      </c>
      <c r="I895" s="184"/>
      <c r="J895" s="29">
        <f>TRUNC(J896+J897,0)</f>
        <v>4172</v>
      </c>
      <c r="K895" s="184"/>
      <c r="L895" s="29">
        <f>TRUNC(L896+L897,0)</f>
        <v>0</v>
      </c>
      <c r="M895" s="86" t="s">
        <v>2856</v>
      </c>
      <c r="N895" t="s">
        <v>2856</v>
      </c>
      <c r="O895" t="s">
        <v>2608</v>
      </c>
    </row>
    <row r="896" spans="1:61" ht="18.399999999999999" hidden="1" customHeight="1" x14ac:dyDescent="0.15">
      <c r="A896" s="2" t="s">
        <v>599</v>
      </c>
      <c r="B896" s="87" t="s">
        <v>1407</v>
      </c>
      <c r="C896" s="2">
        <v>1</v>
      </c>
      <c r="D896" s="2" t="s">
        <v>556</v>
      </c>
      <c r="E896" s="27">
        <f>G896+I896+K896</f>
        <v>5200</v>
      </c>
      <c r="F896" s="28">
        <f>H896+J896+L896</f>
        <v>5200</v>
      </c>
      <c r="G896" s="27">
        <f>자재조서!E18</f>
        <v>5200</v>
      </c>
      <c r="H896" s="28">
        <f>TRUNC(G896*C896,1)</f>
        <v>5200</v>
      </c>
      <c r="I896" s="27">
        <v>0</v>
      </c>
      <c r="J896" s="28"/>
      <c r="K896" s="27">
        <v>0</v>
      </c>
      <c r="L896" s="28"/>
      <c r="M896" s="86" t="s">
        <v>2856</v>
      </c>
      <c r="N896" t="s">
        <v>2856</v>
      </c>
      <c r="P896" t="s">
        <v>334</v>
      </c>
      <c r="Q896" t="s">
        <v>2856</v>
      </c>
      <c r="R896" t="s">
        <v>697</v>
      </c>
      <c r="BI896" s="34" t="str">
        <f>HYPERLINK("#자재조서!A17","M2369210 →")</f>
        <v>M2369210 →</v>
      </c>
    </row>
    <row r="897" spans="1:61" ht="18.399999999999999" hidden="1" customHeight="1" x14ac:dyDescent="0.15">
      <c r="A897" s="2" t="s">
        <v>1653</v>
      </c>
      <c r="B897" s="87" t="s">
        <v>2283</v>
      </c>
      <c r="C897" s="2">
        <v>1</v>
      </c>
      <c r="D897" s="2" t="s">
        <v>556</v>
      </c>
      <c r="E897" s="27">
        <f>G897+I897+K897</f>
        <v>4172</v>
      </c>
      <c r="F897" s="28">
        <f>H897+J897+L897</f>
        <v>4172</v>
      </c>
      <c r="G897" s="27">
        <f>일위대가목록!F230</f>
        <v>0</v>
      </c>
      <c r="H897" s="28">
        <f>TRUNC(G897*C897,1)</f>
        <v>0</v>
      </c>
      <c r="I897" s="27">
        <f>일위대가목록!H230</f>
        <v>4172</v>
      </c>
      <c r="J897" s="28">
        <f>TRUNC(I897*C897,1)</f>
        <v>4172</v>
      </c>
      <c r="K897" s="27">
        <f>일위대가목록!J230</f>
        <v>0</v>
      </c>
      <c r="L897" s="28">
        <f>TRUNC(K897*C897,1)</f>
        <v>0</v>
      </c>
      <c r="M897" s="86" t="s">
        <v>2856</v>
      </c>
      <c r="N897" t="s">
        <v>2856</v>
      </c>
      <c r="P897" t="s">
        <v>2471</v>
      </c>
      <c r="Q897" t="s">
        <v>2856</v>
      </c>
      <c r="R897" t="s">
        <v>1186</v>
      </c>
      <c r="T897" t="s">
        <v>1778</v>
      </c>
      <c r="BI897" s="34" t="str">
        <f>HYPERLINK("#일위대가목록!A225","NT0930 →")</f>
        <v>NT0930 →</v>
      </c>
    </row>
    <row r="898" spans="1:61" ht="18.399999999999999" hidden="1" customHeight="1" x14ac:dyDescent="0.15">
      <c r="A898" s="2" t="s">
        <v>261</v>
      </c>
      <c r="B898" s="87" t="s">
        <v>2437</v>
      </c>
      <c r="C898" s="2">
        <v>1</v>
      </c>
      <c r="D898" s="2" t="s">
        <v>1674</v>
      </c>
      <c r="E898" s="27">
        <f>G898+I898+K898</f>
        <v>433</v>
      </c>
      <c r="F898" s="28">
        <f>H898+J898+L898</f>
        <v>433</v>
      </c>
      <c r="G898" s="27">
        <f>자재조서!E129</f>
        <v>433</v>
      </c>
      <c r="H898" s="28">
        <f>TRUNC(G898*C898,1)</f>
        <v>433</v>
      </c>
      <c r="I898" s="27">
        <v>0</v>
      </c>
      <c r="J898" s="28"/>
      <c r="K898" s="27">
        <v>0</v>
      </c>
      <c r="L898" s="28"/>
      <c r="M898" s="86" t="s">
        <v>1601</v>
      </c>
      <c r="N898" t="s">
        <v>2856</v>
      </c>
      <c r="P898" t="s">
        <v>1741</v>
      </c>
      <c r="Q898" t="s">
        <v>1839</v>
      </c>
      <c r="R898" t="s">
        <v>1422</v>
      </c>
      <c r="W898" t="s">
        <v>1601</v>
      </c>
      <c r="BI898" s="34" t="str">
        <f>HYPERLINK("#자재조서!A123","MTP-010 →")</f>
        <v>MTP-010 →</v>
      </c>
    </row>
    <row r="899" spans="1:61" ht="18.399999999999999" hidden="1" customHeight="1" x14ac:dyDescent="0.15">
      <c r="A899" s="1"/>
      <c r="B899" s="87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87"/>
    </row>
    <row r="900" spans="1:61" ht="18.399999999999999" hidden="1" customHeight="1" x14ac:dyDescent="0.15">
      <c r="A900" s="2" t="s">
        <v>2625</v>
      </c>
      <c r="B900" s="87" t="s">
        <v>863</v>
      </c>
      <c r="C900" s="2">
        <v>1</v>
      </c>
      <c r="D900" s="2" t="s">
        <v>556</v>
      </c>
      <c r="E900" s="184"/>
      <c r="F900" s="29">
        <f>H900+J900+L900</f>
        <v>4881</v>
      </c>
      <c r="G900" s="184"/>
      <c r="H900" s="29">
        <f>TRUNC(H901+H902,0)</f>
        <v>2100</v>
      </c>
      <c r="I900" s="184"/>
      <c r="J900" s="29">
        <f>TRUNC(J901+J902,0)</f>
        <v>2781</v>
      </c>
      <c r="K900" s="184"/>
      <c r="L900" s="29">
        <f>TRUNC(L901+L902,0)</f>
        <v>0</v>
      </c>
      <c r="M900" s="86" t="s">
        <v>2856</v>
      </c>
      <c r="N900" t="s">
        <v>2856</v>
      </c>
      <c r="O900" t="s">
        <v>2440</v>
      </c>
    </row>
    <row r="901" spans="1:61" ht="18.399999999999999" hidden="1" customHeight="1" x14ac:dyDescent="0.15">
      <c r="A901" s="2" t="s">
        <v>1858</v>
      </c>
      <c r="B901" s="87" t="s">
        <v>863</v>
      </c>
      <c r="C901" s="2">
        <v>1</v>
      </c>
      <c r="D901" s="2" t="s">
        <v>556</v>
      </c>
      <c r="E901" s="27">
        <f>G901+I901+K901</f>
        <v>2100</v>
      </c>
      <c r="F901" s="28">
        <f>H901+J901+L901</f>
        <v>2100</v>
      </c>
      <c r="G901" s="27">
        <f>자재조서!E19</f>
        <v>2100</v>
      </c>
      <c r="H901" s="28">
        <f>TRUNC(G901*C901,1)</f>
        <v>2100</v>
      </c>
      <c r="I901" s="27">
        <v>0</v>
      </c>
      <c r="J901" s="28"/>
      <c r="K901" s="27">
        <v>0</v>
      </c>
      <c r="L901" s="28"/>
      <c r="M901" s="86" t="s">
        <v>2856</v>
      </c>
      <c r="N901" t="s">
        <v>2856</v>
      </c>
      <c r="P901" t="s">
        <v>334</v>
      </c>
      <c r="Q901" t="s">
        <v>2856</v>
      </c>
      <c r="R901" t="s">
        <v>95</v>
      </c>
      <c r="BI901" s="34" t="str">
        <f>HYPERLINK("#자재조서!A18","M2369310 →")</f>
        <v>M2369310 →</v>
      </c>
    </row>
    <row r="902" spans="1:61" ht="18.399999999999999" hidden="1" customHeight="1" x14ac:dyDescent="0.15">
      <c r="A902" s="2" t="s">
        <v>1653</v>
      </c>
      <c r="B902" s="87" t="s">
        <v>2494</v>
      </c>
      <c r="C902" s="2">
        <v>1</v>
      </c>
      <c r="D902" s="2" t="s">
        <v>556</v>
      </c>
      <c r="E902" s="27">
        <f>G902+I902+K902</f>
        <v>2781</v>
      </c>
      <c r="F902" s="28">
        <f>H902+J902+L902</f>
        <v>2781</v>
      </c>
      <c r="G902" s="27">
        <f>일위대가목록!F231</f>
        <v>0</v>
      </c>
      <c r="H902" s="28">
        <f>TRUNC(G902*C902,1)</f>
        <v>0</v>
      </c>
      <c r="I902" s="27">
        <f>일위대가목록!H231</f>
        <v>2781</v>
      </c>
      <c r="J902" s="28">
        <f>TRUNC(I902*C902,1)</f>
        <v>2781</v>
      </c>
      <c r="K902" s="27">
        <f>일위대가목록!J231</f>
        <v>0</v>
      </c>
      <c r="L902" s="28">
        <f>TRUNC(K902*C902,1)</f>
        <v>0</v>
      </c>
      <c r="M902" s="86" t="s">
        <v>2856</v>
      </c>
      <c r="N902" t="s">
        <v>2856</v>
      </c>
      <c r="P902" t="s">
        <v>2471</v>
      </c>
      <c r="Q902" t="s">
        <v>2856</v>
      </c>
      <c r="R902" t="s">
        <v>436</v>
      </c>
      <c r="T902" t="s">
        <v>1778</v>
      </c>
      <c r="BI902" s="34" t="str">
        <f>HYPERLINK("#일위대가목록!A226","NT0920 →")</f>
        <v>NT0920 →</v>
      </c>
    </row>
    <row r="903" spans="1:61" ht="18.399999999999999" hidden="1" customHeight="1" x14ac:dyDescent="0.15">
      <c r="A903" s="2" t="s">
        <v>261</v>
      </c>
      <c r="B903" s="87" t="s">
        <v>2437</v>
      </c>
      <c r="C903" s="2">
        <v>0.5</v>
      </c>
      <c r="D903" s="2" t="s">
        <v>1674</v>
      </c>
      <c r="E903" s="27">
        <f>G903+I903+K903</f>
        <v>433</v>
      </c>
      <c r="F903" s="28">
        <f>H903+J903+L903</f>
        <v>216.5</v>
      </c>
      <c r="G903" s="27">
        <f>자재조서!E129</f>
        <v>433</v>
      </c>
      <c r="H903" s="28">
        <f>TRUNC(G903*C903,1)</f>
        <v>216.5</v>
      </c>
      <c r="I903" s="27">
        <v>0</v>
      </c>
      <c r="J903" s="28"/>
      <c r="K903" s="27">
        <v>0</v>
      </c>
      <c r="L903" s="28"/>
      <c r="M903" s="86" t="s">
        <v>1601</v>
      </c>
      <c r="N903" t="s">
        <v>2856</v>
      </c>
      <c r="P903" t="s">
        <v>1741</v>
      </c>
      <c r="Q903" t="s">
        <v>1839</v>
      </c>
      <c r="R903" t="s">
        <v>1422</v>
      </c>
      <c r="W903" t="s">
        <v>1601</v>
      </c>
      <c r="BI903" s="34" t="str">
        <f>HYPERLINK("#자재조서!A123","MTP-010 →")</f>
        <v>MTP-010 →</v>
      </c>
    </row>
    <row r="904" spans="1:61" ht="18.399999999999999" hidden="1" customHeight="1" x14ac:dyDescent="0.15">
      <c r="A904" s="1"/>
      <c r="B904" s="87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87"/>
    </row>
    <row r="905" spans="1:61" ht="18.399999999999999" hidden="1" customHeight="1" x14ac:dyDescent="0.15">
      <c r="A905" s="2" t="s">
        <v>1447</v>
      </c>
      <c r="B905" s="87" t="s">
        <v>2656</v>
      </c>
      <c r="C905" s="2">
        <v>1</v>
      </c>
      <c r="D905" s="2" t="s">
        <v>556</v>
      </c>
      <c r="E905" s="184"/>
      <c r="F905" s="29">
        <f>H905+J905+L905</f>
        <v>8381</v>
      </c>
      <c r="G905" s="184"/>
      <c r="H905" s="29">
        <f>TRUNC(H906+H907,0)</f>
        <v>5600</v>
      </c>
      <c r="I905" s="184"/>
      <c r="J905" s="29">
        <f>TRUNC(J906+J907,0)</f>
        <v>2781</v>
      </c>
      <c r="K905" s="184"/>
      <c r="L905" s="29">
        <f>TRUNC(L906+L907,0)</f>
        <v>0</v>
      </c>
      <c r="M905" s="86" t="s">
        <v>2856</v>
      </c>
      <c r="N905" t="s">
        <v>2856</v>
      </c>
      <c r="O905" t="s">
        <v>108</v>
      </c>
    </row>
    <row r="906" spans="1:61" ht="18.399999999999999" hidden="1" customHeight="1" x14ac:dyDescent="0.15">
      <c r="A906" s="2" t="s">
        <v>1800</v>
      </c>
      <c r="B906" s="87" t="s">
        <v>2656</v>
      </c>
      <c r="C906" s="2">
        <v>1</v>
      </c>
      <c r="D906" s="2" t="s">
        <v>556</v>
      </c>
      <c r="E906" s="27">
        <f>G906+I906+K906</f>
        <v>5600</v>
      </c>
      <c r="F906" s="28">
        <f>H906+J906+L906</f>
        <v>5600</v>
      </c>
      <c r="G906" s="27">
        <f>자재조서!E20</f>
        <v>5600</v>
      </c>
      <c r="H906" s="28">
        <f>TRUNC(G906*C906,1)</f>
        <v>5600</v>
      </c>
      <c r="I906" s="27">
        <v>0</v>
      </c>
      <c r="J906" s="28"/>
      <c r="K906" s="27">
        <v>0</v>
      </c>
      <c r="L906" s="28"/>
      <c r="M906" s="86" t="s">
        <v>2856</v>
      </c>
      <c r="N906" t="s">
        <v>2856</v>
      </c>
      <c r="P906" t="s">
        <v>334</v>
      </c>
      <c r="Q906" t="s">
        <v>2856</v>
      </c>
      <c r="R906" t="s">
        <v>1573</v>
      </c>
      <c r="BI906" s="34" t="str">
        <f>HYPERLINK("#자재조서!A19","M2369410 →")</f>
        <v>M2369410 →</v>
      </c>
    </row>
    <row r="907" spans="1:61" ht="18.399999999999999" hidden="1" customHeight="1" x14ac:dyDescent="0.15">
      <c r="A907" s="2" t="s">
        <v>1653</v>
      </c>
      <c r="B907" s="87" t="s">
        <v>2494</v>
      </c>
      <c r="C907" s="2">
        <v>1</v>
      </c>
      <c r="D907" s="2" t="s">
        <v>556</v>
      </c>
      <c r="E907" s="27">
        <f>G907+I907+K907</f>
        <v>2781</v>
      </c>
      <c r="F907" s="28">
        <f>H907+J907+L907</f>
        <v>2781</v>
      </c>
      <c r="G907" s="27">
        <f>일위대가목록!F231</f>
        <v>0</v>
      </c>
      <c r="H907" s="28">
        <f>TRUNC(G907*C907,1)</f>
        <v>0</v>
      </c>
      <c r="I907" s="27">
        <f>일위대가목록!H231</f>
        <v>2781</v>
      </c>
      <c r="J907" s="28">
        <f>TRUNC(I907*C907,1)</f>
        <v>2781</v>
      </c>
      <c r="K907" s="27">
        <f>일위대가목록!J231</f>
        <v>0</v>
      </c>
      <c r="L907" s="28">
        <f>TRUNC(K907*C907,1)</f>
        <v>0</v>
      </c>
      <c r="M907" s="86" t="s">
        <v>2856</v>
      </c>
      <c r="N907" t="s">
        <v>2856</v>
      </c>
      <c r="P907" t="s">
        <v>2471</v>
      </c>
      <c r="Q907" t="s">
        <v>2856</v>
      </c>
      <c r="R907" t="s">
        <v>436</v>
      </c>
      <c r="T907" t="s">
        <v>1778</v>
      </c>
      <c r="BI907" s="34" t="str">
        <f>HYPERLINK("#일위대가목록!A226","NT0920 →")</f>
        <v>NT0920 →</v>
      </c>
    </row>
    <row r="908" spans="1:61" ht="18.399999999999999" hidden="1" customHeight="1" x14ac:dyDescent="0.15">
      <c r="A908" s="2" t="s">
        <v>261</v>
      </c>
      <c r="B908" s="87" t="s">
        <v>2437</v>
      </c>
      <c r="C908" s="2">
        <v>0.5</v>
      </c>
      <c r="D908" s="2" t="s">
        <v>1674</v>
      </c>
      <c r="E908" s="27">
        <f>G908+I908+K908</f>
        <v>433</v>
      </c>
      <c r="F908" s="28">
        <f>H908+J908+L908</f>
        <v>216.5</v>
      </c>
      <c r="G908" s="27">
        <f>자재조서!E129</f>
        <v>433</v>
      </c>
      <c r="H908" s="28">
        <f>TRUNC(G908*C908,1)</f>
        <v>216.5</v>
      </c>
      <c r="I908" s="27">
        <v>0</v>
      </c>
      <c r="J908" s="28"/>
      <c r="K908" s="27">
        <v>0</v>
      </c>
      <c r="L908" s="28"/>
      <c r="M908" s="86" t="s">
        <v>1601</v>
      </c>
      <c r="N908" t="s">
        <v>2856</v>
      </c>
      <c r="P908" t="s">
        <v>1741</v>
      </c>
      <c r="Q908" t="s">
        <v>1839</v>
      </c>
      <c r="R908" t="s">
        <v>1422</v>
      </c>
      <c r="W908" t="s">
        <v>1601</v>
      </c>
      <c r="BI908" s="34" t="str">
        <f>HYPERLINK("#자재조서!A123","MTP-010 →")</f>
        <v>MTP-010 →</v>
      </c>
    </row>
    <row r="909" spans="1:61" ht="18.399999999999999" hidden="1" customHeight="1" x14ac:dyDescent="0.15">
      <c r="A909" s="1"/>
      <c r="B909" s="87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87"/>
    </row>
    <row r="910" spans="1:61" ht="18.399999999999999" hidden="1" customHeight="1" x14ac:dyDescent="0.15">
      <c r="A910" s="2" t="s">
        <v>791</v>
      </c>
      <c r="B910" s="87" t="s">
        <v>863</v>
      </c>
      <c r="C910" s="2">
        <v>1</v>
      </c>
      <c r="D910" s="2" t="s">
        <v>556</v>
      </c>
      <c r="E910" s="184"/>
      <c r="F910" s="29">
        <f>H910+J910+L910</f>
        <v>4881</v>
      </c>
      <c r="G910" s="184"/>
      <c r="H910" s="29">
        <f>TRUNC(H911+H912,0)</f>
        <v>2100</v>
      </c>
      <c r="I910" s="184"/>
      <c r="J910" s="29">
        <f>TRUNC(J911+J912,0)</f>
        <v>2781</v>
      </c>
      <c r="K910" s="184"/>
      <c r="L910" s="29">
        <f>TRUNC(L911+L912,0)</f>
        <v>0</v>
      </c>
      <c r="M910" s="86" t="s">
        <v>2856</v>
      </c>
      <c r="N910" t="s">
        <v>2856</v>
      </c>
      <c r="O910" t="s">
        <v>2080</v>
      </c>
    </row>
    <row r="911" spans="1:61" ht="18.399999999999999" hidden="1" customHeight="1" x14ac:dyDescent="0.15">
      <c r="A911" s="2" t="s">
        <v>239</v>
      </c>
      <c r="B911" s="87" t="s">
        <v>863</v>
      </c>
      <c r="C911" s="2">
        <v>1</v>
      </c>
      <c r="D911" s="2" t="s">
        <v>556</v>
      </c>
      <c r="E911" s="27">
        <f>G911+I911+K911</f>
        <v>2100</v>
      </c>
      <c r="F911" s="28">
        <f>H911+J911+L911</f>
        <v>2100</v>
      </c>
      <c r="G911" s="27">
        <f>자재조서!E21</f>
        <v>2100</v>
      </c>
      <c r="H911" s="28">
        <f>TRUNC(G911*C911,1)</f>
        <v>2100</v>
      </c>
      <c r="I911" s="27">
        <v>0</v>
      </c>
      <c r="J911" s="28"/>
      <c r="K911" s="27">
        <v>0</v>
      </c>
      <c r="L911" s="28"/>
      <c r="M911" s="86" t="s">
        <v>2856</v>
      </c>
      <c r="N911" t="s">
        <v>2856</v>
      </c>
      <c r="P911" t="s">
        <v>334</v>
      </c>
      <c r="Q911" t="s">
        <v>2856</v>
      </c>
      <c r="R911" t="s">
        <v>2086</v>
      </c>
      <c r="BI911" s="34" t="str">
        <f>HYPERLINK("#자재조서!A20","M2369510 →")</f>
        <v>M2369510 →</v>
      </c>
    </row>
    <row r="912" spans="1:61" ht="18.399999999999999" hidden="1" customHeight="1" x14ac:dyDescent="0.15">
      <c r="A912" s="2" t="s">
        <v>1653</v>
      </c>
      <c r="B912" s="87" t="s">
        <v>2494</v>
      </c>
      <c r="C912" s="2">
        <v>1</v>
      </c>
      <c r="D912" s="2" t="s">
        <v>556</v>
      </c>
      <c r="E912" s="27">
        <f>G912+I912+K912</f>
        <v>2781</v>
      </c>
      <c r="F912" s="28">
        <f>H912+J912+L912</f>
        <v>2781</v>
      </c>
      <c r="G912" s="27">
        <f>일위대가목록!F231</f>
        <v>0</v>
      </c>
      <c r="H912" s="28">
        <f>TRUNC(G912*C912,1)</f>
        <v>0</v>
      </c>
      <c r="I912" s="27">
        <f>일위대가목록!H231</f>
        <v>2781</v>
      </c>
      <c r="J912" s="28">
        <f>TRUNC(I912*C912,1)</f>
        <v>2781</v>
      </c>
      <c r="K912" s="27">
        <f>일위대가목록!J231</f>
        <v>0</v>
      </c>
      <c r="L912" s="28">
        <f>TRUNC(K912*C912,1)</f>
        <v>0</v>
      </c>
      <c r="M912" s="86" t="s">
        <v>2856</v>
      </c>
      <c r="N912" t="s">
        <v>2856</v>
      </c>
      <c r="P912" t="s">
        <v>2471</v>
      </c>
      <c r="Q912" t="s">
        <v>2856</v>
      </c>
      <c r="R912" t="s">
        <v>436</v>
      </c>
      <c r="T912" t="s">
        <v>1778</v>
      </c>
      <c r="BI912" s="34" t="str">
        <f>HYPERLINK("#일위대가목록!A226","NT0920 →")</f>
        <v>NT0920 →</v>
      </c>
    </row>
    <row r="913" spans="1:61" ht="18.399999999999999" hidden="1" customHeight="1" x14ac:dyDescent="0.15">
      <c r="A913" s="2" t="s">
        <v>261</v>
      </c>
      <c r="B913" s="87" t="s">
        <v>2437</v>
      </c>
      <c r="C913" s="2">
        <v>0.5</v>
      </c>
      <c r="D913" s="2" t="s">
        <v>1674</v>
      </c>
      <c r="E913" s="27">
        <f>G913+I913+K913</f>
        <v>433</v>
      </c>
      <c r="F913" s="28">
        <f>H913+J913+L913</f>
        <v>216.5</v>
      </c>
      <c r="G913" s="27">
        <f>자재조서!E129</f>
        <v>433</v>
      </c>
      <c r="H913" s="28">
        <f>TRUNC(G913*C913,1)</f>
        <v>216.5</v>
      </c>
      <c r="I913" s="27">
        <v>0</v>
      </c>
      <c r="J913" s="28"/>
      <c r="K913" s="27">
        <v>0</v>
      </c>
      <c r="L913" s="28"/>
      <c r="M913" s="86" t="s">
        <v>1601</v>
      </c>
      <c r="N913" t="s">
        <v>2856</v>
      </c>
      <c r="P913" t="s">
        <v>1741</v>
      </c>
      <c r="Q913" t="s">
        <v>1839</v>
      </c>
      <c r="R913" t="s">
        <v>1422</v>
      </c>
      <c r="W913" t="s">
        <v>1601</v>
      </c>
      <c r="BI913" s="34" t="str">
        <f>HYPERLINK("#자재조서!A123","MTP-010 →")</f>
        <v>MTP-010 →</v>
      </c>
    </row>
    <row r="914" spans="1:61" ht="18.399999999999999" hidden="1" customHeight="1" x14ac:dyDescent="0.15">
      <c r="A914" s="1"/>
      <c r="B914" s="87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87"/>
    </row>
    <row r="915" spans="1:61" ht="18.399999999999999" hidden="1" customHeight="1" x14ac:dyDescent="0.15">
      <c r="A915" s="2" t="s">
        <v>1472</v>
      </c>
      <c r="B915" s="87" t="s">
        <v>1407</v>
      </c>
      <c r="C915" s="2">
        <v>1</v>
      </c>
      <c r="D915" s="2" t="s">
        <v>556</v>
      </c>
      <c r="E915" s="184"/>
      <c r="F915" s="29">
        <f>H915+J915+L915</f>
        <v>18172</v>
      </c>
      <c r="G915" s="184"/>
      <c r="H915" s="29">
        <f>TRUNC(H916+H917,0)</f>
        <v>14000</v>
      </c>
      <c r="I915" s="184"/>
      <c r="J915" s="29">
        <f>TRUNC(J916+J917,0)</f>
        <v>4172</v>
      </c>
      <c r="K915" s="184"/>
      <c r="L915" s="29">
        <f>TRUNC(L916+L917,0)</f>
        <v>0</v>
      </c>
      <c r="M915" s="86" t="s">
        <v>2856</v>
      </c>
      <c r="N915" t="s">
        <v>2856</v>
      </c>
      <c r="O915" t="s">
        <v>1589</v>
      </c>
    </row>
    <row r="916" spans="1:61" ht="18.399999999999999" hidden="1" customHeight="1" x14ac:dyDescent="0.15">
      <c r="A916" s="2" t="s">
        <v>102</v>
      </c>
      <c r="B916" s="87" t="s">
        <v>1407</v>
      </c>
      <c r="C916" s="2">
        <v>1</v>
      </c>
      <c r="D916" s="2" t="s">
        <v>556</v>
      </c>
      <c r="E916" s="27">
        <f>G916+I916+K916</f>
        <v>14000</v>
      </c>
      <c r="F916" s="28">
        <f>H916+J916+L916</f>
        <v>14000</v>
      </c>
      <c r="G916" s="27">
        <f>자재조서!E22</f>
        <v>14000</v>
      </c>
      <c r="H916" s="28">
        <f>TRUNC(G916*C916,1)</f>
        <v>14000</v>
      </c>
      <c r="I916" s="27">
        <v>0</v>
      </c>
      <c r="J916" s="28"/>
      <c r="K916" s="27">
        <v>0</v>
      </c>
      <c r="L916" s="28"/>
      <c r="M916" s="86" t="s">
        <v>2856</v>
      </c>
      <c r="N916" t="s">
        <v>1230</v>
      </c>
      <c r="P916" t="s">
        <v>334</v>
      </c>
      <c r="Q916" t="s">
        <v>2856</v>
      </c>
      <c r="R916" t="s">
        <v>1357</v>
      </c>
      <c r="BI916" s="34" t="str">
        <f>HYPERLINK("#자재조서!A21","M2369520 →")</f>
        <v>M2369520 →</v>
      </c>
    </row>
    <row r="917" spans="1:61" ht="18.399999999999999" hidden="1" customHeight="1" x14ac:dyDescent="0.15">
      <c r="A917" s="2" t="s">
        <v>1653</v>
      </c>
      <c r="B917" s="87" t="s">
        <v>2283</v>
      </c>
      <c r="C917" s="2">
        <v>1</v>
      </c>
      <c r="D917" s="2" t="s">
        <v>556</v>
      </c>
      <c r="E917" s="27">
        <f>G917+I917+K917</f>
        <v>4172</v>
      </c>
      <c r="F917" s="28">
        <f>H917+J917+L917</f>
        <v>4172</v>
      </c>
      <c r="G917" s="27">
        <f>일위대가목록!F230</f>
        <v>0</v>
      </c>
      <c r="H917" s="28">
        <f>TRUNC(G917*C917,1)</f>
        <v>0</v>
      </c>
      <c r="I917" s="27">
        <f>일위대가목록!H230</f>
        <v>4172</v>
      </c>
      <c r="J917" s="28">
        <f>TRUNC(I917*C917,1)</f>
        <v>4172</v>
      </c>
      <c r="K917" s="27">
        <f>일위대가목록!J230</f>
        <v>0</v>
      </c>
      <c r="L917" s="28">
        <f>TRUNC(K917*C917,1)</f>
        <v>0</v>
      </c>
      <c r="M917" s="86" t="s">
        <v>2856</v>
      </c>
      <c r="N917" t="s">
        <v>2856</v>
      </c>
      <c r="P917" t="s">
        <v>2471</v>
      </c>
      <c r="Q917" t="s">
        <v>2856</v>
      </c>
      <c r="R917" t="s">
        <v>1186</v>
      </c>
      <c r="T917" t="s">
        <v>1778</v>
      </c>
      <c r="BI917" s="34" t="str">
        <f>HYPERLINK("#일위대가목록!A225","NT0930 →")</f>
        <v>NT0930 →</v>
      </c>
    </row>
    <row r="918" spans="1:61" ht="18.399999999999999" hidden="1" customHeight="1" x14ac:dyDescent="0.15">
      <c r="A918" s="2" t="s">
        <v>261</v>
      </c>
      <c r="B918" s="87" t="s">
        <v>2437</v>
      </c>
      <c r="C918" s="2">
        <v>1</v>
      </c>
      <c r="D918" s="2" t="s">
        <v>1674</v>
      </c>
      <c r="E918" s="27">
        <f>G918+I918+K918</f>
        <v>433</v>
      </c>
      <c r="F918" s="28">
        <f>H918+J918+L918</f>
        <v>433</v>
      </c>
      <c r="G918" s="27">
        <f>자재조서!E129</f>
        <v>433</v>
      </c>
      <c r="H918" s="28">
        <f>TRUNC(G918*C918,1)</f>
        <v>433</v>
      </c>
      <c r="I918" s="27">
        <v>0</v>
      </c>
      <c r="J918" s="28"/>
      <c r="K918" s="27">
        <v>0</v>
      </c>
      <c r="L918" s="28"/>
      <c r="M918" s="86" t="s">
        <v>1601</v>
      </c>
      <c r="N918" t="s">
        <v>2856</v>
      </c>
      <c r="P918" t="s">
        <v>1741</v>
      </c>
      <c r="Q918" t="s">
        <v>1839</v>
      </c>
      <c r="R918" t="s">
        <v>1422</v>
      </c>
      <c r="W918" t="s">
        <v>1601</v>
      </c>
      <c r="BI918" s="34" t="str">
        <f>HYPERLINK("#자재조서!A123","MTP-010 →")</f>
        <v>MTP-010 →</v>
      </c>
    </row>
    <row r="919" spans="1:61" ht="18.399999999999999" hidden="1" customHeight="1" x14ac:dyDescent="0.15">
      <c r="A919" s="1"/>
      <c r="B919" s="87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87"/>
    </row>
    <row r="920" spans="1:61" ht="18.399999999999999" hidden="1" customHeight="1" x14ac:dyDescent="0.15">
      <c r="A920" s="2" t="s">
        <v>1651</v>
      </c>
      <c r="B920" s="87" t="s">
        <v>2393</v>
      </c>
      <c r="C920" s="2">
        <v>1</v>
      </c>
      <c r="D920" s="2" t="s">
        <v>556</v>
      </c>
      <c r="E920" s="184"/>
      <c r="F920" s="29">
        <f>H920+J920+L920</f>
        <v>10961</v>
      </c>
      <c r="G920" s="184"/>
      <c r="H920" s="29">
        <f>TRUNC(H921+H922,0)</f>
        <v>5000</v>
      </c>
      <c r="I920" s="184"/>
      <c r="J920" s="29">
        <f>TRUNC(J921+J922,0)</f>
        <v>5961</v>
      </c>
      <c r="K920" s="184"/>
      <c r="L920" s="29">
        <f>TRUNC(L921+L922,0)</f>
        <v>0</v>
      </c>
      <c r="M920" s="86" t="s">
        <v>2856</v>
      </c>
      <c r="N920" t="s">
        <v>2856</v>
      </c>
      <c r="O920" t="s">
        <v>1959</v>
      </c>
    </row>
    <row r="921" spans="1:61" ht="18.399999999999999" hidden="1" customHeight="1" x14ac:dyDescent="0.15">
      <c r="A921" s="2" t="s">
        <v>705</v>
      </c>
      <c r="B921" s="87" t="s">
        <v>2393</v>
      </c>
      <c r="C921" s="2">
        <v>1</v>
      </c>
      <c r="D921" s="2" t="s">
        <v>556</v>
      </c>
      <c r="E921" s="27">
        <f>G921+I921+K921</f>
        <v>5000</v>
      </c>
      <c r="F921" s="28">
        <f>H921+J921+L921</f>
        <v>5000</v>
      </c>
      <c r="G921" s="27">
        <f>자재조서!E23</f>
        <v>5000</v>
      </c>
      <c r="H921" s="28">
        <f>TRUNC(G921*C921,1)</f>
        <v>5000</v>
      </c>
      <c r="I921" s="27">
        <v>0</v>
      </c>
      <c r="J921" s="28"/>
      <c r="K921" s="27">
        <v>0</v>
      </c>
      <c r="L921" s="28"/>
      <c r="M921" s="86" t="s">
        <v>2856</v>
      </c>
      <c r="N921" t="s">
        <v>2856</v>
      </c>
      <c r="P921" t="s">
        <v>334</v>
      </c>
      <c r="Q921" t="s">
        <v>2856</v>
      </c>
      <c r="R921" t="s">
        <v>616</v>
      </c>
      <c r="BI921" s="34" t="str">
        <f>HYPERLINK("#자재조서!A22","M2369530 →")</f>
        <v>M2369530 →</v>
      </c>
    </row>
    <row r="922" spans="1:61" ht="18.399999999999999" hidden="1" customHeight="1" x14ac:dyDescent="0.15">
      <c r="A922" s="2" t="s">
        <v>1653</v>
      </c>
      <c r="B922" s="87" t="s">
        <v>2148</v>
      </c>
      <c r="C922" s="2">
        <v>1</v>
      </c>
      <c r="D922" s="2" t="s">
        <v>556</v>
      </c>
      <c r="E922" s="27">
        <f>G922+I922+K922</f>
        <v>5961</v>
      </c>
      <c r="F922" s="28">
        <f>H922+J922+L922</f>
        <v>5961</v>
      </c>
      <c r="G922" s="27">
        <f>일위대가목록!F232</f>
        <v>0</v>
      </c>
      <c r="H922" s="28">
        <f>TRUNC(G922*C922,1)</f>
        <v>0</v>
      </c>
      <c r="I922" s="27">
        <f>일위대가목록!H232</f>
        <v>5961</v>
      </c>
      <c r="J922" s="28">
        <f>TRUNC(I922*C922,1)</f>
        <v>5961</v>
      </c>
      <c r="K922" s="27">
        <f>일위대가목록!J232</f>
        <v>0</v>
      </c>
      <c r="L922" s="28">
        <f>TRUNC(K922*C922,1)</f>
        <v>0</v>
      </c>
      <c r="M922" s="86" t="s">
        <v>2856</v>
      </c>
      <c r="N922" t="s">
        <v>2856</v>
      </c>
      <c r="P922" t="s">
        <v>2471</v>
      </c>
      <c r="Q922" t="s">
        <v>2856</v>
      </c>
      <c r="R922" t="s">
        <v>1943</v>
      </c>
      <c r="T922" t="s">
        <v>1778</v>
      </c>
      <c r="BI922" s="34" t="str">
        <f>HYPERLINK("#일위대가목록!A227","NT0940 →")</f>
        <v>NT0940 →</v>
      </c>
    </row>
    <row r="923" spans="1:61" ht="18.399999999999999" hidden="1" customHeight="1" x14ac:dyDescent="0.15">
      <c r="A923" s="2" t="s">
        <v>261</v>
      </c>
      <c r="B923" s="87" t="s">
        <v>2437</v>
      </c>
      <c r="C923" s="2">
        <v>2</v>
      </c>
      <c r="D923" s="2" t="s">
        <v>1674</v>
      </c>
      <c r="E923" s="27">
        <f>G923+I923+K923</f>
        <v>433</v>
      </c>
      <c r="F923" s="28">
        <f>H923+J923+L923</f>
        <v>866</v>
      </c>
      <c r="G923" s="27">
        <f>자재조서!E129</f>
        <v>433</v>
      </c>
      <c r="H923" s="28">
        <f>TRUNC(G923*C923,1)</f>
        <v>866</v>
      </c>
      <c r="I923" s="27">
        <v>0</v>
      </c>
      <c r="J923" s="28"/>
      <c r="K923" s="27">
        <v>0</v>
      </c>
      <c r="L923" s="28"/>
      <c r="M923" s="86" t="s">
        <v>1601</v>
      </c>
      <c r="N923" t="s">
        <v>2856</v>
      </c>
      <c r="P923" t="s">
        <v>1741</v>
      </c>
      <c r="Q923" t="s">
        <v>1839</v>
      </c>
      <c r="R923" t="s">
        <v>1422</v>
      </c>
      <c r="W923" t="s">
        <v>1601</v>
      </c>
      <c r="BI923" s="34" t="str">
        <f>HYPERLINK("#자재조서!A123","MTP-010 →")</f>
        <v>MTP-010 →</v>
      </c>
    </row>
    <row r="924" spans="1:61" ht="18.399999999999999" hidden="1" customHeight="1" x14ac:dyDescent="0.15">
      <c r="A924" s="1"/>
      <c r="B924" s="87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87"/>
    </row>
    <row r="925" spans="1:61" ht="18.399999999999999" hidden="1" customHeight="1" x14ac:dyDescent="0.15">
      <c r="A925" s="2" t="s">
        <v>704</v>
      </c>
      <c r="B925" s="87" t="s">
        <v>863</v>
      </c>
      <c r="C925" s="2">
        <v>1</v>
      </c>
      <c r="D925" s="2" t="s">
        <v>556</v>
      </c>
      <c r="E925" s="184"/>
      <c r="F925" s="29">
        <f>H925+J925+L925</f>
        <v>4981</v>
      </c>
      <c r="G925" s="184"/>
      <c r="H925" s="29">
        <f>TRUNC(H926+H927,0)</f>
        <v>2200</v>
      </c>
      <c r="I925" s="184"/>
      <c r="J925" s="29">
        <f>TRUNC(J926+J927,0)</f>
        <v>2781</v>
      </c>
      <c r="K925" s="184"/>
      <c r="L925" s="29">
        <f>TRUNC(L926+L927,0)</f>
        <v>0</v>
      </c>
      <c r="M925" s="86" t="s">
        <v>2856</v>
      </c>
      <c r="N925" t="s">
        <v>2856</v>
      </c>
      <c r="O925" t="s">
        <v>339</v>
      </c>
    </row>
    <row r="926" spans="1:61" ht="18.399999999999999" hidden="1" customHeight="1" x14ac:dyDescent="0.15">
      <c r="A926" s="2" t="s">
        <v>753</v>
      </c>
      <c r="B926" s="87" t="s">
        <v>863</v>
      </c>
      <c r="C926" s="2">
        <v>1</v>
      </c>
      <c r="D926" s="2" t="s">
        <v>556</v>
      </c>
      <c r="E926" s="27">
        <f>G926+I926+K926</f>
        <v>2200</v>
      </c>
      <c r="F926" s="28">
        <f>H926+J926+L926</f>
        <v>2200</v>
      </c>
      <c r="G926" s="27">
        <f>자재조서!E24</f>
        <v>2200</v>
      </c>
      <c r="H926" s="28">
        <f>TRUNC(G926*C926,1)</f>
        <v>2200</v>
      </c>
      <c r="I926" s="27">
        <v>0</v>
      </c>
      <c r="J926" s="28"/>
      <c r="K926" s="27">
        <v>0</v>
      </c>
      <c r="L926" s="28"/>
      <c r="M926" s="86" t="s">
        <v>2856</v>
      </c>
      <c r="N926" t="s">
        <v>2856</v>
      </c>
      <c r="P926" t="s">
        <v>334</v>
      </c>
      <c r="Q926" t="s">
        <v>2856</v>
      </c>
      <c r="R926" t="s">
        <v>2134</v>
      </c>
      <c r="BI926" s="34" t="str">
        <f>HYPERLINK("#자재조서!A23","M2369550 →")</f>
        <v>M2369550 →</v>
      </c>
    </row>
    <row r="927" spans="1:61" ht="18.399999999999999" hidden="1" customHeight="1" x14ac:dyDescent="0.15">
      <c r="A927" s="2" t="s">
        <v>1653</v>
      </c>
      <c r="B927" s="87" t="s">
        <v>2494</v>
      </c>
      <c r="C927" s="2">
        <v>1</v>
      </c>
      <c r="D927" s="2" t="s">
        <v>556</v>
      </c>
      <c r="E927" s="27">
        <f>G927+I927+K927</f>
        <v>2781</v>
      </c>
      <c r="F927" s="28">
        <f>H927+J927+L927</f>
        <v>2781</v>
      </c>
      <c r="G927" s="27">
        <f>일위대가목록!F231</f>
        <v>0</v>
      </c>
      <c r="H927" s="28">
        <f>TRUNC(G927*C927,1)</f>
        <v>0</v>
      </c>
      <c r="I927" s="27">
        <f>일위대가목록!H231</f>
        <v>2781</v>
      </c>
      <c r="J927" s="28">
        <f>TRUNC(I927*C927,1)</f>
        <v>2781</v>
      </c>
      <c r="K927" s="27">
        <f>일위대가목록!J231</f>
        <v>0</v>
      </c>
      <c r="L927" s="28">
        <f>TRUNC(K927*C927,1)</f>
        <v>0</v>
      </c>
      <c r="M927" s="86" t="s">
        <v>2856</v>
      </c>
      <c r="N927" t="s">
        <v>2856</v>
      </c>
      <c r="P927" t="s">
        <v>2471</v>
      </c>
      <c r="Q927" t="s">
        <v>2856</v>
      </c>
      <c r="R927" t="s">
        <v>436</v>
      </c>
      <c r="T927" t="s">
        <v>1778</v>
      </c>
      <c r="BI927" s="34" t="str">
        <f>HYPERLINK("#일위대가목록!A226","NT0920 →")</f>
        <v>NT0920 →</v>
      </c>
    </row>
    <row r="928" spans="1:61" ht="18.399999999999999" hidden="1" customHeight="1" x14ac:dyDescent="0.15">
      <c r="A928" s="2" t="s">
        <v>261</v>
      </c>
      <c r="B928" s="87" t="s">
        <v>2437</v>
      </c>
      <c r="C928" s="2">
        <v>0.5</v>
      </c>
      <c r="D928" s="2" t="s">
        <v>1674</v>
      </c>
      <c r="E928" s="27">
        <f>G928+I928+K928</f>
        <v>433</v>
      </c>
      <c r="F928" s="28">
        <f>H928+J928+L928</f>
        <v>216.5</v>
      </c>
      <c r="G928" s="27">
        <f>자재조서!E129</f>
        <v>433</v>
      </c>
      <c r="H928" s="28">
        <f>TRUNC(G928*C928,1)</f>
        <v>216.5</v>
      </c>
      <c r="I928" s="27">
        <v>0</v>
      </c>
      <c r="J928" s="28"/>
      <c r="K928" s="27">
        <v>0</v>
      </c>
      <c r="L928" s="28"/>
      <c r="M928" s="86" t="s">
        <v>1601</v>
      </c>
      <c r="N928" t="s">
        <v>2856</v>
      </c>
      <c r="P928" t="s">
        <v>1741</v>
      </c>
      <c r="Q928" t="s">
        <v>1839</v>
      </c>
      <c r="R928" t="s">
        <v>1422</v>
      </c>
      <c r="W928" t="s">
        <v>1601</v>
      </c>
      <c r="BI928" s="34" t="str">
        <f>HYPERLINK("#자재조서!A123","MTP-010 →")</f>
        <v>MTP-010 →</v>
      </c>
    </row>
    <row r="929" spans="1:61" ht="18.399999999999999" hidden="1" customHeight="1" x14ac:dyDescent="0.15">
      <c r="A929" s="1"/>
      <c r="B929" s="87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87"/>
    </row>
    <row r="930" spans="1:61" ht="18.399999999999999" hidden="1" customHeight="1" x14ac:dyDescent="0.15">
      <c r="A930" s="2" t="s">
        <v>2574</v>
      </c>
      <c r="B930" s="87" t="s">
        <v>863</v>
      </c>
      <c r="C930" s="2">
        <v>1</v>
      </c>
      <c r="D930" s="2" t="s">
        <v>556</v>
      </c>
      <c r="E930" s="184"/>
      <c r="F930" s="29">
        <f>H930+J930+L930</f>
        <v>4681</v>
      </c>
      <c r="G930" s="184"/>
      <c r="H930" s="29">
        <f>TRUNC(H931+H932,0)</f>
        <v>1900</v>
      </c>
      <c r="I930" s="184"/>
      <c r="J930" s="29">
        <f>TRUNC(J931+J932,0)</f>
        <v>2781</v>
      </c>
      <c r="K930" s="184"/>
      <c r="L930" s="29">
        <f>TRUNC(L931+L932,0)</f>
        <v>0</v>
      </c>
      <c r="M930" s="86" t="s">
        <v>2856</v>
      </c>
      <c r="N930" t="s">
        <v>2856</v>
      </c>
      <c r="O930" t="s">
        <v>165</v>
      </c>
    </row>
    <row r="931" spans="1:61" ht="18.399999999999999" hidden="1" customHeight="1" x14ac:dyDescent="0.15">
      <c r="A931" s="2" t="s">
        <v>240</v>
      </c>
      <c r="B931" s="87" t="s">
        <v>863</v>
      </c>
      <c r="C931" s="2">
        <v>1</v>
      </c>
      <c r="D931" s="2" t="s">
        <v>556</v>
      </c>
      <c r="E931" s="27">
        <f>G931+I931+K931</f>
        <v>1900</v>
      </c>
      <c r="F931" s="28">
        <f>H931+J931+L931</f>
        <v>1900</v>
      </c>
      <c r="G931" s="27">
        <f>자재조서!E25</f>
        <v>1900</v>
      </c>
      <c r="H931" s="28">
        <f>TRUNC(G931*C931,1)</f>
        <v>1900</v>
      </c>
      <c r="I931" s="27">
        <v>0</v>
      </c>
      <c r="J931" s="28"/>
      <c r="K931" s="27">
        <v>0</v>
      </c>
      <c r="L931" s="28"/>
      <c r="M931" s="86" t="s">
        <v>2856</v>
      </c>
      <c r="N931" t="s">
        <v>2856</v>
      </c>
      <c r="P931" t="s">
        <v>334</v>
      </c>
      <c r="Q931" t="s">
        <v>2856</v>
      </c>
      <c r="R931" t="s">
        <v>1402</v>
      </c>
      <c r="BI931" s="34" t="str">
        <f>HYPERLINK("#자재조서!A24","M2369560 →")</f>
        <v>M2369560 →</v>
      </c>
    </row>
    <row r="932" spans="1:61" ht="18.399999999999999" hidden="1" customHeight="1" x14ac:dyDescent="0.15">
      <c r="A932" s="2" t="s">
        <v>1653</v>
      </c>
      <c r="B932" s="87" t="s">
        <v>2494</v>
      </c>
      <c r="C932" s="2">
        <v>1</v>
      </c>
      <c r="D932" s="2" t="s">
        <v>556</v>
      </c>
      <c r="E932" s="27">
        <f>G932+I932+K932</f>
        <v>2781</v>
      </c>
      <c r="F932" s="28">
        <f>H932+J932+L932</f>
        <v>2781</v>
      </c>
      <c r="G932" s="27">
        <f>일위대가목록!F231</f>
        <v>0</v>
      </c>
      <c r="H932" s="28">
        <f>TRUNC(G932*C932,1)</f>
        <v>0</v>
      </c>
      <c r="I932" s="27">
        <f>일위대가목록!H231</f>
        <v>2781</v>
      </c>
      <c r="J932" s="28">
        <f>TRUNC(I932*C932,1)</f>
        <v>2781</v>
      </c>
      <c r="K932" s="27">
        <f>일위대가목록!J231</f>
        <v>0</v>
      </c>
      <c r="L932" s="28">
        <f>TRUNC(K932*C932,1)</f>
        <v>0</v>
      </c>
      <c r="M932" s="86" t="s">
        <v>2856</v>
      </c>
      <c r="N932" t="s">
        <v>2856</v>
      </c>
      <c r="P932" t="s">
        <v>2471</v>
      </c>
      <c r="Q932" t="s">
        <v>2856</v>
      </c>
      <c r="R932" t="s">
        <v>436</v>
      </c>
      <c r="T932" t="s">
        <v>1778</v>
      </c>
      <c r="BI932" s="34" t="str">
        <f>HYPERLINK("#일위대가목록!A226","NT0920 →")</f>
        <v>NT0920 →</v>
      </c>
    </row>
    <row r="933" spans="1:61" ht="18.399999999999999" hidden="1" customHeight="1" x14ac:dyDescent="0.15">
      <c r="A933" s="2" t="s">
        <v>261</v>
      </c>
      <c r="B933" s="87" t="s">
        <v>2437</v>
      </c>
      <c r="C933" s="2">
        <v>0.5</v>
      </c>
      <c r="D933" s="2" t="s">
        <v>1674</v>
      </c>
      <c r="E933" s="27">
        <f>G933+I933+K933</f>
        <v>433</v>
      </c>
      <c r="F933" s="28">
        <f>H933+J933+L933</f>
        <v>216.5</v>
      </c>
      <c r="G933" s="27">
        <f>자재조서!E129</f>
        <v>433</v>
      </c>
      <c r="H933" s="28">
        <f>TRUNC(G933*C933,1)</f>
        <v>216.5</v>
      </c>
      <c r="I933" s="27">
        <v>0</v>
      </c>
      <c r="J933" s="28"/>
      <c r="K933" s="27">
        <v>0</v>
      </c>
      <c r="L933" s="28"/>
      <c r="M933" s="86" t="s">
        <v>1601</v>
      </c>
      <c r="N933" t="s">
        <v>2856</v>
      </c>
      <c r="P933" t="s">
        <v>1741</v>
      </c>
      <c r="Q933" t="s">
        <v>1839</v>
      </c>
      <c r="R933" t="s">
        <v>1422</v>
      </c>
      <c r="W933" t="s">
        <v>1601</v>
      </c>
      <c r="BI933" s="34" t="str">
        <f>HYPERLINK("#자재조서!A123","MTP-010 →")</f>
        <v>MTP-010 →</v>
      </c>
    </row>
    <row r="934" spans="1:61" ht="18.399999999999999" hidden="1" customHeight="1" x14ac:dyDescent="0.15">
      <c r="A934" s="1"/>
      <c r="B934" s="87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87"/>
    </row>
    <row r="935" spans="1:61" ht="18.399999999999999" hidden="1" customHeight="1" x14ac:dyDescent="0.15">
      <c r="A935" s="2" t="s">
        <v>1073</v>
      </c>
      <c r="B935" s="87" t="s">
        <v>497</v>
      </c>
      <c r="C935" s="2">
        <v>1</v>
      </c>
      <c r="D935" s="2" t="s">
        <v>556</v>
      </c>
      <c r="E935" s="184"/>
      <c r="F935" s="29">
        <f>H935+J935+L935</f>
        <v>6272</v>
      </c>
      <c r="G935" s="184"/>
      <c r="H935" s="29">
        <f>TRUNC(H936+H937,0)</f>
        <v>2100</v>
      </c>
      <c r="I935" s="184"/>
      <c r="J935" s="29">
        <f>TRUNC(J936+J937,0)</f>
        <v>4172</v>
      </c>
      <c r="K935" s="184"/>
      <c r="L935" s="29">
        <f>TRUNC(L936+L937,0)</f>
        <v>0</v>
      </c>
      <c r="M935" s="86" t="s">
        <v>2856</v>
      </c>
      <c r="N935" t="s">
        <v>2856</v>
      </c>
      <c r="O935" t="s">
        <v>607</v>
      </c>
    </row>
    <row r="936" spans="1:61" ht="18.399999999999999" hidden="1" customHeight="1" x14ac:dyDescent="0.15">
      <c r="A936" s="2" t="s">
        <v>2326</v>
      </c>
      <c r="B936" s="87" t="s">
        <v>497</v>
      </c>
      <c r="C936" s="2">
        <v>1</v>
      </c>
      <c r="D936" s="2" t="s">
        <v>556</v>
      </c>
      <c r="E936" s="27">
        <f>G936+I936+K936</f>
        <v>2100</v>
      </c>
      <c r="F936" s="28">
        <f>H936+J936+L936</f>
        <v>2100</v>
      </c>
      <c r="G936" s="27">
        <f>자재조서!E26</f>
        <v>2100</v>
      </c>
      <c r="H936" s="28">
        <f>TRUNC(G936*C936,1)</f>
        <v>2100</v>
      </c>
      <c r="I936" s="27">
        <v>0</v>
      </c>
      <c r="J936" s="28"/>
      <c r="K936" s="27">
        <v>0</v>
      </c>
      <c r="L936" s="28"/>
      <c r="M936" s="86" t="s">
        <v>2856</v>
      </c>
      <c r="N936" t="s">
        <v>2856</v>
      </c>
      <c r="P936" t="s">
        <v>334</v>
      </c>
      <c r="Q936" t="s">
        <v>2856</v>
      </c>
      <c r="R936" t="s">
        <v>658</v>
      </c>
      <c r="BI936" s="34" t="str">
        <f>HYPERLINK("#자재조서!A25","M2369570 →")</f>
        <v>M2369570 →</v>
      </c>
    </row>
    <row r="937" spans="1:61" ht="18.399999999999999" hidden="1" customHeight="1" x14ac:dyDescent="0.15">
      <c r="A937" s="2" t="s">
        <v>1653</v>
      </c>
      <c r="B937" s="87" t="s">
        <v>2283</v>
      </c>
      <c r="C937" s="2">
        <v>1</v>
      </c>
      <c r="D937" s="2" t="s">
        <v>556</v>
      </c>
      <c r="E937" s="27">
        <f>G937+I937+K937</f>
        <v>4172</v>
      </c>
      <c r="F937" s="28">
        <f>H937+J937+L937</f>
        <v>4172</v>
      </c>
      <c r="G937" s="27">
        <f>일위대가목록!F230</f>
        <v>0</v>
      </c>
      <c r="H937" s="28">
        <f>TRUNC(G937*C937,1)</f>
        <v>0</v>
      </c>
      <c r="I937" s="27">
        <f>일위대가목록!H230</f>
        <v>4172</v>
      </c>
      <c r="J937" s="28">
        <f>TRUNC(I937*C937,1)</f>
        <v>4172</v>
      </c>
      <c r="K937" s="27">
        <f>일위대가목록!J230</f>
        <v>0</v>
      </c>
      <c r="L937" s="28">
        <f>TRUNC(K937*C937,1)</f>
        <v>0</v>
      </c>
      <c r="M937" s="86" t="s">
        <v>2856</v>
      </c>
      <c r="N937" t="s">
        <v>2856</v>
      </c>
      <c r="P937" t="s">
        <v>2471</v>
      </c>
      <c r="Q937" t="s">
        <v>2856</v>
      </c>
      <c r="R937" t="s">
        <v>1186</v>
      </c>
      <c r="T937" t="s">
        <v>1778</v>
      </c>
      <c r="BI937" s="34" t="str">
        <f>HYPERLINK("#일위대가목록!A225","NT0930 →")</f>
        <v>NT0930 →</v>
      </c>
    </row>
    <row r="938" spans="1:61" ht="18.399999999999999" hidden="1" customHeight="1" x14ac:dyDescent="0.15">
      <c r="A938" s="2" t="s">
        <v>261</v>
      </c>
      <c r="B938" s="87" t="s">
        <v>2437</v>
      </c>
      <c r="C938" s="2">
        <v>1</v>
      </c>
      <c r="D938" s="2" t="s">
        <v>1674</v>
      </c>
      <c r="E938" s="27">
        <f>G938+I938+K938</f>
        <v>433</v>
      </c>
      <c r="F938" s="28">
        <f>H938+J938+L938</f>
        <v>433</v>
      </c>
      <c r="G938" s="27">
        <f>자재조서!E129</f>
        <v>433</v>
      </c>
      <c r="H938" s="28">
        <f>TRUNC(G938*C938,1)</f>
        <v>433</v>
      </c>
      <c r="I938" s="27">
        <v>0</v>
      </c>
      <c r="J938" s="28"/>
      <c r="K938" s="27">
        <v>0</v>
      </c>
      <c r="L938" s="28"/>
      <c r="M938" s="86" t="s">
        <v>1601</v>
      </c>
      <c r="N938" t="s">
        <v>2856</v>
      </c>
      <c r="P938" t="s">
        <v>1741</v>
      </c>
      <c r="Q938" t="s">
        <v>1839</v>
      </c>
      <c r="R938" t="s">
        <v>1422</v>
      </c>
      <c r="W938" t="s">
        <v>1601</v>
      </c>
      <c r="BI938" s="34" t="str">
        <f>HYPERLINK("#자재조서!A123","MTP-010 →")</f>
        <v>MTP-010 →</v>
      </c>
    </row>
    <row r="939" spans="1:61" ht="18.399999999999999" hidden="1" customHeight="1" x14ac:dyDescent="0.15">
      <c r="A939" s="1"/>
      <c r="B939" s="87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87"/>
    </row>
    <row r="940" spans="1:61" ht="18.399999999999999" hidden="1" customHeight="1" x14ac:dyDescent="0.15">
      <c r="A940" s="2" t="s">
        <v>2381</v>
      </c>
      <c r="B940" s="87" t="s">
        <v>497</v>
      </c>
      <c r="C940" s="2">
        <v>1</v>
      </c>
      <c r="D940" s="2" t="s">
        <v>556</v>
      </c>
      <c r="E940" s="184"/>
      <c r="F940" s="29">
        <f>H940+J940+L940</f>
        <v>6272</v>
      </c>
      <c r="G940" s="184"/>
      <c r="H940" s="29">
        <f>TRUNC(H941+H942,0)</f>
        <v>2100</v>
      </c>
      <c r="I940" s="184"/>
      <c r="J940" s="29">
        <f>TRUNC(J941+J942,0)</f>
        <v>4172</v>
      </c>
      <c r="K940" s="184"/>
      <c r="L940" s="29">
        <f>TRUNC(L941+L942,0)</f>
        <v>0</v>
      </c>
      <c r="M940" s="86" t="s">
        <v>2856</v>
      </c>
      <c r="N940" t="s">
        <v>2856</v>
      </c>
      <c r="O940" t="s">
        <v>2580</v>
      </c>
    </row>
    <row r="941" spans="1:61" ht="18.399999999999999" hidden="1" customHeight="1" x14ac:dyDescent="0.15">
      <c r="A941" s="2" t="s">
        <v>2326</v>
      </c>
      <c r="B941" s="87" t="s">
        <v>497</v>
      </c>
      <c r="C941" s="2">
        <v>1</v>
      </c>
      <c r="D941" s="2" t="s">
        <v>556</v>
      </c>
      <c r="E941" s="27">
        <f>G941+I941+K941</f>
        <v>2100</v>
      </c>
      <c r="F941" s="28">
        <f>H941+J941+L941</f>
        <v>2100</v>
      </c>
      <c r="G941" s="27">
        <f>자재조서!E26</f>
        <v>2100</v>
      </c>
      <c r="H941" s="28">
        <f>TRUNC(G941*C941,1)</f>
        <v>2100</v>
      </c>
      <c r="I941" s="27">
        <v>0</v>
      </c>
      <c r="J941" s="28"/>
      <c r="K941" s="27">
        <v>0</v>
      </c>
      <c r="L941" s="28"/>
      <c r="M941" s="86" t="s">
        <v>2856</v>
      </c>
      <c r="N941" t="s">
        <v>2856</v>
      </c>
      <c r="P941" t="s">
        <v>334</v>
      </c>
      <c r="Q941" t="s">
        <v>2856</v>
      </c>
      <c r="R941" t="s">
        <v>658</v>
      </c>
      <c r="BI941" s="34" t="str">
        <f>HYPERLINK("#자재조서!A25","M2369570 →")</f>
        <v>M2369570 →</v>
      </c>
    </row>
    <row r="942" spans="1:61" ht="18.399999999999999" hidden="1" customHeight="1" x14ac:dyDescent="0.15">
      <c r="A942" s="2" t="s">
        <v>1653</v>
      </c>
      <c r="B942" s="87" t="s">
        <v>2283</v>
      </c>
      <c r="C942" s="2">
        <v>1</v>
      </c>
      <c r="D942" s="2" t="s">
        <v>556</v>
      </c>
      <c r="E942" s="27">
        <f>G942+I942+K942</f>
        <v>4172</v>
      </c>
      <c r="F942" s="28">
        <f>H942+J942+L942</f>
        <v>4172</v>
      </c>
      <c r="G942" s="27">
        <f>일위대가목록!F230</f>
        <v>0</v>
      </c>
      <c r="H942" s="28">
        <f>TRUNC(G942*C942,1)</f>
        <v>0</v>
      </c>
      <c r="I942" s="27">
        <f>일위대가목록!H230</f>
        <v>4172</v>
      </c>
      <c r="J942" s="28">
        <f>TRUNC(I942*C942,1)</f>
        <v>4172</v>
      </c>
      <c r="K942" s="27">
        <f>일위대가목록!J230</f>
        <v>0</v>
      </c>
      <c r="L942" s="28">
        <f>TRUNC(K942*C942,1)</f>
        <v>0</v>
      </c>
      <c r="M942" s="86" t="s">
        <v>2856</v>
      </c>
      <c r="N942" t="s">
        <v>2856</v>
      </c>
      <c r="P942" t="s">
        <v>2471</v>
      </c>
      <c r="Q942" t="s">
        <v>2856</v>
      </c>
      <c r="R942" t="s">
        <v>1186</v>
      </c>
      <c r="T942" t="s">
        <v>1778</v>
      </c>
      <c r="BI942" s="34" t="str">
        <f>HYPERLINK("#일위대가목록!A225","NT0930 →")</f>
        <v>NT0930 →</v>
      </c>
    </row>
    <row r="943" spans="1:61" ht="18.399999999999999" hidden="1" customHeight="1" x14ac:dyDescent="0.15">
      <c r="A943" s="2" t="s">
        <v>261</v>
      </c>
      <c r="B943" s="87" t="s">
        <v>2437</v>
      </c>
      <c r="C943" s="2">
        <v>1</v>
      </c>
      <c r="D943" s="2" t="s">
        <v>1674</v>
      </c>
      <c r="E943" s="27">
        <f>G943+I943+K943</f>
        <v>433</v>
      </c>
      <c r="F943" s="28">
        <f>H943+J943+L943</f>
        <v>433</v>
      </c>
      <c r="G943" s="27">
        <f>자재조서!E129</f>
        <v>433</v>
      </c>
      <c r="H943" s="28">
        <f>TRUNC(G943*C943,1)</f>
        <v>433</v>
      </c>
      <c r="I943" s="27">
        <v>0</v>
      </c>
      <c r="J943" s="28"/>
      <c r="K943" s="27">
        <v>0</v>
      </c>
      <c r="L943" s="28"/>
      <c r="M943" s="86" t="s">
        <v>1601</v>
      </c>
      <c r="N943" t="s">
        <v>2856</v>
      </c>
      <c r="P943" t="s">
        <v>1741</v>
      </c>
      <c r="Q943" t="s">
        <v>1839</v>
      </c>
      <c r="R943" t="s">
        <v>1422</v>
      </c>
      <c r="W943" t="s">
        <v>1601</v>
      </c>
      <c r="BI943" s="34" t="str">
        <f>HYPERLINK("#자재조서!A123","MTP-010 →")</f>
        <v>MTP-010 →</v>
      </c>
    </row>
    <row r="944" spans="1:61" ht="18.399999999999999" hidden="1" customHeight="1" x14ac:dyDescent="0.15">
      <c r="A944" s="1"/>
      <c r="B944" s="87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87"/>
    </row>
    <row r="945" spans="1:61" ht="18.399999999999999" hidden="1" customHeight="1" x14ac:dyDescent="0.15">
      <c r="A945" s="2" t="s">
        <v>1066</v>
      </c>
      <c r="B945" s="87" t="s">
        <v>747</v>
      </c>
      <c r="C945" s="2">
        <v>1</v>
      </c>
      <c r="D945" s="2" t="s">
        <v>203</v>
      </c>
      <c r="E945" s="184"/>
      <c r="F945" s="29">
        <f>H945+J945+L945</f>
        <v>5309</v>
      </c>
      <c r="G945" s="184"/>
      <c r="H945" s="29">
        <f>TRUNC(H946+H947,0)</f>
        <v>5000</v>
      </c>
      <c r="I945" s="184"/>
      <c r="J945" s="29">
        <f>TRUNC(J946+J947,0)</f>
        <v>309</v>
      </c>
      <c r="K945" s="184"/>
      <c r="L945" s="29">
        <f>TRUNC(L946+L947,0)</f>
        <v>0</v>
      </c>
      <c r="M945" s="86" t="s">
        <v>2856</v>
      </c>
      <c r="N945" t="s">
        <v>2856</v>
      </c>
      <c r="O945" t="s">
        <v>222</v>
      </c>
    </row>
    <row r="946" spans="1:61" ht="18.399999999999999" hidden="1" customHeight="1" x14ac:dyDescent="0.15">
      <c r="A946" s="2" t="s">
        <v>370</v>
      </c>
      <c r="B946" s="87" t="s">
        <v>747</v>
      </c>
      <c r="C946" s="2">
        <v>1</v>
      </c>
      <c r="D946" s="2" t="s">
        <v>203</v>
      </c>
      <c r="E946" s="27">
        <f>G946+I946+K946</f>
        <v>5000</v>
      </c>
      <c r="F946" s="28">
        <f>H946+J946+L946</f>
        <v>5000</v>
      </c>
      <c r="G946" s="27">
        <f>자재조서!E116</f>
        <v>5000</v>
      </c>
      <c r="H946" s="28">
        <f>TRUNC(G946*C946,1)</f>
        <v>5000</v>
      </c>
      <c r="I946" s="27">
        <v>0</v>
      </c>
      <c r="J946" s="28"/>
      <c r="K946" s="27">
        <v>0</v>
      </c>
      <c r="L946" s="28"/>
      <c r="M946" s="86" t="s">
        <v>2856</v>
      </c>
      <c r="N946" t="s">
        <v>2856</v>
      </c>
      <c r="P946" t="s">
        <v>334</v>
      </c>
      <c r="Q946" t="s">
        <v>2856</v>
      </c>
      <c r="R946" t="s">
        <v>2117</v>
      </c>
      <c r="BI946" s="34" t="str">
        <f>HYPERLINK("#자재조서!A111","MT-1181G →")</f>
        <v>MT-1181G →</v>
      </c>
    </row>
    <row r="947" spans="1:61" ht="18.399999999999999" hidden="1" customHeight="1" x14ac:dyDescent="0.15">
      <c r="A947" s="2" t="s">
        <v>655</v>
      </c>
      <c r="B947" s="87" t="s">
        <v>1641</v>
      </c>
      <c r="C947" s="2">
        <v>1</v>
      </c>
      <c r="D947" s="2" t="s">
        <v>203</v>
      </c>
      <c r="E947" s="27">
        <f>G947+I947+K947</f>
        <v>309</v>
      </c>
      <c r="F947" s="28">
        <f>H947+J947+L947</f>
        <v>309</v>
      </c>
      <c r="G947" s="27">
        <f>일위대가목록!F233</f>
        <v>0</v>
      </c>
      <c r="H947" s="28">
        <f>TRUNC(G947*C947,1)</f>
        <v>0</v>
      </c>
      <c r="I947" s="27">
        <f>일위대가목록!H233</f>
        <v>309</v>
      </c>
      <c r="J947" s="28">
        <f>TRUNC(I947*C947,1)</f>
        <v>309</v>
      </c>
      <c r="K947" s="27">
        <f>일위대가목록!J233</f>
        <v>0</v>
      </c>
      <c r="L947" s="28">
        <f>TRUNC(K947*C947,1)</f>
        <v>0</v>
      </c>
      <c r="M947" s="86" t="s">
        <v>2856</v>
      </c>
      <c r="N947" t="s">
        <v>2856</v>
      </c>
      <c r="P947" t="s">
        <v>2471</v>
      </c>
      <c r="Q947" t="s">
        <v>2856</v>
      </c>
      <c r="R947" t="s">
        <v>475</v>
      </c>
      <c r="T947" t="s">
        <v>1778</v>
      </c>
      <c r="BI947" s="34" t="str">
        <f>HYPERLINK("#일위대가목록!A228","NT0960 →")</f>
        <v>NT0960 →</v>
      </c>
    </row>
    <row r="948" spans="1:61" ht="18.399999999999999" hidden="1" customHeight="1" x14ac:dyDescent="0.15">
      <c r="A948" s="2" t="s">
        <v>261</v>
      </c>
      <c r="B948" s="87" t="s">
        <v>2437</v>
      </c>
      <c r="C948" s="2">
        <v>0.1</v>
      </c>
      <c r="D948" s="2" t="s">
        <v>1674</v>
      </c>
      <c r="E948" s="27">
        <f>G948+I948+K948</f>
        <v>433</v>
      </c>
      <c r="F948" s="28">
        <f>H948+J948+L948</f>
        <v>43.3</v>
      </c>
      <c r="G948" s="27">
        <f>자재조서!E129</f>
        <v>433</v>
      </c>
      <c r="H948" s="28">
        <f>TRUNC(G948*C948,1)</f>
        <v>43.3</v>
      </c>
      <c r="I948" s="27">
        <v>0</v>
      </c>
      <c r="J948" s="28"/>
      <c r="K948" s="27">
        <v>0</v>
      </c>
      <c r="L948" s="28"/>
      <c r="M948" s="86" t="s">
        <v>1601</v>
      </c>
      <c r="N948" t="s">
        <v>2856</v>
      </c>
      <c r="P948" t="s">
        <v>1741</v>
      </c>
      <c r="Q948" t="s">
        <v>1839</v>
      </c>
      <c r="R948" t="s">
        <v>1422</v>
      </c>
      <c r="W948" t="s">
        <v>1601</v>
      </c>
      <c r="BI948" s="34" t="str">
        <f>HYPERLINK("#자재조서!A123","MTP-010 →")</f>
        <v>MTP-010 →</v>
      </c>
    </row>
    <row r="949" spans="1:61" ht="18.399999999999999" hidden="1" customHeight="1" x14ac:dyDescent="0.15">
      <c r="A949" s="1"/>
      <c r="B949" s="87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87"/>
    </row>
    <row r="950" spans="1:61" ht="18.399999999999999" hidden="1" customHeight="1" x14ac:dyDescent="0.15">
      <c r="A950" s="2" t="s">
        <v>758</v>
      </c>
      <c r="B950" s="87" t="s">
        <v>1603</v>
      </c>
      <c r="C950" s="2">
        <v>1</v>
      </c>
      <c r="D950" s="2" t="s">
        <v>203</v>
      </c>
      <c r="E950" s="184"/>
      <c r="F950" s="29">
        <f>H950+J950+L950</f>
        <v>1809</v>
      </c>
      <c r="G950" s="184"/>
      <c r="H950" s="29">
        <f>TRUNC(H951+H952,0)</f>
        <v>1500</v>
      </c>
      <c r="I950" s="184"/>
      <c r="J950" s="29">
        <f>TRUNC(J951+J952,0)</f>
        <v>309</v>
      </c>
      <c r="K950" s="184"/>
      <c r="L950" s="29">
        <f>TRUNC(L951+L952,0)</f>
        <v>0</v>
      </c>
      <c r="M950" s="86" t="s">
        <v>2856</v>
      </c>
      <c r="N950" t="s">
        <v>2856</v>
      </c>
      <c r="O950" t="s">
        <v>1972</v>
      </c>
    </row>
    <row r="951" spans="1:61" ht="18.399999999999999" hidden="1" customHeight="1" x14ac:dyDescent="0.15">
      <c r="A951" s="2" t="s">
        <v>2241</v>
      </c>
      <c r="B951" s="87" t="s">
        <v>1603</v>
      </c>
      <c r="C951" s="2">
        <v>1</v>
      </c>
      <c r="D951" s="2" t="s">
        <v>203</v>
      </c>
      <c r="E951" s="27">
        <f>G951+I951+K951</f>
        <v>1500</v>
      </c>
      <c r="F951" s="28">
        <f>H951+J951+L951</f>
        <v>1500</v>
      </c>
      <c r="G951" s="27">
        <f>자재조서!E42</f>
        <v>1500</v>
      </c>
      <c r="H951" s="28">
        <f>TRUNC(G951*C951,1)</f>
        <v>1500</v>
      </c>
      <c r="I951" s="27">
        <v>0</v>
      </c>
      <c r="J951" s="28"/>
      <c r="K951" s="27">
        <v>0</v>
      </c>
      <c r="L951" s="28"/>
      <c r="M951" s="86" t="s">
        <v>2856</v>
      </c>
      <c r="N951" t="s">
        <v>546</v>
      </c>
      <c r="P951" t="s">
        <v>1741</v>
      </c>
      <c r="Q951" t="s">
        <v>2856</v>
      </c>
      <c r="R951" t="s">
        <v>712</v>
      </c>
      <c r="BI951" s="34" t="str">
        <f>HYPERLINK("#자재조서!A41","M25200013 →")</f>
        <v>M25200013 →</v>
      </c>
    </row>
    <row r="952" spans="1:61" ht="18.399999999999999" hidden="1" customHeight="1" x14ac:dyDescent="0.15">
      <c r="A952" s="2" t="s">
        <v>655</v>
      </c>
      <c r="B952" s="87" t="s">
        <v>1641</v>
      </c>
      <c r="C952" s="2">
        <v>1</v>
      </c>
      <c r="D952" s="2" t="s">
        <v>203</v>
      </c>
      <c r="E952" s="27">
        <f>G952+I952+K952</f>
        <v>309</v>
      </c>
      <c r="F952" s="28">
        <f>H952+J952+L952</f>
        <v>309</v>
      </c>
      <c r="G952" s="27">
        <f>일위대가목록!F233</f>
        <v>0</v>
      </c>
      <c r="H952" s="28">
        <f>TRUNC(G952*C952,1)</f>
        <v>0</v>
      </c>
      <c r="I952" s="27">
        <f>일위대가목록!H233</f>
        <v>309</v>
      </c>
      <c r="J952" s="28">
        <f>TRUNC(I952*C952,1)</f>
        <v>309</v>
      </c>
      <c r="K952" s="27">
        <f>일위대가목록!J233</f>
        <v>0</v>
      </c>
      <c r="L952" s="28">
        <f>TRUNC(K952*C952,1)</f>
        <v>0</v>
      </c>
      <c r="M952" s="86" t="s">
        <v>2856</v>
      </c>
      <c r="N952" t="s">
        <v>2856</v>
      </c>
      <c r="P952" t="s">
        <v>1036</v>
      </c>
      <c r="Q952" t="s">
        <v>2856</v>
      </c>
      <c r="R952" t="s">
        <v>475</v>
      </c>
      <c r="T952" t="s">
        <v>1778</v>
      </c>
      <c r="BI952" s="34" t="str">
        <f>HYPERLINK("#일위대가목록!A228","NT0960 →")</f>
        <v>NT0960 →</v>
      </c>
    </row>
    <row r="953" spans="1:61" ht="18.399999999999999" hidden="1" customHeight="1" x14ac:dyDescent="0.15">
      <c r="A953" s="2" t="s">
        <v>261</v>
      </c>
      <c r="B953" s="87" t="s">
        <v>2437</v>
      </c>
      <c r="C953" s="2">
        <v>0.1</v>
      </c>
      <c r="D953" s="2" t="s">
        <v>1674</v>
      </c>
      <c r="E953" s="27">
        <f>G953+I953+K953</f>
        <v>433</v>
      </c>
      <c r="F953" s="28">
        <f>H953+J953+L953</f>
        <v>43.3</v>
      </c>
      <c r="G953" s="27">
        <f>자재조서!E129</f>
        <v>433</v>
      </c>
      <c r="H953" s="28">
        <f>TRUNC(G953*C953,1)</f>
        <v>43.3</v>
      </c>
      <c r="I953" s="27">
        <v>0</v>
      </c>
      <c r="J953" s="28"/>
      <c r="K953" s="27">
        <v>0</v>
      </c>
      <c r="L953" s="28"/>
      <c r="M953" s="86" t="s">
        <v>1601</v>
      </c>
      <c r="N953" t="s">
        <v>2856</v>
      </c>
      <c r="P953" t="s">
        <v>286</v>
      </c>
      <c r="Q953" t="s">
        <v>1839</v>
      </c>
      <c r="R953" t="s">
        <v>1422</v>
      </c>
      <c r="W953" t="s">
        <v>1601</v>
      </c>
      <c r="BI953" s="34" t="str">
        <f>HYPERLINK("#자재조서!A123","MTP-010 →")</f>
        <v>MTP-010 →</v>
      </c>
    </row>
    <row r="954" spans="1:61" ht="18.399999999999999" hidden="1" customHeight="1" x14ac:dyDescent="0.15">
      <c r="A954" s="1"/>
      <c r="B954" s="87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87"/>
    </row>
    <row r="955" spans="1:61" ht="18.399999999999999" hidden="1" customHeight="1" x14ac:dyDescent="0.15">
      <c r="A955" s="2" t="s">
        <v>2717</v>
      </c>
      <c r="B955" s="87" t="s">
        <v>590</v>
      </c>
      <c r="C955" s="2">
        <v>1</v>
      </c>
      <c r="D955" s="2" t="s">
        <v>203</v>
      </c>
      <c r="E955" s="184"/>
      <c r="F955" s="29">
        <f>H955+J955+L955</f>
        <v>4309</v>
      </c>
      <c r="G955" s="184"/>
      <c r="H955" s="29">
        <f>TRUNC(H956+H957,0)</f>
        <v>4000</v>
      </c>
      <c r="I955" s="184"/>
      <c r="J955" s="29">
        <f>TRUNC(J956+J957,0)</f>
        <v>309</v>
      </c>
      <c r="K955" s="184"/>
      <c r="L955" s="29">
        <f>TRUNC(L956+L957,0)</f>
        <v>0</v>
      </c>
      <c r="M955" s="86" t="s">
        <v>2856</v>
      </c>
      <c r="N955" t="s">
        <v>2856</v>
      </c>
      <c r="O955" t="s">
        <v>1412</v>
      </c>
    </row>
    <row r="956" spans="1:61" ht="18.399999999999999" hidden="1" customHeight="1" x14ac:dyDescent="0.15">
      <c r="A956" s="2" t="s">
        <v>181</v>
      </c>
      <c r="B956" s="87" t="s">
        <v>590</v>
      </c>
      <c r="C956" s="2">
        <v>1</v>
      </c>
      <c r="D956" s="2" t="s">
        <v>203</v>
      </c>
      <c r="E956" s="27">
        <f>G956+I956+K956</f>
        <v>4000</v>
      </c>
      <c r="F956" s="28">
        <f>H956+J956+L956</f>
        <v>4000</v>
      </c>
      <c r="G956" s="27">
        <f>자재조서!E45</f>
        <v>4000</v>
      </c>
      <c r="H956" s="28">
        <f>TRUNC(G956*C956,1)</f>
        <v>4000</v>
      </c>
      <c r="I956" s="27">
        <v>0</v>
      </c>
      <c r="J956" s="28"/>
      <c r="K956" s="27">
        <v>0</v>
      </c>
      <c r="L956" s="28"/>
      <c r="M956" s="86" t="s">
        <v>2856</v>
      </c>
      <c r="N956" t="s">
        <v>546</v>
      </c>
      <c r="P956" t="s">
        <v>334</v>
      </c>
      <c r="Q956" t="s">
        <v>2856</v>
      </c>
      <c r="R956" t="s">
        <v>1278</v>
      </c>
      <c r="BI956" s="34" t="str">
        <f>HYPERLINK("#자재조서!A44","M2520006 →")</f>
        <v>M2520006 →</v>
      </c>
    </row>
    <row r="957" spans="1:61" ht="18.399999999999999" hidden="1" customHeight="1" x14ac:dyDescent="0.15">
      <c r="A957" s="2" t="s">
        <v>655</v>
      </c>
      <c r="B957" s="87" t="s">
        <v>1641</v>
      </c>
      <c r="C957" s="2">
        <v>1</v>
      </c>
      <c r="D957" s="2" t="s">
        <v>203</v>
      </c>
      <c r="E957" s="27">
        <f>G957+I957+K957</f>
        <v>309</v>
      </c>
      <c r="F957" s="28">
        <f>H957+J957+L957</f>
        <v>309</v>
      </c>
      <c r="G957" s="27">
        <f>일위대가목록!F233</f>
        <v>0</v>
      </c>
      <c r="H957" s="28">
        <f>TRUNC(G957*C957,1)</f>
        <v>0</v>
      </c>
      <c r="I957" s="27">
        <f>일위대가목록!H233</f>
        <v>309</v>
      </c>
      <c r="J957" s="28">
        <f>TRUNC(I957*C957,1)</f>
        <v>309</v>
      </c>
      <c r="K957" s="27">
        <f>일위대가목록!J233</f>
        <v>0</v>
      </c>
      <c r="L957" s="28">
        <f>TRUNC(K957*C957,1)</f>
        <v>0</v>
      </c>
      <c r="M957" s="86" t="s">
        <v>2856</v>
      </c>
      <c r="N957" t="s">
        <v>2856</v>
      </c>
      <c r="P957" t="s">
        <v>2471</v>
      </c>
      <c r="Q957" t="s">
        <v>2856</v>
      </c>
      <c r="R957" t="s">
        <v>475</v>
      </c>
      <c r="T957" t="s">
        <v>1778</v>
      </c>
      <c r="BI957" s="34" t="str">
        <f>HYPERLINK("#일위대가목록!A228","NT0960 →")</f>
        <v>NT0960 →</v>
      </c>
    </row>
    <row r="958" spans="1:61" ht="18.399999999999999" hidden="1" customHeight="1" x14ac:dyDescent="0.15">
      <c r="A958" s="2" t="s">
        <v>261</v>
      </c>
      <c r="B958" s="87" t="s">
        <v>2437</v>
      </c>
      <c r="C958" s="2">
        <v>0.1</v>
      </c>
      <c r="D958" s="2" t="s">
        <v>1674</v>
      </c>
      <c r="E958" s="27">
        <f>G958+I958+K958</f>
        <v>433</v>
      </c>
      <c r="F958" s="28">
        <f>H958+J958+L958</f>
        <v>43.3</v>
      </c>
      <c r="G958" s="27">
        <f>자재조서!E129</f>
        <v>433</v>
      </c>
      <c r="H958" s="28">
        <f>TRUNC(G958*C958,1)</f>
        <v>43.3</v>
      </c>
      <c r="I958" s="27">
        <v>0</v>
      </c>
      <c r="J958" s="28"/>
      <c r="K958" s="27">
        <v>0</v>
      </c>
      <c r="L958" s="28"/>
      <c r="M958" s="86" t="s">
        <v>1601</v>
      </c>
      <c r="N958" t="s">
        <v>2856</v>
      </c>
      <c r="P958" t="s">
        <v>1741</v>
      </c>
      <c r="Q958" t="s">
        <v>1839</v>
      </c>
      <c r="R958" t="s">
        <v>1422</v>
      </c>
      <c r="W958" t="s">
        <v>1601</v>
      </c>
      <c r="BI958" s="34" t="str">
        <f>HYPERLINK("#자재조서!A123","MTP-010 →")</f>
        <v>MTP-010 →</v>
      </c>
    </row>
    <row r="959" spans="1:61" ht="18.399999999999999" hidden="1" customHeight="1" x14ac:dyDescent="0.15">
      <c r="A959" s="1"/>
      <c r="B959" s="87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87"/>
    </row>
    <row r="960" spans="1:61" ht="18.399999999999999" hidden="1" customHeight="1" x14ac:dyDescent="0.15">
      <c r="A960" s="2" t="s">
        <v>2108</v>
      </c>
      <c r="B960" s="87" t="s">
        <v>763</v>
      </c>
      <c r="C960" s="2">
        <v>1</v>
      </c>
      <c r="D960" s="2" t="s">
        <v>203</v>
      </c>
      <c r="E960" s="184"/>
      <c r="F960" s="29">
        <f>H960+J960+L960</f>
        <v>4309</v>
      </c>
      <c r="G960" s="184"/>
      <c r="H960" s="29">
        <f>TRUNC(H961+H962,0)</f>
        <v>4000</v>
      </c>
      <c r="I960" s="184"/>
      <c r="J960" s="29">
        <f>TRUNC(J961+J962,0)</f>
        <v>309</v>
      </c>
      <c r="K960" s="184"/>
      <c r="L960" s="29">
        <f>TRUNC(L961+L962,0)</f>
        <v>0</v>
      </c>
      <c r="M960" s="86" t="s">
        <v>2856</v>
      </c>
      <c r="N960" t="s">
        <v>2856</v>
      </c>
      <c r="O960" t="s">
        <v>927</v>
      </c>
    </row>
    <row r="961" spans="1:61" ht="18.399999999999999" hidden="1" customHeight="1" x14ac:dyDescent="0.15">
      <c r="A961" s="2" t="s">
        <v>427</v>
      </c>
      <c r="B961" s="87" t="s">
        <v>763</v>
      </c>
      <c r="C961" s="2">
        <v>1</v>
      </c>
      <c r="D961" s="2" t="s">
        <v>203</v>
      </c>
      <c r="E961" s="27">
        <f>G961+I961+K961</f>
        <v>4000</v>
      </c>
      <c r="F961" s="28">
        <f>H961+J961+L961</f>
        <v>4000</v>
      </c>
      <c r="G961" s="27">
        <f>자재조서!E46</f>
        <v>4000</v>
      </c>
      <c r="H961" s="28">
        <f>TRUNC(G961*C961,1)</f>
        <v>4000</v>
      </c>
      <c r="I961" s="27">
        <v>0</v>
      </c>
      <c r="J961" s="28"/>
      <c r="K961" s="27">
        <v>0</v>
      </c>
      <c r="L961" s="28"/>
      <c r="M961" s="86" t="s">
        <v>2856</v>
      </c>
      <c r="N961" t="s">
        <v>546</v>
      </c>
      <c r="P961" t="s">
        <v>334</v>
      </c>
      <c r="Q961" t="s">
        <v>2856</v>
      </c>
      <c r="R961" t="s">
        <v>1310</v>
      </c>
      <c r="BI961" s="34" t="str">
        <f>HYPERLINK("#자재조서!A45","M2520008 →")</f>
        <v>M2520008 →</v>
      </c>
    </row>
    <row r="962" spans="1:61" ht="18.399999999999999" hidden="1" customHeight="1" x14ac:dyDescent="0.15">
      <c r="A962" s="2" t="s">
        <v>655</v>
      </c>
      <c r="B962" s="87" t="s">
        <v>1641</v>
      </c>
      <c r="C962" s="2">
        <v>1</v>
      </c>
      <c r="D962" s="2" t="s">
        <v>203</v>
      </c>
      <c r="E962" s="27">
        <f>G962+I962+K962</f>
        <v>309</v>
      </c>
      <c r="F962" s="28">
        <f>H962+J962+L962</f>
        <v>309</v>
      </c>
      <c r="G962" s="27">
        <f>일위대가목록!F233</f>
        <v>0</v>
      </c>
      <c r="H962" s="28">
        <f>TRUNC(G962*C962,1)</f>
        <v>0</v>
      </c>
      <c r="I962" s="27">
        <f>일위대가목록!H233</f>
        <v>309</v>
      </c>
      <c r="J962" s="28">
        <f>TRUNC(I962*C962,1)</f>
        <v>309</v>
      </c>
      <c r="K962" s="27">
        <f>일위대가목록!J233</f>
        <v>0</v>
      </c>
      <c r="L962" s="28">
        <f>TRUNC(K962*C962,1)</f>
        <v>0</v>
      </c>
      <c r="M962" s="86" t="s">
        <v>2856</v>
      </c>
      <c r="N962" t="s">
        <v>2856</v>
      </c>
      <c r="P962" t="s">
        <v>2471</v>
      </c>
      <c r="Q962" t="s">
        <v>2856</v>
      </c>
      <c r="R962" t="s">
        <v>475</v>
      </c>
      <c r="T962" t="s">
        <v>1778</v>
      </c>
      <c r="BI962" s="34" t="str">
        <f>HYPERLINK("#일위대가목록!A228","NT0960 →")</f>
        <v>NT0960 →</v>
      </c>
    </row>
    <row r="963" spans="1:61" ht="18.399999999999999" hidden="1" customHeight="1" x14ac:dyDescent="0.15">
      <c r="A963" s="2" t="s">
        <v>261</v>
      </c>
      <c r="B963" s="87" t="s">
        <v>2437</v>
      </c>
      <c r="C963" s="2">
        <v>0.1</v>
      </c>
      <c r="D963" s="2" t="s">
        <v>1674</v>
      </c>
      <c r="E963" s="27">
        <f>G963+I963+K963</f>
        <v>433</v>
      </c>
      <c r="F963" s="28">
        <f>H963+J963+L963</f>
        <v>43.3</v>
      </c>
      <c r="G963" s="27">
        <f>자재조서!E129</f>
        <v>433</v>
      </c>
      <c r="H963" s="28">
        <f>TRUNC(G963*C963,1)</f>
        <v>43.3</v>
      </c>
      <c r="I963" s="27">
        <v>0</v>
      </c>
      <c r="J963" s="28"/>
      <c r="K963" s="27">
        <v>0</v>
      </c>
      <c r="L963" s="28"/>
      <c r="M963" s="86" t="s">
        <v>1601</v>
      </c>
      <c r="N963" t="s">
        <v>2856</v>
      </c>
      <c r="P963" t="s">
        <v>1741</v>
      </c>
      <c r="Q963" t="s">
        <v>1839</v>
      </c>
      <c r="R963" t="s">
        <v>1422</v>
      </c>
      <c r="W963" t="s">
        <v>1601</v>
      </c>
      <c r="BI963" s="34" t="str">
        <f>HYPERLINK("#자재조서!A123","MTP-010 →")</f>
        <v>MTP-010 →</v>
      </c>
    </row>
    <row r="964" spans="1:61" ht="18.399999999999999" hidden="1" customHeight="1" x14ac:dyDescent="0.15">
      <c r="A964" s="1"/>
      <c r="B964" s="87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87"/>
    </row>
    <row r="965" spans="1:61" ht="18.399999999999999" hidden="1" customHeight="1" x14ac:dyDescent="0.15">
      <c r="A965" s="2" t="s">
        <v>1693</v>
      </c>
      <c r="B965" s="87" t="s">
        <v>2575</v>
      </c>
      <c r="C965" s="2">
        <v>1</v>
      </c>
      <c r="D965" s="2" t="s">
        <v>203</v>
      </c>
      <c r="E965" s="184"/>
      <c r="F965" s="29">
        <f>H965+J965+L965</f>
        <v>809</v>
      </c>
      <c r="G965" s="184"/>
      <c r="H965" s="29">
        <f>TRUNC(H966+H967,0)</f>
        <v>500</v>
      </c>
      <c r="I965" s="184"/>
      <c r="J965" s="29">
        <f>TRUNC(J966+J967,0)</f>
        <v>309</v>
      </c>
      <c r="K965" s="184"/>
      <c r="L965" s="29">
        <f>TRUNC(L966+L967,0)</f>
        <v>0</v>
      </c>
      <c r="M965" s="86" t="s">
        <v>2856</v>
      </c>
      <c r="N965" t="s">
        <v>2856</v>
      </c>
      <c r="O965" t="s">
        <v>1126</v>
      </c>
    </row>
    <row r="966" spans="1:61" ht="18.399999999999999" hidden="1" customHeight="1" x14ac:dyDescent="0.15">
      <c r="A966" s="2" t="s">
        <v>1135</v>
      </c>
      <c r="B966" s="87" t="s">
        <v>1898</v>
      </c>
      <c r="C966" s="2">
        <v>1</v>
      </c>
      <c r="D966" s="2" t="s">
        <v>203</v>
      </c>
      <c r="E966" s="27">
        <f>G966+I966+K966</f>
        <v>500</v>
      </c>
      <c r="F966" s="28">
        <f>H966+J966+L966</f>
        <v>500</v>
      </c>
      <c r="G966" s="27">
        <f>자재조서!E39</f>
        <v>500</v>
      </c>
      <c r="H966" s="28">
        <f>TRUNC(G966*C966,1)</f>
        <v>500</v>
      </c>
      <c r="I966" s="27">
        <v>0</v>
      </c>
      <c r="J966" s="28"/>
      <c r="K966" s="27">
        <v>0</v>
      </c>
      <c r="L966" s="28"/>
      <c r="M966" s="86" t="s">
        <v>2856</v>
      </c>
      <c r="N966" t="s">
        <v>748</v>
      </c>
      <c r="P966" t="s">
        <v>334</v>
      </c>
      <c r="Q966" t="s">
        <v>2856</v>
      </c>
      <c r="R966" t="s">
        <v>997</v>
      </c>
      <c r="BI966" s="34" t="str">
        <f>HYPERLINK("#자재조서!A38","M25080042 →")</f>
        <v>M25080042 →</v>
      </c>
    </row>
    <row r="967" spans="1:61" ht="18.399999999999999" hidden="1" customHeight="1" x14ac:dyDescent="0.15">
      <c r="A967" s="2" t="s">
        <v>655</v>
      </c>
      <c r="B967" s="87" t="s">
        <v>1641</v>
      </c>
      <c r="C967" s="2">
        <v>1</v>
      </c>
      <c r="D967" s="2" t="s">
        <v>203</v>
      </c>
      <c r="E967" s="27">
        <f>G967+I967+K967</f>
        <v>309</v>
      </c>
      <c r="F967" s="28">
        <f>H967+J967+L967</f>
        <v>309</v>
      </c>
      <c r="G967" s="27">
        <f>일위대가목록!F233</f>
        <v>0</v>
      </c>
      <c r="H967" s="28">
        <f>TRUNC(G967*C967,1)</f>
        <v>0</v>
      </c>
      <c r="I967" s="27">
        <f>일위대가목록!H233</f>
        <v>309</v>
      </c>
      <c r="J967" s="28">
        <f>TRUNC(I967*C967,1)</f>
        <v>309</v>
      </c>
      <c r="K967" s="27">
        <f>일위대가목록!J233</f>
        <v>0</v>
      </c>
      <c r="L967" s="28">
        <f>TRUNC(K967*C967,1)</f>
        <v>0</v>
      </c>
      <c r="M967" s="86" t="s">
        <v>2856</v>
      </c>
      <c r="N967" t="s">
        <v>2856</v>
      </c>
      <c r="P967" t="s">
        <v>2471</v>
      </c>
      <c r="Q967" t="s">
        <v>2856</v>
      </c>
      <c r="R967" t="s">
        <v>475</v>
      </c>
      <c r="T967" t="s">
        <v>1778</v>
      </c>
      <c r="BI967" s="34" t="str">
        <f>HYPERLINK("#일위대가목록!A228","NT0960 →")</f>
        <v>NT0960 →</v>
      </c>
    </row>
    <row r="968" spans="1:61" ht="18.399999999999999" hidden="1" customHeight="1" x14ac:dyDescent="0.15">
      <c r="A968" s="2" t="s">
        <v>261</v>
      </c>
      <c r="B968" s="87" t="s">
        <v>2437</v>
      </c>
      <c r="C968" s="2">
        <v>0.1</v>
      </c>
      <c r="D968" s="2" t="s">
        <v>1674</v>
      </c>
      <c r="E968" s="27">
        <f>G968+I968+K968</f>
        <v>433</v>
      </c>
      <c r="F968" s="28">
        <f>H968+J968+L968</f>
        <v>43.3</v>
      </c>
      <c r="G968" s="27">
        <f>자재조서!E129</f>
        <v>433</v>
      </c>
      <c r="H968" s="28">
        <f>TRUNC(G968*C968,1)</f>
        <v>43.3</v>
      </c>
      <c r="I968" s="27">
        <v>0</v>
      </c>
      <c r="J968" s="28"/>
      <c r="K968" s="27">
        <v>0</v>
      </c>
      <c r="L968" s="28"/>
      <c r="M968" s="86" t="s">
        <v>2856</v>
      </c>
      <c r="N968" t="s">
        <v>2856</v>
      </c>
      <c r="P968" t="s">
        <v>1741</v>
      </c>
      <c r="Q968" t="s">
        <v>1839</v>
      </c>
      <c r="R968" t="s">
        <v>1422</v>
      </c>
      <c r="BI968" s="34" t="str">
        <f>HYPERLINK("#자재조서!A123","MTP-010 →")</f>
        <v>MTP-010 →</v>
      </c>
    </row>
    <row r="969" spans="1:61" ht="18.399999999999999" hidden="1" customHeight="1" x14ac:dyDescent="0.15">
      <c r="A969" s="1"/>
      <c r="B969" s="87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87"/>
    </row>
    <row r="970" spans="1:61" ht="18.399999999999999" hidden="1" customHeight="1" x14ac:dyDescent="0.15">
      <c r="A970" s="2" t="s">
        <v>698</v>
      </c>
      <c r="B970" s="87" t="s">
        <v>2796</v>
      </c>
      <c r="C970" s="2">
        <v>1</v>
      </c>
      <c r="D970" s="2" t="s">
        <v>203</v>
      </c>
      <c r="E970" s="184"/>
      <c r="F970" s="29">
        <f>H970+J970+L970</f>
        <v>5309</v>
      </c>
      <c r="G970" s="184"/>
      <c r="H970" s="29">
        <f>TRUNC(H971+H972,0)</f>
        <v>5000</v>
      </c>
      <c r="I970" s="184"/>
      <c r="J970" s="29">
        <f>TRUNC(J971+J972,0)</f>
        <v>309</v>
      </c>
      <c r="K970" s="184"/>
      <c r="L970" s="29">
        <f>TRUNC(L971+L972,0)</f>
        <v>0</v>
      </c>
      <c r="M970" s="86" t="s">
        <v>2856</v>
      </c>
      <c r="N970" t="s">
        <v>2856</v>
      </c>
      <c r="O970" t="s">
        <v>2358</v>
      </c>
    </row>
    <row r="971" spans="1:61" ht="18.399999999999999" hidden="1" customHeight="1" x14ac:dyDescent="0.15">
      <c r="A971" s="2" t="s">
        <v>1775</v>
      </c>
      <c r="B971" s="87" t="s">
        <v>2465</v>
      </c>
      <c r="C971" s="2">
        <v>1</v>
      </c>
      <c r="D971" s="2" t="s">
        <v>203</v>
      </c>
      <c r="E971" s="27">
        <f>G971+I971+K971</f>
        <v>5000</v>
      </c>
      <c r="F971" s="28">
        <f>H971+J971+L971</f>
        <v>5000</v>
      </c>
      <c r="G971" s="27">
        <f>자재조서!E117</f>
        <v>5000</v>
      </c>
      <c r="H971" s="28">
        <f>TRUNC(G971*C971,1)</f>
        <v>5000</v>
      </c>
      <c r="I971" s="27">
        <v>0</v>
      </c>
      <c r="J971" s="28"/>
      <c r="K971" s="27">
        <v>0</v>
      </c>
      <c r="L971" s="28"/>
      <c r="M971" s="86" t="s">
        <v>2856</v>
      </c>
      <c r="N971" t="s">
        <v>2856</v>
      </c>
      <c r="P971" t="s">
        <v>334</v>
      </c>
      <c r="Q971" t="s">
        <v>2856</v>
      </c>
      <c r="R971" t="s">
        <v>1406</v>
      </c>
      <c r="BI971" s="34" t="str">
        <f>HYPERLINK("#자재조서!A112","MT-1182G →")</f>
        <v>MT-1182G →</v>
      </c>
    </row>
    <row r="972" spans="1:61" ht="18.399999999999999" hidden="1" customHeight="1" x14ac:dyDescent="0.15">
      <c r="A972" s="2" t="s">
        <v>655</v>
      </c>
      <c r="B972" s="87" t="s">
        <v>1641</v>
      </c>
      <c r="C972" s="2">
        <v>1</v>
      </c>
      <c r="D972" s="2" t="s">
        <v>203</v>
      </c>
      <c r="E972" s="27">
        <f>G972+I972+K972</f>
        <v>309</v>
      </c>
      <c r="F972" s="28">
        <f>H972+J972+L972</f>
        <v>309</v>
      </c>
      <c r="G972" s="27">
        <f>일위대가목록!F233</f>
        <v>0</v>
      </c>
      <c r="H972" s="28">
        <f>TRUNC(G972*C972,1)</f>
        <v>0</v>
      </c>
      <c r="I972" s="27">
        <f>일위대가목록!H233</f>
        <v>309</v>
      </c>
      <c r="J972" s="28">
        <f>TRUNC(I972*C972,1)</f>
        <v>309</v>
      </c>
      <c r="K972" s="27">
        <f>일위대가목록!J233</f>
        <v>0</v>
      </c>
      <c r="L972" s="28">
        <f>TRUNC(K972*C972,1)</f>
        <v>0</v>
      </c>
      <c r="M972" s="86" t="s">
        <v>2856</v>
      </c>
      <c r="N972" t="s">
        <v>2856</v>
      </c>
      <c r="P972" t="s">
        <v>2471</v>
      </c>
      <c r="Q972" t="s">
        <v>2856</v>
      </c>
      <c r="R972" t="s">
        <v>475</v>
      </c>
      <c r="T972" t="s">
        <v>1778</v>
      </c>
      <c r="BI972" s="34" t="str">
        <f>HYPERLINK("#일위대가목록!A228","NT0960 →")</f>
        <v>NT0960 →</v>
      </c>
    </row>
    <row r="973" spans="1:61" ht="18.399999999999999" hidden="1" customHeight="1" x14ac:dyDescent="0.15">
      <c r="A973" s="2" t="s">
        <v>261</v>
      </c>
      <c r="B973" s="87" t="s">
        <v>2437</v>
      </c>
      <c r="C973" s="2">
        <v>0.1</v>
      </c>
      <c r="D973" s="2" t="s">
        <v>1674</v>
      </c>
      <c r="E973" s="27">
        <f>G973+I973+K973</f>
        <v>433</v>
      </c>
      <c r="F973" s="28">
        <f>H973+J973+L973</f>
        <v>43.3</v>
      </c>
      <c r="G973" s="27">
        <f>자재조서!E129</f>
        <v>433</v>
      </c>
      <c r="H973" s="28">
        <f>TRUNC(G973*C973,1)</f>
        <v>43.3</v>
      </c>
      <c r="I973" s="27">
        <v>0</v>
      </c>
      <c r="J973" s="28"/>
      <c r="K973" s="27">
        <v>0</v>
      </c>
      <c r="L973" s="28"/>
      <c r="M973" s="86" t="s">
        <v>1601</v>
      </c>
      <c r="N973" t="s">
        <v>2856</v>
      </c>
      <c r="P973" t="s">
        <v>1741</v>
      </c>
      <c r="Q973" t="s">
        <v>1839</v>
      </c>
      <c r="R973" t="s">
        <v>1422</v>
      </c>
      <c r="W973" t="s">
        <v>1601</v>
      </c>
      <c r="BI973" s="34" t="str">
        <f>HYPERLINK("#자재조서!A123","MTP-010 →")</f>
        <v>MTP-010 →</v>
      </c>
    </row>
    <row r="974" spans="1:61" ht="18.399999999999999" hidden="1" customHeight="1" x14ac:dyDescent="0.15">
      <c r="A974" s="1"/>
      <c r="B974" s="87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87"/>
    </row>
    <row r="975" spans="1:61" ht="18.399999999999999" hidden="1" customHeight="1" x14ac:dyDescent="0.15">
      <c r="A975" s="2" t="s">
        <v>166</v>
      </c>
      <c r="B975" s="87" t="s">
        <v>590</v>
      </c>
      <c r="C975" s="2">
        <v>1</v>
      </c>
      <c r="D975" s="2" t="s">
        <v>203</v>
      </c>
      <c r="E975" s="184"/>
      <c r="F975" s="29">
        <f>H975+J975+L975</f>
        <v>3309</v>
      </c>
      <c r="G975" s="184"/>
      <c r="H975" s="29">
        <f>TRUNC(H976+H977,0)</f>
        <v>3000</v>
      </c>
      <c r="I975" s="184"/>
      <c r="J975" s="29">
        <f>TRUNC(J976+J977,0)</f>
        <v>309</v>
      </c>
      <c r="K975" s="184"/>
      <c r="L975" s="29">
        <f>TRUNC(L976+L977,0)</f>
        <v>0</v>
      </c>
      <c r="M975" s="86" t="s">
        <v>2856</v>
      </c>
      <c r="N975" t="s">
        <v>2856</v>
      </c>
      <c r="O975" t="s">
        <v>119</v>
      </c>
    </row>
    <row r="976" spans="1:61" ht="18.399999999999999" hidden="1" customHeight="1" x14ac:dyDescent="0.15">
      <c r="A976" s="2" t="s">
        <v>1901</v>
      </c>
      <c r="B976" s="87" t="s">
        <v>590</v>
      </c>
      <c r="C976" s="2">
        <v>1</v>
      </c>
      <c r="D976" s="2" t="s">
        <v>203</v>
      </c>
      <c r="E976" s="27">
        <f>G976+I976+K976</f>
        <v>3000</v>
      </c>
      <c r="F976" s="28">
        <f>H976+J976+L976</f>
        <v>3000</v>
      </c>
      <c r="G976" s="27">
        <f>자재조서!E43</f>
        <v>3000</v>
      </c>
      <c r="H976" s="28">
        <f>TRUNC(G976*C976,1)</f>
        <v>3000</v>
      </c>
      <c r="I976" s="27">
        <v>0</v>
      </c>
      <c r="J976" s="28"/>
      <c r="K976" s="27">
        <v>0</v>
      </c>
      <c r="L976" s="28"/>
      <c r="M976" s="86" t="s">
        <v>2856</v>
      </c>
      <c r="N976" t="s">
        <v>546</v>
      </c>
      <c r="P976" t="s">
        <v>1741</v>
      </c>
      <c r="Q976" t="s">
        <v>2856</v>
      </c>
      <c r="R976" t="s">
        <v>2523</v>
      </c>
      <c r="BI976" s="34" t="str">
        <f>HYPERLINK("#자재조서!A42","M25200014 →")</f>
        <v>M25200014 →</v>
      </c>
    </row>
    <row r="977" spans="1:61" ht="18.399999999999999" hidden="1" customHeight="1" x14ac:dyDescent="0.15">
      <c r="A977" s="2" t="s">
        <v>655</v>
      </c>
      <c r="B977" s="87" t="s">
        <v>1641</v>
      </c>
      <c r="C977" s="2">
        <v>1</v>
      </c>
      <c r="D977" s="2" t="s">
        <v>203</v>
      </c>
      <c r="E977" s="27">
        <f>G977+I977+K977</f>
        <v>309</v>
      </c>
      <c r="F977" s="28">
        <f>H977+J977+L977</f>
        <v>309</v>
      </c>
      <c r="G977" s="27">
        <f>일위대가목록!F233</f>
        <v>0</v>
      </c>
      <c r="H977" s="28">
        <f>TRUNC(G977*C977,1)</f>
        <v>0</v>
      </c>
      <c r="I977" s="27">
        <f>일위대가목록!H233</f>
        <v>309</v>
      </c>
      <c r="J977" s="28">
        <f>TRUNC(I977*C977,1)</f>
        <v>309</v>
      </c>
      <c r="K977" s="27">
        <f>일위대가목록!J233</f>
        <v>0</v>
      </c>
      <c r="L977" s="28">
        <f>TRUNC(K977*C977,1)</f>
        <v>0</v>
      </c>
      <c r="M977" s="86" t="s">
        <v>2856</v>
      </c>
      <c r="N977" t="s">
        <v>2856</v>
      </c>
      <c r="P977" t="s">
        <v>1036</v>
      </c>
      <c r="Q977" t="s">
        <v>2856</v>
      </c>
      <c r="R977" t="s">
        <v>475</v>
      </c>
      <c r="T977" t="s">
        <v>1778</v>
      </c>
      <c r="BI977" s="34" t="str">
        <f>HYPERLINK("#일위대가목록!A228","NT0960 →")</f>
        <v>NT0960 →</v>
      </c>
    </row>
    <row r="978" spans="1:61" ht="18.399999999999999" hidden="1" customHeight="1" x14ac:dyDescent="0.15">
      <c r="A978" s="2" t="s">
        <v>261</v>
      </c>
      <c r="B978" s="87" t="s">
        <v>2437</v>
      </c>
      <c r="C978" s="2">
        <v>0.1</v>
      </c>
      <c r="D978" s="2" t="s">
        <v>1674</v>
      </c>
      <c r="E978" s="27">
        <f>G978+I978+K978</f>
        <v>433</v>
      </c>
      <c r="F978" s="28">
        <f>H978+J978+L978</f>
        <v>43.3</v>
      </c>
      <c r="G978" s="27">
        <f>자재조서!E129</f>
        <v>433</v>
      </c>
      <c r="H978" s="28">
        <f>TRUNC(G978*C978,1)</f>
        <v>43.3</v>
      </c>
      <c r="I978" s="27">
        <v>0</v>
      </c>
      <c r="J978" s="28"/>
      <c r="K978" s="27">
        <v>0</v>
      </c>
      <c r="L978" s="28"/>
      <c r="M978" s="86" t="s">
        <v>1601</v>
      </c>
      <c r="N978" t="s">
        <v>2856</v>
      </c>
      <c r="P978" t="s">
        <v>286</v>
      </c>
      <c r="Q978" t="s">
        <v>1839</v>
      </c>
      <c r="R978" t="s">
        <v>1422</v>
      </c>
      <c r="W978" t="s">
        <v>1601</v>
      </c>
      <c r="BI978" s="34" t="str">
        <f>HYPERLINK("#자재조서!A123","MTP-010 →")</f>
        <v>MTP-010 →</v>
      </c>
    </row>
    <row r="979" spans="1:61" ht="18.399999999999999" hidden="1" customHeight="1" x14ac:dyDescent="0.15">
      <c r="A979" s="1"/>
      <c r="B979" s="87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87"/>
    </row>
    <row r="980" spans="1:61" ht="18.399999999999999" hidden="1" customHeight="1" x14ac:dyDescent="0.15">
      <c r="A980" s="2" t="s">
        <v>72</v>
      </c>
      <c r="B980" s="87" t="s">
        <v>1571</v>
      </c>
      <c r="C980" s="2">
        <v>1</v>
      </c>
      <c r="D980" s="2" t="s">
        <v>203</v>
      </c>
      <c r="E980" s="184"/>
      <c r="F980" s="29">
        <f>H980+J980+L980</f>
        <v>1309</v>
      </c>
      <c r="G980" s="184"/>
      <c r="H980" s="29">
        <f>TRUNC(H981+H982,0)</f>
        <v>1000</v>
      </c>
      <c r="I980" s="184"/>
      <c r="J980" s="29">
        <f>TRUNC(J981+J982,0)</f>
        <v>309</v>
      </c>
      <c r="K980" s="184"/>
      <c r="L980" s="29">
        <f>TRUNC(L981+L982,0)</f>
        <v>0</v>
      </c>
      <c r="M980" s="86" t="s">
        <v>2856</v>
      </c>
      <c r="N980" t="s">
        <v>2856</v>
      </c>
      <c r="O980" t="s">
        <v>2104</v>
      </c>
    </row>
    <row r="981" spans="1:61" ht="18.399999999999999" hidden="1" customHeight="1" x14ac:dyDescent="0.15">
      <c r="A981" s="2" t="s">
        <v>1454</v>
      </c>
      <c r="B981" s="87" t="s">
        <v>1424</v>
      </c>
      <c r="C981" s="2">
        <v>1</v>
      </c>
      <c r="D981" s="2" t="s">
        <v>556</v>
      </c>
      <c r="E981" s="27">
        <f>G981+I981+K981</f>
        <v>1000</v>
      </c>
      <c r="F981" s="28">
        <f>H981+J981+L981</f>
        <v>1000</v>
      </c>
      <c r="G981" s="27">
        <f>자재조서!E40</f>
        <v>1000</v>
      </c>
      <c r="H981" s="28">
        <f>TRUNC(G981*C981,1)</f>
        <v>1000</v>
      </c>
      <c r="I981" s="27">
        <v>0</v>
      </c>
      <c r="J981" s="28"/>
      <c r="K981" s="27">
        <v>0</v>
      </c>
      <c r="L981" s="28"/>
      <c r="M981" s="86" t="s">
        <v>2856</v>
      </c>
      <c r="N981" t="s">
        <v>848</v>
      </c>
      <c r="P981" t="s">
        <v>334</v>
      </c>
      <c r="Q981" t="s">
        <v>2856</v>
      </c>
      <c r="R981" t="s">
        <v>2745</v>
      </c>
      <c r="BI981" s="34" t="str">
        <f>HYPERLINK("#자재조서!A39","M2514006 →")</f>
        <v>M2514006 →</v>
      </c>
    </row>
    <row r="982" spans="1:61" ht="18.399999999999999" hidden="1" customHeight="1" x14ac:dyDescent="0.15">
      <c r="A982" s="2" t="s">
        <v>655</v>
      </c>
      <c r="B982" s="87" t="s">
        <v>1641</v>
      </c>
      <c r="C982" s="2">
        <v>1</v>
      </c>
      <c r="D982" s="2" t="s">
        <v>203</v>
      </c>
      <c r="E982" s="27">
        <f>G982+I982+K982</f>
        <v>309</v>
      </c>
      <c r="F982" s="28">
        <f>H982+J982+L982</f>
        <v>309</v>
      </c>
      <c r="G982" s="27">
        <f>일위대가목록!F233</f>
        <v>0</v>
      </c>
      <c r="H982" s="28">
        <f>TRUNC(G982*C982,1)</f>
        <v>0</v>
      </c>
      <c r="I982" s="27">
        <f>일위대가목록!H233</f>
        <v>309</v>
      </c>
      <c r="J982" s="28">
        <f>TRUNC(I982*C982,1)</f>
        <v>309</v>
      </c>
      <c r="K982" s="27">
        <f>일위대가목록!J233</f>
        <v>0</v>
      </c>
      <c r="L982" s="28">
        <f>TRUNC(K982*C982,1)</f>
        <v>0</v>
      </c>
      <c r="M982" s="86" t="s">
        <v>2856</v>
      </c>
      <c r="N982" t="s">
        <v>2856</v>
      </c>
      <c r="P982" t="s">
        <v>2471</v>
      </c>
      <c r="Q982" t="s">
        <v>2856</v>
      </c>
      <c r="R982" t="s">
        <v>475</v>
      </c>
      <c r="T982" t="s">
        <v>1778</v>
      </c>
      <c r="BI982" s="34" t="str">
        <f>HYPERLINK("#일위대가목록!A228","NT0960 →")</f>
        <v>NT0960 →</v>
      </c>
    </row>
    <row r="983" spans="1:61" ht="18.399999999999999" hidden="1" customHeight="1" x14ac:dyDescent="0.15">
      <c r="A983" s="2" t="s">
        <v>261</v>
      </c>
      <c r="B983" s="87" t="s">
        <v>2437</v>
      </c>
      <c r="C983" s="2">
        <v>0.1</v>
      </c>
      <c r="D983" s="2" t="s">
        <v>1674</v>
      </c>
      <c r="E983" s="27">
        <f>G983+I983+K983</f>
        <v>433</v>
      </c>
      <c r="F983" s="28">
        <f>H983+J983+L983</f>
        <v>43.3</v>
      </c>
      <c r="G983" s="27">
        <f>자재조서!E129</f>
        <v>433</v>
      </c>
      <c r="H983" s="28">
        <f>TRUNC(G983*C983,1)</f>
        <v>43.3</v>
      </c>
      <c r="I983" s="27">
        <v>0</v>
      </c>
      <c r="J983" s="28"/>
      <c r="K983" s="27">
        <v>0</v>
      </c>
      <c r="L983" s="28"/>
      <c r="M983" s="86" t="s">
        <v>1601</v>
      </c>
      <c r="N983" t="s">
        <v>2856</v>
      </c>
      <c r="P983" t="s">
        <v>1741</v>
      </c>
      <c r="Q983" t="s">
        <v>1839</v>
      </c>
      <c r="R983" t="s">
        <v>1422</v>
      </c>
      <c r="W983" t="s">
        <v>1601</v>
      </c>
      <c r="BI983" s="34" t="str">
        <f>HYPERLINK("#자재조서!A123","MTP-010 →")</f>
        <v>MTP-010 →</v>
      </c>
    </row>
    <row r="984" spans="1:61" ht="18.399999999999999" hidden="1" customHeight="1" x14ac:dyDescent="0.15">
      <c r="A984" s="1"/>
      <c r="B984" s="87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87"/>
    </row>
    <row r="985" spans="1:61" ht="18.399999999999999" hidden="1" customHeight="1" x14ac:dyDescent="0.15">
      <c r="A985" s="2" t="s">
        <v>2807</v>
      </c>
      <c r="B985" s="87" t="s">
        <v>590</v>
      </c>
      <c r="C985" s="2">
        <v>1</v>
      </c>
      <c r="D985" s="2" t="s">
        <v>203</v>
      </c>
      <c r="E985" s="184"/>
      <c r="F985" s="29">
        <f>H985+J985+L985</f>
        <v>2309</v>
      </c>
      <c r="G985" s="184"/>
      <c r="H985" s="29">
        <f>TRUNC(H986+H987,0)</f>
        <v>2000</v>
      </c>
      <c r="I985" s="184"/>
      <c r="J985" s="29">
        <f>TRUNC(J986+J987,0)</f>
        <v>309</v>
      </c>
      <c r="K985" s="184"/>
      <c r="L985" s="29">
        <f>TRUNC(L986+L987,0)</f>
        <v>0</v>
      </c>
      <c r="M985" s="86" t="s">
        <v>2856</v>
      </c>
      <c r="N985" t="s">
        <v>2856</v>
      </c>
      <c r="O985" t="s">
        <v>841</v>
      </c>
    </row>
    <row r="986" spans="1:61" ht="18.399999999999999" hidden="1" customHeight="1" x14ac:dyDescent="0.15">
      <c r="A986" s="2" t="s">
        <v>193</v>
      </c>
      <c r="B986" s="87" t="s">
        <v>590</v>
      </c>
      <c r="C986" s="2">
        <v>1</v>
      </c>
      <c r="D986" s="2" t="s">
        <v>203</v>
      </c>
      <c r="E986" s="27">
        <f>G986+I986+K986</f>
        <v>2000</v>
      </c>
      <c r="F986" s="28">
        <f>H986+J986+L986</f>
        <v>2000</v>
      </c>
      <c r="G986" s="27">
        <f>자재조서!E47</f>
        <v>2000</v>
      </c>
      <c r="H986" s="28">
        <f>TRUNC(G986*C986,1)</f>
        <v>2000</v>
      </c>
      <c r="I986" s="27">
        <v>0</v>
      </c>
      <c r="J986" s="28"/>
      <c r="K986" s="27">
        <v>0</v>
      </c>
      <c r="L986" s="28"/>
      <c r="M986" s="86" t="s">
        <v>2856</v>
      </c>
      <c r="N986" t="s">
        <v>546</v>
      </c>
      <c r="P986" t="s">
        <v>334</v>
      </c>
      <c r="Q986" t="s">
        <v>2856</v>
      </c>
      <c r="R986" t="s">
        <v>87</v>
      </c>
      <c r="BI986" s="34" t="str">
        <f>HYPERLINK("#자재조서!A46","M25200083 →")</f>
        <v>M25200083 →</v>
      </c>
    </row>
    <row r="987" spans="1:61" ht="18.399999999999999" hidden="1" customHeight="1" x14ac:dyDescent="0.15">
      <c r="A987" s="2" t="s">
        <v>655</v>
      </c>
      <c r="B987" s="87" t="s">
        <v>1641</v>
      </c>
      <c r="C987" s="2">
        <v>1</v>
      </c>
      <c r="D987" s="2" t="s">
        <v>203</v>
      </c>
      <c r="E987" s="27">
        <f>G987+I987+K987</f>
        <v>309</v>
      </c>
      <c r="F987" s="28">
        <f>H987+J987+L987</f>
        <v>309</v>
      </c>
      <c r="G987" s="27">
        <f>일위대가목록!F233</f>
        <v>0</v>
      </c>
      <c r="H987" s="28">
        <f>TRUNC(G987*C987,1)</f>
        <v>0</v>
      </c>
      <c r="I987" s="27">
        <f>일위대가목록!H233</f>
        <v>309</v>
      </c>
      <c r="J987" s="28">
        <f>TRUNC(I987*C987,1)</f>
        <v>309</v>
      </c>
      <c r="K987" s="27">
        <f>일위대가목록!J233</f>
        <v>0</v>
      </c>
      <c r="L987" s="28">
        <f>TRUNC(K987*C987,1)</f>
        <v>0</v>
      </c>
      <c r="M987" s="86" t="s">
        <v>2856</v>
      </c>
      <c r="N987" t="s">
        <v>2856</v>
      </c>
      <c r="P987" t="s">
        <v>2471</v>
      </c>
      <c r="Q987" t="s">
        <v>2856</v>
      </c>
      <c r="R987" t="s">
        <v>475</v>
      </c>
      <c r="T987" t="s">
        <v>1778</v>
      </c>
      <c r="BI987" s="34" t="str">
        <f>HYPERLINK("#일위대가목록!A228","NT0960 →")</f>
        <v>NT0960 →</v>
      </c>
    </row>
    <row r="988" spans="1:61" ht="18.399999999999999" hidden="1" customHeight="1" x14ac:dyDescent="0.15">
      <c r="A988" s="2" t="s">
        <v>261</v>
      </c>
      <c r="B988" s="87" t="s">
        <v>2437</v>
      </c>
      <c r="C988" s="2">
        <v>0.1</v>
      </c>
      <c r="D988" s="2" t="s">
        <v>1674</v>
      </c>
      <c r="E988" s="27">
        <f>G988+I988+K988</f>
        <v>433</v>
      </c>
      <c r="F988" s="28">
        <f>H988+J988+L988</f>
        <v>43.3</v>
      </c>
      <c r="G988" s="27">
        <f>자재조서!E129</f>
        <v>433</v>
      </c>
      <c r="H988" s="28">
        <f>TRUNC(G988*C988,1)</f>
        <v>43.3</v>
      </c>
      <c r="I988" s="27">
        <v>0</v>
      </c>
      <c r="J988" s="28"/>
      <c r="K988" s="27">
        <v>0</v>
      </c>
      <c r="L988" s="28"/>
      <c r="M988" s="86" t="s">
        <v>1601</v>
      </c>
      <c r="N988" t="s">
        <v>2856</v>
      </c>
      <c r="P988" t="s">
        <v>1741</v>
      </c>
      <c r="Q988" t="s">
        <v>1839</v>
      </c>
      <c r="R988" t="s">
        <v>1422</v>
      </c>
      <c r="W988" t="s">
        <v>1601</v>
      </c>
      <c r="BI988" s="34" t="str">
        <f>HYPERLINK("#자재조서!A123","MTP-010 →")</f>
        <v>MTP-010 →</v>
      </c>
    </row>
    <row r="989" spans="1:61" ht="18.399999999999999" hidden="1" customHeight="1" x14ac:dyDescent="0.15">
      <c r="A989" s="1"/>
      <c r="B989" s="87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87"/>
    </row>
    <row r="990" spans="1:61" ht="18.399999999999999" hidden="1" customHeight="1" x14ac:dyDescent="0.15">
      <c r="A990" s="2" t="s">
        <v>680</v>
      </c>
      <c r="B990" s="87" t="s">
        <v>1811</v>
      </c>
      <c r="C990" s="2">
        <v>1</v>
      </c>
      <c r="D990" s="2" t="s">
        <v>203</v>
      </c>
      <c r="E990" s="184"/>
      <c r="F990" s="29">
        <f>H990+J990+L990</f>
        <v>2309</v>
      </c>
      <c r="G990" s="184"/>
      <c r="H990" s="29">
        <f>TRUNC(H991+H992,0)</f>
        <v>2000</v>
      </c>
      <c r="I990" s="184"/>
      <c r="J990" s="29">
        <f>TRUNC(J991+J992,0)</f>
        <v>309</v>
      </c>
      <c r="K990" s="184"/>
      <c r="L990" s="29">
        <f>TRUNC(L991+L992,0)</f>
        <v>0</v>
      </c>
      <c r="M990" s="86" t="s">
        <v>2856</v>
      </c>
      <c r="N990" t="s">
        <v>2856</v>
      </c>
      <c r="O990" t="s">
        <v>2438</v>
      </c>
    </row>
    <row r="991" spans="1:61" ht="18.399999999999999" hidden="1" customHeight="1" x14ac:dyDescent="0.15">
      <c r="A991" s="2" t="s">
        <v>1039</v>
      </c>
      <c r="B991" s="87" t="s">
        <v>1811</v>
      </c>
      <c r="C991" s="2">
        <v>1</v>
      </c>
      <c r="D991" s="2" t="s">
        <v>203</v>
      </c>
      <c r="E991" s="27">
        <f>G991+I991+K991</f>
        <v>2000</v>
      </c>
      <c r="F991" s="28">
        <f>H991+J991+L991</f>
        <v>2000</v>
      </c>
      <c r="G991" s="27">
        <f>자재조서!E48</f>
        <v>2000</v>
      </c>
      <c r="H991" s="28">
        <f>TRUNC(G991*C991,1)</f>
        <v>2000</v>
      </c>
      <c r="I991" s="27">
        <v>0</v>
      </c>
      <c r="J991" s="28"/>
      <c r="K991" s="27">
        <v>0</v>
      </c>
      <c r="L991" s="28"/>
      <c r="M991" s="86" t="s">
        <v>2856</v>
      </c>
      <c r="N991" t="s">
        <v>546</v>
      </c>
      <c r="P991" t="s">
        <v>334</v>
      </c>
      <c r="Q991" t="s">
        <v>2856</v>
      </c>
      <c r="R991" t="s">
        <v>1906</v>
      </c>
      <c r="BI991" s="34" t="str">
        <f>HYPERLINK("#자재조서!A47","M25200084 →")</f>
        <v>M25200084 →</v>
      </c>
    </row>
    <row r="992" spans="1:61" ht="18.399999999999999" hidden="1" customHeight="1" x14ac:dyDescent="0.15">
      <c r="A992" s="2" t="s">
        <v>655</v>
      </c>
      <c r="B992" s="87" t="s">
        <v>1641</v>
      </c>
      <c r="C992" s="2">
        <v>1</v>
      </c>
      <c r="D992" s="2" t="s">
        <v>203</v>
      </c>
      <c r="E992" s="27">
        <f>G992+I992+K992</f>
        <v>309</v>
      </c>
      <c r="F992" s="28">
        <f>H992+J992+L992</f>
        <v>309</v>
      </c>
      <c r="G992" s="27">
        <f>일위대가목록!F233</f>
        <v>0</v>
      </c>
      <c r="H992" s="28">
        <f>TRUNC(G992*C992,1)</f>
        <v>0</v>
      </c>
      <c r="I992" s="27">
        <f>일위대가목록!H233</f>
        <v>309</v>
      </c>
      <c r="J992" s="28">
        <f>TRUNC(I992*C992,1)</f>
        <v>309</v>
      </c>
      <c r="K992" s="27">
        <f>일위대가목록!J233</f>
        <v>0</v>
      </c>
      <c r="L992" s="28">
        <f>TRUNC(K992*C992,1)</f>
        <v>0</v>
      </c>
      <c r="M992" s="86" t="s">
        <v>2856</v>
      </c>
      <c r="N992" t="s">
        <v>2856</v>
      </c>
      <c r="P992" t="s">
        <v>2471</v>
      </c>
      <c r="Q992" t="s">
        <v>2856</v>
      </c>
      <c r="R992" t="s">
        <v>475</v>
      </c>
      <c r="T992" t="s">
        <v>1778</v>
      </c>
      <c r="BI992" s="34" t="str">
        <f>HYPERLINK("#일위대가목록!A228","NT0960 →")</f>
        <v>NT0960 →</v>
      </c>
    </row>
    <row r="993" spans="1:61" ht="18.399999999999999" hidden="1" customHeight="1" x14ac:dyDescent="0.15">
      <c r="A993" s="2" t="s">
        <v>261</v>
      </c>
      <c r="B993" s="87" t="s">
        <v>2437</v>
      </c>
      <c r="C993" s="2">
        <v>0.1</v>
      </c>
      <c r="D993" s="2" t="s">
        <v>1674</v>
      </c>
      <c r="E993" s="27">
        <f>G993+I993+K993</f>
        <v>433</v>
      </c>
      <c r="F993" s="28">
        <f>H993+J993+L993</f>
        <v>43.3</v>
      </c>
      <c r="G993" s="27">
        <f>자재조서!E129</f>
        <v>433</v>
      </c>
      <c r="H993" s="28">
        <f>TRUNC(G993*C993,1)</f>
        <v>43.3</v>
      </c>
      <c r="I993" s="27">
        <v>0</v>
      </c>
      <c r="J993" s="28"/>
      <c r="K993" s="27">
        <v>0</v>
      </c>
      <c r="L993" s="28"/>
      <c r="M993" s="86" t="s">
        <v>1601</v>
      </c>
      <c r="N993" t="s">
        <v>2856</v>
      </c>
      <c r="P993" t="s">
        <v>1741</v>
      </c>
      <c r="Q993" t="s">
        <v>1839</v>
      </c>
      <c r="R993" t="s">
        <v>1422</v>
      </c>
      <c r="W993" t="s">
        <v>1601</v>
      </c>
      <c r="BI993" s="34" t="str">
        <f>HYPERLINK("#자재조서!A123","MTP-010 →")</f>
        <v>MTP-010 →</v>
      </c>
    </row>
    <row r="994" spans="1:61" ht="18.399999999999999" hidden="1" customHeight="1" x14ac:dyDescent="0.15">
      <c r="A994" s="1"/>
      <c r="B994" s="87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87"/>
    </row>
    <row r="995" spans="1:61" ht="18.399999999999999" hidden="1" customHeight="1" x14ac:dyDescent="0.15">
      <c r="A995" s="2" t="s">
        <v>415</v>
      </c>
      <c r="B995" s="87" t="s">
        <v>2465</v>
      </c>
      <c r="C995" s="2">
        <v>1</v>
      </c>
      <c r="D995" s="2" t="s">
        <v>203</v>
      </c>
      <c r="E995" s="184"/>
      <c r="F995" s="29">
        <f>H995+J995+L995</f>
        <v>1509</v>
      </c>
      <c r="G995" s="184"/>
      <c r="H995" s="29">
        <f>TRUNC(H996+H997,0)</f>
        <v>1200</v>
      </c>
      <c r="I995" s="184"/>
      <c r="J995" s="29">
        <f>TRUNC(J996+J997,0)</f>
        <v>309</v>
      </c>
      <c r="K995" s="184"/>
      <c r="L995" s="29">
        <f>TRUNC(L996+L997,0)</f>
        <v>0</v>
      </c>
      <c r="M995" s="86" t="s">
        <v>2856</v>
      </c>
      <c r="N995" t="s">
        <v>2856</v>
      </c>
      <c r="O995" t="s">
        <v>2533</v>
      </c>
    </row>
    <row r="996" spans="1:61" ht="18.399999999999999" hidden="1" customHeight="1" x14ac:dyDescent="0.15">
      <c r="A996" s="2" t="s">
        <v>478</v>
      </c>
      <c r="B996" s="87" t="s">
        <v>2465</v>
      </c>
      <c r="C996" s="2">
        <v>1</v>
      </c>
      <c r="D996" s="2" t="s">
        <v>203</v>
      </c>
      <c r="E996" s="27">
        <f>G996+I996+K996</f>
        <v>1200</v>
      </c>
      <c r="F996" s="28">
        <f>H996+J996+L996</f>
        <v>1200</v>
      </c>
      <c r="G996" s="27">
        <f>자재조서!E118</f>
        <v>1200</v>
      </c>
      <c r="H996" s="28">
        <f>TRUNC(G996*C996,1)</f>
        <v>1200</v>
      </c>
      <c r="I996" s="27">
        <v>0</v>
      </c>
      <c r="J996" s="28"/>
      <c r="K996" s="27">
        <v>0</v>
      </c>
      <c r="L996" s="28"/>
      <c r="M996" s="86" t="s">
        <v>2856</v>
      </c>
      <c r="N996" t="s">
        <v>2856</v>
      </c>
      <c r="P996" t="s">
        <v>334</v>
      </c>
      <c r="Q996" t="s">
        <v>2856</v>
      </c>
      <c r="R996" t="s">
        <v>666</v>
      </c>
      <c r="BI996" s="34" t="str">
        <f>HYPERLINK("#자재조서!A113","MT-130 →")</f>
        <v>MT-130 →</v>
      </c>
    </row>
    <row r="997" spans="1:61" ht="18.399999999999999" hidden="1" customHeight="1" x14ac:dyDescent="0.15">
      <c r="A997" s="2" t="s">
        <v>655</v>
      </c>
      <c r="B997" s="87" t="s">
        <v>1641</v>
      </c>
      <c r="C997" s="2">
        <v>1</v>
      </c>
      <c r="D997" s="2" t="s">
        <v>203</v>
      </c>
      <c r="E997" s="27">
        <f>G997+I997+K997</f>
        <v>309</v>
      </c>
      <c r="F997" s="28">
        <f>H997+J997+L997</f>
        <v>309</v>
      </c>
      <c r="G997" s="27">
        <f>일위대가목록!F233</f>
        <v>0</v>
      </c>
      <c r="H997" s="28">
        <f>TRUNC(G997*C997,1)</f>
        <v>0</v>
      </c>
      <c r="I997" s="27">
        <f>일위대가목록!H233</f>
        <v>309</v>
      </c>
      <c r="J997" s="28">
        <f>TRUNC(I997*C997,1)</f>
        <v>309</v>
      </c>
      <c r="K997" s="27">
        <f>일위대가목록!J233</f>
        <v>0</v>
      </c>
      <c r="L997" s="28">
        <f>TRUNC(K997*C997,1)</f>
        <v>0</v>
      </c>
      <c r="M997" s="86" t="s">
        <v>2856</v>
      </c>
      <c r="N997" t="s">
        <v>2856</v>
      </c>
      <c r="P997" t="s">
        <v>2471</v>
      </c>
      <c r="Q997" t="s">
        <v>2856</v>
      </c>
      <c r="R997" t="s">
        <v>475</v>
      </c>
      <c r="T997" t="s">
        <v>1778</v>
      </c>
      <c r="BI997" s="34" t="str">
        <f>HYPERLINK("#일위대가목록!A228","NT0960 →")</f>
        <v>NT0960 →</v>
      </c>
    </row>
    <row r="998" spans="1:61" ht="18.399999999999999" hidden="1" customHeight="1" x14ac:dyDescent="0.15">
      <c r="A998" s="2" t="s">
        <v>261</v>
      </c>
      <c r="B998" s="87" t="s">
        <v>2437</v>
      </c>
      <c r="C998" s="2">
        <v>0.1</v>
      </c>
      <c r="D998" s="2" t="s">
        <v>1674</v>
      </c>
      <c r="E998" s="27">
        <f>G998+I998+K998</f>
        <v>433</v>
      </c>
      <c r="F998" s="28">
        <f>H998+J998+L998</f>
        <v>43.3</v>
      </c>
      <c r="G998" s="27">
        <f>자재조서!E129</f>
        <v>433</v>
      </c>
      <c r="H998" s="28">
        <f>TRUNC(G998*C998,1)</f>
        <v>43.3</v>
      </c>
      <c r="I998" s="27">
        <v>0</v>
      </c>
      <c r="J998" s="28"/>
      <c r="K998" s="27">
        <v>0</v>
      </c>
      <c r="L998" s="28"/>
      <c r="M998" s="86" t="s">
        <v>1601</v>
      </c>
      <c r="N998" t="s">
        <v>2856</v>
      </c>
      <c r="P998" t="s">
        <v>1741</v>
      </c>
      <c r="Q998" t="s">
        <v>1839</v>
      </c>
      <c r="R998" t="s">
        <v>1422</v>
      </c>
      <c r="W998" t="s">
        <v>1601</v>
      </c>
      <c r="BI998" s="34" t="str">
        <f>HYPERLINK("#자재조서!A123","MTP-010 →")</f>
        <v>MTP-010 →</v>
      </c>
    </row>
    <row r="999" spans="1:61" ht="18.399999999999999" hidden="1" customHeight="1" x14ac:dyDescent="0.15">
      <c r="A999" s="1"/>
      <c r="B999" s="87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87"/>
    </row>
    <row r="1000" spans="1:61" ht="18.399999999999999" hidden="1" customHeight="1" x14ac:dyDescent="0.15">
      <c r="A1000" s="2" t="s">
        <v>825</v>
      </c>
      <c r="B1000" s="87" t="s">
        <v>590</v>
      </c>
      <c r="C1000" s="2">
        <v>1</v>
      </c>
      <c r="D1000" s="2" t="s">
        <v>203</v>
      </c>
      <c r="E1000" s="184"/>
      <c r="F1000" s="29">
        <f>H1000+J1000+L1000</f>
        <v>8309</v>
      </c>
      <c r="G1000" s="184"/>
      <c r="H1000" s="29">
        <f>TRUNC(H1001+H1002,0)</f>
        <v>8000</v>
      </c>
      <c r="I1000" s="184"/>
      <c r="J1000" s="29">
        <f>TRUNC(J1001+J1002,0)</f>
        <v>309</v>
      </c>
      <c r="K1000" s="184"/>
      <c r="L1000" s="29">
        <f>TRUNC(L1001+L1002,0)</f>
        <v>0</v>
      </c>
      <c r="M1000" s="86" t="s">
        <v>2856</v>
      </c>
      <c r="N1000" t="s">
        <v>2856</v>
      </c>
      <c r="O1000" t="s">
        <v>582</v>
      </c>
    </row>
    <row r="1001" spans="1:61" ht="18.399999999999999" hidden="1" customHeight="1" x14ac:dyDescent="0.15">
      <c r="A1001" s="2" t="s">
        <v>1975</v>
      </c>
      <c r="B1001" s="87" t="s">
        <v>590</v>
      </c>
      <c r="C1001" s="2">
        <v>1</v>
      </c>
      <c r="D1001" s="2" t="s">
        <v>203</v>
      </c>
      <c r="E1001" s="27">
        <f>G1001+I1001+K1001</f>
        <v>8000</v>
      </c>
      <c r="F1001" s="28">
        <f>H1001+J1001+L1001</f>
        <v>8000</v>
      </c>
      <c r="G1001" s="27">
        <f>자재조서!E49</f>
        <v>8000</v>
      </c>
      <c r="H1001" s="28">
        <f>TRUNC(G1001*C1001,1)</f>
        <v>8000</v>
      </c>
      <c r="I1001" s="27">
        <v>0</v>
      </c>
      <c r="J1001" s="28"/>
      <c r="K1001" s="27">
        <v>0</v>
      </c>
      <c r="L1001" s="28"/>
      <c r="M1001" s="86" t="s">
        <v>2856</v>
      </c>
      <c r="N1001" t="s">
        <v>546</v>
      </c>
      <c r="P1001" t="s">
        <v>334</v>
      </c>
      <c r="Q1001" t="s">
        <v>2856</v>
      </c>
      <c r="R1001" t="s">
        <v>956</v>
      </c>
      <c r="BI1001" s="34" t="str">
        <f>HYPERLINK("#자재조서!A48","M2520009-2 →")</f>
        <v>M2520009-2 →</v>
      </c>
    </row>
    <row r="1002" spans="1:61" ht="18.399999999999999" hidden="1" customHeight="1" x14ac:dyDescent="0.15">
      <c r="A1002" s="2" t="s">
        <v>655</v>
      </c>
      <c r="B1002" s="87" t="s">
        <v>1641</v>
      </c>
      <c r="C1002" s="2">
        <v>1</v>
      </c>
      <c r="D1002" s="2" t="s">
        <v>203</v>
      </c>
      <c r="E1002" s="27">
        <f>G1002+I1002+K1002</f>
        <v>309</v>
      </c>
      <c r="F1002" s="28">
        <f>H1002+J1002+L1002</f>
        <v>309</v>
      </c>
      <c r="G1002" s="27">
        <f>일위대가목록!F233</f>
        <v>0</v>
      </c>
      <c r="H1002" s="28">
        <f>TRUNC(G1002*C1002,1)</f>
        <v>0</v>
      </c>
      <c r="I1002" s="27">
        <f>일위대가목록!H233</f>
        <v>309</v>
      </c>
      <c r="J1002" s="28">
        <f>TRUNC(I1002*C1002,1)</f>
        <v>309</v>
      </c>
      <c r="K1002" s="27">
        <f>일위대가목록!J233</f>
        <v>0</v>
      </c>
      <c r="L1002" s="28">
        <f>TRUNC(K1002*C1002,1)</f>
        <v>0</v>
      </c>
      <c r="M1002" s="86" t="s">
        <v>2856</v>
      </c>
      <c r="N1002" t="s">
        <v>2856</v>
      </c>
      <c r="P1002" t="s">
        <v>2471</v>
      </c>
      <c r="Q1002" t="s">
        <v>2856</v>
      </c>
      <c r="R1002" t="s">
        <v>475</v>
      </c>
      <c r="T1002" t="s">
        <v>1778</v>
      </c>
      <c r="BI1002" s="34" t="str">
        <f>HYPERLINK("#일위대가목록!A228","NT0960 →")</f>
        <v>NT0960 →</v>
      </c>
    </row>
    <row r="1003" spans="1:61" ht="18.399999999999999" hidden="1" customHeight="1" x14ac:dyDescent="0.15">
      <c r="A1003" s="2" t="s">
        <v>261</v>
      </c>
      <c r="B1003" s="87" t="s">
        <v>2437</v>
      </c>
      <c r="C1003" s="2">
        <v>0.1</v>
      </c>
      <c r="D1003" s="2" t="s">
        <v>1674</v>
      </c>
      <c r="E1003" s="27">
        <f>G1003+I1003+K1003</f>
        <v>433</v>
      </c>
      <c r="F1003" s="28">
        <f>H1003+J1003+L1003</f>
        <v>43.3</v>
      </c>
      <c r="G1003" s="27">
        <f>자재조서!E129</f>
        <v>433</v>
      </c>
      <c r="H1003" s="28">
        <f>TRUNC(G1003*C1003,1)</f>
        <v>43.3</v>
      </c>
      <c r="I1003" s="27">
        <v>0</v>
      </c>
      <c r="J1003" s="28"/>
      <c r="K1003" s="27">
        <v>0</v>
      </c>
      <c r="L1003" s="28"/>
      <c r="M1003" s="86" t="s">
        <v>1601</v>
      </c>
      <c r="N1003" t="s">
        <v>2856</v>
      </c>
      <c r="P1003" t="s">
        <v>1741</v>
      </c>
      <c r="Q1003" t="s">
        <v>1839</v>
      </c>
      <c r="R1003" t="s">
        <v>1422</v>
      </c>
      <c r="W1003" t="s">
        <v>1601</v>
      </c>
      <c r="BI1003" s="34" t="str">
        <f>HYPERLINK("#자재조서!A123","MTP-010 →")</f>
        <v>MTP-010 →</v>
      </c>
    </row>
    <row r="1004" spans="1:61" ht="18.399999999999999" hidden="1" customHeight="1" x14ac:dyDescent="0.15">
      <c r="A1004" s="1"/>
      <c r="B1004" s="87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87"/>
    </row>
    <row r="1005" spans="1:61" ht="18.399999999999999" hidden="1" customHeight="1" x14ac:dyDescent="0.15">
      <c r="A1005" s="2" t="s">
        <v>382</v>
      </c>
      <c r="B1005" s="87" t="s">
        <v>590</v>
      </c>
      <c r="C1005" s="2">
        <v>1</v>
      </c>
      <c r="D1005" s="2" t="s">
        <v>203</v>
      </c>
      <c r="E1005" s="184"/>
      <c r="F1005" s="29">
        <f>H1005+J1005+L1005</f>
        <v>3309</v>
      </c>
      <c r="G1005" s="184"/>
      <c r="H1005" s="29">
        <f>TRUNC(H1006+H1007,0)</f>
        <v>3000</v>
      </c>
      <c r="I1005" s="184"/>
      <c r="J1005" s="29">
        <f>TRUNC(J1006+J1007,0)</f>
        <v>309</v>
      </c>
      <c r="K1005" s="184"/>
      <c r="L1005" s="29">
        <f>TRUNC(L1006+L1007,0)</f>
        <v>0</v>
      </c>
      <c r="M1005" s="86" t="s">
        <v>2856</v>
      </c>
      <c r="N1005" t="s">
        <v>2856</v>
      </c>
      <c r="O1005" t="s">
        <v>1747</v>
      </c>
    </row>
    <row r="1006" spans="1:61" ht="18.399999999999999" hidden="1" customHeight="1" x14ac:dyDescent="0.15">
      <c r="A1006" s="2" t="s">
        <v>1117</v>
      </c>
      <c r="B1006" s="87" t="s">
        <v>590</v>
      </c>
      <c r="C1006" s="2">
        <v>1</v>
      </c>
      <c r="D1006" s="2" t="s">
        <v>203</v>
      </c>
      <c r="E1006" s="27">
        <f>G1006+I1006+K1006</f>
        <v>3000</v>
      </c>
      <c r="F1006" s="28">
        <f>H1006+J1006+L1006</f>
        <v>3000</v>
      </c>
      <c r="G1006" s="27">
        <f>자재조서!E44</f>
        <v>3000</v>
      </c>
      <c r="H1006" s="28">
        <f>TRUNC(G1006*C1006,1)</f>
        <v>3000</v>
      </c>
      <c r="I1006" s="27">
        <v>0</v>
      </c>
      <c r="J1006" s="28"/>
      <c r="K1006" s="27">
        <v>0</v>
      </c>
      <c r="L1006" s="28"/>
      <c r="M1006" s="86" t="s">
        <v>2856</v>
      </c>
      <c r="N1006" t="s">
        <v>546</v>
      </c>
      <c r="P1006" t="s">
        <v>1741</v>
      </c>
      <c r="Q1006" t="s">
        <v>2856</v>
      </c>
      <c r="R1006" t="s">
        <v>1292</v>
      </c>
      <c r="BI1006" s="34" t="str">
        <f>HYPERLINK("#자재조서!A43","M25200015 →")</f>
        <v>M25200015 →</v>
      </c>
    </row>
    <row r="1007" spans="1:61" ht="18.399999999999999" hidden="1" customHeight="1" x14ac:dyDescent="0.15">
      <c r="A1007" s="2" t="s">
        <v>655</v>
      </c>
      <c r="B1007" s="87" t="s">
        <v>1641</v>
      </c>
      <c r="C1007" s="2">
        <v>1</v>
      </c>
      <c r="D1007" s="2" t="s">
        <v>203</v>
      </c>
      <c r="E1007" s="27">
        <f>G1007+I1007+K1007</f>
        <v>309</v>
      </c>
      <c r="F1007" s="28">
        <f>H1007+J1007+L1007</f>
        <v>309</v>
      </c>
      <c r="G1007" s="27">
        <f>일위대가목록!F233</f>
        <v>0</v>
      </c>
      <c r="H1007" s="28">
        <f>TRUNC(G1007*C1007,1)</f>
        <v>0</v>
      </c>
      <c r="I1007" s="27">
        <f>일위대가목록!H233</f>
        <v>309</v>
      </c>
      <c r="J1007" s="28">
        <f>TRUNC(I1007*C1007,1)</f>
        <v>309</v>
      </c>
      <c r="K1007" s="27">
        <f>일위대가목록!J233</f>
        <v>0</v>
      </c>
      <c r="L1007" s="28">
        <f>TRUNC(K1007*C1007,1)</f>
        <v>0</v>
      </c>
      <c r="M1007" s="86" t="s">
        <v>2856</v>
      </c>
      <c r="N1007" t="s">
        <v>2856</v>
      </c>
      <c r="P1007" t="s">
        <v>1036</v>
      </c>
      <c r="Q1007" t="s">
        <v>2856</v>
      </c>
      <c r="R1007" t="s">
        <v>475</v>
      </c>
      <c r="T1007" t="s">
        <v>1778</v>
      </c>
      <c r="BI1007" s="34" t="str">
        <f>HYPERLINK("#일위대가목록!A228","NT0960 →")</f>
        <v>NT0960 →</v>
      </c>
    </row>
    <row r="1008" spans="1:61" ht="18.399999999999999" hidden="1" customHeight="1" x14ac:dyDescent="0.15">
      <c r="A1008" s="2" t="s">
        <v>261</v>
      </c>
      <c r="B1008" s="87" t="s">
        <v>2437</v>
      </c>
      <c r="C1008" s="2">
        <v>0.1</v>
      </c>
      <c r="D1008" s="2" t="s">
        <v>1674</v>
      </c>
      <c r="E1008" s="27">
        <f>G1008+I1008+K1008</f>
        <v>433</v>
      </c>
      <c r="F1008" s="28">
        <f>H1008+J1008+L1008</f>
        <v>43.3</v>
      </c>
      <c r="G1008" s="27">
        <f>자재조서!E129</f>
        <v>433</v>
      </c>
      <c r="H1008" s="28">
        <f>TRUNC(G1008*C1008,1)</f>
        <v>43.3</v>
      </c>
      <c r="I1008" s="27">
        <v>0</v>
      </c>
      <c r="J1008" s="28"/>
      <c r="K1008" s="27">
        <v>0</v>
      </c>
      <c r="L1008" s="28"/>
      <c r="M1008" s="86" t="s">
        <v>1601</v>
      </c>
      <c r="N1008" t="s">
        <v>2856</v>
      </c>
      <c r="P1008" t="s">
        <v>286</v>
      </c>
      <c r="Q1008" t="s">
        <v>1839</v>
      </c>
      <c r="R1008" t="s">
        <v>1422</v>
      </c>
      <c r="W1008" t="s">
        <v>1601</v>
      </c>
      <c r="BI1008" s="34" t="str">
        <f>HYPERLINK("#자재조서!A123","MTP-010 →")</f>
        <v>MTP-010 →</v>
      </c>
    </row>
    <row r="1009" spans="1:61" ht="18.399999999999999" hidden="1" customHeight="1" x14ac:dyDescent="0.15">
      <c r="A1009" s="1"/>
      <c r="B1009" s="87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87"/>
    </row>
    <row r="1010" spans="1:61" ht="18.399999999999999" hidden="1" customHeight="1" x14ac:dyDescent="0.15">
      <c r="A1010" s="2" t="s">
        <v>2561</v>
      </c>
      <c r="B1010" s="87" t="s">
        <v>763</v>
      </c>
      <c r="C1010" s="2">
        <v>1</v>
      </c>
      <c r="D1010" s="2" t="s">
        <v>203</v>
      </c>
      <c r="E1010" s="184"/>
      <c r="F1010" s="29">
        <f>H1010+J1010+L1010</f>
        <v>5309</v>
      </c>
      <c r="G1010" s="184"/>
      <c r="H1010" s="29">
        <f>TRUNC(H1011+H1012,0)</f>
        <v>5000</v>
      </c>
      <c r="I1010" s="184"/>
      <c r="J1010" s="29">
        <f>TRUNC(J1011+J1012,0)</f>
        <v>309</v>
      </c>
      <c r="K1010" s="184"/>
      <c r="L1010" s="29">
        <f>TRUNC(L1011+L1012,0)</f>
        <v>0</v>
      </c>
      <c r="M1010" s="86" t="s">
        <v>2856</v>
      </c>
      <c r="N1010" t="s">
        <v>2856</v>
      </c>
      <c r="O1010" t="s">
        <v>1665</v>
      </c>
    </row>
    <row r="1011" spans="1:61" ht="18.399999999999999" hidden="1" customHeight="1" x14ac:dyDescent="0.15">
      <c r="A1011" s="2" t="s">
        <v>370</v>
      </c>
      <c r="B1011" s="87" t="s">
        <v>747</v>
      </c>
      <c r="C1011" s="2">
        <v>1</v>
      </c>
      <c r="D1011" s="2" t="s">
        <v>203</v>
      </c>
      <c r="E1011" s="27">
        <f>G1011+I1011+K1011</f>
        <v>5000</v>
      </c>
      <c r="F1011" s="28">
        <f>H1011+J1011+L1011</f>
        <v>5000</v>
      </c>
      <c r="G1011" s="27">
        <f>자재조서!E116</f>
        <v>5000</v>
      </c>
      <c r="H1011" s="28">
        <f>TRUNC(G1011*C1011,1)</f>
        <v>5000</v>
      </c>
      <c r="I1011" s="27">
        <v>0</v>
      </c>
      <c r="J1011" s="28"/>
      <c r="K1011" s="27">
        <v>0</v>
      </c>
      <c r="L1011" s="28"/>
      <c r="M1011" s="86" t="s">
        <v>2856</v>
      </c>
      <c r="N1011" t="s">
        <v>2856</v>
      </c>
      <c r="P1011" t="s">
        <v>334</v>
      </c>
      <c r="Q1011" t="s">
        <v>2856</v>
      </c>
      <c r="R1011" t="s">
        <v>2117</v>
      </c>
      <c r="BI1011" s="34" t="str">
        <f>HYPERLINK("#자재조서!A111","MT-1181G →")</f>
        <v>MT-1181G →</v>
      </c>
    </row>
    <row r="1012" spans="1:61" ht="18.399999999999999" hidden="1" customHeight="1" x14ac:dyDescent="0.15">
      <c r="A1012" s="2" t="s">
        <v>655</v>
      </c>
      <c r="B1012" s="87" t="s">
        <v>1641</v>
      </c>
      <c r="C1012" s="2">
        <v>1</v>
      </c>
      <c r="D1012" s="2" t="s">
        <v>203</v>
      </c>
      <c r="E1012" s="27">
        <f>G1012+I1012+K1012</f>
        <v>309</v>
      </c>
      <c r="F1012" s="28">
        <f>H1012+J1012+L1012</f>
        <v>309</v>
      </c>
      <c r="G1012" s="27">
        <f>일위대가목록!F233</f>
        <v>0</v>
      </c>
      <c r="H1012" s="28">
        <f>TRUNC(G1012*C1012,1)</f>
        <v>0</v>
      </c>
      <c r="I1012" s="27">
        <f>일위대가목록!H233</f>
        <v>309</v>
      </c>
      <c r="J1012" s="28">
        <f>TRUNC(I1012*C1012,1)</f>
        <v>309</v>
      </c>
      <c r="K1012" s="27">
        <f>일위대가목록!J233</f>
        <v>0</v>
      </c>
      <c r="L1012" s="28">
        <f>TRUNC(K1012*C1012,1)</f>
        <v>0</v>
      </c>
      <c r="M1012" s="86" t="s">
        <v>2856</v>
      </c>
      <c r="N1012" t="s">
        <v>2856</v>
      </c>
      <c r="P1012" t="s">
        <v>2471</v>
      </c>
      <c r="Q1012" t="s">
        <v>2856</v>
      </c>
      <c r="R1012" t="s">
        <v>475</v>
      </c>
      <c r="T1012" t="s">
        <v>1778</v>
      </c>
      <c r="BI1012" s="34" t="str">
        <f>HYPERLINK("#일위대가목록!A228","NT0960 →")</f>
        <v>NT0960 →</v>
      </c>
    </row>
    <row r="1013" spans="1:61" ht="18.399999999999999" hidden="1" customHeight="1" x14ac:dyDescent="0.15">
      <c r="A1013" s="2" t="s">
        <v>261</v>
      </c>
      <c r="B1013" s="87" t="s">
        <v>2437</v>
      </c>
      <c r="C1013" s="2">
        <v>0.1</v>
      </c>
      <c r="D1013" s="2" t="s">
        <v>1674</v>
      </c>
      <c r="E1013" s="27">
        <f>G1013+I1013+K1013</f>
        <v>433</v>
      </c>
      <c r="F1013" s="28">
        <f>H1013+J1013+L1013</f>
        <v>43.3</v>
      </c>
      <c r="G1013" s="27">
        <f>자재조서!E129</f>
        <v>433</v>
      </c>
      <c r="H1013" s="28">
        <f>TRUNC(G1013*C1013,1)</f>
        <v>43.3</v>
      </c>
      <c r="I1013" s="27">
        <v>0</v>
      </c>
      <c r="J1013" s="28"/>
      <c r="K1013" s="27">
        <v>0</v>
      </c>
      <c r="L1013" s="28"/>
      <c r="M1013" s="86" t="s">
        <v>1601</v>
      </c>
      <c r="N1013" t="s">
        <v>2856</v>
      </c>
      <c r="P1013" t="s">
        <v>1741</v>
      </c>
      <c r="Q1013" t="s">
        <v>1839</v>
      </c>
      <c r="R1013" t="s">
        <v>1422</v>
      </c>
      <c r="W1013" t="s">
        <v>1601</v>
      </c>
      <c r="BI1013" s="34" t="str">
        <f>HYPERLINK("#자재조서!A123","MTP-010 →")</f>
        <v>MTP-010 →</v>
      </c>
    </row>
    <row r="1014" spans="1:61" ht="18.399999999999999" hidden="1" customHeight="1" x14ac:dyDescent="0.15">
      <c r="A1014" s="1"/>
      <c r="B1014" s="87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87"/>
    </row>
    <row r="1015" spans="1:61" ht="18.399999999999999" hidden="1" customHeight="1" x14ac:dyDescent="0.15">
      <c r="A1015" s="2" t="s">
        <v>547</v>
      </c>
      <c r="B1015" s="87" t="s">
        <v>1910</v>
      </c>
      <c r="C1015" s="2">
        <v>1</v>
      </c>
      <c r="D1015" s="2" t="s">
        <v>1202</v>
      </c>
      <c r="E1015" s="184"/>
      <c r="F1015" s="29">
        <f>H1015+J1015+L1015</f>
        <v>11338</v>
      </c>
      <c r="G1015" s="184"/>
      <c r="H1015" s="29">
        <f>TRUNC(H1016+H1017,0)</f>
        <v>5400</v>
      </c>
      <c r="I1015" s="184"/>
      <c r="J1015" s="29">
        <f>TRUNC(J1016+J1017,0)</f>
        <v>5938</v>
      </c>
      <c r="K1015" s="184"/>
      <c r="L1015" s="29">
        <f>TRUNC(L1016+L1017,0)</f>
        <v>0</v>
      </c>
      <c r="M1015" s="86" t="s">
        <v>2856</v>
      </c>
      <c r="N1015" t="s">
        <v>2856</v>
      </c>
      <c r="O1015" t="s">
        <v>199</v>
      </c>
    </row>
    <row r="1016" spans="1:61" ht="18.399999999999999" hidden="1" customHeight="1" x14ac:dyDescent="0.15">
      <c r="A1016" s="2" t="s">
        <v>1018</v>
      </c>
      <c r="B1016" s="87" t="s">
        <v>1910</v>
      </c>
      <c r="C1016" s="2">
        <v>12</v>
      </c>
      <c r="D1016" s="2" t="s">
        <v>2156</v>
      </c>
      <c r="E1016" s="27">
        <f>G1016+I1016+K1016</f>
        <v>450</v>
      </c>
      <c r="F1016" s="28">
        <f>H1016+J1016+L1016</f>
        <v>5400</v>
      </c>
      <c r="G1016" s="27">
        <f>자재조서!E50</f>
        <v>450</v>
      </c>
      <c r="H1016" s="28">
        <f>TRUNC(G1016*C1016,1)</f>
        <v>5400</v>
      </c>
      <c r="I1016" s="27">
        <v>0</v>
      </c>
      <c r="J1016" s="28"/>
      <c r="K1016" s="27">
        <v>0</v>
      </c>
      <c r="L1016" s="28"/>
      <c r="M1016" s="86" t="s">
        <v>2856</v>
      </c>
      <c r="N1016" t="s">
        <v>2856</v>
      </c>
      <c r="P1016" t="s">
        <v>334</v>
      </c>
      <c r="Q1016" t="s">
        <v>2856</v>
      </c>
      <c r="R1016" t="s">
        <v>19</v>
      </c>
      <c r="BI1016" s="34" t="str">
        <f>HYPERLINK("#자재조서!A49","M2538004 →")</f>
        <v>M2538004 →</v>
      </c>
    </row>
    <row r="1017" spans="1:61" ht="18.399999999999999" hidden="1" customHeight="1" x14ac:dyDescent="0.15">
      <c r="A1017" s="2" t="s">
        <v>332</v>
      </c>
      <c r="B1017" s="87" t="s">
        <v>1970</v>
      </c>
      <c r="C1017" s="2">
        <v>1</v>
      </c>
      <c r="D1017" s="2" t="s">
        <v>1202</v>
      </c>
      <c r="E1017" s="27">
        <f>G1017+I1017+K1017</f>
        <v>5938</v>
      </c>
      <c r="F1017" s="28">
        <f>H1017+J1017+L1017</f>
        <v>5938</v>
      </c>
      <c r="G1017" s="27">
        <f>일위대가목록!F234</f>
        <v>0</v>
      </c>
      <c r="H1017" s="28">
        <f>TRUNC(G1017*C1017,1)</f>
        <v>0</v>
      </c>
      <c r="I1017" s="27">
        <f>일위대가목록!H234</f>
        <v>5938</v>
      </c>
      <c r="J1017" s="28">
        <f>TRUNC(I1017*C1017,1)</f>
        <v>5938</v>
      </c>
      <c r="K1017" s="27">
        <f>일위대가목록!J234</f>
        <v>0</v>
      </c>
      <c r="L1017" s="28">
        <f>TRUNC(K1017*C1017,1)</f>
        <v>0</v>
      </c>
      <c r="M1017" s="86" t="s">
        <v>2856</v>
      </c>
      <c r="N1017" t="s">
        <v>2856</v>
      </c>
      <c r="P1017" t="s">
        <v>2471</v>
      </c>
      <c r="Q1017" t="s">
        <v>2856</v>
      </c>
      <c r="R1017" t="s">
        <v>2525</v>
      </c>
      <c r="T1017" t="s">
        <v>1778</v>
      </c>
      <c r="BI1017" s="34" t="str">
        <f>HYPERLINK("#일위대가목록!A229","NT0975 →")</f>
        <v>NT0975 →</v>
      </c>
    </row>
    <row r="1018" spans="1:61" ht="18.399999999999999" hidden="1" customHeight="1" x14ac:dyDescent="0.15">
      <c r="A1018" s="1"/>
      <c r="B1018" s="87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87"/>
    </row>
    <row r="1019" spans="1:61" ht="18.399999999999999" hidden="1" customHeight="1" x14ac:dyDescent="0.15">
      <c r="A1019" s="2" t="s">
        <v>1758</v>
      </c>
      <c r="B1019" s="87" t="s">
        <v>1479</v>
      </c>
      <c r="C1019" s="2">
        <v>1</v>
      </c>
      <c r="D1019" s="2" t="s">
        <v>1796</v>
      </c>
      <c r="E1019" s="184"/>
      <c r="F1019" s="29">
        <f>H1019+J1019+L1019</f>
        <v>40841</v>
      </c>
      <c r="G1019" s="184"/>
      <c r="H1019" s="29">
        <f>TRUNC(H1020+H1021,0)</f>
        <v>37500</v>
      </c>
      <c r="I1019" s="184"/>
      <c r="J1019" s="29">
        <f>TRUNC(J1020+J1021,0)</f>
        <v>3341</v>
      </c>
      <c r="K1019" s="184"/>
      <c r="L1019" s="29">
        <f>TRUNC(L1020+L1021,0)</f>
        <v>0</v>
      </c>
      <c r="M1019" s="86" t="s">
        <v>2856</v>
      </c>
      <c r="N1019" t="s">
        <v>2856</v>
      </c>
      <c r="O1019" t="s">
        <v>1247</v>
      </c>
    </row>
    <row r="1020" spans="1:61" ht="18.399999999999999" hidden="1" customHeight="1" x14ac:dyDescent="0.15">
      <c r="A1020" s="2" t="s">
        <v>1081</v>
      </c>
      <c r="B1020" s="87" t="s">
        <v>2280</v>
      </c>
      <c r="C1020" s="2">
        <v>3</v>
      </c>
      <c r="D1020" s="2" t="s">
        <v>1796</v>
      </c>
      <c r="E1020" s="27">
        <f>G1020+I1020+K1020</f>
        <v>12500</v>
      </c>
      <c r="F1020" s="28">
        <f>H1020+J1020+L1020</f>
        <v>37500</v>
      </c>
      <c r="G1020" s="27">
        <f>자재조서!E124</f>
        <v>12500</v>
      </c>
      <c r="H1020" s="28">
        <f>TRUNC(G1020*C1020,1)</f>
        <v>37500</v>
      </c>
      <c r="I1020" s="27">
        <v>0</v>
      </c>
      <c r="J1020" s="28"/>
      <c r="K1020" s="27">
        <v>0</v>
      </c>
      <c r="L1020" s="28"/>
      <c r="M1020" s="86" t="s">
        <v>2856</v>
      </c>
      <c r="N1020" t="s">
        <v>2856</v>
      </c>
      <c r="P1020" t="s">
        <v>334</v>
      </c>
      <c r="Q1020" t="s">
        <v>2856</v>
      </c>
      <c r="R1020" t="s">
        <v>1214</v>
      </c>
      <c r="BI1020" s="34" t="str">
        <f>HYPERLINK("#자재조서!A119","MT1020 →")</f>
        <v>MT1020 →</v>
      </c>
    </row>
    <row r="1021" spans="1:61" ht="18.399999999999999" hidden="1" customHeight="1" x14ac:dyDescent="0.15">
      <c r="A1021" s="2" t="s">
        <v>888</v>
      </c>
      <c r="B1021" s="87" t="s">
        <v>2856</v>
      </c>
      <c r="C1021" s="2">
        <v>0.02</v>
      </c>
      <c r="D1021" s="2" t="s">
        <v>2652</v>
      </c>
      <c r="E1021" s="27">
        <f>G1021+I1021+K1021</f>
        <v>167081</v>
      </c>
      <c r="F1021" s="28">
        <f>H1021+J1021+L1021</f>
        <v>3341.6</v>
      </c>
      <c r="G1021" s="27">
        <v>0</v>
      </c>
      <c r="H1021" s="28"/>
      <c r="I1021" s="27">
        <f>노임!D15</f>
        <v>167081</v>
      </c>
      <c r="J1021" s="28">
        <f>TRUNC(I1021*C1021,1)</f>
        <v>3341.6</v>
      </c>
      <c r="K1021" s="27">
        <v>0</v>
      </c>
      <c r="L1021" s="28"/>
      <c r="M1021" s="86" t="s">
        <v>2856</v>
      </c>
      <c r="N1021" t="s">
        <v>821</v>
      </c>
      <c r="P1021" t="s">
        <v>2471</v>
      </c>
      <c r="Q1021" t="s">
        <v>2856</v>
      </c>
      <c r="R1021" t="s">
        <v>498</v>
      </c>
      <c r="BI1021" s="34" t="str">
        <f>HYPERLINK("#노임!A15","L085 →")</f>
        <v>L085 →</v>
      </c>
    </row>
    <row r="1022" spans="1:61" ht="18.399999999999999" hidden="1" customHeight="1" x14ac:dyDescent="0.15">
      <c r="A1022" s="1"/>
      <c r="B1022" s="87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87"/>
    </row>
    <row r="1023" spans="1:61" ht="18.399999999999999" hidden="1" customHeight="1" x14ac:dyDescent="0.15">
      <c r="A1023" s="2" t="s">
        <v>686</v>
      </c>
      <c r="B1023" s="87" t="s">
        <v>2226</v>
      </c>
      <c r="C1023" s="2">
        <v>1</v>
      </c>
      <c r="D1023" s="2" t="s">
        <v>1670</v>
      </c>
      <c r="E1023" s="184"/>
      <c r="F1023" s="29">
        <f t="shared" ref="F1023:F1032" si="225">H1023+J1023+L1023</f>
        <v>548875</v>
      </c>
      <c r="G1023" s="184"/>
      <c r="H1023" s="29">
        <f>TRUNC(H1024+H1025+H1026+H1028+H1029+H1030+H1031+H1032,0)</f>
        <v>462219</v>
      </c>
      <c r="I1023" s="184"/>
      <c r="J1023" s="29">
        <f>TRUNC(J1024+J1025+J1026+J1028+J1029+J1030+J1031+J1032,0)</f>
        <v>75842</v>
      </c>
      <c r="K1023" s="184"/>
      <c r="L1023" s="29">
        <f>TRUNC(L1024+L1025+L1026+L1028+L1029+L1030+L1031+L1032,0)</f>
        <v>10814</v>
      </c>
      <c r="M1023" s="86" t="s">
        <v>2856</v>
      </c>
      <c r="N1023" t="s">
        <v>2856</v>
      </c>
      <c r="O1023" t="s">
        <v>1380</v>
      </c>
    </row>
    <row r="1024" spans="1:61" ht="18.399999999999999" hidden="1" customHeight="1" x14ac:dyDescent="0.15">
      <c r="A1024" s="2" t="s">
        <v>1163</v>
      </c>
      <c r="B1024" s="87" t="s">
        <v>576</v>
      </c>
      <c r="C1024" s="2">
        <v>0.31</v>
      </c>
      <c r="D1024" s="2" t="s">
        <v>2825</v>
      </c>
      <c r="E1024" s="27">
        <f t="shared" ref="E1024:E1032" si="226">G1024+I1024+K1024</f>
        <v>5009</v>
      </c>
      <c r="F1024" s="28">
        <f t="shared" si="225"/>
        <v>1552.6999999999998</v>
      </c>
      <c r="G1024" s="27">
        <f>일위대가목록!F4</f>
        <v>300</v>
      </c>
      <c r="H1024" s="28">
        <f t="shared" ref="H1024:H1032" si="227">TRUNC(G1024*C1024,1)</f>
        <v>93</v>
      </c>
      <c r="I1024" s="27">
        <f>일위대가목록!H4</f>
        <v>4328</v>
      </c>
      <c r="J1024" s="28">
        <f>TRUNC(I1024*C1024,1)</f>
        <v>1341.6</v>
      </c>
      <c r="K1024" s="27">
        <f>일위대가목록!J4</f>
        <v>381</v>
      </c>
      <c r="L1024" s="28">
        <f>TRUNC(K1024*C1024,1)</f>
        <v>118.1</v>
      </c>
      <c r="M1024" s="86" t="s">
        <v>2856</v>
      </c>
      <c r="N1024" t="s">
        <v>2856</v>
      </c>
      <c r="P1024" t="s">
        <v>334</v>
      </c>
      <c r="Q1024" t="s">
        <v>2856</v>
      </c>
      <c r="R1024" t="s">
        <v>69</v>
      </c>
      <c r="T1024" t="s">
        <v>2405</v>
      </c>
      <c r="BI1024" s="34" t="str">
        <f>HYPERLINK("#일위대가목록!A4","N1070 →")</f>
        <v>N1070 →</v>
      </c>
    </row>
    <row r="1025" spans="1:61" ht="18.399999999999999" hidden="1" customHeight="1" x14ac:dyDescent="0.15">
      <c r="A1025" s="2" t="s">
        <v>1112</v>
      </c>
      <c r="B1025" s="87" t="s">
        <v>2429</v>
      </c>
      <c r="C1025" s="2">
        <v>0.17</v>
      </c>
      <c r="D1025" s="2" t="s">
        <v>2825</v>
      </c>
      <c r="E1025" s="27">
        <f t="shared" si="226"/>
        <v>1588</v>
      </c>
      <c r="F1025" s="28">
        <f t="shared" si="225"/>
        <v>269.90000000000003</v>
      </c>
      <c r="G1025" s="27">
        <f>일위대가목록!F5</f>
        <v>285</v>
      </c>
      <c r="H1025" s="28">
        <f t="shared" si="227"/>
        <v>48.4</v>
      </c>
      <c r="I1025" s="27">
        <f>일위대가목록!H5</f>
        <v>940</v>
      </c>
      <c r="J1025" s="28">
        <f>TRUNC(I1025*C1025,1)</f>
        <v>159.80000000000001</v>
      </c>
      <c r="K1025" s="27">
        <f>일위대가목록!J5</f>
        <v>363</v>
      </c>
      <c r="L1025" s="28">
        <f>TRUNC(K1025*C1025,1)</f>
        <v>61.7</v>
      </c>
      <c r="M1025" s="86" t="s">
        <v>2856</v>
      </c>
      <c r="N1025" t="s">
        <v>2856</v>
      </c>
      <c r="P1025" t="s">
        <v>2471</v>
      </c>
      <c r="Q1025" t="s">
        <v>2856</v>
      </c>
      <c r="R1025" t="s">
        <v>1705</v>
      </c>
      <c r="T1025" t="s">
        <v>2405</v>
      </c>
      <c r="BI1025" s="34" t="str">
        <f>HYPERLINK("#일위대가목록!A5","N0860 →")</f>
        <v>N0860 →</v>
      </c>
    </row>
    <row r="1026" spans="1:61" ht="18.399999999999999" hidden="1" customHeight="1" x14ac:dyDescent="0.15">
      <c r="A1026" s="2" t="s">
        <v>2451</v>
      </c>
      <c r="B1026" s="87" t="s">
        <v>565</v>
      </c>
      <c r="C1026" s="2">
        <v>0.14000000000000001</v>
      </c>
      <c r="D1026" s="2" t="s">
        <v>2825</v>
      </c>
      <c r="E1026" s="27">
        <f t="shared" si="226"/>
        <v>7144</v>
      </c>
      <c r="F1026" s="28">
        <f t="shared" si="225"/>
        <v>1000.0999999999999</v>
      </c>
      <c r="G1026" s="27">
        <f>일위대가목록!F6</f>
        <v>445</v>
      </c>
      <c r="H1026" s="28">
        <f t="shared" si="227"/>
        <v>62.3</v>
      </c>
      <c r="I1026" s="27">
        <f>일위대가목록!H6</f>
        <v>6329</v>
      </c>
      <c r="J1026" s="28">
        <f>TRUNC(I1026*C1026,1)</f>
        <v>886</v>
      </c>
      <c r="K1026" s="27">
        <f>일위대가목록!J6</f>
        <v>370</v>
      </c>
      <c r="L1026" s="28">
        <f>TRUNC(K1026*C1026,1)</f>
        <v>51.8</v>
      </c>
      <c r="M1026" s="86" t="s">
        <v>2856</v>
      </c>
      <c r="N1026" t="s">
        <v>2856</v>
      </c>
      <c r="P1026" t="s">
        <v>1741</v>
      </c>
      <c r="Q1026" t="s">
        <v>2856</v>
      </c>
      <c r="R1026" t="s">
        <v>1429</v>
      </c>
      <c r="T1026" t="s">
        <v>2405</v>
      </c>
      <c r="BI1026" s="34" t="str">
        <f>HYPERLINK("#일위대가목록!A6","N1010 →")</f>
        <v>N1010 →</v>
      </c>
    </row>
    <row r="1027" spans="1:61" ht="18.399999999999999" hidden="1" customHeight="1" x14ac:dyDescent="0.15">
      <c r="A1027" s="2" t="s">
        <v>1632</v>
      </c>
      <c r="B1027" s="87" t="s">
        <v>2279</v>
      </c>
      <c r="C1027" s="2">
        <v>0.11</v>
      </c>
      <c r="D1027" s="2" t="s">
        <v>2825</v>
      </c>
      <c r="E1027" s="27">
        <f t="shared" si="226"/>
        <v>89830</v>
      </c>
      <c r="F1027" s="28">
        <f t="shared" si="225"/>
        <v>9881.2999999999993</v>
      </c>
      <c r="G1027" s="27">
        <f>자재조서!E73</f>
        <v>89830</v>
      </c>
      <c r="H1027" s="28">
        <f t="shared" si="227"/>
        <v>9881.2999999999993</v>
      </c>
      <c r="I1027" s="27">
        <v>0</v>
      </c>
      <c r="J1027" s="28"/>
      <c r="K1027" s="27">
        <v>0</v>
      </c>
      <c r="L1027" s="28"/>
      <c r="M1027" s="86" t="s">
        <v>1601</v>
      </c>
      <c r="N1027" t="s">
        <v>2856</v>
      </c>
      <c r="P1027" t="s">
        <v>2650</v>
      </c>
      <c r="Q1027" t="s">
        <v>1839</v>
      </c>
      <c r="R1027" t="s">
        <v>2547</v>
      </c>
      <c r="W1027" t="s">
        <v>1601</v>
      </c>
      <c r="BI1027" s="34" t="str">
        <f>HYPERLINK("#자재조서!A70","MB-190-24 →")</f>
        <v>MB-190-24 →</v>
      </c>
    </row>
    <row r="1028" spans="1:61" ht="18.399999999999999" hidden="1" customHeight="1" x14ac:dyDescent="0.15">
      <c r="A1028" s="2" t="s">
        <v>54</v>
      </c>
      <c r="B1028" s="87" t="s">
        <v>1255</v>
      </c>
      <c r="C1028" s="2">
        <v>0.11</v>
      </c>
      <c r="D1028" s="2" t="s">
        <v>2825</v>
      </c>
      <c r="E1028" s="27">
        <f t="shared" si="226"/>
        <v>55166</v>
      </c>
      <c r="F1028" s="28">
        <f t="shared" si="225"/>
        <v>6068</v>
      </c>
      <c r="G1028" s="27">
        <f>일위대가목록!F235</f>
        <v>2538</v>
      </c>
      <c r="H1028" s="28">
        <f t="shared" si="227"/>
        <v>279.10000000000002</v>
      </c>
      <c r="I1028" s="27">
        <f>일위대가목록!H235</f>
        <v>22449</v>
      </c>
      <c r="J1028" s="28">
        <f>TRUNC(I1028*C1028,1)</f>
        <v>2469.3000000000002</v>
      </c>
      <c r="K1028" s="27">
        <f>일위대가목록!J235</f>
        <v>30179</v>
      </c>
      <c r="L1028" s="28">
        <f>TRUNC(K1028*C1028,1)</f>
        <v>3319.6</v>
      </c>
      <c r="M1028" s="86" t="s">
        <v>2856</v>
      </c>
      <c r="N1028" t="s">
        <v>2856</v>
      </c>
      <c r="P1028" t="s">
        <v>2734</v>
      </c>
      <c r="Q1028" t="s">
        <v>2856</v>
      </c>
      <c r="R1028" t="s">
        <v>668</v>
      </c>
      <c r="T1028" t="s">
        <v>1778</v>
      </c>
      <c r="BI1028" s="34" t="str">
        <f>HYPERLINK("#일위대가목록!A230","N1380-24 →")</f>
        <v>N1380-24 →</v>
      </c>
    </row>
    <row r="1029" spans="1:61" ht="18.399999999999999" hidden="1" customHeight="1" x14ac:dyDescent="0.15">
      <c r="A1029" s="2" t="s">
        <v>832</v>
      </c>
      <c r="B1029" s="87" t="s">
        <v>610</v>
      </c>
      <c r="C1029" s="2">
        <v>0.3</v>
      </c>
      <c r="D1029" s="2" t="s">
        <v>1202</v>
      </c>
      <c r="E1029" s="27">
        <f t="shared" si="226"/>
        <v>45715</v>
      </c>
      <c r="F1029" s="28">
        <f t="shared" si="225"/>
        <v>13714.5</v>
      </c>
      <c r="G1029" s="27">
        <f>일위대가목록!F236</f>
        <v>11180</v>
      </c>
      <c r="H1029" s="28">
        <f t="shared" si="227"/>
        <v>3354</v>
      </c>
      <c r="I1029" s="27">
        <f>일위대가목록!H236</f>
        <v>34194</v>
      </c>
      <c r="J1029" s="28">
        <f>TRUNC(I1029*C1029,1)</f>
        <v>10258.200000000001</v>
      </c>
      <c r="K1029" s="27">
        <f>일위대가목록!J236</f>
        <v>341</v>
      </c>
      <c r="L1029" s="28">
        <f>TRUNC(K1029*C1029,1)</f>
        <v>102.3</v>
      </c>
      <c r="M1029" s="86" t="s">
        <v>2856</v>
      </c>
      <c r="N1029" t="s">
        <v>2856</v>
      </c>
      <c r="P1029" t="s">
        <v>2720</v>
      </c>
      <c r="Q1029" t="s">
        <v>2856</v>
      </c>
      <c r="R1029" t="s">
        <v>1998</v>
      </c>
      <c r="T1029" t="s">
        <v>1778</v>
      </c>
      <c r="BI1029" s="34" t="str">
        <f>HYPERLINK("#일위대가목록!A231","N1150 →")</f>
        <v>N1150 →</v>
      </c>
    </row>
    <row r="1030" spans="1:61" ht="18.399999999999999" hidden="1" customHeight="1" x14ac:dyDescent="0.15">
      <c r="A1030" s="2" t="s">
        <v>2073</v>
      </c>
      <c r="B1030" s="87" t="s">
        <v>2856</v>
      </c>
      <c r="C1030" s="2">
        <v>0.02</v>
      </c>
      <c r="D1030" s="2" t="s">
        <v>2825</v>
      </c>
      <c r="E1030" s="27">
        <f t="shared" si="226"/>
        <v>208934</v>
      </c>
      <c r="F1030" s="28">
        <f t="shared" si="225"/>
        <v>4178.6000000000004</v>
      </c>
      <c r="G1030" s="27">
        <f>일위대가목록!F237</f>
        <v>137090</v>
      </c>
      <c r="H1030" s="28">
        <f t="shared" si="227"/>
        <v>2741.8</v>
      </c>
      <c r="I1030" s="27">
        <f>일위대가목록!H237</f>
        <v>71844</v>
      </c>
      <c r="J1030" s="28">
        <f>TRUNC(I1030*C1030,1)</f>
        <v>1436.8</v>
      </c>
      <c r="K1030" s="27">
        <f>일위대가목록!J237</f>
        <v>0</v>
      </c>
      <c r="L1030" s="28">
        <f>TRUNC(K1030*C1030,1)</f>
        <v>0</v>
      </c>
      <c r="M1030" s="86" t="s">
        <v>2856</v>
      </c>
      <c r="N1030" t="s">
        <v>2856</v>
      </c>
      <c r="P1030" t="s">
        <v>1640</v>
      </c>
      <c r="Q1030" t="s">
        <v>2856</v>
      </c>
      <c r="R1030" t="s">
        <v>918</v>
      </c>
      <c r="T1030" t="s">
        <v>1778</v>
      </c>
      <c r="BI1030" s="34" t="str">
        <f>HYPERLINK("#일위대가목록!A232","HW0211 →")</f>
        <v>HW0211 →</v>
      </c>
    </row>
    <row r="1031" spans="1:61" ht="18.399999999999999" hidden="1" customHeight="1" x14ac:dyDescent="0.15">
      <c r="A1031" s="2" t="s">
        <v>2409</v>
      </c>
      <c r="B1031" s="87" t="s">
        <v>2518</v>
      </c>
      <c r="C1031" s="2">
        <v>1</v>
      </c>
      <c r="D1031" s="2" t="s">
        <v>773</v>
      </c>
      <c r="E1031" s="27">
        <f t="shared" si="226"/>
        <v>450000</v>
      </c>
      <c r="F1031" s="28">
        <f t="shared" si="225"/>
        <v>450000</v>
      </c>
      <c r="G1031" s="27">
        <f>자재조서!E96</f>
        <v>450000</v>
      </c>
      <c r="H1031" s="28">
        <f t="shared" si="227"/>
        <v>450000</v>
      </c>
      <c r="I1031" s="27">
        <v>0</v>
      </c>
      <c r="J1031" s="28"/>
      <c r="K1031" s="27">
        <v>0</v>
      </c>
      <c r="L1031" s="28"/>
      <c r="M1031" s="86" t="s">
        <v>2856</v>
      </c>
      <c r="N1031" t="s">
        <v>2856</v>
      </c>
      <c r="P1031" t="s">
        <v>2340</v>
      </c>
      <c r="Q1031" t="s">
        <v>2856</v>
      </c>
      <c r="R1031" t="s">
        <v>282</v>
      </c>
      <c r="BI1031" s="34" t="str">
        <f>HYPERLINK("#자재조서!A91","MP-2060 →")</f>
        <v>MP-2060 →</v>
      </c>
    </row>
    <row r="1032" spans="1:61" ht="18.399999999999999" hidden="1" customHeight="1" x14ac:dyDescent="0.15">
      <c r="A1032" s="2" t="s">
        <v>378</v>
      </c>
      <c r="B1032" s="87" t="s">
        <v>2856</v>
      </c>
      <c r="C1032" s="2">
        <v>0.53</v>
      </c>
      <c r="D1032" s="2" t="s">
        <v>978</v>
      </c>
      <c r="E1032" s="27">
        <f t="shared" si="226"/>
        <v>136025</v>
      </c>
      <c r="F1032" s="28">
        <f t="shared" si="225"/>
        <v>72093.100000000006</v>
      </c>
      <c r="G1032" s="27">
        <f>일위대가목록!F238</f>
        <v>10644</v>
      </c>
      <c r="H1032" s="28">
        <f t="shared" si="227"/>
        <v>5641.3</v>
      </c>
      <c r="I1032" s="27">
        <f>일위대가목록!H238</f>
        <v>111869</v>
      </c>
      <c r="J1032" s="28">
        <f>TRUNC(I1032*C1032,1)</f>
        <v>59290.5</v>
      </c>
      <c r="K1032" s="27">
        <f>일위대가목록!J238</f>
        <v>13512</v>
      </c>
      <c r="L1032" s="28">
        <f>TRUNC(K1032*C1032,1)</f>
        <v>7161.3</v>
      </c>
      <c r="M1032" s="86" t="s">
        <v>2856</v>
      </c>
      <c r="N1032" t="s">
        <v>2856</v>
      </c>
      <c r="P1032" t="s">
        <v>317</v>
      </c>
      <c r="Q1032" t="s">
        <v>2856</v>
      </c>
      <c r="R1032" t="s">
        <v>2735</v>
      </c>
      <c r="T1032" t="s">
        <v>1778</v>
      </c>
      <c r="BI1032" s="34" t="str">
        <f>HYPERLINK("#일위대가목록!A233","NT9460 →")</f>
        <v>NT9460 →</v>
      </c>
    </row>
    <row r="1033" spans="1:61" ht="18.399999999999999" hidden="1" customHeight="1" x14ac:dyDescent="0.15">
      <c r="A1033" s="1"/>
      <c r="B1033" s="87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87"/>
    </row>
    <row r="1034" spans="1:61" ht="18.399999999999999" hidden="1" customHeight="1" x14ac:dyDescent="0.15">
      <c r="A1034" s="2" t="s">
        <v>1709</v>
      </c>
      <c r="B1034" s="87" t="s">
        <v>2856</v>
      </c>
      <c r="C1034" s="2">
        <v>1</v>
      </c>
      <c r="D1034" s="2" t="s">
        <v>1796</v>
      </c>
      <c r="E1034" s="184"/>
      <c r="F1034" s="29">
        <f t="shared" ref="F1034:F1045" si="228">H1034+J1034+L1034</f>
        <v>12039363</v>
      </c>
      <c r="G1034" s="184"/>
      <c r="H1034" s="29">
        <f>TRUNC(H1035+H1036+H1037+H1038+H1039+H1041+H1042+H1044+H1045,0)</f>
        <v>1395217</v>
      </c>
      <c r="I1034" s="184"/>
      <c r="J1034" s="29">
        <f>TRUNC(J1035+J1036+J1037+J1038+J1039+J1041+J1042+J1044+J1045,0)</f>
        <v>6964470</v>
      </c>
      <c r="K1034" s="184"/>
      <c r="L1034" s="29">
        <f>TRUNC(L1035+L1036+L1037+L1038+L1039+L1041+L1042+L1044+L1045,0)</f>
        <v>3679676</v>
      </c>
      <c r="M1034" s="86" t="s">
        <v>2856</v>
      </c>
      <c r="N1034" t="s">
        <v>2856</v>
      </c>
      <c r="O1034" t="s">
        <v>1767</v>
      </c>
    </row>
    <row r="1035" spans="1:61" ht="18.399999999999999" hidden="1" customHeight="1" x14ac:dyDescent="0.15">
      <c r="A1035" s="2" t="s">
        <v>1163</v>
      </c>
      <c r="B1035" s="87" t="s">
        <v>576</v>
      </c>
      <c r="C1035" s="2">
        <v>53.19</v>
      </c>
      <c r="D1035" s="2" t="s">
        <v>2825</v>
      </c>
      <c r="E1035" s="27">
        <f t="shared" ref="E1035:E1045" si="229">G1035+I1035+K1035</f>
        <v>5009</v>
      </c>
      <c r="F1035" s="28">
        <f t="shared" si="228"/>
        <v>266428.59999999998</v>
      </c>
      <c r="G1035" s="27">
        <f>일위대가목록!F4</f>
        <v>300</v>
      </c>
      <c r="H1035" s="28">
        <f t="shared" ref="H1035:H1045" si="230">TRUNC(G1035*C1035,1)</f>
        <v>15957</v>
      </c>
      <c r="I1035" s="27">
        <f>일위대가목록!H4</f>
        <v>4328</v>
      </c>
      <c r="J1035" s="28">
        <f>TRUNC(I1035*C1035,1)</f>
        <v>230206.3</v>
      </c>
      <c r="K1035" s="27">
        <f>일위대가목록!J4</f>
        <v>381</v>
      </c>
      <c r="L1035" s="28">
        <f>TRUNC(K1035*C1035,1)</f>
        <v>20265.3</v>
      </c>
      <c r="M1035" s="86" t="s">
        <v>2856</v>
      </c>
      <c r="N1035" t="s">
        <v>2856</v>
      </c>
      <c r="P1035" t="s">
        <v>334</v>
      </c>
      <c r="Q1035" t="s">
        <v>2856</v>
      </c>
      <c r="R1035" t="s">
        <v>69</v>
      </c>
      <c r="T1035" t="s">
        <v>2405</v>
      </c>
      <c r="BI1035" s="34" t="str">
        <f>HYPERLINK("#일위대가목록!A4","N1070 →")</f>
        <v>N1070 →</v>
      </c>
    </row>
    <row r="1036" spans="1:61" ht="18.399999999999999" hidden="1" customHeight="1" x14ac:dyDescent="0.15">
      <c r="A1036" s="2" t="s">
        <v>1112</v>
      </c>
      <c r="B1036" s="87" t="s">
        <v>2429</v>
      </c>
      <c r="C1036" s="2">
        <v>27.19</v>
      </c>
      <c r="D1036" s="2" t="s">
        <v>2825</v>
      </c>
      <c r="E1036" s="27">
        <f t="shared" si="229"/>
        <v>1588</v>
      </c>
      <c r="F1036" s="28">
        <f t="shared" si="228"/>
        <v>43177.599999999999</v>
      </c>
      <c r="G1036" s="27">
        <f>일위대가목록!F5</f>
        <v>285</v>
      </c>
      <c r="H1036" s="28">
        <f t="shared" si="230"/>
        <v>7749.1</v>
      </c>
      <c r="I1036" s="27">
        <f>일위대가목록!H5</f>
        <v>940</v>
      </c>
      <c r="J1036" s="28">
        <f>TRUNC(I1036*C1036,1)</f>
        <v>25558.6</v>
      </c>
      <c r="K1036" s="27">
        <f>일위대가목록!J5</f>
        <v>363</v>
      </c>
      <c r="L1036" s="28">
        <f>TRUNC(K1036*C1036,1)</f>
        <v>9869.9</v>
      </c>
      <c r="M1036" s="86" t="s">
        <v>2856</v>
      </c>
      <c r="N1036" t="s">
        <v>2856</v>
      </c>
      <c r="P1036" t="s">
        <v>2471</v>
      </c>
      <c r="Q1036" t="s">
        <v>2856</v>
      </c>
      <c r="R1036" t="s">
        <v>1705</v>
      </c>
      <c r="T1036" t="s">
        <v>2405</v>
      </c>
      <c r="BI1036" s="34" t="str">
        <f>HYPERLINK("#일위대가목록!A5","N0860 →")</f>
        <v>N0860 →</v>
      </c>
    </row>
    <row r="1037" spans="1:61" ht="18.399999999999999" hidden="1" customHeight="1" x14ac:dyDescent="0.15">
      <c r="A1037" s="2" t="s">
        <v>2451</v>
      </c>
      <c r="B1037" s="87" t="s">
        <v>565</v>
      </c>
      <c r="C1037" s="2">
        <v>26</v>
      </c>
      <c r="D1037" s="2" t="s">
        <v>2825</v>
      </c>
      <c r="E1037" s="27">
        <f t="shared" si="229"/>
        <v>7144</v>
      </c>
      <c r="F1037" s="28">
        <f t="shared" si="228"/>
        <v>185744</v>
      </c>
      <c r="G1037" s="27">
        <f>일위대가목록!F6</f>
        <v>445</v>
      </c>
      <c r="H1037" s="28">
        <f t="shared" si="230"/>
        <v>11570</v>
      </c>
      <c r="I1037" s="27">
        <f>일위대가목록!H6</f>
        <v>6329</v>
      </c>
      <c r="J1037" s="28">
        <f>TRUNC(I1037*C1037,1)</f>
        <v>164554</v>
      </c>
      <c r="K1037" s="27">
        <f>일위대가목록!J6</f>
        <v>370</v>
      </c>
      <c r="L1037" s="28">
        <f>TRUNC(K1037*C1037,1)</f>
        <v>9620</v>
      </c>
      <c r="M1037" s="86" t="s">
        <v>2856</v>
      </c>
      <c r="N1037" t="s">
        <v>2856</v>
      </c>
      <c r="P1037" t="s">
        <v>1741</v>
      </c>
      <c r="Q1037" t="s">
        <v>2856</v>
      </c>
      <c r="R1037" t="s">
        <v>1429</v>
      </c>
      <c r="T1037" t="s">
        <v>2405</v>
      </c>
      <c r="BI1037" s="34" t="str">
        <f>HYPERLINK("#일위대가목록!A6","N1010 →")</f>
        <v>N1010 →</v>
      </c>
    </row>
    <row r="1038" spans="1:61" ht="18.399999999999999" hidden="1" customHeight="1" x14ac:dyDescent="0.15">
      <c r="A1038" s="2" t="s">
        <v>296</v>
      </c>
      <c r="B1038" s="87" t="s">
        <v>626</v>
      </c>
      <c r="C1038" s="2">
        <v>11.31</v>
      </c>
      <c r="D1038" s="2" t="s">
        <v>2825</v>
      </c>
      <c r="E1038" s="27">
        <f t="shared" si="229"/>
        <v>24000</v>
      </c>
      <c r="F1038" s="28">
        <f t="shared" si="228"/>
        <v>271440</v>
      </c>
      <c r="G1038" s="27">
        <f>자재조서!E85</f>
        <v>24000</v>
      </c>
      <c r="H1038" s="28">
        <f t="shared" si="230"/>
        <v>271440</v>
      </c>
      <c r="I1038" s="27">
        <v>0</v>
      </c>
      <c r="J1038" s="28"/>
      <c r="K1038" s="27">
        <v>0</v>
      </c>
      <c r="L1038" s="28"/>
      <c r="M1038" s="86" t="s">
        <v>2856</v>
      </c>
      <c r="N1038" t="s">
        <v>2856</v>
      </c>
      <c r="P1038" t="s">
        <v>1036</v>
      </c>
      <c r="Q1038" t="s">
        <v>2856</v>
      </c>
      <c r="R1038" t="s">
        <v>609</v>
      </c>
      <c r="BI1038" s="34" t="str">
        <f>HYPERLINK("#자재조서!A82","MB-4500 →")</f>
        <v>MB-4500 →</v>
      </c>
    </row>
    <row r="1039" spans="1:61" ht="18.399999999999999" hidden="1" customHeight="1" x14ac:dyDescent="0.15">
      <c r="A1039" s="2" t="s">
        <v>467</v>
      </c>
      <c r="B1039" s="87" t="s">
        <v>2010</v>
      </c>
      <c r="C1039" s="2">
        <v>10.88</v>
      </c>
      <c r="D1039" s="2" t="s">
        <v>2825</v>
      </c>
      <c r="E1039" s="27">
        <f t="shared" si="229"/>
        <v>14311</v>
      </c>
      <c r="F1039" s="28">
        <f t="shared" si="228"/>
        <v>155703.59999999998</v>
      </c>
      <c r="G1039" s="27">
        <f>일위대가목록!F239</f>
        <v>1554</v>
      </c>
      <c r="H1039" s="28">
        <f t="shared" si="230"/>
        <v>16907.5</v>
      </c>
      <c r="I1039" s="27">
        <f>일위대가목록!H239</f>
        <v>11235</v>
      </c>
      <c r="J1039" s="28">
        <f>TRUNC(I1039*C1039,1)</f>
        <v>122236.8</v>
      </c>
      <c r="K1039" s="27">
        <f>일위대가목록!J239</f>
        <v>1522</v>
      </c>
      <c r="L1039" s="28">
        <f>TRUNC(K1039*C1039,1)</f>
        <v>16559.3</v>
      </c>
      <c r="M1039" s="86" t="s">
        <v>2856</v>
      </c>
      <c r="N1039" t="s">
        <v>2856</v>
      </c>
      <c r="P1039" t="s">
        <v>286</v>
      </c>
      <c r="Q1039" t="s">
        <v>2856</v>
      </c>
      <c r="R1039" t="s">
        <v>782</v>
      </c>
      <c r="T1039" t="s">
        <v>1778</v>
      </c>
      <c r="BI1039" s="34" t="str">
        <f>HYPERLINK("#일위대가목록!A234","N0303 →")</f>
        <v>N0303 →</v>
      </c>
    </row>
    <row r="1040" spans="1:61" ht="18.399999999999999" hidden="1" customHeight="1" x14ac:dyDescent="0.15">
      <c r="A1040" s="2" t="s">
        <v>1632</v>
      </c>
      <c r="B1040" s="87" t="s">
        <v>2279</v>
      </c>
      <c r="C1040" s="2">
        <v>31.56</v>
      </c>
      <c r="D1040" s="2" t="s">
        <v>2825</v>
      </c>
      <c r="E1040" s="27">
        <f t="shared" si="229"/>
        <v>89830</v>
      </c>
      <c r="F1040" s="28">
        <f t="shared" si="228"/>
        <v>2835034.8</v>
      </c>
      <c r="G1040" s="27">
        <f>자재조서!E73</f>
        <v>89830</v>
      </c>
      <c r="H1040" s="28">
        <f t="shared" si="230"/>
        <v>2835034.8</v>
      </c>
      <c r="I1040" s="27">
        <v>0</v>
      </c>
      <c r="J1040" s="28"/>
      <c r="K1040" s="27">
        <v>0</v>
      </c>
      <c r="L1040" s="28"/>
      <c r="M1040" s="86" t="s">
        <v>1601</v>
      </c>
      <c r="N1040" t="s">
        <v>2856</v>
      </c>
      <c r="P1040" t="s">
        <v>1960</v>
      </c>
      <c r="Q1040" t="s">
        <v>1839</v>
      </c>
      <c r="R1040" t="s">
        <v>2547</v>
      </c>
      <c r="W1040" t="s">
        <v>1601</v>
      </c>
      <c r="BI1040" s="34" t="str">
        <f>HYPERLINK("#자재조서!A70","MB-190-24 →")</f>
        <v>MB-190-24 →</v>
      </c>
    </row>
    <row r="1041" spans="1:61" ht="18.399999999999999" hidden="1" customHeight="1" x14ac:dyDescent="0.15">
      <c r="A1041" s="2" t="s">
        <v>54</v>
      </c>
      <c r="B1041" s="87" t="s">
        <v>1057</v>
      </c>
      <c r="C1041" s="2">
        <v>30.94</v>
      </c>
      <c r="D1041" s="2" t="s">
        <v>2825</v>
      </c>
      <c r="E1041" s="27">
        <f t="shared" si="229"/>
        <v>63190</v>
      </c>
      <c r="F1041" s="28">
        <f t="shared" si="228"/>
        <v>1955098.5</v>
      </c>
      <c r="G1041" s="27">
        <f>일위대가목록!F240</f>
        <v>2908</v>
      </c>
      <c r="H1041" s="28">
        <f t="shared" si="230"/>
        <v>89973.5</v>
      </c>
      <c r="I1041" s="27">
        <f>일위대가목록!H240</f>
        <v>25714</v>
      </c>
      <c r="J1041" s="28">
        <f>TRUNC(I1041*C1041,1)</f>
        <v>795591.1</v>
      </c>
      <c r="K1041" s="27">
        <f>일위대가목록!J240</f>
        <v>34568</v>
      </c>
      <c r="L1041" s="28">
        <f>TRUNC(K1041*C1041,1)</f>
        <v>1069533.8999999999</v>
      </c>
      <c r="M1041" s="86" t="s">
        <v>2856</v>
      </c>
      <c r="N1041" t="s">
        <v>2856</v>
      </c>
      <c r="P1041" t="s">
        <v>2035</v>
      </c>
      <c r="Q1041" t="s">
        <v>2856</v>
      </c>
      <c r="R1041" t="s">
        <v>170</v>
      </c>
      <c r="T1041" t="s">
        <v>1778</v>
      </c>
      <c r="BI1041" s="34" t="str">
        <f>HYPERLINK("#일위대가목록!A235","N1385-24 →")</f>
        <v>N1385-24 →</v>
      </c>
    </row>
    <row r="1042" spans="1:61" ht="18.399999999999999" hidden="1" customHeight="1" x14ac:dyDescent="0.15">
      <c r="A1042" s="2" t="s">
        <v>832</v>
      </c>
      <c r="B1042" s="87" t="s">
        <v>1246</v>
      </c>
      <c r="C1042" s="2">
        <v>52.96</v>
      </c>
      <c r="D1042" s="2" t="s">
        <v>1202</v>
      </c>
      <c r="E1042" s="27">
        <f t="shared" si="229"/>
        <v>104467</v>
      </c>
      <c r="F1042" s="28">
        <f t="shared" si="228"/>
        <v>5532572.1999999993</v>
      </c>
      <c r="G1042" s="27">
        <f>일위대가목록!F241</f>
        <v>18128</v>
      </c>
      <c r="H1042" s="28">
        <f t="shared" si="230"/>
        <v>960058.8</v>
      </c>
      <c r="I1042" s="27">
        <f>일위대가목록!H241</f>
        <v>85485</v>
      </c>
      <c r="J1042" s="28">
        <f>TRUNC(I1042*C1042,1)</f>
        <v>4527285.5999999996</v>
      </c>
      <c r="K1042" s="27">
        <f>일위대가목록!J241</f>
        <v>854</v>
      </c>
      <c r="L1042" s="28">
        <f>TRUNC(K1042*C1042,1)</f>
        <v>45227.8</v>
      </c>
      <c r="M1042" s="86" t="s">
        <v>2856</v>
      </c>
      <c r="N1042" t="s">
        <v>2856</v>
      </c>
      <c r="P1042" t="s">
        <v>1980</v>
      </c>
      <c r="Q1042" t="s">
        <v>2856</v>
      </c>
      <c r="R1042" t="s">
        <v>2810</v>
      </c>
      <c r="T1042" t="s">
        <v>1778</v>
      </c>
      <c r="BI1042" s="34" t="str">
        <f>HYPERLINK("#일위대가목록!A236","N1125 →")</f>
        <v>N1125 →</v>
      </c>
    </row>
    <row r="1043" spans="1:61" ht="18.399999999999999" hidden="1" customHeight="1" x14ac:dyDescent="0.15">
      <c r="A1043" s="2" t="s">
        <v>1996</v>
      </c>
      <c r="B1043" s="87" t="s">
        <v>1225</v>
      </c>
      <c r="C1043" s="2">
        <v>0.99299999999999999</v>
      </c>
      <c r="D1043" s="2" t="s">
        <v>978</v>
      </c>
      <c r="E1043" s="27">
        <f t="shared" si="229"/>
        <v>1039100</v>
      </c>
      <c r="F1043" s="28">
        <f t="shared" si="228"/>
        <v>1031826.3</v>
      </c>
      <c r="G1043" s="27">
        <f>자재조서!E89</f>
        <v>1039100</v>
      </c>
      <c r="H1043" s="28">
        <f t="shared" si="230"/>
        <v>1031826.3</v>
      </c>
      <c r="I1043" s="27">
        <v>0</v>
      </c>
      <c r="J1043" s="28"/>
      <c r="K1043" s="27">
        <v>0</v>
      </c>
      <c r="L1043" s="28"/>
      <c r="M1043" s="86" t="s">
        <v>1601</v>
      </c>
      <c r="N1043" t="s">
        <v>2004</v>
      </c>
      <c r="P1043" t="s">
        <v>2688</v>
      </c>
      <c r="Q1043" t="s">
        <v>1839</v>
      </c>
      <c r="R1043" t="s">
        <v>2422</v>
      </c>
      <c r="W1043" t="s">
        <v>1601</v>
      </c>
      <c r="BI1043" s="34" t="str">
        <f>HYPERLINK("#자재조서!A86","MB0014-24 →")</f>
        <v>MB0014-24 →</v>
      </c>
    </row>
    <row r="1044" spans="1:61" ht="18.399999999999999" hidden="1" customHeight="1" x14ac:dyDescent="0.15">
      <c r="A1044" s="2" t="s">
        <v>2085</v>
      </c>
      <c r="B1044" s="87" t="s">
        <v>2731</v>
      </c>
      <c r="C1044" s="2">
        <v>0.94499999999999995</v>
      </c>
      <c r="D1044" s="2" t="s">
        <v>978</v>
      </c>
      <c r="E1044" s="27">
        <f t="shared" si="229"/>
        <v>3414044</v>
      </c>
      <c r="F1044" s="28">
        <f t="shared" si="228"/>
        <v>3226271.4</v>
      </c>
      <c r="G1044" s="27">
        <f>일위대가목록!F242</f>
        <v>10770</v>
      </c>
      <c r="H1044" s="28">
        <f t="shared" si="230"/>
        <v>10177.6</v>
      </c>
      <c r="I1044" s="27">
        <f>일위대가목록!H242</f>
        <v>756255</v>
      </c>
      <c r="J1044" s="28">
        <f>TRUNC(I1044*C1044,1)</f>
        <v>714660.9</v>
      </c>
      <c r="K1044" s="27">
        <f>일위대가목록!J242</f>
        <v>2647019</v>
      </c>
      <c r="L1044" s="28">
        <f>TRUNC(K1044*C1044,1)</f>
        <v>2501432.9</v>
      </c>
      <c r="M1044" s="86" t="s">
        <v>2856</v>
      </c>
      <c r="N1044" t="s">
        <v>2856</v>
      </c>
      <c r="P1044" t="s">
        <v>560</v>
      </c>
      <c r="Q1044" t="s">
        <v>2856</v>
      </c>
      <c r="R1044" t="s">
        <v>1458</v>
      </c>
      <c r="T1044" t="s">
        <v>1778</v>
      </c>
      <c r="BI1044" s="34" t="str">
        <f>HYPERLINK("#일위대가목록!A237","N0180-24 →")</f>
        <v>N0180-24 →</v>
      </c>
    </row>
    <row r="1045" spans="1:61" ht="18.399999999999999" hidden="1" customHeight="1" x14ac:dyDescent="0.15">
      <c r="A1045" s="2" t="s">
        <v>2193</v>
      </c>
      <c r="B1045" s="87" t="s">
        <v>1863</v>
      </c>
      <c r="C1045" s="2">
        <v>140.54</v>
      </c>
      <c r="D1045" s="2" t="s">
        <v>1202</v>
      </c>
      <c r="E1045" s="27">
        <f t="shared" si="229"/>
        <v>2867</v>
      </c>
      <c r="F1045" s="28">
        <f t="shared" si="228"/>
        <v>402928.10000000003</v>
      </c>
      <c r="G1045" s="27">
        <f>일위대가목록!F243</f>
        <v>81</v>
      </c>
      <c r="H1045" s="28">
        <f t="shared" si="230"/>
        <v>11383.7</v>
      </c>
      <c r="I1045" s="27">
        <f>일위대가목록!H243</f>
        <v>2735</v>
      </c>
      <c r="J1045" s="28">
        <f>TRUNC(I1045*C1045,1)</f>
        <v>384376.9</v>
      </c>
      <c r="K1045" s="27">
        <f>일위대가목록!J243</f>
        <v>51</v>
      </c>
      <c r="L1045" s="28">
        <f>TRUNC(K1045*C1045,1)</f>
        <v>7167.5</v>
      </c>
      <c r="M1045" s="86" t="s">
        <v>2856</v>
      </c>
      <c r="N1045" t="s">
        <v>2856</v>
      </c>
      <c r="P1045" t="s">
        <v>1280</v>
      </c>
      <c r="Q1045" t="s">
        <v>2856</v>
      </c>
      <c r="R1045" t="s">
        <v>2801</v>
      </c>
      <c r="T1045" t="s">
        <v>1778</v>
      </c>
      <c r="BI1045" s="34" t="str">
        <f>HYPERLINK("#일위대가목록!A238","N4960 →")</f>
        <v>N4960 →</v>
      </c>
    </row>
    <row r="1046" spans="1:61" ht="18.399999999999999" hidden="1" customHeight="1" x14ac:dyDescent="0.15">
      <c r="A1046" s="1"/>
      <c r="B1046" s="87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87"/>
    </row>
    <row r="1047" spans="1:61" ht="18.399999999999999" hidden="1" customHeight="1" x14ac:dyDescent="0.15">
      <c r="A1047" s="2" t="s">
        <v>78</v>
      </c>
      <c r="B1047" s="87" t="s">
        <v>23</v>
      </c>
      <c r="C1047" s="2">
        <v>1</v>
      </c>
      <c r="D1047" s="2" t="s">
        <v>1796</v>
      </c>
      <c r="E1047" s="184"/>
      <c r="F1047" s="29">
        <f t="shared" ref="F1047:F1061" si="231">H1047+J1047+L1047</f>
        <v>9576821</v>
      </c>
      <c r="G1047" s="184"/>
      <c r="H1047" s="29">
        <f>TRUNC(H1048+H1049+H1050+H1051+H1052+H1054+H1055+H1057+H1058+H1059+H1060+H1061,0)</f>
        <v>2386697</v>
      </c>
      <c r="I1047" s="184"/>
      <c r="J1047" s="29">
        <f>TRUNC(J1048+J1049+J1050+J1051+J1052+J1054+J1055+J1057+J1058+J1059+J1060+J1061,0)</f>
        <v>6250093</v>
      </c>
      <c r="K1047" s="184"/>
      <c r="L1047" s="29">
        <f>TRUNC(L1048+L1049+L1050+L1051+L1052+L1054+L1055+L1057+L1058+L1059+L1060+L1061,0)</f>
        <v>940031</v>
      </c>
      <c r="M1047" s="86" t="s">
        <v>2856</v>
      </c>
      <c r="N1047" t="s">
        <v>2856</v>
      </c>
      <c r="O1047" t="s">
        <v>90</v>
      </c>
    </row>
    <row r="1048" spans="1:61" ht="18.399999999999999" hidden="1" customHeight="1" x14ac:dyDescent="0.15">
      <c r="A1048" s="2" t="s">
        <v>1163</v>
      </c>
      <c r="B1048" s="87" t="s">
        <v>576</v>
      </c>
      <c r="C1048" s="2">
        <v>11.72</v>
      </c>
      <c r="D1048" s="2" t="s">
        <v>2825</v>
      </c>
      <c r="E1048" s="27">
        <f t="shared" ref="E1048:E1061" si="232">G1048+I1048+K1048</f>
        <v>5009</v>
      </c>
      <c r="F1048" s="28">
        <f t="shared" si="231"/>
        <v>58705.4</v>
      </c>
      <c r="G1048" s="27">
        <f>일위대가목록!F4</f>
        <v>300</v>
      </c>
      <c r="H1048" s="28">
        <f t="shared" ref="H1048:H1061" si="233">TRUNC(G1048*C1048,1)</f>
        <v>3516</v>
      </c>
      <c r="I1048" s="27">
        <f>일위대가목록!H4</f>
        <v>4328</v>
      </c>
      <c r="J1048" s="28">
        <f>TRUNC(I1048*C1048,1)</f>
        <v>50724.1</v>
      </c>
      <c r="K1048" s="27">
        <f>일위대가목록!J4</f>
        <v>381</v>
      </c>
      <c r="L1048" s="28">
        <f>TRUNC(K1048*C1048,1)</f>
        <v>4465.3</v>
      </c>
      <c r="M1048" s="86" t="s">
        <v>2856</v>
      </c>
      <c r="N1048" t="s">
        <v>2856</v>
      </c>
      <c r="P1048" t="s">
        <v>334</v>
      </c>
      <c r="Q1048" t="s">
        <v>2856</v>
      </c>
      <c r="R1048" t="s">
        <v>69</v>
      </c>
      <c r="T1048" t="s">
        <v>2405</v>
      </c>
      <c r="BI1048" s="34" t="str">
        <f>HYPERLINK("#일위대가목록!A4","N1070 →")</f>
        <v>N1070 →</v>
      </c>
    </row>
    <row r="1049" spans="1:61" ht="18.399999999999999" hidden="1" customHeight="1" x14ac:dyDescent="0.15">
      <c r="A1049" s="2" t="s">
        <v>1112</v>
      </c>
      <c r="B1049" s="87" t="s">
        <v>2429</v>
      </c>
      <c r="C1049" s="2">
        <v>10.06</v>
      </c>
      <c r="D1049" s="2" t="s">
        <v>2825</v>
      </c>
      <c r="E1049" s="27">
        <f t="shared" si="232"/>
        <v>1588</v>
      </c>
      <c r="F1049" s="28">
        <f t="shared" si="231"/>
        <v>15975.2</v>
      </c>
      <c r="G1049" s="27">
        <f>일위대가목록!F5</f>
        <v>285</v>
      </c>
      <c r="H1049" s="28">
        <f t="shared" si="233"/>
        <v>2867.1</v>
      </c>
      <c r="I1049" s="27">
        <f>일위대가목록!H5</f>
        <v>940</v>
      </c>
      <c r="J1049" s="28">
        <f>TRUNC(I1049*C1049,1)</f>
        <v>9456.4</v>
      </c>
      <c r="K1049" s="27">
        <f>일위대가목록!J5</f>
        <v>363</v>
      </c>
      <c r="L1049" s="28">
        <f>TRUNC(K1049*C1049,1)</f>
        <v>3651.7</v>
      </c>
      <c r="M1049" s="86" t="s">
        <v>2856</v>
      </c>
      <c r="N1049" t="s">
        <v>2856</v>
      </c>
      <c r="P1049" t="s">
        <v>2471</v>
      </c>
      <c r="Q1049" t="s">
        <v>2856</v>
      </c>
      <c r="R1049" t="s">
        <v>1705</v>
      </c>
      <c r="T1049" t="s">
        <v>2405</v>
      </c>
      <c r="BI1049" s="34" t="str">
        <f>HYPERLINK("#일위대가목록!A5","N0860 →")</f>
        <v>N0860 →</v>
      </c>
    </row>
    <row r="1050" spans="1:61" ht="18.399999999999999" hidden="1" customHeight="1" x14ac:dyDescent="0.15">
      <c r="A1050" s="2" t="s">
        <v>2451</v>
      </c>
      <c r="B1050" s="87" t="s">
        <v>565</v>
      </c>
      <c r="C1050" s="2">
        <v>1.66</v>
      </c>
      <c r="D1050" s="2" t="s">
        <v>2825</v>
      </c>
      <c r="E1050" s="27">
        <f t="shared" si="232"/>
        <v>7144</v>
      </c>
      <c r="F1050" s="28">
        <f t="shared" si="231"/>
        <v>11859.000000000002</v>
      </c>
      <c r="G1050" s="27">
        <f>일위대가목록!F6</f>
        <v>445</v>
      </c>
      <c r="H1050" s="28">
        <f t="shared" si="233"/>
        <v>738.7</v>
      </c>
      <c r="I1050" s="27">
        <f>일위대가목록!H6</f>
        <v>6329</v>
      </c>
      <c r="J1050" s="28">
        <f>TRUNC(I1050*C1050,1)</f>
        <v>10506.1</v>
      </c>
      <c r="K1050" s="27">
        <f>일위대가목록!J6</f>
        <v>370</v>
      </c>
      <c r="L1050" s="28">
        <f>TRUNC(K1050*C1050,1)</f>
        <v>614.20000000000005</v>
      </c>
      <c r="M1050" s="86" t="s">
        <v>2856</v>
      </c>
      <c r="N1050" t="s">
        <v>2856</v>
      </c>
      <c r="P1050" t="s">
        <v>1741</v>
      </c>
      <c r="Q1050" t="s">
        <v>2856</v>
      </c>
      <c r="R1050" t="s">
        <v>1429</v>
      </c>
      <c r="T1050" t="s">
        <v>2405</v>
      </c>
      <c r="BI1050" s="34" t="str">
        <f>HYPERLINK("#일위대가목록!A6","N1010 →")</f>
        <v>N1010 →</v>
      </c>
    </row>
    <row r="1051" spans="1:61" ht="18.399999999999999" hidden="1" customHeight="1" x14ac:dyDescent="0.15">
      <c r="A1051" s="2" t="s">
        <v>296</v>
      </c>
      <c r="B1051" s="87" t="s">
        <v>626</v>
      </c>
      <c r="C1051" s="2">
        <v>3.44</v>
      </c>
      <c r="D1051" s="2" t="s">
        <v>2825</v>
      </c>
      <c r="E1051" s="27">
        <f t="shared" si="232"/>
        <v>24000</v>
      </c>
      <c r="F1051" s="28">
        <f t="shared" si="231"/>
        <v>82560</v>
      </c>
      <c r="G1051" s="27">
        <f>자재조서!E85</f>
        <v>24000</v>
      </c>
      <c r="H1051" s="28">
        <f t="shared" si="233"/>
        <v>82560</v>
      </c>
      <c r="I1051" s="27">
        <v>0</v>
      </c>
      <c r="J1051" s="28"/>
      <c r="K1051" s="27">
        <v>0</v>
      </c>
      <c r="L1051" s="28"/>
      <c r="M1051" s="86" t="s">
        <v>2856</v>
      </c>
      <c r="N1051" t="s">
        <v>2856</v>
      </c>
      <c r="P1051" t="s">
        <v>1036</v>
      </c>
      <c r="Q1051" t="s">
        <v>2856</v>
      </c>
      <c r="R1051" t="s">
        <v>609</v>
      </c>
      <c r="BI1051" s="34" t="str">
        <f>HYPERLINK("#자재조서!A82","MB-4500 →")</f>
        <v>MB-4500 →</v>
      </c>
    </row>
    <row r="1052" spans="1:61" ht="18.399999999999999" hidden="1" customHeight="1" x14ac:dyDescent="0.15">
      <c r="A1052" s="2" t="s">
        <v>467</v>
      </c>
      <c r="B1052" s="87" t="s">
        <v>2010</v>
      </c>
      <c r="C1052" s="2">
        <v>3.31</v>
      </c>
      <c r="D1052" s="2" t="s">
        <v>2825</v>
      </c>
      <c r="E1052" s="27">
        <f t="shared" si="232"/>
        <v>14311</v>
      </c>
      <c r="F1052" s="28">
        <f t="shared" si="231"/>
        <v>47369.3</v>
      </c>
      <c r="G1052" s="27">
        <f>일위대가목록!F239</f>
        <v>1554</v>
      </c>
      <c r="H1052" s="28">
        <f t="shared" si="233"/>
        <v>5143.7</v>
      </c>
      <c r="I1052" s="27">
        <f>일위대가목록!H239</f>
        <v>11235</v>
      </c>
      <c r="J1052" s="28">
        <f>TRUNC(I1052*C1052,1)</f>
        <v>37187.800000000003</v>
      </c>
      <c r="K1052" s="27">
        <f>일위대가목록!J239</f>
        <v>1522</v>
      </c>
      <c r="L1052" s="28">
        <f>TRUNC(K1052*C1052,1)</f>
        <v>5037.8</v>
      </c>
      <c r="M1052" s="86" t="s">
        <v>2856</v>
      </c>
      <c r="N1052" t="s">
        <v>2856</v>
      </c>
      <c r="P1052" t="s">
        <v>286</v>
      </c>
      <c r="Q1052" t="s">
        <v>2856</v>
      </c>
      <c r="R1052" t="s">
        <v>782</v>
      </c>
      <c r="T1052" t="s">
        <v>1778</v>
      </c>
      <c r="BI1052" s="34" t="str">
        <f>HYPERLINK("#일위대가목록!A234","N0303 →")</f>
        <v>N0303 →</v>
      </c>
    </row>
    <row r="1053" spans="1:61" ht="18.399999999999999" hidden="1" customHeight="1" x14ac:dyDescent="0.15">
      <c r="A1053" s="2" t="s">
        <v>1632</v>
      </c>
      <c r="B1053" s="87" t="s">
        <v>2279</v>
      </c>
      <c r="C1053" s="2">
        <v>6.99</v>
      </c>
      <c r="D1053" s="2" t="s">
        <v>2825</v>
      </c>
      <c r="E1053" s="27">
        <f t="shared" si="232"/>
        <v>89830</v>
      </c>
      <c r="F1053" s="28">
        <f t="shared" si="231"/>
        <v>627911.69999999995</v>
      </c>
      <c r="G1053" s="27">
        <f>자재조서!E73</f>
        <v>89830</v>
      </c>
      <c r="H1053" s="28">
        <f t="shared" si="233"/>
        <v>627911.69999999995</v>
      </c>
      <c r="I1053" s="27">
        <v>0</v>
      </c>
      <c r="J1053" s="28"/>
      <c r="K1053" s="27">
        <v>0</v>
      </c>
      <c r="L1053" s="28"/>
      <c r="M1053" s="86" t="s">
        <v>1601</v>
      </c>
      <c r="N1053" t="s">
        <v>2856</v>
      </c>
      <c r="P1053" t="s">
        <v>2650</v>
      </c>
      <c r="Q1053" t="s">
        <v>1839</v>
      </c>
      <c r="R1053" t="s">
        <v>2547</v>
      </c>
      <c r="W1053" t="s">
        <v>1601</v>
      </c>
      <c r="BI1053" s="34" t="str">
        <f>HYPERLINK("#자재조서!A70","MB-190-24 →")</f>
        <v>MB-190-24 →</v>
      </c>
    </row>
    <row r="1054" spans="1:61" ht="18.399999999999999" hidden="1" customHeight="1" x14ac:dyDescent="0.15">
      <c r="A1054" s="2" t="s">
        <v>54</v>
      </c>
      <c r="B1054" s="87" t="s">
        <v>1057</v>
      </c>
      <c r="C1054" s="2">
        <v>6.85</v>
      </c>
      <c r="D1054" s="2" t="s">
        <v>2825</v>
      </c>
      <c r="E1054" s="27">
        <f t="shared" si="232"/>
        <v>63190</v>
      </c>
      <c r="F1054" s="28">
        <f t="shared" si="231"/>
        <v>432851.5</v>
      </c>
      <c r="G1054" s="27">
        <f>일위대가목록!F240</f>
        <v>2908</v>
      </c>
      <c r="H1054" s="28">
        <f t="shared" si="233"/>
        <v>19919.8</v>
      </c>
      <c r="I1054" s="27">
        <f>일위대가목록!H240</f>
        <v>25714</v>
      </c>
      <c r="J1054" s="28">
        <f>TRUNC(I1054*C1054,1)</f>
        <v>176140.9</v>
      </c>
      <c r="K1054" s="27">
        <f>일위대가목록!J240</f>
        <v>34568</v>
      </c>
      <c r="L1054" s="28">
        <f>TRUNC(K1054*C1054,1)</f>
        <v>236790.8</v>
      </c>
      <c r="M1054" s="86" t="s">
        <v>2856</v>
      </c>
      <c r="N1054" t="s">
        <v>2856</v>
      </c>
      <c r="P1054" t="s">
        <v>2734</v>
      </c>
      <c r="Q1054" t="s">
        <v>2856</v>
      </c>
      <c r="R1054" t="s">
        <v>170</v>
      </c>
      <c r="T1054" t="s">
        <v>1778</v>
      </c>
      <c r="BI1054" s="34" t="str">
        <f>HYPERLINK("#일위대가목록!A235","N1385-24 →")</f>
        <v>N1385-24 →</v>
      </c>
    </row>
    <row r="1055" spans="1:61" ht="18.399999999999999" hidden="1" customHeight="1" x14ac:dyDescent="0.15">
      <c r="A1055" s="2" t="s">
        <v>832</v>
      </c>
      <c r="B1055" s="87" t="s">
        <v>610</v>
      </c>
      <c r="C1055" s="2">
        <v>22.48</v>
      </c>
      <c r="D1055" s="2" t="s">
        <v>1202</v>
      </c>
      <c r="E1055" s="27">
        <f t="shared" si="232"/>
        <v>45715</v>
      </c>
      <c r="F1055" s="28">
        <f t="shared" si="231"/>
        <v>1027673.1</v>
      </c>
      <c r="G1055" s="27">
        <f>일위대가목록!F236</f>
        <v>11180</v>
      </c>
      <c r="H1055" s="28">
        <f t="shared" si="233"/>
        <v>251326.4</v>
      </c>
      <c r="I1055" s="27">
        <f>일위대가목록!H236</f>
        <v>34194</v>
      </c>
      <c r="J1055" s="28">
        <f>TRUNC(I1055*C1055,1)</f>
        <v>768681.1</v>
      </c>
      <c r="K1055" s="27">
        <f>일위대가목록!J236</f>
        <v>341</v>
      </c>
      <c r="L1055" s="28">
        <f>TRUNC(K1055*C1055,1)</f>
        <v>7665.6</v>
      </c>
      <c r="M1055" s="86" t="s">
        <v>2856</v>
      </c>
      <c r="N1055" t="s">
        <v>2856</v>
      </c>
      <c r="P1055" t="s">
        <v>2720</v>
      </c>
      <c r="Q1055" t="s">
        <v>2856</v>
      </c>
      <c r="R1055" t="s">
        <v>1998</v>
      </c>
      <c r="T1055" t="s">
        <v>1778</v>
      </c>
      <c r="BI1055" s="34" t="str">
        <f>HYPERLINK("#일위대가목록!A231","N1150 →")</f>
        <v>N1150 →</v>
      </c>
    </row>
    <row r="1056" spans="1:61" ht="18.399999999999999" hidden="1" customHeight="1" x14ac:dyDescent="0.15">
      <c r="A1056" s="2" t="s">
        <v>1996</v>
      </c>
      <c r="B1056" s="87" t="s">
        <v>1225</v>
      </c>
      <c r="C1056" s="2">
        <v>0.247</v>
      </c>
      <c r="D1056" s="2" t="s">
        <v>978</v>
      </c>
      <c r="E1056" s="27">
        <f t="shared" si="232"/>
        <v>1039100</v>
      </c>
      <c r="F1056" s="28">
        <f t="shared" si="231"/>
        <v>256657.7</v>
      </c>
      <c r="G1056" s="27">
        <f>자재조서!E89</f>
        <v>1039100</v>
      </c>
      <c r="H1056" s="28">
        <f t="shared" si="233"/>
        <v>256657.7</v>
      </c>
      <c r="I1056" s="27">
        <v>0</v>
      </c>
      <c r="J1056" s="28"/>
      <c r="K1056" s="27">
        <v>0</v>
      </c>
      <c r="L1056" s="28"/>
      <c r="M1056" s="86" t="s">
        <v>1601</v>
      </c>
      <c r="N1056" t="s">
        <v>2004</v>
      </c>
      <c r="P1056" t="s">
        <v>248</v>
      </c>
      <c r="Q1056" t="s">
        <v>1839</v>
      </c>
      <c r="R1056" t="s">
        <v>2422</v>
      </c>
      <c r="W1056" t="s">
        <v>1601</v>
      </c>
      <c r="BI1056" s="34" t="str">
        <f>HYPERLINK("#자재조서!A86","MB0014-24 →")</f>
        <v>MB0014-24 →</v>
      </c>
    </row>
    <row r="1057" spans="1:61" ht="18.399999999999999" hidden="1" customHeight="1" x14ac:dyDescent="0.15">
      <c r="A1057" s="2" t="s">
        <v>2085</v>
      </c>
      <c r="B1057" s="87" t="s">
        <v>2731</v>
      </c>
      <c r="C1057" s="2">
        <v>0.23899999999999999</v>
      </c>
      <c r="D1057" s="2" t="s">
        <v>978</v>
      </c>
      <c r="E1057" s="27">
        <f t="shared" si="232"/>
        <v>3414044</v>
      </c>
      <c r="F1057" s="28">
        <f t="shared" si="231"/>
        <v>815956.4</v>
      </c>
      <c r="G1057" s="27">
        <f>일위대가목록!F242</f>
        <v>10770</v>
      </c>
      <c r="H1057" s="28">
        <f t="shared" si="233"/>
        <v>2574</v>
      </c>
      <c r="I1057" s="27">
        <f>일위대가목록!H242</f>
        <v>756255</v>
      </c>
      <c r="J1057" s="28">
        <f>TRUNC(I1057*C1057,1)</f>
        <v>180744.9</v>
      </c>
      <c r="K1057" s="27">
        <f>일위대가목록!J242</f>
        <v>2647019</v>
      </c>
      <c r="L1057" s="28">
        <f>TRUNC(K1057*C1057,1)</f>
        <v>632637.5</v>
      </c>
      <c r="M1057" s="86" t="s">
        <v>2856</v>
      </c>
      <c r="N1057" t="s">
        <v>2856</v>
      </c>
      <c r="P1057" t="s">
        <v>904</v>
      </c>
      <c r="Q1057" t="s">
        <v>2856</v>
      </c>
      <c r="R1057" t="s">
        <v>1458</v>
      </c>
      <c r="T1057" t="s">
        <v>1778</v>
      </c>
      <c r="BI1057" s="34" t="str">
        <f>HYPERLINK("#일위대가목록!A237","N0180-24 →")</f>
        <v>N0180-24 →</v>
      </c>
    </row>
    <row r="1058" spans="1:61" ht="18.399999999999999" hidden="1" customHeight="1" x14ac:dyDescent="0.15">
      <c r="A1058" s="2" t="s">
        <v>2073</v>
      </c>
      <c r="B1058" s="87" t="s">
        <v>2856</v>
      </c>
      <c r="C1058" s="2">
        <v>1.35</v>
      </c>
      <c r="D1058" s="2" t="s">
        <v>2825</v>
      </c>
      <c r="E1058" s="27">
        <f t="shared" si="232"/>
        <v>208934</v>
      </c>
      <c r="F1058" s="28">
        <f t="shared" si="231"/>
        <v>282060.90000000002</v>
      </c>
      <c r="G1058" s="27">
        <f>일위대가목록!F237</f>
        <v>137090</v>
      </c>
      <c r="H1058" s="28">
        <f t="shared" si="233"/>
        <v>185071.5</v>
      </c>
      <c r="I1058" s="27">
        <f>일위대가목록!H237</f>
        <v>71844</v>
      </c>
      <c r="J1058" s="28">
        <f>TRUNC(I1058*C1058,1)</f>
        <v>96989.4</v>
      </c>
      <c r="K1058" s="27">
        <f>일위대가목록!J237</f>
        <v>0</v>
      </c>
      <c r="L1058" s="28">
        <f>TRUNC(K1058*C1058,1)</f>
        <v>0</v>
      </c>
      <c r="M1058" s="86" t="s">
        <v>2856</v>
      </c>
      <c r="N1058" t="s">
        <v>2856</v>
      </c>
      <c r="P1058" t="s">
        <v>1640</v>
      </c>
      <c r="Q1058" t="s">
        <v>2856</v>
      </c>
      <c r="R1058" t="s">
        <v>918</v>
      </c>
      <c r="T1058" t="s">
        <v>1778</v>
      </c>
      <c r="BI1058" s="34" t="str">
        <f>HYPERLINK("#일위대가목록!A232","HW0211 →")</f>
        <v>HW0211 →</v>
      </c>
    </row>
    <row r="1059" spans="1:61" ht="18.399999999999999" hidden="1" customHeight="1" x14ac:dyDescent="0.15">
      <c r="A1059" s="2" t="s">
        <v>2162</v>
      </c>
      <c r="B1059" s="87" t="s">
        <v>2444</v>
      </c>
      <c r="C1059" s="2">
        <v>49.54</v>
      </c>
      <c r="D1059" s="2" t="s">
        <v>1202</v>
      </c>
      <c r="E1059" s="27">
        <f t="shared" si="232"/>
        <v>37000</v>
      </c>
      <c r="F1059" s="28">
        <f t="shared" si="231"/>
        <v>1832980</v>
      </c>
      <c r="G1059" s="27">
        <f>자재조서!E95</f>
        <v>37000</v>
      </c>
      <c r="H1059" s="28">
        <f t="shared" si="233"/>
        <v>1832980</v>
      </c>
      <c r="I1059" s="27">
        <v>0</v>
      </c>
      <c r="J1059" s="28"/>
      <c r="K1059" s="27">
        <v>0</v>
      </c>
      <c r="L1059" s="28"/>
      <c r="M1059" s="86" t="s">
        <v>2856</v>
      </c>
      <c r="N1059" t="s">
        <v>2856</v>
      </c>
      <c r="P1059" t="s">
        <v>2340</v>
      </c>
      <c r="Q1059" t="s">
        <v>2856</v>
      </c>
      <c r="R1059" t="s">
        <v>1728</v>
      </c>
      <c r="BI1059" s="34" t="str">
        <f>HYPERLINK("#자재조서!A90","MP-2040 →")</f>
        <v>MP-2040 →</v>
      </c>
    </row>
    <row r="1060" spans="1:61" ht="18.399999999999999" hidden="1" customHeight="1" x14ac:dyDescent="0.15">
      <c r="A1060" s="2" t="s">
        <v>721</v>
      </c>
      <c r="B1060" s="87" t="s">
        <v>2083</v>
      </c>
      <c r="C1060" s="2">
        <v>26.72</v>
      </c>
      <c r="D1060" s="2" t="s">
        <v>1202</v>
      </c>
      <c r="E1060" s="27">
        <f t="shared" si="232"/>
        <v>118533</v>
      </c>
      <c r="F1060" s="28">
        <f t="shared" si="231"/>
        <v>3167201.7</v>
      </c>
      <c r="G1060" s="27">
        <f>일위대가목록!F244</f>
        <v>0</v>
      </c>
      <c r="H1060" s="28">
        <f t="shared" si="233"/>
        <v>0</v>
      </c>
      <c r="I1060" s="27">
        <f>일위대가목록!H244</f>
        <v>117360</v>
      </c>
      <c r="J1060" s="28">
        <f>TRUNC(I1060*C1060,1)</f>
        <v>3135859.2</v>
      </c>
      <c r="K1060" s="27">
        <f>일위대가목록!J244</f>
        <v>1173</v>
      </c>
      <c r="L1060" s="28">
        <f>TRUNC(K1060*C1060,1)</f>
        <v>31342.5</v>
      </c>
      <c r="M1060" s="86" t="s">
        <v>2856</v>
      </c>
      <c r="N1060" t="s">
        <v>2856</v>
      </c>
      <c r="P1060" t="s">
        <v>2850</v>
      </c>
      <c r="Q1060" t="s">
        <v>2856</v>
      </c>
      <c r="R1060" t="s">
        <v>1991</v>
      </c>
      <c r="T1060" t="s">
        <v>1778</v>
      </c>
      <c r="BI1060" s="34" t="str">
        <f>HYPERLINK("#일위대가목록!A239","N6055 →")</f>
        <v>N6055 →</v>
      </c>
    </row>
    <row r="1061" spans="1:61" ht="18.399999999999999" hidden="1" customHeight="1" x14ac:dyDescent="0.15">
      <c r="A1061" s="2" t="s">
        <v>721</v>
      </c>
      <c r="B1061" s="87" t="s">
        <v>971</v>
      </c>
      <c r="C1061" s="2">
        <v>18.34</v>
      </c>
      <c r="D1061" s="2" t="s">
        <v>1202</v>
      </c>
      <c r="E1061" s="27">
        <f t="shared" si="232"/>
        <v>98235</v>
      </c>
      <c r="F1061" s="28">
        <f t="shared" si="231"/>
        <v>1801629.7999999998</v>
      </c>
      <c r="G1061" s="27">
        <f>일위대가목록!F245</f>
        <v>0</v>
      </c>
      <c r="H1061" s="28">
        <f t="shared" si="233"/>
        <v>0</v>
      </c>
      <c r="I1061" s="27">
        <f>일위대가목록!H245</f>
        <v>97263</v>
      </c>
      <c r="J1061" s="28">
        <f>TRUNC(I1061*C1061,1)</f>
        <v>1783803.4</v>
      </c>
      <c r="K1061" s="27">
        <f>일위대가목록!J245</f>
        <v>972</v>
      </c>
      <c r="L1061" s="28">
        <f>TRUNC(K1061*C1061,1)</f>
        <v>17826.400000000001</v>
      </c>
      <c r="M1061" s="86" t="s">
        <v>2856</v>
      </c>
      <c r="N1061" t="s">
        <v>2856</v>
      </c>
      <c r="P1061" t="s">
        <v>1068</v>
      </c>
      <c r="Q1061" t="s">
        <v>2856</v>
      </c>
      <c r="R1061" t="s">
        <v>669</v>
      </c>
      <c r="T1061" t="s">
        <v>1778</v>
      </c>
      <c r="BI1061" s="34" t="str">
        <f>HYPERLINK("#일위대가목록!A240","N6050 →")</f>
        <v>N6050 →</v>
      </c>
    </row>
    <row r="1062" spans="1:61" ht="18.399999999999999" hidden="1" customHeight="1" x14ac:dyDescent="0.15">
      <c r="A1062" s="1"/>
      <c r="B1062" s="87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87"/>
    </row>
    <row r="1063" spans="1:61" ht="18.399999999999999" hidden="1" customHeight="1" x14ac:dyDescent="0.15">
      <c r="A1063" s="2" t="s">
        <v>835</v>
      </c>
      <c r="B1063" s="87" t="s">
        <v>577</v>
      </c>
      <c r="C1063" s="2">
        <v>1</v>
      </c>
      <c r="D1063" s="2" t="s">
        <v>1796</v>
      </c>
      <c r="E1063" s="184"/>
      <c r="F1063" s="29">
        <f t="shared" ref="F1063:F1078" si="234">H1063+J1063+L1063</f>
        <v>5447375</v>
      </c>
      <c r="G1063" s="184"/>
      <c r="H1063" s="29">
        <f>TRUNC(H1064+H1065+H1066+H1067+H1068+H1070+H1071+H1073+H1074+H1075+H1076+H1077,0)</f>
        <v>1389821</v>
      </c>
      <c r="I1063" s="184"/>
      <c r="J1063" s="29">
        <f>TRUNC(J1064+J1065+J1066+J1067+J1068+J1070+J1071+J1073+J1074+J1075+J1076+J1077,0)</f>
        <v>3545955</v>
      </c>
      <c r="K1063" s="184"/>
      <c r="L1063" s="29">
        <f>TRUNC(L1064+L1065+L1066+L1067+L1068+L1070+L1071+L1073+L1074+L1075+L1076+L1077,0)</f>
        <v>511599</v>
      </c>
      <c r="M1063" s="86" t="s">
        <v>2856</v>
      </c>
      <c r="N1063" t="s">
        <v>2856</v>
      </c>
      <c r="O1063" t="s">
        <v>1994</v>
      </c>
    </row>
    <row r="1064" spans="1:61" ht="18.399999999999999" hidden="1" customHeight="1" x14ac:dyDescent="0.15">
      <c r="A1064" s="2" t="s">
        <v>1163</v>
      </c>
      <c r="B1064" s="87" t="s">
        <v>576</v>
      </c>
      <c r="C1064" s="2">
        <v>7.85</v>
      </c>
      <c r="D1064" s="2" t="s">
        <v>2825</v>
      </c>
      <c r="E1064" s="27">
        <f t="shared" ref="E1064:E1078" si="235">G1064+I1064+K1064</f>
        <v>5009</v>
      </c>
      <c r="F1064" s="28">
        <f t="shared" si="234"/>
        <v>39320.600000000006</v>
      </c>
      <c r="G1064" s="27">
        <f>일위대가목록!F4</f>
        <v>300</v>
      </c>
      <c r="H1064" s="28">
        <f t="shared" ref="H1064:H1078" si="236">TRUNC(G1064*C1064,1)</f>
        <v>2355</v>
      </c>
      <c r="I1064" s="27">
        <f>일위대가목록!H4</f>
        <v>4328</v>
      </c>
      <c r="J1064" s="28">
        <f>TRUNC(I1064*C1064,1)</f>
        <v>33974.800000000003</v>
      </c>
      <c r="K1064" s="27">
        <f>일위대가목록!J4</f>
        <v>381</v>
      </c>
      <c r="L1064" s="28">
        <f>TRUNC(K1064*C1064,1)</f>
        <v>2990.8</v>
      </c>
      <c r="M1064" s="86" t="s">
        <v>2856</v>
      </c>
      <c r="N1064" t="s">
        <v>2856</v>
      </c>
      <c r="P1064" t="s">
        <v>334</v>
      </c>
      <c r="Q1064" t="s">
        <v>2856</v>
      </c>
      <c r="R1064" t="s">
        <v>69</v>
      </c>
      <c r="T1064" t="s">
        <v>2405</v>
      </c>
      <c r="BI1064" s="34" t="str">
        <f>HYPERLINK("#일위대가목록!A4","N1070 →")</f>
        <v>N1070 →</v>
      </c>
    </row>
    <row r="1065" spans="1:61" ht="18.399999999999999" hidden="1" customHeight="1" x14ac:dyDescent="0.15">
      <c r="A1065" s="2" t="s">
        <v>1112</v>
      </c>
      <c r="B1065" s="87" t="s">
        <v>2429</v>
      </c>
      <c r="C1065" s="2">
        <v>5.81</v>
      </c>
      <c r="D1065" s="2" t="s">
        <v>2825</v>
      </c>
      <c r="E1065" s="27">
        <f t="shared" si="235"/>
        <v>1588</v>
      </c>
      <c r="F1065" s="28">
        <f t="shared" si="234"/>
        <v>9226.2000000000007</v>
      </c>
      <c r="G1065" s="27">
        <f>일위대가목록!F5</f>
        <v>285</v>
      </c>
      <c r="H1065" s="28">
        <f t="shared" si="236"/>
        <v>1655.8</v>
      </c>
      <c r="I1065" s="27">
        <f>일위대가목록!H5</f>
        <v>940</v>
      </c>
      <c r="J1065" s="28">
        <f>TRUNC(I1065*C1065,1)</f>
        <v>5461.4</v>
      </c>
      <c r="K1065" s="27">
        <f>일위대가목록!J5</f>
        <v>363</v>
      </c>
      <c r="L1065" s="28">
        <f>TRUNC(K1065*C1065,1)</f>
        <v>2109</v>
      </c>
      <c r="M1065" s="86" t="s">
        <v>2856</v>
      </c>
      <c r="N1065" t="s">
        <v>2856</v>
      </c>
      <c r="P1065" t="s">
        <v>2471</v>
      </c>
      <c r="Q1065" t="s">
        <v>2856</v>
      </c>
      <c r="R1065" t="s">
        <v>1705</v>
      </c>
      <c r="T1065" t="s">
        <v>2405</v>
      </c>
      <c r="BI1065" s="34" t="str">
        <f>HYPERLINK("#일위대가목록!A5","N0860 →")</f>
        <v>N0860 →</v>
      </c>
    </row>
    <row r="1066" spans="1:61" ht="18.399999999999999" hidden="1" customHeight="1" x14ac:dyDescent="0.15">
      <c r="A1066" s="2" t="s">
        <v>2451</v>
      </c>
      <c r="B1066" s="87" t="s">
        <v>565</v>
      </c>
      <c r="C1066" s="2">
        <v>2.0499999999999998</v>
      </c>
      <c r="D1066" s="2" t="s">
        <v>2825</v>
      </c>
      <c r="E1066" s="27">
        <f t="shared" si="235"/>
        <v>7144</v>
      </c>
      <c r="F1066" s="28">
        <f t="shared" si="234"/>
        <v>14645.1</v>
      </c>
      <c r="G1066" s="27">
        <f>일위대가목록!F6</f>
        <v>445</v>
      </c>
      <c r="H1066" s="28">
        <f t="shared" si="236"/>
        <v>912.2</v>
      </c>
      <c r="I1066" s="27">
        <f>일위대가목록!H6</f>
        <v>6329</v>
      </c>
      <c r="J1066" s="28">
        <f>TRUNC(I1066*C1066,1)</f>
        <v>12974.4</v>
      </c>
      <c r="K1066" s="27">
        <f>일위대가목록!J6</f>
        <v>370</v>
      </c>
      <c r="L1066" s="28">
        <f>TRUNC(K1066*C1066,1)</f>
        <v>758.5</v>
      </c>
      <c r="M1066" s="86" t="s">
        <v>2856</v>
      </c>
      <c r="N1066" t="s">
        <v>2856</v>
      </c>
      <c r="P1066" t="s">
        <v>1741</v>
      </c>
      <c r="Q1066" t="s">
        <v>2856</v>
      </c>
      <c r="R1066" t="s">
        <v>1429</v>
      </c>
      <c r="T1066" t="s">
        <v>2405</v>
      </c>
      <c r="BI1066" s="34" t="str">
        <f>HYPERLINK("#일위대가목록!A6","N1010 →")</f>
        <v>N1010 →</v>
      </c>
    </row>
    <row r="1067" spans="1:61" ht="18.399999999999999" hidden="1" customHeight="1" x14ac:dyDescent="0.15">
      <c r="A1067" s="2" t="s">
        <v>296</v>
      </c>
      <c r="B1067" s="87" t="s">
        <v>626</v>
      </c>
      <c r="C1067" s="2">
        <v>2.0299999999999998</v>
      </c>
      <c r="D1067" s="2" t="s">
        <v>2825</v>
      </c>
      <c r="E1067" s="27">
        <f t="shared" si="235"/>
        <v>24000</v>
      </c>
      <c r="F1067" s="28">
        <f t="shared" si="234"/>
        <v>48720</v>
      </c>
      <c r="G1067" s="27">
        <f>자재조서!E85</f>
        <v>24000</v>
      </c>
      <c r="H1067" s="28">
        <f t="shared" si="236"/>
        <v>48720</v>
      </c>
      <c r="I1067" s="27">
        <v>0</v>
      </c>
      <c r="J1067" s="28"/>
      <c r="K1067" s="27">
        <v>0</v>
      </c>
      <c r="L1067" s="28"/>
      <c r="M1067" s="86" t="s">
        <v>2856</v>
      </c>
      <c r="N1067" t="s">
        <v>2856</v>
      </c>
      <c r="P1067" t="s">
        <v>1036</v>
      </c>
      <c r="Q1067" t="s">
        <v>2856</v>
      </c>
      <c r="R1067" t="s">
        <v>609</v>
      </c>
      <c r="BI1067" s="34" t="str">
        <f>HYPERLINK("#자재조서!A82","MB-4500 →")</f>
        <v>MB-4500 →</v>
      </c>
    </row>
    <row r="1068" spans="1:61" ht="18.399999999999999" hidden="1" customHeight="1" x14ac:dyDescent="0.15">
      <c r="A1068" s="2" t="s">
        <v>467</v>
      </c>
      <c r="B1068" s="87" t="s">
        <v>2010</v>
      </c>
      <c r="C1068" s="2">
        <v>1.96</v>
      </c>
      <c r="D1068" s="2" t="s">
        <v>2825</v>
      </c>
      <c r="E1068" s="27">
        <f t="shared" si="235"/>
        <v>14311</v>
      </c>
      <c r="F1068" s="28">
        <f t="shared" si="234"/>
        <v>28049.499999999996</v>
      </c>
      <c r="G1068" s="27">
        <f>일위대가목록!F239</f>
        <v>1554</v>
      </c>
      <c r="H1068" s="28">
        <f t="shared" si="236"/>
        <v>3045.8</v>
      </c>
      <c r="I1068" s="27">
        <f>일위대가목록!H239</f>
        <v>11235</v>
      </c>
      <c r="J1068" s="28">
        <f>TRUNC(I1068*C1068,1)</f>
        <v>22020.6</v>
      </c>
      <c r="K1068" s="27">
        <f>일위대가목록!J239</f>
        <v>1522</v>
      </c>
      <c r="L1068" s="28">
        <f>TRUNC(K1068*C1068,1)</f>
        <v>2983.1</v>
      </c>
      <c r="M1068" s="86" t="s">
        <v>2856</v>
      </c>
      <c r="N1068" t="s">
        <v>2856</v>
      </c>
      <c r="P1068" t="s">
        <v>286</v>
      </c>
      <c r="Q1068" t="s">
        <v>2856</v>
      </c>
      <c r="R1068" t="s">
        <v>782</v>
      </c>
      <c r="T1068" t="s">
        <v>1778</v>
      </c>
      <c r="BI1068" s="34" t="str">
        <f>HYPERLINK("#일위대가목록!A234","N0303 →")</f>
        <v>N0303 →</v>
      </c>
    </row>
    <row r="1069" spans="1:61" ht="18.399999999999999" hidden="1" customHeight="1" x14ac:dyDescent="0.15">
      <c r="A1069" s="2" t="s">
        <v>1632</v>
      </c>
      <c r="B1069" s="87" t="s">
        <v>2279</v>
      </c>
      <c r="C1069" s="2">
        <v>4.4400000000000004</v>
      </c>
      <c r="D1069" s="2" t="s">
        <v>2825</v>
      </c>
      <c r="E1069" s="27">
        <f t="shared" si="235"/>
        <v>89830</v>
      </c>
      <c r="F1069" s="28">
        <f t="shared" si="234"/>
        <v>398845.2</v>
      </c>
      <c r="G1069" s="27">
        <f>자재조서!E73</f>
        <v>89830</v>
      </c>
      <c r="H1069" s="28">
        <f t="shared" si="236"/>
        <v>398845.2</v>
      </c>
      <c r="I1069" s="27">
        <v>0</v>
      </c>
      <c r="J1069" s="28"/>
      <c r="K1069" s="27">
        <v>0</v>
      </c>
      <c r="L1069" s="28"/>
      <c r="M1069" s="86" t="s">
        <v>1601</v>
      </c>
      <c r="N1069" t="s">
        <v>2856</v>
      </c>
      <c r="P1069" t="s">
        <v>2650</v>
      </c>
      <c r="Q1069" t="s">
        <v>1839</v>
      </c>
      <c r="R1069" t="s">
        <v>2547</v>
      </c>
      <c r="W1069" t="s">
        <v>1601</v>
      </c>
      <c r="BI1069" s="34" t="str">
        <f>HYPERLINK("#자재조서!A70","MB-190-24 →")</f>
        <v>MB-190-24 →</v>
      </c>
    </row>
    <row r="1070" spans="1:61" ht="18.399999999999999" hidden="1" customHeight="1" x14ac:dyDescent="0.15">
      <c r="A1070" s="2" t="s">
        <v>54</v>
      </c>
      <c r="B1070" s="87" t="s">
        <v>1057</v>
      </c>
      <c r="C1070" s="2">
        <v>4.3499999999999996</v>
      </c>
      <c r="D1070" s="2" t="s">
        <v>2825</v>
      </c>
      <c r="E1070" s="27">
        <f t="shared" si="235"/>
        <v>63190</v>
      </c>
      <c r="F1070" s="28">
        <f t="shared" si="234"/>
        <v>274876.5</v>
      </c>
      <c r="G1070" s="27">
        <f>일위대가목록!F240</f>
        <v>2908</v>
      </c>
      <c r="H1070" s="28">
        <f t="shared" si="236"/>
        <v>12649.8</v>
      </c>
      <c r="I1070" s="27">
        <f>일위대가목록!H240</f>
        <v>25714</v>
      </c>
      <c r="J1070" s="28">
        <f>TRUNC(I1070*C1070,1)</f>
        <v>111855.9</v>
      </c>
      <c r="K1070" s="27">
        <f>일위대가목록!J240</f>
        <v>34568</v>
      </c>
      <c r="L1070" s="28">
        <f>TRUNC(K1070*C1070,1)</f>
        <v>150370.79999999999</v>
      </c>
      <c r="M1070" s="86" t="s">
        <v>2856</v>
      </c>
      <c r="N1070" t="s">
        <v>2856</v>
      </c>
      <c r="P1070" t="s">
        <v>2734</v>
      </c>
      <c r="Q1070" t="s">
        <v>2856</v>
      </c>
      <c r="R1070" t="s">
        <v>170</v>
      </c>
      <c r="T1070" t="s">
        <v>1778</v>
      </c>
      <c r="BI1070" s="34" t="str">
        <f>HYPERLINK("#일위대가목록!A235","N1385-24 →")</f>
        <v>N1385-24 →</v>
      </c>
    </row>
    <row r="1071" spans="1:61" ht="18.399999999999999" hidden="1" customHeight="1" x14ac:dyDescent="0.15">
      <c r="A1071" s="2" t="s">
        <v>832</v>
      </c>
      <c r="B1071" s="87" t="s">
        <v>610</v>
      </c>
      <c r="C1071" s="2">
        <v>15.06</v>
      </c>
      <c r="D1071" s="2" t="s">
        <v>1202</v>
      </c>
      <c r="E1071" s="27">
        <f t="shared" si="235"/>
        <v>45715</v>
      </c>
      <c r="F1071" s="28">
        <f t="shared" si="234"/>
        <v>688467.79999999993</v>
      </c>
      <c r="G1071" s="27">
        <f>일위대가목록!F236</f>
        <v>11180</v>
      </c>
      <c r="H1071" s="28">
        <f t="shared" si="236"/>
        <v>168370.8</v>
      </c>
      <c r="I1071" s="27">
        <f>일위대가목록!H236</f>
        <v>34194</v>
      </c>
      <c r="J1071" s="28">
        <f>TRUNC(I1071*C1071,1)</f>
        <v>514961.6</v>
      </c>
      <c r="K1071" s="27">
        <f>일위대가목록!J236</f>
        <v>341</v>
      </c>
      <c r="L1071" s="28">
        <f>TRUNC(K1071*C1071,1)</f>
        <v>5135.3999999999996</v>
      </c>
      <c r="M1071" s="86" t="s">
        <v>2856</v>
      </c>
      <c r="N1071" t="s">
        <v>2856</v>
      </c>
      <c r="P1071" t="s">
        <v>2720</v>
      </c>
      <c r="Q1071" t="s">
        <v>2856</v>
      </c>
      <c r="R1071" t="s">
        <v>1998</v>
      </c>
      <c r="T1071" t="s">
        <v>1778</v>
      </c>
      <c r="BI1071" s="34" t="str">
        <f>HYPERLINK("#일위대가목록!A231","N1150 →")</f>
        <v>N1150 →</v>
      </c>
    </row>
    <row r="1072" spans="1:61" ht="18.399999999999999" hidden="1" customHeight="1" x14ac:dyDescent="0.15">
      <c r="A1072" s="2" t="s">
        <v>1996</v>
      </c>
      <c r="B1072" s="87" t="s">
        <v>1225</v>
      </c>
      <c r="C1072" s="2">
        <v>0.125</v>
      </c>
      <c r="D1072" s="2" t="s">
        <v>978</v>
      </c>
      <c r="E1072" s="27">
        <f t="shared" si="235"/>
        <v>1039100</v>
      </c>
      <c r="F1072" s="28">
        <f t="shared" si="234"/>
        <v>129887.5</v>
      </c>
      <c r="G1072" s="27">
        <f>자재조서!E89</f>
        <v>1039100</v>
      </c>
      <c r="H1072" s="28">
        <f t="shared" si="236"/>
        <v>129887.5</v>
      </c>
      <c r="I1072" s="27">
        <v>0</v>
      </c>
      <c r="J1072" s="28"/>
      <c r="K1072" s="27">
        <v>0</v>
      </c>
      <c r="L1072" s="28"/>
      <c r="M1072" s="86" t="s">
        <v>1601</v>
      </c>
      <c r="N1072" t="s">
        <v>2004</v>
      </c>
      <c r="P1072" t="s">
        <v>248</v>
      </c>
      <c r="Q1072" t="s">
        <v>1839</v>
      </c>
      <c r="R1072" t="s">
        <v>2422</v>
      </c>
      <c r="W1072" t="s">
        <v>1601</v>
      </c>
      <c r="BI1072" s="34" t="str">
        <f>HYPERLINK("#자재조서!A86","MB0014-24 →")</f>
        <v>MB0014-24 →</v>
      </c>
    </row>
    <row r="1073" spans="1:61" ht="18.399999999999999" hidden="1" customHeight="1" x14ac:dyDescent="0.15">
      <c r="A1073" s="2" t="s">
        <v>2085</v>
      </c>
      <c r="B1073" s="87" t="s">
        <v>2731</v>
      </c>
      <c r="C1073" s="2">
        <v>0.121</v>
      </c>
      <c r="D1073" s="2" t="s">
        <v>978</v>
      </c>
      <c r="E1073" s="27">
        <f t="shared" si="235"/>
        <v>3414044</v>
      </c>
      <c r="F1073" s="28">
        <f t="shared" si="234"/>
        <v>413099.10000000003</v>
      </c>
      <c r="G1073" s="27">
        <f>일위대가목록!F242</f>
        <v>10770</v>
      </c>
      <c r="H1073" s="28">
        <f t="shared" si="236"/>
        <v>1303.0999999999999</v>
      </c>
      <c r="I1073" s="27">
        <f>일위대가목록!H242</f>
        <v>756255</v>
      </c>
      <c r="J1073" s="28">
        <f>TRUNC(I1073*C1073,1)</f>
        <v>91506.8</v>
      </c>
      <c r="K1073" s="27">
        <f>일위대가목록!J242</f>
        <v>2647019</v>
      </c>
      <c r="L1073" s="28">
        <f>TRUNC(K1073*C1073,1)</f>
        <v>320289.2</v>
      </c>
      <c r="M1073" s="86" t="s">
        <v>2856</v>
      </c>
      <c r="N1073" t="s">
        <v>2856</v>
      </c>
      <c r="P1073" t="s">
        <v>904</v>
      </c>
      <c r="Q1073" t="s">
        <v>2856</v>
      </c>
      <c r="R1073" t="s">
        <v>1458</v>
      </c>
      <c r="T1073" t="s">
        <v>1778</v>
      </c>
      <c r="BI1073" s="34" t="str">
        <f>HYPERLINK("#일위대가목록!A237","N0180-24 →")</f>
        <v>N0180-24 →</v>
      </c>
    </row>
    <row r="1074" spans="1:61" ht="18.399999999999999" hidden="1" customHeight="1" x14ac:dyDescent="0.15">
      <c r="A1074" s="2" t="s">
        <v>2073</v>
      </c>
      <c r="B1074" s="87" t="s">
        <v>2856</v>
      </c>
      <c r="C1074" s="2">
        <v>0.77</v>
      </c>
      <c r="D1074" s="2" t="s">
        <v>2825</v>
      </c>
      <c r="E1074" s="27">
        <f t="shared" si="235"/>
        <v>208934</v>
      </c>
      <c r="F1074" s="28">
        <f t="shared" si="234"/>
        <v>160879.1</v>
      </c>
      <c r="G1074" s="27">
        <f>일위대가목록!F237</f>
        <v>137090</v>
      </c>
      <c r="H1074" s="28">
        <f t="shared" si="236"/>
        <v>105559.3</v>
      </c>
      <c r="I1074" s="27">
        <f>일위대가목록!H237</f>
        <v>71844</v>
      </c>
      <c r="J1074" s="28">
        <f>TRUNC(I1074*C1074,1)</f>
        <v>55319.8</v>
      </c>
      <c r="K1074" s="27">
        <f>일위대가목록!J237</f>
        <v>0</v>
      </c>
      <c r="L1074" s="28">
        <f>TRUNC(K1074*C1074,1)</f>
        <v>0</v>
      </c>
      <c r="M1074" s="86" t="s">
        <v>2856</v>
      </c>
      <c r="N1074" t="s">
        <v>2856</v>
      </c>
      <c r="P1074" t="s">
        <v>1640</v>
      </c>
      <c r="Q1074" t="s">
        <v>2856</v>
      </c>
      <c r="R1074" t="s">
        <v>918</v>
      </c>
      <c r="T1074" t="s">
        <v>1778</v>
      </c>
      <c r="BI1074" s="34" t="str">
        <f>HYPERLINK("#일위대가목록!A232","HW0211 →")</f>
        <v>HW0211 →</v>
      </c>
    </row>
    <row r="1075" spans="1:61" ht="18.399999999999999" hidden="1" customHeight="1" x14ac:dyDescent="0.15">
      <c r="A1075" s="2" t="s">
        <v>2162</v>
      </c>
      <c r="B1075" s="87" t="s">
        <v>2444</v>
      </c>
      <c r="C1075" s="2">
        <v>28.25</v>
      </c>
      <c r="D1075" s="2" t="s">
        <v>1202</v>
      </c>
      <c r="E1075" s="27">
        <f t="shared" si="235"/>
        <v>37000</v>
      </c>
      <c r="F1075" s="28">
        <f t="shared" si="234"/>
        <v>1045250</v>
      </c>
      <c r="G1075" s="27">
        <f>자재조서!E95</f>
        <v>37000</v>
      </c>
      <c r="H1075" s="28">
        <f t="shared" si="236"/>
        <v>1045250</v>
      </c>
      <c r="I1075" s="27">
        <v>0</v>
      </c>
      <c r="J1075" s="28"/>
      <c r="K1075" s="27">
        <v>0</v>
      </c>
      <c r="L1075" s="28"/>
      <c r="M1075" s="86" t="s">
        <v>2856</v>
      </c>
      <c r="N1075" t="s">
        <v>2856</v>
      </c>
      <c r="P1075" t="s">
        <v>2340</v>
      </c>
      <c r="Q1075" t="s">
        <v>2856</v>
      </c>
      <c r="R1075" t="s">
        <v>1728</v>
      </c>
      <c r="BI1075" s="34" t="str">
        <f>HYPERLINK("#자재조서!A90","MP-2040 →")</f>
        <v>MP-2040 →</v>
      </c>
    </row>
    <row r="1076" spans="1:61" ht="18.399999999999999" hidden="1" customHeight="1" x14ac:dyDescent="0.15">
      <c r="A1076" s="2" t="s">
        <v>721</v>
      </c>
      <c r="B1076" s="87" t="s">
        <v>2083</v>
      </c>
      <c r="C1076" s="2">
        <v>9.9600000000000009</v>
      </c>
      <c r="D1076" s="2" t="s">
        <v>1202</v>
      </c>
      <c r="E1076" s="27">
        <f t="shared" si="235"/>
        <v>118533</v>
      </c>
      <c r="F1076" s="28">
        <f t="shared" si="234"/>
        <v>1180588.6000000001</v>
      </c>
      <c r="G1076" s="27">
        <f>일위대가목록!F244</f>
        <v>0</v>
      </c>
      <c r="H1076" s="28">
        <f t="shared" si="236"/>
        <v>0</v>
      </c>
      <c r="I1076" s="27">
        <f>일위대가목록!H244</f>
        <v>117360</v>
      </c>
      <c r="J1076" s="28">
        <f>TRUNC(I1076*C1076,1)</f>
        <v>1168905.6000000001</v>
      </c>
      <c r="K1076" s="27">
        <f>일위대가목록!J244</f>
        <v>1173</v>
      </c>
      <c r="L1076" s="28">
        <f>TRUNC(K1076*C1076,1)</f>
        <v>11683</v>
      </c>
      <c r="M1076" s="86" t="s">
        <v>2856</v>
      </c>
      <c r="N1076" t="s">
        <v>2856</v>
      </c>
      <c r="P1076" t="s">
        <v>2850</v>
      </c>
      <c r="Q1076" t="s">
        <v>2856</v>
      </c>
      <c r="R1076" t="s">
        <v>1991</v>
      </c>
      <c r="T1076" t="s">
        <v>1778</v>
      </c>
      <c r="BI1076" s="34" t="str">
        <f>HYPERLINK("#일위대가목록!A239","N6055 →")</f>
        <v>N6055 →</v>
      </c>
    </row>
    <row r="1077" spans="1:61" ht="18.399999999999999" hidden="1" customHeight="1" x14ac:dyDescent="0.15">
      <c r="A1077" s="2" t="s">
        <v>721</v>
      </c>
      <c r="B1077" s="87" t="s">
        <v>971</v>
      </c>
      <c r="C1077" s="2">
        <v>15.72</v>
      </c>
      <c r="D1077" s="2" t="s">
        <v>1202</v>
      </c>
      <c r="E1077" s="27">
        <f t="shared" si="235"/>
        <v>98235</v>
      </c>
      <c r="F1077" s="28">
        <f t="shared" si="234"/>
        <v>1544254.1</v>
      </c>
      <c r="G1077" s="27">
        <f>일위대가목록!F245</f>
        <v>0</v>
      </c>
      <c r="H1077" s="28">
        <f t="shared" si="236"/>
        <v>0</v>
      </c>
      <c r="I1077" s="27">
        <f>일위대가목록!H245</f>
        <v>97263</v>
      </c>
      <c r="J1077" s="28">
        <f>TRUNC(I1077*C1077,1)</f>
        <v>1528974.3</v>
      </c>
      <c r="K1077" s="27">
        <f>일위대가목록!J245</f>
        <v>972</v>
      </c>
      <c r="L1077" s="28">
        <f>TRUNC(K1077*C1077,1)</f>
        <v>15279.8</v>
      </c>
      <c r="M1077" s="86" t="s">
        <v>2856</v>
      </c>
      <c r="N1077" t="s">
        <v>2856</v>
      </c>
      <c r="P1077" t="s">
        <v>1068</v>
      </c>
      <c r="Q1077" t="s">
        <v>2856</v>
      </c>
      <c r="R1077" t="s">
        <v>669</v>
      </c>
      <c r="T1077" t="s">
        <v>1778</v>
      </c>
      <c r="BI1077" s="34" t="str">
        <f>HYPERLINK("#일위대가목록!A240","N6050 →")</f>
        <v>N6050 →</v>
      </c>
    </row>
    <row r="1078" spans="1:61" ht="18.399999999999999" hidden="1" customHeight="1" x14ac:dyDescent="0.15">
      <c r="A1078" s="2" t="s">
        <v>615</v>
      </c>
      <c r="B1078" s="87" t="s">
        <v>943</v>
      </c>
      <c r="C1078" s="2">
        <v>12</v>
      </c>
      <c r="D1078" s="2" t="s">
        <v>1160</v>
      </c>
      <c r="E1078" s="27">
        <f t="shared" si="235"/>
        <v>255000</v>
      </c>
      <c r="F1078" s="28">
        <f t="shared" si="234"/>
        <v>3060000</v>
      </c>
      <c r="G1078" s="27">
        <f>자재조서!E55</f>
        <v>255000</v>
      </c>
      <c r="H1078" s="28">
        <f t="shared" si="236"/>
        <v>3060000</v>
      </c>
      <c r="I1078" s="27">
        <v>0</v>
      </c>
      <c r="J1078" s="28"/>
      <c r="K1078" s="27">
        <v>0</v>
      </c>
      <c r="L1078" s="28"/>
      <c r="M1078" s="86" t="s">
        <v>1601</v>
      </c>
      <c r="N1078" t="s">
        <v>2856</v>
      </c>
      <c r="P1078" t="s">
        <v>1637</v>
      </c>
      <c r="Q1078" t="s">
        <v>1839</v>
      </c>
      <c r="R1078" t="s">
        <v>2034</v>
      </c>
      <c r="W1078" t="s">
        <v>1601</v>
      </c>
      <c r="BI1078" s="34" t="str">
        <f>HYPERLINK("#자재조서!A52","MB-0008 →")</f>
        <v>MB-0008 →</v>
      </c>
    </row>
    <row r="1079" spans="1:61" ht="18.399999999999999" hidden="1" customHeight="1" x14ac:dyDescent="0.15">
      <c r="A1079" s="1"/>
      <c r="B1079" s="87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87"/>
    </row>
    <row r="1080" spans="1:61" ht="18.399999999999999" hidden="1" customHeight="1" x14ac:dyDescent="0.15">
      <c r="A1080" s="2" t="s">
        <v>1139</v>
      </c>
      <c r="B1080" s="87" t="s">
        <v>402</v>
      </c>
      <c r="C1080" s="2">
        <v>1</v>
      </c>
      <c r="D1080" s="2" t="s">
        <v>1796</v>
      </c>
      <c r="E1080" s="184"/>
      <c r="F1080" s="29">
        <f t="shared" ref="F1080:F1094" si="237">H1080+J1080+L1080</f>
        <v>3040546</v>
      </c>
      <c r="G1080" s="184"/>
      <c r="H1080" s="29">
        <f>TRUNC(H1081+H1082+H1083+H1084+H1085+H1087+H1088+H1090+H1091+H1092+H1093+H1094,0)</f>
        <v>759996</v>
      </c>
      <c r="I1080" s="184"/>
      <c r="J1080" s="29">
        <f>TRUNC(J1081+J1082+J1083+J1084+J1085+J1087+J1088+J1090+J1091+J1092+J1093+J1094,0)</f>
        <v>1980591</v>
      </c>
      <c r="K1080" s="184"/>
      <c r="L1080" s="29">
        <f>TRUNC(L1081+L1082+L1083+L1084+L1085+L1087+L1088+L1090+L1091+L1092+L1093+L1094,0)</f>
        <v>299959</v>
      </c>
      <c r="M1080" s="86" t="s">
        <v>2856</v>
      </c>
      <c r="N1080" t="s">
        <v>2856</v>
      </c>
      <c r="O1080" t="s">
        <v>396</v>
      </c>
    </row>
    <row r="1081" spans="1:61" ht="18.399999999999999" hidden="1" customHeight="1" x14ac:dyDescent="0.15">
      <c r="A1081" s="2" t="s">
        <v>1163</v>
      </c>
      <c r="B1081" s="87" t="s">
        <v>576</v>
      </c>
      <c r="C1081" s="2">
        <v>3.82</v>
      </c>
      <c r="D1081" s="2" t="s">
        <v>2825</v>
      </c>
      <c r="E1081" s="27">
        <f t="shared" ref="E1081:E1094" si="238">G1081+I1081+K1081</f>
        <v>5009</v>
      </c>
      <c r="F1081" s="28">
        <f t="shared" si="237"/>
        <v>19134.300000000003</v>
      </c>
      <c r="G1081" s="27">
        <f>일위대가목록!F4</f>
        <v>300</v>
      </c>
      <c r="H1081" s="28">
        <f t="shared" ref="H1081:H1094" si="239">TRUNC(G1081*C1081,1)</f>
        <v>1146</v>
      </c>
      <c r="I1081" s="27">
        <f>일위대가목록!H4</f>
        <v>4328</v>
      </c>
      <c r="J1081" s="28">
        <f>TRUNC(I1081*C1081,1)</f>
        <v>16532.900000000001</v>
      </c>
      <c r="K1081" s="27">
        <f>일위대가목록!J4</f>
        <v>381</v>
      </c>
      <c r="L1081" s="28">
        <f>TRUNC(K1081*C1081,1)</f>
        <v>1455.4</v>
      </c>
      <c r="M1081" s="86" t="s">
        <v>2856</v>
      </c>
      <c r="N1081" t="s">
        <v>2856</v>
      </c>
      <c r="P1081" t="s">
        <v>334</v>
      </c>
      <c r="Q1081" t="s">
        <v>2856</v>
      </c>
      <c r="R1081" t="s">
        <v>69</v>
      </c>
      <c r="T1081" t="s">
        <v>2405</v>
      </c>
      <c r="BI1081" s="34" t="str">
        <f>HYPERLINK("#일위대가목록!A4","N1070 →")</f>
        <v>N1070 →</v>
      </c>
    </row>
    <row r="1082" spans="1:61" ht="18.399999999999999" hidden="1" customHeight="1" x14ac:dyDescent="0.15">
      <c r="A1082" s="2" t="s">
        <v>1112</v>
      </c>
      <c r="B1082" s="87" t="s">
        <v>2429</v>
      </c>
      <c r="C1082" s="2">
        <v>3.08</v>
      </c>
      <c r="D1082" s="2" t="s">
        <v>2825</v>
      </c>
      <c r="E1082" s="27">
        <f t="shared" si="238"/>
        <v>1588</v>
      </c>
      <c r="F1082" s="28">
        <f t="shared" si="237"/>
        <v>4891</v>
      </c>
      <c r="G1082" s="27">
        <f>일위대가목록!F5</f>
        <v>285</v>
      </c>
      <c r="H1082" s="28">
        <f t="shared" si="239"/>
        <v>877.8</v>
      </c>
      <c r="I1082" s="27">
        <f>일위대가목록!H5</f>
        <v>940</v>
      </c>
      <c r="J1082" s="28">
        <f>TRUNC(I1082*C1082,1)</f>
        <v>2895.2</v>
      </c>
      <c r="K1082" s="27">
        <f>일위대가목록!J5</f>
        <v>363</v>
      </c>
      <c r="L1082" s="28">
        <f>TRUNC(K1082*C1082,1)</f>
        <v>1118</v>
      </c>
      <c r="M1082" s="86" t="s">
        <v>2856</v>
      </c>
      <c r="N1082" t="s">
        <v>2856</v>
      </c>
      <c r="P1082" t="s">
        <v>2471</v>
      </c>
      <c r="Q1082" t="s">
        <v>2856</v>
      </c>
      <c r="R1082" t="s">
        <v>1705</v>
      </c>
      <c r="T1082" t="s">
        <v>2405</v>
      </c>
      <c r="BI1082" s="34" t="str">
        <f>HYPERLINK("#일위대가목록!A5","N0860 →")</f>
        <v>N0860 →</v>
      </c>
    </row>
    <row r="1083" spans="1:61" ht="18.399999999999999" hidden="1" customHeight="1" x14ac:dyDescent="0.15">
      <c r="A1083" s="2" t="s">
        <v>2451</v>
      </c>
      <c r="B1083" s="87" t="s">
        <v>565</v>
      </c>
      <c r="C1083" s="2">
        <v>0.75</v>
      </c>
      <c r="D1083" s="2" t="s">
        <v>2825</v>
      </c>
      <c r="E1083" s="27">
        <f t="shared" si="238"/>
        <v>7144</v>
      </c>
      <c r="F1083" s="28">
        <f t="shared" si="237"/>
        <v>5357.9</v>
      </c>
      <c r="G1083" s="27">
        <f>일위대가목록!F6</f>
        <v>445</v>
      </c>
      <c r="H1083" s="28">
        <f t="shared" si="239"/>
        <v>333.7</v>
      </c>
      <c r="I1083" s="27">
        <f>일위대가목록!H6</f>
        <v>6329</v>
      </c>
      <c r="J1083" s="28">
        <f>TRUNC(I1083*C1083,1)</f>
        <v>4746.7</v>
      </c>
      <c r="K1083" s="27">
        <f>일위대가목록!J6</f>
        <v>370</v>
      </c>
      <c r="L1083" s="28">
        <f>TRUNC(K1083*C1083,1)</f>
        <v>277.5</v>
      </c>
      <c r="M1083" s="86" t="s">
        <v>2856</v>
      </c>
      <c r="N1083" t="s">
        <v>2856</v>
      </c>
      <c r="P1083" t="s">
        <v>1741</v>
      </c>
      <c r="Q1083" t="s">
        <v>2856</v>
      </c>
      <c r="R1083" t="s">
        <v>1429</v>
      </c>
      <c r="T1083" t="s">
        <v>2405</v>
      </c>
      <c r="BI1083" s="34" t="str">
        <f>HYPERLINK("#일위대가목록!A6","N1010 →")</f>
        <v>N1010 →</v>
      </c>
    </row>
    <row r="1084" spans="1:61" ht="18.399999999999999" hidden="1" customHeight="1" x14ac:dyDescent="0.15">
      <c r="A1084" s="2" t="s">
        <v>296</v>
      </c>
      <c r="B1084" s="87" t="s">
        <v>626</v>
      </c>
      <c r="C1084" s="2">
        <v>1.06</v>
      </c>
      <c r="D1084" s="2" t="s">
        <v>2825</v>
      </c>
      <c r="E1084" s="27">
        <f t="shared" si="238"/>
        <v>24000</v>
      </c>
      <c r="F1084" s="28">
        <f t="shared" si="237"/>
        <v>25440</v>
      </c>
      <c r="G1084" s="27">
        <f>자재조서!E85</f>
        <v>24000</v>
      </c>
      <c r="H1084" s="28">
        <f t="shared" si="239"/>
        <v>25440</v>
      </c>
      <c r="I1084" s="27">
        <v>0</v>
      </c>
      <c r="J1084" s="28"/>
      <c r="K1084" s="27">
        <v>0</v>
      </c>
      <c r="L1084" s="28"/>
      <c r="M1084" s="86" t="s">
        <v>2856</v>
      </c>
      <c r="N1084" t="s">
        <v>2856</v>
      </c>
      <c r="P1084" t="s">
        <v>1036</v>
      </c>
      <c r="Q1084" t="s">
        <v>2856</v>
      </c>
      <c r="R1084" t="s">
        <v>609</v>
      </c>
      <c r="BI1084" s="34" t="str">
        <f>HYPERLINK("#자재조서!A82","MB-4500 →")</f>
        <v>MB-4500 →</v>
      </c>
    </row>
    <row r="1085" spans="1:61" ht="18.399999999999999" hidden="1" customHeight="1" x14ac:dyDescent="0.15">
      <c r="A1085" s="2" t="s">
        <v>467</v>
      </c>
      <c r="B1085" s="87" t="s">
        <v>2010</v>
      </c>
      <c r="C1085" s="2">
        <v>1.02</v>
      </c>
      <c r="D1085" s="2" t="s">
        <v>2825</v>
      </c>
      <c r="E1085" s="27">
        <f t="shared" si="238"/>
        <v>14311</v>
      </c>
      <c r="F1085" s="28">
        <f t="shared" si="237"/>
        <v>14597.1</v>
      </c>
      <c r="G1085" s="27">
        <f>일위대가목록!F239</f>
        <v>1554</v>
      </c>
      <c r="H1085" s="28">
        <f t="shared" si="239"/>
        <v>1585</v>
      </c>
      <c r="I1085" s="27">
        <f>일위대가목록!H239</f>
        <v>11235</v>
      </c>
      <c r="J1085" s="28">
        <f>TRUNC(I1085*C1085,1)</f>
        <v>11459.7</v>
      </c>
      <c r="K1085" s="27">
        <f>일위대가목록!J239</f>
        <v>1522</v>
      </c>
      <c r="L1085" s="28">
        <f>TRUNC(K1085*C1085,1)</f>
        <v>1552.4</v>
      </c>
      <c r="M1085" s="86" t="s">
        <v>2856</v>
      </c>
      <c r="N1085" t="s">
        <v>2856</v>
      </c>
      <c r="P1085" t="s">
        <v>286</v>
      </c>
      <c r="Q1085" t="s">
        <v>2856</v>
      </c>
      <c r="R1085" t="s">
        <v>782</v>
      </c>
      <c r="T1085" t="s">
        <v>1778</v>
      </c>
      <c r="BI1085" s="34" t="str">
        <f>HYPERLINK("#일위대가목록!A234","N0303 →")</f>
        <v>N0303 →</v>
      </c>
    </row>
    <row r="1086" spans="1:61" ht="18.399999999999999" hidden="1" customHeight="1" x14ac:dyDescent="0.15">
      <c r="A1086" s="2" t="s">
        <v>1632</v>
      </c>
      <c r="B1086" s="87" t="s">
        <v>2279</v>
      </c>
      <c r="C1086" s="2">
        <v>2.25</v>
      </c>
      <c r="D1086" s="2" t="s">
        <v>2825</v>
      </c>
      <c r="E1086" s="27">
        <f t="shared" si="238"/>
        <v>89830</v>
      </c>
      <c r="F1086" s="28">
        <f t="shared" si="237"/>
        <v>202117.5</v>
      </c>
      <c r="G1086" s="27">
        <f>자재조서!E73</f>
        <v>89830</v>
      </c>
      <c r="H1086" s="28">
        <f t="shared" si="239"/>
        <v>202117.5</v>
      </c>
      <c r="I1086" s="27">
        <v>0</v>
      </c>
      <c r="J1086" s="28"/>
      <c r="K1086" s="27">
        <v>0</v>
      </c>
      <c r="L1086" s="28"/>
      <c r="M1086" s="86" t="s">
        <v>1601</v>
      </c>
      <c r="N1086" t="s">
        <v>2856</v>
      </c>
      <c r="P1086" t="s">
        <v>2650</v>
      </c>
      <c r="Q1086" t="s">
        <v>1839</v>
      </c>
      <c r="R1086" t="s">
        <v>2547</v>
      </c>
      <c r="W1086" t="s">
        <v>1601</v>
      </c>
      <c r="BI1086" s="34" t="str">
        <f>HYPERLINK("#자재조서!A70","MB-190-24 →")</f>
        <v>MB-190-24 →</v>
      </c>
    </row>
    <row r="1087" spans="1:61" ht="18.399999999999999" hidden="1" customHeight="1" x14ac:dyDescent="0.15">
      <c r="A1087" s="2" t="s">
        <v>54</v>
      </c>
      <c r="B1087" s="87" t="s">
        <v>1057</v>
      </c>
      <c r="C1087" s="2">
        <v>2.21</v>
      </c>
      <c r="D1087" s="2" t="s">
        <v>2825</v>
      </c>
      <c r="E1087" s="27">
        <f t="shared" si="238"/>
        <v>63190</v>
      </c>
      <c r="F1087" s="28">
        <f t="shared" si="237"/>
        <v>139649.70000000001</v>
      </c>
      <c r="G1087" s="27">
        <f>일위대가목록!F240</f>
        <v>2908</v>
      </c>
      <c r="H1087" s="28">
        <f t="shared" si="239"/>
        <v>6426.6</v>
      </c>
      <c r="I1087" s="27">
        <f>일위대가목록!H240</f>
        <v>25714</v>
      </c>
      <c r="J1087" s="28">
        <f>TRUNC(I1087*C1087,1)</f>
        <v>56827.9</v>
      </c>
      <c r="K1087" s="27">
        <f>일위대가목록!J240</f>
        <v>34568</v>
      </c>
      <c r="L1087" s="28">
        <f>TRUNC(K1087*C1087,1)</f>
        <v>76395.199999999997</v>
      </c>
      <c r="M1087" s="86" t="s">
        <v>2856</v>
      </c>
      <c r="N1087" t="s">
        <v>2856</v>
      </c>
      <c r="P1087" t="s">
        <v>2734</v>
      </c>
      <c r="Q1087" t="s">
        <v>2856</v>
      </c>
      <c r="R1087" t="s">
        <v>170</v>
      </c>
      <c r="T1087" t="s">
        <v>1778</v>
      </c>
      <c r="BI1087" s="34" t="str">
        <f>HYPERLINK("#일위대가목록!A235","N1385-24 →")</f>
        <v>N1385-24 →</v>
      </c>
    </row>
    <row r="1088" spans="1:61" ht="18.399999999999999" hidden="1" customHeight="1" x14ac:dyDescent="0.15">
      <c r="A1088" s="2" t="s">
        <v>832</v>
      </c>
      <c r="B1088" s="87" t="s">
        <v>610</v>
      </c>
      <c r="C1088" s="2">
        <v>8.9499999999999993</v>
      </c>
      <c r="D1088" s="2" t="s">
        <v>1202</v>
      </c>
      <c r="E1088" s="27">
        <f t="shared" si="238"/>
        <v>45715</v>
      </c>
      <c r="F1088" s="28">
        <f t="shared" si="237"/>
        <v>409149.2</v>
      </c>
      <c r="G1088" s="27">
        <f>일위대가목록!F236</f>
        <v>11180</v>
      </c>
      <c r="H1088" s="28">
        <f t="shared" si="239"/>
        <v>100061</v>
      </c>
      <c r="I1088" s="27">
        <f>일위대가목록!H236</f>
        <v>34194</v>
      </c>
      <c r="J1088" s="28">
        <f>TRUNC(I1088*C1088,1)</f>
        <v>306036.3</v>
      </c>
      <c r="K1088" s="27">
        <f>일위대가목록!J236</f>
        <v>341</v>
      </c>
      <c r="L1088" s="28">
        <f>TRUNC(K1088*C1088,1)</f>
        <v>3051.9</v>
      </c>
      <c r="M1088" s="86" t="s">
        <v>2856</v>
      </c>
      <c r="N1088" t="s">
        <v>2856</v>
      </c>
      <c r="P1088" t="s">
        <v>2720</v>
      </c>
      <c r="Q1088" t="s">
        <v>2856</v>
      </c>
      <c r="R1088" t="s">
        <v>1998</v>
      </c>
      <c r="T1088" t="s">
        <v>1778</v>
      </c>
      <c r="BI1088" s="34" t="str">
        <f>HYPERLINK("#일위대가목록!A231","N1150 →")</f>
        <v>N1150 →</v>
      </c>
    </row>
    <row r="1089" spans="1:61" ht="18.399999999999999" hidden="1" customHeight="1" x14ac:dyDescent="0.15">
      <c r="A1089" s="2" t="s">
        <v>1996</v>
      </c>
      <c r="B1089" s="87" t="s">
        <v>1225</v>
      </c>
      <c r="C1089" s="2">
        <v>7.8E-2</v>
      </c>
      <c r="D1089" s="2" t="s">
        <v>978</v>
      </c>
      <c r="E1089" s="27">
        <f t="shared" si="238"/>
        <v>1039100</v>
      </c>
      <c r="F1089" s="28">
        <f t="shared" si="237"/>
        <v>81049.8</v>
      </c>
      <c r="G1089" s="27">
        <f>자재조서!E89</f>
        <v>1039100</v>
      </c>
      <c r="H1089" s="28">
        <f t="shared" si="239"/>
        <v>81049.8</v>
      </c>
      <c r="I1089" s="27">
        <v>0</v>
      </c>
      <c r="J1089" s="28"/>
      <c r="K1089" s="27">
        <v>0</v>
      </c>
      <c r="L1089" s="28"/>
      <c r="M1089" s="86" t="s">
        <v>1601</v>
      </c>
      <c r="N1089" t="s">
        <v>2004</v>
      </c>
      <c r="P1089" t="s">
        <v>248</v>
      </c>
      <c r="Q1089" t="s">
        <v>1839</v>
      </c>
      <c r="R1089" t="s">
        <v>2422</v>
      </c>
      <c r="W1089" t="s">
        <v>1601</v>
      </c>
      <c r="BI1089" s="34" t="str">
        <f>HYPERLINK("#자재조서!A86","MB0014-24 →")</f>
        <v>MB0014-24 →</v>
      </c>
    </row>
    <row r="1090" spans="1:61" ht="18.399999999999999" hidden="1" customHeight="1" x14ac:dyDescent="0.15">
      <c r="A1090" s="2" t="s">
        <v>2085</v>
      </c>
      <c r="B1090" s="87" t="s">
        <v>2731</v>
      </c>
      <c r="C1090" s="2">
        <v>7.5999999999999998E-2</v>
      </c>
      <c r="D1090" s="2" t="s">
        <v>978</v>
      </c>
      <c r="E1090" s="27">
        <f t="shared" si="238"/>
        <v>3414044</v>
      </c>
      <c r="F1090" s="28">
        <f t="shared" si="237"/>
        <v>259467.2</v>
      </c>
      <c r="G1090" s="27">
        <f>일위대가목록!F242</f>
        <v>10770</v>
      </c>
      <c r="H1090" s="28">
        <f t="shared" si="239"/>
        <v>818.5</v>
      </c>
      <c r="I1090" s="27">
        <f>일위대가목록!H242</f>
        <v>756255</v>
      </c>
      <c r="J1090" s="28">
        <f>TRUNC(I1090*C1090,1)</f>
        <v>57475.3</v>
      </c>
      <c r="K1090" s="27">
        <f>일위대가목록!J242</f>
        <v>2647019</v>
      </c>
      <c r="L1090" s="28">
        <f>TRUNC(K1090*C1090,1)</f>
        <v>201173.4</v>
      </c>
      <c r="M1090" s="86" t="s">
        <v>2856</v>
      </c>
      <c r="N1090" t="s">
        <v>2856</v>
      </c>
      <c r="P1090" t="s">
        <v>904</v>
      </c>
      <c r="Q1090" t="s">
        <v>2856</v>
      </c>
      <c r="R1090" t="s">
        <v>1458</v>
      </c>
      <c r="T1090" t="s">
        <v>1778</v>
      </c>
      <c r="BI1090" s="34" t="str">
        <f>HYPERLINK("#일위대가목록!A237","N0180-24 →")</f>
        <v>N0180-24 →</v>
      </c>
    </row>
    <row r="1091" spans="1:61" ht="18.399999999999999" hidden="1" customHeight="1" x14ac:dyDescent="0.15">
      <c r="A1091" s="2" t="s">
        <v>2073</v>
      </c>
      <c r="B1091" s="87" t="s">
        <v>2856</v>
      </c>
      <c r="C1091" s="2">
        <v>0.42</v>
      </c>
      <c r="D1091" s="2" t="s">
        <v>2825</v>
      </c>
      <c r="E1091" s="27">
        <f t="shared" si="238"/>
        <v>208934</v>
      </c>
      <c r="F1091" s="28">
        <f t="shared" si="237"/>
        <v>87752.200000000012</v>
      </c>
      <c r="G1091" s="27">
        <f>일위대가목록!F237</f>
        <v>137090</v>
      </c>
      <c r="H1091" s="28">
        <f t="shared" si="239"/>
        <v>57577.8</v>
      </c>
      <c r="I1091" s="27">
        <f>일위대가목록!H237</f>
        <v>71844</v>
      </c>
      <c r="J1091" s="28">
        <f>TRUNC(I1091*C1091,1)</f>
        <v>30174.400000000001</v>
      </c>
      <c r="K1091" s="27">
        <f>일위대가목록!J237</f>
        <v>0</v>
      </c>
      <c r="L1091" s="28">
        <f>TRUNC(K1091*C1091,1)</f>
        <v>0</v>
      </c>
      <c r="M1091" s="86" t="s">
        <v>2856</v>
      </c>
      <c r="N1091" t="s">
        <v>2856</v>
      </c>
      <c r="P1091" t="s">
        <v>1640</v>
      </c>
      <c r="Q1091" t="s">
        <v>2856</v>
      </c>
      <c r="R1091" t="s">
        <v>918</v>
      </c>
      <c r="T1091" t="s">
        <v>1778</v>
      </c>
      <c r="BI1091" s="34" t="str">
        <f>HYPERLINK("#일위대가목록!A232","HW0211 →")</f>
        <v>HW0211 →</v>
      </c>
    </row>
    <row r="1092" spans="1:61" ht="18.399999999999999" hidden="1" customHeight="1" x14ac:dyDescent="0.15">
      <c r="A1092" s="2" t="s">
        <v>2162</v>
      </c>
      <c r="B1092" s="87" t="s">
        <v>2444</v>
      </c>
      <c r="C1092" s="2">
        <v>15.29</v>
      </c>
      <c r="D1092" s="2" t="s">
        <v>1202</v>
      </c>
      <c r="E1092" s="27">
        <f t="shared" si="238"/>
        <v>37000</v>
      </c>
      <c r="F1092" s="28">
        <f t="shared" si="237"/>
        <v>565730</v>
      </c>
      <c r="G1092" s="27">
        <f>자재조서!E95</f>
        <v>37000</v>
      </c>
      <c r="H1092" s="28">
        <f t="shared" si="239"/>
        <v>565730</v>
      </c>
      <c r="I1092" s="27">
        <v>0</v>
      </c>
      <c r="J1092" s="28"/>
      <c r="K1092" s="27">
        <v>0</v>
      </c>
      <c r="L1092" s="28"/>
      <c r="M1092" s="86" t="s">
        <v>2856</v>
      </c>
      <c r="N1092" t="s">
        <v>2856</v>
      </c>
      <c r="P1092" t="s">
        <v>2340</v>
      </c>
      <c r="Q1092" t="s">
        <v>2856</v>
      </c>
      <c r="R1092" t="s">
        <v>1728</v>
      </c>
      <c r="BI1092" s="34" t="str">
        <f>HYPERLINK("#자재조서!A90","MP-2040 →")</f>
        <v>MP-2040 →</v>
      </c>
    </row>
    <row r="1093" spans="1:61" ht="18.399999999999999" hidden="1" customHeight="1" x14ac:dyDescent="0.15">
      <c r="A1093" s="2" t="s">
        <v>721</v>
      </c>
      <c r="B1093" s="87" t="s">
        <v>2083</v>
      </c>
      <c r="C1093" s="2">
        <v>7.09</v>
      </c>
      <c r="D1093" s="2" t="s">
        <v>1202</v>
      </c>
      <c r="E1093" s="27">
        <f t="shared" si="238"/>
        <v>118533</v>
      </c>
      <c r="F1093" s="28">
        <f t="shared" si="237"/>
        <v>840398.9</v>
      </c>
      <c r="G1093" s="27">
        <f>일위대가목록!F244</f>
        <v>0</v>
      </c>
      <c r="H1093" s="28">
        <f t="shared" si="239"/>
        <v>0</v>
      </c>
      <c r="I1093" s="27">
        <f>일위대가목록!H244</f>
        <v>117360</v>
      </c>
      <c r="J1093" s="28">
        <f>TRUNC(I1093*C1093,1)</f>
        <v>832082.4</v>
      </c>
      <c r="K1093" s="27">
        <f>일위대가목록!J244</f>
        <v>1173</v>
      </c>
      <c r="L1093" s="28">
        <f>TRUNC(K1093*C1093,1)</f>
        <v>8316.5</v>
      </c>
      <c r="M1093" s="86" t="s">
        <v>2856</v>
      </c>
      <c r="N1093" t="s">
        <v>2856</v>
      </c>
      <c r="P1093" t="s">
        <v>2850</v>
      </c>
      <c r="Q1093" t="s">
        <v>2856</v>
      </c>
      <c r="R1093" t="s">
        <v>1991</v>
      </c>
      <c r="T1093" t="s">
        <v>1778</v>
      </c>
      <c r="BI1093" s="34" t="str">
        <f>HYPERLINK("#일위대가목록!A239","N6055 →")</f>
        <v>N6055 →</v>
      </c>
    </row>
    <row r="1094" spans="1:61" ht="18.399999999999999" hidden="1" customHeight="1" x14ac:dyDescent="0.15">
      <c r="A1094" s="2" t="s">
        <v>721</v>
      </c>
      <c r="B1094" s="87" t="s">
        <v>971</v>
      </c>
      <c r="C1094" s="2">
        <v>6.81</v>
      </c>
      <c r="D1094" s="2" t="s">
        <v>1202</v>
      </c>
      <c r="E1094" s="27">
        <f t="shared" si="238"/>
        <v>98235</v>
      </c>
      <c r="F1094" s="28">
        <f t="shared" si="237"/>
        <v>668980.30000000005</v>
      </c>
      <c r="G1094" s="27">
        <f>일위대가목록!F245</f>
        <v>0</v>
      </c>
      <c r="H1094" s="28">
        <f t="shared" si="239"/>
        <v>0</v>
      </c>
      <c r="I1094" s="27">
        <f>일위대가목록!H245</f>
        <v>97263</v>
      </c>
      <c r="J1094" s="28">
        <f>TRUNC(I1094*C1094,1)</f>
        <v>662361</v>
      </c>
      <c r="K1094" s="27">
        <f>일위대가목록!J245</f>
        <v>972</v>
      </c>
      <c r="L1094" s="28">
        <f>TRUNC(K1094*C1094,1)</f>
        <v>6619.3</v>
      </c>
      <c r="M1094" s="86" t="s">
        <v>2856</v>
      </c>
      <c r="N1094" t="s">
        <v>2856</v>
      </c>
      <c r="P1094" t="s">
        <v>1068</v>
      </c>
      <c r="Q1094" t="s">
        <v>2856</v>
      </c>
      <c r="R1094" t="s">
        <v>669</v>
      </c>
      <c r="T1094" t="s">
        <v>1778</v>
      </c>
      <c r="BI1094" s="34" t="str">
        <f>HYPERLINK("#일위대가목록!A240","N6050 →")</f>
        <v>N6050 →</v>
      </c>
    </row>
    <row r="1095" spans="1:61" ht="18.399999999999999" hidden="1" customHeight="1" x14ac:dyDescent="0.15">
      <c r="A1095" s="1"/>
      <c r="B1095" s="87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87"/>
    </row>
    <row r="1096" spans="1:61" ht="18.399999999999999" hidden="1" customHeight="1" x14ac:dyDescent="0.15">
      <c r="A1096" s="2" t="s">
        <v>934</v>
      </c>
      <c r="B1096" s="87" t="s">
        <v>897</v>
      </c>
      <c r="C1096" s="2">
        <v>1</v>
      </c>
      <c r="D1096" s="2" t="s">
        <v>1796</v>
      </c>
      <c r="E1096" s="184"/>
      <c r="F1096" s="29">
        <f t="shared" ref="F1096:F1110" si="240">H1096+J1096+L1096</f>
        <v>6029474</v>
      </c>
      <c r="G1096" s="184"/>
      <c r="H1096" s="29">
        <f>TRUNC(H1097+H1098+H1099+H1100+H1101+H1103+H1104+H1106+H1107+H1108+H1109+H1110,0)</f>
        <v>1529286</v>
      </c>
      <c r="I1096" s="184"/>
      <c r="J1096" s="29">
        <f>TRUNC(J1097+J1098+J1099+J1100+J1101+J1103+J1104+J1106+J1107+J1108+J1109+J1110,0)</f>
        <v>3957592</v>
      </c>
      <c r="K1096" s="184"/>
      <c r="L1096" s="29">
        <f>TRUNC(L1097+L1098+L1099+L1100+L1101+L1103+L1104+L1106+L1107+L1108+L1109+L1110,0)</f>
        <v>542596</v>
      </c>
      <c r="M1096" s="86" t="s">
        <v>2856</v>
      </c>
      <c r="N1096" t="s">
        <v>2856</v>
      </c>
      <c r="O1096" t="s">
        <v>1504</v>
      </c>
    </row>
    <row r="1097" spans="1:61" ht="18.399999999999999" hidden="1" customHeight="1" x14ac:dyDescent="0.15">
      <c r="A1097" s="2" t="s">
        <v>1163</v>
      </c>
      <c r="B1097" s="87" t="s">
        <v>576</v>
      </c>
      <c r="C1097" s="2">
        <v>7.12</v>
      </c>
      <c r="D1097" s="2" t="s">
        <v>2825</v>
      </c>
      <c r="E1097" s="27">
        <f t="shared" ref="E1097:E1110" si="241">G1097+I1097+K1097</f>
        <v>5009</v>
      </c>
      <c r="F1097" s="28">
        <f t="shared" si="240"/>
        <v>35664</v>
      </c>
      <c r="G1097" s="27">
        <f>일위대가목록!F4</f>
        <v>300</v>
      </c>
      <c r="H1097" s="28">
        <f t="shared" ref="H1097:H1110" si="242">TRUNC(G1097*C1097,1)</f>
        <v>2136</v>
      </c>
      <c r="I1097" s="27">
        <f>일위대가목록!H4</f>
        <v>4328</v>
      </c>
      <c r="J1097" s="28">
        <f>TRUNC(I1097*C1097,1)</f>
        <v>30815.3</v>
      </c>
      <c r="K1097" s="27">
        <f>일위대가목록!J4</f>
        <v>381</v>
      </c>
      <c r="L1097" s="28">
        <f>TRUNC(K1097*C1097,1)</f>
        <v>2712.7</v>
      </c>
      <c r="M1097" s="86" t="s">
        <v>2856</v>
      </c>
      <c r="N1097" t="s">
        <v>2856</v>
      </c>
      <c r="P1097" t="s">
        <v>334</v>
      </c>
      <c r="Q1097" t="s">
        <v>2856</v>
      </c>
      <c r="R1097" t="s">
        <v>69</v>
      </c>
      <c r="T1097" t="s">
        <v>2405</v>
      </c>
      <c r="BI1097" s="34" t="str">
        <f>HYPERLINK("#일위대가목록!A4","N1070 →")</f>
        <v>N1070 →</v>
      </c>
    </row>
    <row r="1098" spans="1:61" ht="18.399999999999999" hidden="1" customHeight="1" x14ac:dyDescent="0.15">
      <c r="A1098" s="2" t="s">
        <v>1112</v>
      </c>
      <c r="B1098" s="87" t="s">
        <v>2429</v>
      </c>
      <c r="C1098" s="2">
        <v>5.53</v>
      </c>
      <c r="D1098" s="2" t="s">
        <v>2825</v>
      </c>
      <c r="E1098" s="27">
        <f t="shared" si="241"/>
        <v>1588</v>
      </c>
      <c r="F1098" s="28">
        <f t="shared" si="240"/>
        <v>8781.5</v>
      </c>
      <c r="G1098" s="27">
        <f>일위대가목록!F5</f>
        <v>285</v>
      </c>
      <c r="H1098" s="28">
        <f t="shared" si="242"/>
        <v>1576</v>
      </c>
      <c r="I1098" s="27">
        <f>일위대가목록!H5</f>
        <v>940</v>
      </c>
      <c r="J1098" s="28">
        <f>TRUNC(I1098*C1098,1)</f>
        <v>5198.2</v>
      </c>
      <c r="K1098" s="27">
        <f>일위대가목록!J5</f>
        <v>363</v>
      </c>
      <c r="L1098" s="28">
        <f>TRUNC(K1098*C1098,1)</f>
        <v>2007.3</v>
      </c>
      <c r="M1098" s="86" t="s">
        <v>2856</v>
      </c>
      <c r="N1098" t="s">
        <v>2856</v>
      </c>
      <c r="P1098" t="s">
        <v>2471</v>
      </c>
      <c r="Q1098" t="s">
        <v>2856</v>
      </c>
      <c r="R1098" t="s">
        <v>1705</v>
      </c>
      <c r="T1098" t="s">
        <v>2405</v>
      </c>
      <c r="BI1098" s="34" t="str">
        <f>HYPERLINK("#일위대가목록!A5","N0860 →")</f>
        <v>N0860 →</v>
      </c>
    </row>
    <row r="1099" spans="1:61" ht="18.399999999999999" hidden="1" customHeight="1" x14ac:dyDescent="0.15">
      <c r="A1099" s="2" t="s">
        <v>2451</v>
      </c>
      <c r="B1099" s="87" t="s">
        <v>565</v>
      </c>
      <c r="C1099" s="2">
        <v>1.59</v>
      </c>
      <c r="D1099" s="2" t="s">
        <v>2825</v>
      </c>
      <c r="E1099" s="27">
        <f t="shared" si="241"/>
        <v>7144</v>
      </c>
      <c r="F1099" s="28">
        <f t="shared" si="240"/>
        <v>11358.9</v>
      </c>
      <c r="G1099" s="27">
        <f>일위대가목록!F6</f>
        <v>445</v>
      </c>
      <c r="H1099" s="28">
        <f t="shared" si="242"/>
        <v>707.5</v>
      </c>
      <c r="I1099" s="27">
        <f>일위대가목록!H6</f>
        <v>6329</v>
      </c>
      <c r="J1099" s="28">
        <f>TRUNC(I1099*C1099,1)</f>
        <v>10063.1</v>
      </c>
      <c r="K1099" s="27">
        <f>일위대가목록!J6</f>
        <v>370</v>
      </c>
      <c r="L1099" s="28">
        <f>TRUNC(K1099*C1099,1)</f>
        <v>588.29999999999995</v>
      </c>
      <c r="M1099" s="86" t="s">
        <v>2856</v>
      </c>
      <c r="N1099" t="s">
        <v>2856</v>
      </c>
      <c r="P1099" t="s">
        <v>1741</v>
      </c>
      <c r="Q1099" t="s">
        <v>2856</v>
      </c>
      <c r="R1099" t="s">
        <v>1429</v>
      </c>
      <c r="T1099" t="s">
        <v>2405</v>
      </c>
      <c r="BI1099" s="34" t="str">
        <f>HYPERLINK("#일위대가목록!A6","N1010 →")</f>
        <v>N1010 →</v>
      </c>
    </row>
    <row r="1100" spans="1:61" ht="18.399999999999999" hidden="1" customHeight="1" x14ac:dyDescent="0.15">
      <c r="A1100" s="2" t="s">
        <v>296</v>
      </c>
      <c r="B1100" s="87" t="s">
        <v>626</v>
      </c>
      <c r="C1100" s="2">
        <v>1.92</v>
      </c>
      <c r="D1100" s="2" t="s">
        <v>2825</v>
      </c>
      <c r="E1100" s="27">
        <f t="shared" si="241"/>
        <v>24000</v>
      </c>
      <c r="F1100" s="28">
        <f t="shared" si="240"/>
        <v>46080</v>
      </c>
      <c r="G1100" s="27">
        <f>자재조서!E85</f>
        <v>24000</v>
      </c>
      <c r="H1100" s="28">
        <f t="shared" si="242"/>
        <v>46080</v>
      </c>
      <c r="I1100" s="27">
        <v>0</v>
      </c>
      <c r="J1100" s="28"/>
      <c r="K1100" s="27">
        <v>0</v>
      </c>
      <c r="L1100" s="28"/>
      <c r="M1100" s="86" t="s">
        <v>2856</v>
      </c>
      <c r="N1100" t="s">
        <v>2856</v>
      </c>
      <c r="P1100" t="s">
        <v>1036</v>
      </c>
      <c r="Q1100" t="s">
        <v>2856</v>
      </c>
      <c r="R1100" t="s">
        <v>609</v>
      </c>
      <c r="BI1100" s="34" t="str">
        <f>HYPERLINK("#자재조서!A82","MB-4500 →")</f>
        <v>MB-4500 →</v>
      </c>
    </row>
    <row r="1101" spans="1:61" ht="18.399999999999999" hidden="1" customHeight="1" x14ac:dyDescent="0.15">
      <c r="A1101" s="2" t="s">
        <v>467</v>
      </c>
      <c r="B1101" s="87" t="s">
        <v>2010</v>
      </c>
      <c r="C1101" s="2">
        <v>1.85</v>
      </c>
      <c r="D1101" s="2" t="s">
        <v>2825</v>
      </c>
      <c r="E1101" s="27">
        <f t="shared" si="241"/>
        <v>14311</v>
      </c>
      <c r="F1101" s="28">
        <f t="shared" si="240"/>
        <v>26475.300000000003</v>
      </c>
      <c r="G1101" s="27">
        <f>일위대가목록!F239</f>
        <v>1554</v>
      </c>
      <c r="H1101" s="28">
        <f t="shared" si="242"/>
        <v>2874.9</v>
      </c>
      <c r="I1101" s="27">
        <f>일위대가목록!H239</f>
        <v>11235</v>
      </c>
      <c r="J1101" s="28">
        <f>TRUNC(I1101*C1101,1)</f>
        <v>20784.7</v>
      </c>
      <c r="K1101" s="27">
        <f>일위대가목록!J239</f>
        <v>1522</v>
      </c>
      <c r="L1101" s="28">
        <f>TRUNC(K1101*C1101,1)</f>
        <v>2815.7</v>
      </c>
      <c r="M1101" s="86" t="s">
        <v>2856</v>
      </c>
      <c r="N1101" t="s">
        <v>2856</v>
      </c>
      <c r="P1101" t="s">
        <v>286</v>
      </c>
      <c r="Q1101" t="s">
        <v>2856</v>
      </c>
      <c r="R1101" t="s">
        <v>782</v>
      </c>
      <c r="T1101" t="s">
        <v>1778</v>
      </c>
      <c r="BI1101" s="34" t="str">
        <f>HYPERLINK("#일위대가목록!A234","N0303 →")</f>
        <v>N0303 →</v>
      </c>
    </row>
    <row r="1102" spans="1:61" ht="18.399999999999999" hidden="1" customHeight="1" x14ac:dyDescent="0.15">
      <c r="A1102" s="2" t="s">
        <v>1632</v>
      </c>
      <c r="B1102" s="87" t="s">
        <v>2279</v>
      </c>
      <c r="C1102" s="2">
        <v>4.08</v>
      </c>
      <c r="D1102" s="2" t="s">
        <v>2825</v>
      </c>
      <c r="E1102" s="27">
        <f t="shared" si="241"/>
        <v>89830</v>
      </c>
      <c r="F1102" s="28">
        <f t="shared" si="240"/>
        <v>366506.4</v>
      </c>
      <c r="G1102" s="27">
        <f>자재조서!E73</f>
        <v>89830</v>
      </c>
      <c r="H1102" s="28">
        <f t="shared" si="242"/>
        <v>366506.4</v>
      </c>
      <c r="I1102" s="27">
        <v>0</v>
      </c>
      <c r="J1102" s="28"/>
      <c r="K1102" s="27">
        <v>0</v>
      </c>
      <c r="L1102" s="28"/>
      <c r="M1102" s="86" t="s">
        <v>1601</v>
      </c>
      <c r="N1102" t="s">
        <v>2856</v>
      </c>
      <c r="P1102" t="s">
        <v>2650</v>
      </c>
      <c r="Q1102" t="s">
        <v>1839</v>
      </c>
      <c r="R1102" t="s">
        <v>2547</v>
      </c>
      <c r="W1102" t="s">
        <v>1601</v>
      </c>
      <c r="BI1102" s="34" t="str">
        <f>HYPERLINK("#자재조서!A70","MB-190-24 →")</f>
        <v>MB-190-24 →</v>
      </c>
    </row>
    <row r="1103" spans="1:61" ht="18.399999999999999" hidden="1" customHeight="1" x14ac:dyDescent="0.15">
      <c r="A1103" s="2" t="s">
        <v>54</v>
      </c>
      <c r="B1103" s="87" t="s">
        <v>1057</v>
      </c>
      <c r="C1103" s="2">
        <v>4</v>
      </c>
      <c r="D1103" s="2" t="s">
        <v>2825</v>
      </c>
      <c r="E1103" s="27">
        <f t="shared" si="241"/>
        <v>63190</v>
      </c>
      <c r="F1103" s="28">
        <f t="shared" si="240"/>
        <v>252760</v>
      </c>
      <c r="G1103" s="27">
        <f>일위대가목록!F240</f>
        <v>2908</v>
      </c>
      <c r="H1103" s="28">
        <f t="shared" si="242"/>
        <v>11632</v>
      </c>
      <c r="I1103" s="27">
        <f>일위대가목록!H240</f>
        <v>25714</v>
      </c>
      <c r="J1103" s="28">
        <f>TRUNC(I1103*C1103,1)</f>
        <v>102856</v>
      </c>
      <c r="K1103" s="27">
        <f>일위대가목록!J240</f>
        <v>34568</v>
      </c>
      <c r="L1103" s="28">
        <f>TRUNC(K1103*C1103,1)</f>
        <v>138272</v>
      </c>
      <c r="M1103" s="86" t="s">
        <v>2856</v>
      </c>
      <c r="N1103" t="s">
        <v>2856</v>
      </c>
      <c r="P1103" t="s">
        <v>2734</v>
      </c>
      <c r="Q1103" t="s">
        <v>2856</v>
      </c>
      <c r="R1103" t="s">
        <v>170</v>
      </c>
      <c r="T1103" t="s">
        <v>1778</v>
      </c>
      <c r="BI1103" s="34" t="str">
        <f>HYPERLINK("#일위대가목록!A235","N1385-24 →")</f>
        <v>N1385-24 →</v>
      </c>
    </row>
    <row r="1104" spans="1:61" ht="18.399999999999999" hidden="1" customHeight="1" x14ac:dyDescent="0.15">
      <c r="A1104" s="2" t="s">
        <v>832</v>
      </c>
      <c r="B1104" s="87" t="s">
        <v>610</v>
      </c>
      <c r="C1104" s="2">
        <v>17.66</v>
      </c>
      <c r="D1104" s="2" t="s">
        <v>1202</v>
      </c>
      <c r="E1104" s="27">
        <f t="shared" si="241"/>
        <v>45715</v>
      </c>
      <c r="F1104" s="28">
        <f t="shared" si="240"/>
        <v>807326.8</v>
      </c>
      <c r="G1104" s="27">
        <f>일위대가목록!F236</f>
        <v>11180</v>
      </c>
      <c r="H1104" s="28">
        <f t="shared" si="242"/>
        <v>197438.8</v>
      </c>
      <c r="I1104" s="27">
        <f>일위대가목록!H236</f>
        <v>34194</v>
      </c>
      <c r="J1104" s="28">
        <f>TRUNC(I1104*C1104,1)</f>
        <v>603866</v>
      </c>
      <c r="K1104" s="27">
        <f>일위대가목록!J236</f>
        <v>341</v>
      </c>
      <c r="L1104" s="28">
        <f>TRUNC(K1104*C1104,1)</f>
        <v>6022</v>
      </c>
      <c r="M1104" s="86" t="s">
        <v>2856</v>
      </c>
      <c r="N1104" t="s">
        <v>2856</v>
      </c>
      <c r="P1104" t="s">
        <v>2720</v>
      </c>
      <c r="Q1104" t="s">
        <v>2856</v>
      </c>
      <c r="R1104" t="s">
        <v>1998</v>
      </c>
      <c r="T1104" t="s">
        <v>1778</v>
      </c>
      <c r="BI1104" s="34" t="str">
        <f>HYPERLINK("#일위대가목록!A231","N1150 →")</f>
        <v>N1150 →</v>
      </c>
    </row>
    <row r="1105" spans="1:61" ht="18.399999999999999" hidden="1" customHeight="1" x14ac:dyDescent="0.15">
      <c r="A1105" s="2" t="s">
        <v>1996</v>
      </c>
      <c r="B1105" s="87" t="s">
        <v>1225</v>
      </c>
      <c r="C1105" s="2">
        <v>0.14099999999999999</v>
      </c>
      <c r="D1105" s="2" t="s">
        <v>978</v>
      </c>
      <c r="E1105" s="27">
        <f t="shared" si="241"/>
        <v>1039100</v>
      </c>
      <c r="F1105" s="28">
        <f t="shared" si="240"/>
        <v>146513.1</v>
      </c>
      <c r="G1105" s="27">
        <f>자재조서!E89</f>
        <v>1039100</v>
      </c>
      <c r="H1105" s="28">
        <f t="shared" si="242"/>
        <v>146513.1</v>
      </c>
      <c r="I1105" s="27">
        <v>0</v>
      </c>
      <c r="J1105" s="28"/>
      <c r="K1105" s="27">
        <v>0</v>
      </c>
      <c r="L1105" s="28"/>
      <c r="M1105" s="86" t="s">
        <v>1601</v>
      </c>
      <c r="N1105" t="s">
        <v>2004</v>
      </c>
      <c r="P1105" t="s">
        <v>248</v>
      </c>
      <c r="Q1105" t="s">
        <v>1839</v>
      </c>
      <c r="R1105" t="s">
        <v>2422</v>
      </c>
      <c r="W1105" t="s">
        <v>1601</v>
      </c>
      <c r="BI1105" s="34" t="str">
        <f>HYPERLINK("#자재조서!A86","MB0014-24 →")</f>
        <v>MB0014-24 →</v>
      </c>
    </row>
    <row r="1106" spans="1:61" ht="18.399999999999999" hidden="1" customHeight="1" x14ac:dyDescent="0.15">
      <c r="A1106" s="2" t="s">
        <v>2085</v>
      </c>
      <c r="B1106" s="87" t="s">
        <v>2731</v>
      </c>
      <c r="C1106" s="2">
        <v>0.13600000000000001</v>
      </c>
      <c r="D1106" s="2" t="s">
        <v>978</v>
      </c>
      <c r="E1106" s="27">
        <f t="shared" si="241"/>
        <v>3414044</v>
      </c>
      <c r="F1106" s="28">
        <f t="shared" si="240"/>
        <v>464309.8</v>
      </c>
      <c r="G1106" s="27">
        <f>일위대가목록!F242</f>
        <v>10770</v>
      </c>
      <c r="H1106" s="28">
        <f t="shared" si="242"/>
        <v>1464.7</v>
      </c>
      <c r="I1106" s="27">
        <f>일위대가목록!H242</f>
        <v>756255</v>
      </c>
      <c r="J1106" s="28">
        <f>TRUNC(I1106*C1106,1)</f>
        <v>102850.6</v>
      </c>
      <c r="K1106" s="27">
        <f>일위대가목록!J242</f>
        <v>2647019</v>
      </c>
      <c r="L1106" s="28">
        <f>TRUNC(K1106*C1106,1)</f>
        <v>359994.5</v>
      </c>
      <c r="M1106" s="86" t="s">
        <v>2856</v>
      </c>
      <c r="N1106" t="s">
        <v>2856</v>
      </c>
      <c r="P1106" t="s">
        <v>904</v>
      </c>
      <c r="Q1106" t="s">
        <v>2856</v>
      </c>
      <c r="R1106" t="s">
        <v>1458</v>
      </c>
      <c r="T1106" t="s">
        <v>1778</v>
      </c>
      <c r="BI1106" s="34" t="str">
        <f>HYPERLINK("#일위대가목록!A237","N0180-24 →")</f>
        <v>N0180-24 →</v>
      </c>
    </row>
    <row r="1107" spans="1:61" ht="18.399999999999999" hidden="1" customHeight="1" x14ac:dyDescent="0.15">
      <c r="A1107" s="2" t="s">
        <v>2073</v>
      </c>
      <c r="B1107" s="87" t="s">
        <v>2856</v>
      </c>
      <c r="C1107" s="2">
        <v>0.85</v>
      </c>
      <c r="D1107" s="2" t="s">
        <v>2825</v>
      </c>
      <c r="E1107" s="27">
        <f t="shared" si="241"/>
        <v>208934</v>
      </c>
      <c r="F1107" s="28">
        <f t="shared" si="240"/>
        <v>177593.9</v>
      </c>
      <c r="G1107" s="27">
        <f>일위대가목록!F237</f>
        <v>137090</v>
      </c>
      <c r="H1107" s="28">
        <f t="shared" si="242"/>
        <v>116526.5</v>
      </c>
      <c r="I1107" s="27">
        <f>일위대가목록!H237</f>
        <v>71844</v>
      </c>
      <c r="J1107" s="28">
        <f>TRUNC(I1107*C1107,1)</f>
        <v>61067.4</v>
      </c>
      <c r="K1107" s="27">
        <f>일위대가목록!J237</f>
        <v>0</v>
      </c>
      <c r="L1107" s="28">
        <f>TRUNC(K1107*C1107,1)</f>
        <v>0</v>
      </c>
      <c r="M1107" s="86" t="s">
        <v>2856</v>
      </c>
      <c r="N1107" t="s">
        <v>2856</v>
      </c>
      <c r="P1107" t="s">
        <v>1640</v>
      </c>
      <c r="Q1107" t="s">
        <v>2856</v>
      </c>
      <c r="R1107" t="s">
        <v>918</v>
      </c>
      <c r="T1107" t="s">
        <v>1778</v>
      </c>
      <c r="BI1107" s="34" t="str">
        <f>HYPERLINK("#일위대가목록!A232","HW0211 →")</f>
        <v>HW0211 →</v>
      </c>
    </row>
    <row r="1108" spans="1:61" ht="18.399999999999999" hidden="1" customHeight="1" x14ac:dyDescent="0.15">
      <c r="A1108" s="2" t="s">
        <v>2162</v>
      </c>
      <c r="B1108" s="87" t="s">
        <v>2444</v>
      </c>
      <c r="C1108" s="2">
        <v>31.05</v>
      </c>
      <c r="D1108" s="2" t="s">
        <v>1202</v>
      </c>
      <c r="E1108" s="27">
        <f t="shared" si="241"/>
        <v>37000</v>
      </c>
      <c r="F1108" s="28">
        <f t="shared" si="240"/>
        <v>1148850</v>
      </c>
      <c r="G1108" s="27">
        <f>자재조서!E95</f>
        <v>37000</v>
      </c>
      <c r="H1108" s="28">
        <f t="shared" si="242"/>
        <v>1148850</v>
      </c>
      <c r="I1108" s="27">
        <v>0</v>
      </c>
      <c r="J1108" s="28"/>
      <c r="K1108" s="27">
        <v>0</v>
      </c>
      <c r="L1108" s="28"/>
      <c r="M1108" s="86" t="s">
        <v>2856</v>
      </c>
      <c r="N1108" t="s">
        <v>2856</v>
      </c>
      <c r="P1108" t="s">
        <v>2340</v>
      </c>
      <c r="Q1108" t="s">
        <v>2856</v>
      </c>
      <c r="R1108" t="s">
        <v>1728</v>
      </c>
      <c r="BI1108" s="34" t="str">
        <f>HYPERLINK("#자재조서!A90","MP-2040 →")</f>
        <v>MP-2040 →</v>
      </c>
    </row>
    <row r="1109" spans="1:61" ht="18.399999999999999" hidden="1" customHeight="1" x14ac:dyDescent="0.15">
      <c r="A1109" s="2" t="s">
        <v>721</v>
      </c>
      <c r="B1109" s="87" t="s">
        <v>2083</v>
      </c>
      <c r="C1109" s="2">
        <v>13.7</v>
      </c>
      <c r="D1109" s="2" t="s">
        <v>1202</v>
      </c>
      <c r="E1109" s="27">
        <f t="shared" si="241"/>
        <v>118533</v>
      </c>
      <c r="F1109" s="28">
        <f t="shared" si="240"/>
        <v>1623902.1</v>
      </c>
      <c r="G1109" s="27">
        <f>일위대가목록!F244</f>
        <v>0</v>
      </c>
      <c r="H1109" s="28">
        <f t="shared" si="242"/>
        <v>0</v>
      </c>
      <c r="I1109" s="27">
        <f>일위대가목록!H244</f>
        <v>117360</v>
      </c>
      <c r="J1109" s="28">
        <f>TRUNC(I1109*C1109,1)</f>
        <v>1607832</v>
      </c>
      <c r="K1109" s="27">
        <f>일위대가목록!J244</f>
        <v>1173</v>
      </c>
      <c r="L1109" s="28">
        <f>TRUNC(K1109*C1109,1)</f>
        <v>16070.1</v>
      </c>
      <c r="M1109" s="86" t="s">
        <v>2856</v>
      </c>
      <c r="N1109" t="s">
        <v>2856</v>
      </c>
      <c r="P1109" t="s">
        <v>2850</v>
      </c>
      <c r="Q1109" t="s">
        <v>2856</v>
      </c>
      <c r="R1109" t="s">
        <v>1991</v>
      </c>
      <c r="T1109" t="s">
        <v>1778</v>
      </c>
      <c r="BI1109" s="34" t="str">
        <f>HYPERLINK("#일위대가목록!A239","N6055 →")</f>
        <v>N6055 →</v>
      </c>
    </row>
    <row r="1110" spans="1:61" ht="18.399999999999999" hidden="1" customHeight="1" x14ac:dyDescent="0.15">
      <c r="A1110" s="2" t="s">
        <v>721</v>
      </c>
      <c r="B1110" s="87" t="s">
        <v>971</v>
      </c>
      <c r="C1110" s="2">
        <v>14.52</v>
      </c>
      <c r="D1110" s="2" t="s">
        <v>1202</v>
      </c>
      <c r="E1110" s="27">
        <f t="shared" si="241"/>
        <v>98235</v>
      </c>
      <c r="F1110" s="28">
        <f t="shared" si="240"/>
        <v>1426372.0999999999</v>
      </c>
      <c r="G1110" s="27">
        <f>일위대가목록!F245</f>
        <v>0</v>
      </c>
      <c r="H1110" s="28">
        <f t="shared" si="242"/>
        <v>0</v>
      </c>
      <c r="I1110" s="27">
        <f>일위대가목록!H245</f>
        <v>97263</v>
      </c>
      <c r="J1110" s="28">
        <f>TRUNC(I1110*C1110,1)</f>
        <v>1412258.7</v>
      </c>
      <c r="K1110" s="27">
        <f>일위대가목록!J245</f>
        <v>972</v>
      </c>
      <c r="L1110" s="28">
        <f>TRUNC(K1110*C1110,1)</f>
        <v>14113.4</v>
      </c>
      <c r="M1110" s="86" t="s">
        <v>2856</v>
      </c>
      <c r="N1110" t="s">
        <v>2856</v>
      </c>
      <c r="P1110" t="s">
        <v>1068</v>
      </c>
      <c r="Q1110" t="s">
        <v>2856</v>
      </c>
      <c r="R1110" t="s">
        <v>669</v>
      </c>
      <c r="T1110" t="s">
        <v>1778</v>
      </c>
      <c r="BI1110" s="34" t="str">
        <f>HYPERLINK("#일위대가목록!A240","N6050 →")</f>
        <v>N6050 →</v>
      </c>
    </row>
    <row r="1111" spans="1:61" ht="18.399999999999999" hidden="1" customHeight="1" x14ac:dyDescent="0.15">
      <c r="A1111" s="1"/>
      <c r="B1111" s="87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87"/>
    </row>
    <row r="1112" spans="1:61" ht="18.399999999999999" hidden="1" customHeight="1" x14ac:dyDescent="0.15">
      <c r="A1112" s="2" t="s">
        <v>2357</v>
      </c>
      <c r="B1112" s="87" t="s">
        <v>171</v>
      </c>
      <c r="C1112" s="2">
        <v>1</v>
      </c>
      <c r="D1112" s="2" t="s">
        <v>760</v>
      </c>
      <c r="E1112" s="184"/>
      <c r="F1112" s="29">
        <f>H1112+J1112+L1112</f>
        <v>395928</v>
      </c>
      <c r="G1112" s="184"/>
      <c r="H1112" s="29">
        <f>TRUNC(H1113+H1114+H1115+H1116,0)</f>
        <v>280202</v>
      </c>
      <c r="I1112" s="184"/>
      <c r="J1112" s="29">
        <f>TRUNC(J1113+J1114+J1115+J1116,0)</f>
        <v>111174</v>
      </c>
      <c r="K1112" s="184"/>
      <c r="L1112" s="29">
        <f>TRUNC(L1113+L1114+L1115+L1116,0)</f>
        <v>4552</v>
      </c>
      <c r="M1112" s="86" t="s">
        <v>2856</v>
      </c>
      <c r="N1112" t="s">
        <v>2856</v>
      </c>
      <c r="O1112" t="s">
        <v>843</v>
      </c>
    </row>
    <row r="1113" spans="1:61" ht="18.399999999999999" hidden="1" customHeight="1" x14ac:dyDescent="0.15">
      <c r="A1113" s="2" t="s">
        <v>977</v>
      </c>
      <c r="B1113" s="87" t="s">
        <v>2651</v>
      </c>
      <c r="C1113" s="2">
        <v>0.126</v>
      </c>
      <c r="D1113" s="2" t="s">
        <v>2825</v>
      </c>
      <c r="E1113" s="27">
        <f>G1113+I1113+K1113</f>
        <v>2209000</v>
      </c>
      <c r="F1113" s="28">
        <f>H1113+J1113+L1113</f>
        <v>278334</v>
      </c>
      <c r="G1113" s="27">
        <f>자재조서!E106</f>
        <v>2209000</v>
      </c>
      <c r="H1113" s="28">
        <f>TRUNC(G1113*C1113,1)</f>
        <v>278334</v>
      </c>
      <c r="I1113" s="27">
        <v>0</v>
      </c>
      <c r="J1113" s="28"/>
      <c r="K1113" s="27">
        <v>0</v>
      </c>
      <c r="L1113" s="28"/>
      <c r="M1113" s="86" t="s">
        <v>2856</v>
      </c>
      <c r="N1113" t="s">
        <v>2856</v>
      </c>
      <c r="P1113" t="s">
        <v>334</v>
      </c>
      <c r="Q1113" t="s">
        <v>2856</v>
      </c>
      <c r="R1113" t="s">
        <v>687</v>
      </c>
      <c r="BI1113" s="34" t="str">
        <f>HYPERLINK("#자재조서!A101","MS-057 →")</f>
        <v>MS-057 →</v>
      </c>
    </row>
    <row r="1114" spans="1:61" ht="18.399999999999999" hidden="1" customHeight="1" x14ac:dyDescent="0.15">
      <c r="A1114" s="2" t="s">
        <v>689</v>
      </c>
      <c r="B1114" s="87" t="s">
        <v>196</v>
      </c>
      <c r="C1114" s="2">
        <v>0.12</v>
      </c>
      <c r="D1114" s="2" t="s">
        <v>2825</v>
      </c>
      <c r="E1114" s="27">
        <f>G1114+I1114+K1114</f>
        <v>915612</v>
      </c>
      <c r="F1114" s="28">
        <f>H1114+J1114+L1114</f>
        <v>109873.4</v>
      </c>
      <c r="G1114" s="27">
        <f>일위대가목록!F246</f>
        <v>0</v>
      </c>
      <c r="H1114" s="28">
        <f>TRUNC(G1114*C1114,1)</f>
        <v>0</v>
      </c>
      <c r="I1114" s="27">
        <f>일위대가목록!H246</f>
        <v>915612</v>
      </c>
      <c r="J1114" s="28">
        <f>TRUNC(I1114*C1114,1)</f>
        <v>109873.4</v>
      </c>
      <c r="K1114" s="27">
        <f>일위대가목록!J246</f>
        <v>0</v>
      </c>
      <c r="L1114" s="28">
        <f>TRUNC(K1114*C1114,1)</f>
        <v>0</v>
      </c>
      <c r="M1114" s="86" t="s">
        <v>2856</v>
      </c>
      <c r="N1114" t="s">
        <v>2856</v>
      </c>
      <c r="P1114" t="s">
        <v>2471</v>
      </c>
      <c r="Q1114" t="s">
        <v>2856</v>
      </c>
      <c r="R1114" t="s">
        <v>630</v>
      </c>
      <c r="T1114" t="s">
        <v>1778</v>
      </c>
      <c r="BI1114" s="34" t="str">
        <f>HYPERLINK("#일위대가목록!A241","N0081 →")</f>
        <v>N0081 →</v>
      </c>
    </row>
    <row r="1115" spans="1:61" ht="18.399999999999999" hidden="1" customHeight="1" x14ac:dyDescent="0.15">
      <c r="A1115" s="2" t="s">
        <v>1996</v>
      </c>
      <c r="B1115" s="87" t="s">
        <v>1225</v>
      </c>
      <c r="C1115" s="2">
        <v>1.7799999999999999E-3</v>
      </c>
      <c r="D1115" s="2" t="s">
        <v>978</v>
      </c>
      <c r="E1115" s="27">
        <f>G1115+I1115+K1115</f>
        <v>1039100</v>
      </c>
      <c r="F1115" s="28">
        <f>H1115+J1115+L1115</f>
        <v>1849.5</v>
      </c>
      <c r="G1115" s="27">
        <f>자재조서!E89</f>
        <v>1039100</v>
      </c>
      <c r="H1115" s="28">
        <f>TRUNC(G1115*C1115,1)</f>
        <v>1849.5</v>
      </c>
      <c r="I1115" s="27">
        <v>0</v>
      </c>
      <c r="J1115" s="28"/>
      <c r="K1115" s="27">
        <v>0</v>
      </c>
      <c r="L1115" s="28"/>
      <c r="M1115" s="86" t="s">
        <v>2856</v>
      </c>
      <c r="N1115" t="s">
        <v>2004</v>
      </c>
      <c r="P1115" t="s">
        <v>1741</v>
      </c>
      <c r="Q1115" t="s">
        <v>2856</v>
      </c>
      <c r="R1115" t="s">
        <v>2422</v>
      </c>
      <c r="BI1115" s="34" t="str">
        <f>HYPERLINK("#자재조서!A86","MB0014-24 →")</f>
        <v>MB0014-24 →</v>
      </c>
    </row>
    <row r="1116" spans="1:61" ht="18.399999999999999" hidden="1" customHeight="1" x14ac:dyDescent="0.15">
      <c r="A1116" s="2" t="s">
        <v>2085</v>
      </c>
      <c r="B1116" s="87" t="s">
        <v>2731</v>
      </c>
      <c r="C1116" s="2">
        <v>1.72E-3</v>
      </c>
      <c r="D1116" s="2" t="s">
        <v>978</v>
      </c>
      <c r="E1116" s="27">
        <f>G1116+I1116+K1116</f>
        <v>3414044</v>
      </c>
      <c r="F1116" s="28">
        <f>H1116+J1116+L1116</f>
        <v>5872</v>
      </c>
      <c r="G1116" s="27">
        <f>일위대가목록!F242</f>
        <v>10770</v>
      </c>
      <c r="H1116" s="28">
        <f>TRUNC(G1116*C1116,1)</f>
        <v>18.5</v>
      </c>
      <c r="I1116" s="27">
        <f>일위대가목록!H242</f>
        <v>756255</v>
      </c>
      <c r="J1116" s="28">
        <f>TRUNC(I1116*C1116,1)</f>
        <v>1300.7</v>
      </c>
      <c r="K1116" s="27">
        <f>일위대가목록!J242</f>
        <v>2647019</v>
      </c>
      <c r="L1116" s="28">
        <f>TRUNC(K1116*C1116,1)</f>
        <v>4552.8</v>
      </c>
      <c r="M1116" s="86" t="s">
        <v>2856</v>
      </c>
      <c r="N1116" t="s">
        <v>2856</v>
      </c>
      <c r="P1116" t="s">
        <v>248</v>
      </c>
      <c r="Q1116" t="s">
        <v>2856</v>
      </c>
      <c r="R1116" t="s">
        <v>1458</v>
      </c>
      <c r="T1116" t="s">
        <v>1778</v>
      </c>
      <c r="BI1116" s="34" t="str">
        <f>HYPERLINK("#일위대가목록!A237","N0180-24 →")</f>
        <v>N0180-24 →</v>
      </c>
    </row>
    <row r="1117" spans="1:61" ht="18.399999999999999" hidden="1" customHeight="1" x14ac:dyDescent="0.15">
      <c r="A1117" s="1"/>
      <c r="B1117" s="87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87"/>
    </row>
    <row r="1118" spans="1:61" ht="18.399999999999999" hidden="1" customHeight="1" x14ac:dyDescent="0.15">
      <c r="A1118" s="2" t="s">
        <v>461</v>
      </c>
      <c r="B1118" s="87" t="s">
        <v>1937</v>
      </c>
      <c r="C1118" s="2">
        <v>1</v>
      </c>
      <c r="D1118" s="2" t="s">
        <v>760</v>
      </c>
      <c r="E1118" s="184"/>
      <c r="F1118" s="29">
        <f>H1118+J1118+L1118</f>
        <v>299980</v>
      </c>
      <c r="G1118" s="184"/>
      <c r="H1118" s="29">
        <f>TRUNC(H1119+H1120+H1121+H1122,0)</f>
        <v>211723</v>
      </c>
      <c r="I1118" s="184"/>
      <c r="J1118" s="29">
        <f>TRUNC(J1119+J1120+J1121+J1122,0)</f>
        <v>83705</v>
      </c>
      <c r="K1118" s="184"/>
      <c r="L1118" s="29">
        <f>TRUNC(L1119+L1120+L1121+L1122,0)</f>
        <v>4552</v>
      </c>
      <c r="M1118" s="86" t="s">
        <v>2856</v>
      </c>
      <c r="N1118" t="s">
        <v>2856</v>
      </c>
      <c r="O1118" t="s">
        <v>1892</v>
      </c>
    </row>
    <row r="1119" spans="1:61" ht="18.399999999999999" hidden="1" customHeight="1" x14ac:dyDescent="0.15">
      <c r="A1119" s="2" t="s">
        <v>977</v>
      </c>
      <c r="B1119" s="87" t="s">
        <v>2651</v>
      </c>
      <c r="C1119" s="2">
        <v>9.5000000000000001E-2</v>
      </c>
      <c r="D1119" s="2" t="s">
        <v>2825</v>
      </c>
      <c r="E1119" s="27">
        <f>G1119+I1119+K1119</f>
        <v>2209000</v>
      </c>
      <c r="F1119" s="28">
        <f>H1119+J1119+L1119</f>
        <v>209855</v>
      </c>
      <c r="G1119" s="27">
        <f>자재조서!E106</f>
        <v>2209000</v>
      </c>
      <c r="H1119" s="28">
        <f>TRUNC(G1119*C1119,1)</f>
        <v>209855</v>
      </c>
      <c r="I1119" s="27">
        <v>0</v>
      </c>
      <c r="J1119" s="28"/>
      <c r="K1119" s="27">
        <v>0</v>
      </c>
      <c r="L1119" s="28"/>
      <c r="M1119" s="86" t="s">
        <v>2856</v>
      </c>
      <c r="N1119" t="s">
        <v>2856</v>
      </c>
      <c r="P1119" t="s">
        <v>334</v>
      </c>
      <c r="Q1119" t="s">
        <v>2856</v>
      </c>
      <c r="R1119" t="s">
        <v>687</v>
      </c>
      <c r="BI1119" s="34" t="str">
        <f>HYPERLINK("#자재조서!A101","MS-057 →")</f>
        <v>MS-057 →</v>
      </c>
    </row>
    <row r="1120" spans="1:61" ht="18.399999999999999" hidden="1" customHeight="1" x14ac:dyDescent="0.15">
      <c r="A1120" s="2" t="s">
        <v>689</v>
      </c>
      <c r="B1120" s="87" t="s">
        <v>196</v>
      </c>
      <c r="C1120" s="2">
        <v>0.09</v>
      </c>
      <c r="D1120" s="2" t="s">
        <v>2825</v>
      </c>
      <c r="E1120" s="27">
        <f>G1120+I1120+K1120</f>
        <v>915612</v>
      </c>
      <c r="F1120" s="28">
        <f>H1120+J1120+L1120</f>
        <v>82405</v>
      </c>
      <c r="G1120" s="27">
        <f>일위대가목록!F246</f>
        <v>0</v>
      </c>
      <c r="H1120" s="28">
        <f>TRUNC(G1120*C1120,1)</f>
        <v>0</v>
      </c>
      <c r="I1120" s="27">
        <f>일위대가목록!H246</f>
        <v>915612</v>
      </c>
      <c r="J1120" s="28">
        <f>TRUNC(I1120*C1120,1)</f>
        <v>82405</v>
      </c>
      <c r="K1120" s="27">
        <f>일위대가목록!J246</f>
        <v>0</v>
      </c>
      <c r="L1120" s="28">
        <f>TRUNC(K1120*C1120,1)</f>
        <v>0</v>
      </c>
      <c r="M1120" s="86" t="s">
        <v>2856</v>
      </c>
      <c r="N1120" t="s">
        <v>2856</v>
      </c>
      <c r="P1120" t="s">
        <v>2471</v>
      </c>
      <c r="Q1120" t="s">
        <v>2856</v>
      </c>
      <c r="R1120" t="s">
        <v>630</v>
      </c>
      <c r="T1120" t="s">
        <v>1778</v>
      </c>
      <c r="BI1120" s="34" t="str">
        <f>HYPERLINK("#일위대가목록!A241","N0081 →")</f>
        <v>N0081 →</v>
      </c>
    </row>
    <row r="1121" spans="1:61" ht="18.399999999999999" hidden="1" customHeight="1" x14ac:dyDescent="0.15">
      <c r="A1121" s="2" t="s">
        <v>1996</v>
      </c>
      <c r="B1121" s="87" t="s">
        <v>1225</v>
      </c>
      <c r="C1121" s="2">
        <v>1.7799999999999999E-3</v>
      </c>
      <c r="D1121" s="2" t="s">
        <v>978</v>
      </c>
      <c r="E1121" s="27">
        <f>G1121+I1121+K1121</f>
        <v>1039100</v>
      </c>
      <c r="F1121" s="28">
        <f>H1121+J1121+L1121</f>
        <v>1849.5</v>
      </c>
      <c r="G1121" s="27">
        <f>자재조서!E89</f>
        <v>1039100</v>
      </c>
      <c r="H1121" s="28">
        <f>TRUNC(G1121*C1121,1)</f>
        <v>1849.5</v>
      </c>
      <c r="I1121" s="27">
        <v>0</v>
      </c>
      <c r="J1121" s="28"/>
      <c r="K1121" s="27">
        <v>0</v>
      </c>
      <c r="L1121" s="28"/>
      <c r="M1121" s="86" t="s">
        <v>2856</v>
      </c>
      <c r="N1121" t="s">
        <v>2004</v>
      </c>
      <c r="P1121" t="s">
        <v>1741</v>
      </c>
      <c r="Q1121" t="s">
        <v>2856</v>
      </c>
      <c r="R1121" t="s">
        <v>2422</v>
      </c>
      <c r="BI1121" s="34" t="str">
        <f>HYPERLINK("#자재조서!A86","MB0014-24 →")</f>
        <v>MB0014-24 →</v>
      </c>
    </row>
    <row r="1122" spans="1:61" ht="18.399999999999999" hidden="1" customHeight="1" x14ac:dyDescent="0.15">
      <c r="A1122" s="2" t="s">
        <v>2085</v>
      </c>
      <c r="B1122" s="87" t="s">
        <v>2731</v>
      </c>
      <c r="C1122" s="2">
        <v>1.72E-3</v>
      </c>
      <c r="D1122" s="2" t="s">
        <v>978</v>
      </c>
      <c r="E1122" s="27">
        <f>G1122+I1122+K1122</f>
        <v>3414044</v>
      </c>
      <c r="F1122" s="28">
        <f>H1122+J1122+L1122</f>
        <v>5872</v>
      </c>
      <c r="G1122" s="27">
        <f>일위대가목록!F242</f>
        <v>10770</v>
      </c>
      <c r="H1122" s="28">
        <f>TRUNC(G1122*C1122,1)</f>
        <v>18.5</v>
      </c>
      <c r="I1122" s="27">
        <f>일위대가목록!H242</f>
        <v>756255</v>
      </c>
      <c r="J1122" s="28">
        <f>TRUNC(I1122*C1122,1)</f>
        <v>1300.7</v>
      </c>
      <c r="K1122" s="27">
        <f>일위대가목록!J242</f>
        <v>2647019</v>
      </c>
      <c r="L1122" s="28">
        <f>TRUNC(K1122*C1122,1)</f>
        <v>4552.8</v>
      </c>
      <c r="M1122" s="86" t="s">
        <v>2856</v>
      </c>
      <c r="N1122" t="s">
        <v>2856</v>
      </c>
      <c r="P1122" t="s">
        <v>248</v>
      </c>
      <c r="Q1122" t="s">
        <v>2856</v>
      </c>
      <c r="R1122" t="s">
        <v>1458</v>
      </c>
      <c r="T1122" t="s">
        <v>1778</v>
      </c>
      <c r="BI1122" s="34" t="str">
        <f>HYPERLINK("#일위대가목록!A237","N0180-24 →")</f>
        <v>N0180-24 →</v>
      </c>
    </row>
    <row r="1123" spans="1:61" ht="18.399999999999999" hidden="1" customHeight="1" x14ac:dyDescent="0.15">
      <c r="A1123" s="1"/>
      <c r="B1123" s="87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87"/>
    </row>
    <row r="1124" spans="1:61" ht="18.399999999999999" hidden="1" customHeight="1" x14ac:dyDescent="0.15">
      <c r="A1124" s="2" t="s">
        <v>1870</v>
      </c>
      <c r="B1124" s="87" t="s">
        <v>2047</v>
      </c>
      <c r="C1124" s="2">
        <v>1</v>
      </c>
      <c r="D1124" s="2" t="s">
        <v>2303</v>
      </c>
      <c r="E1124" s="184"/>
      <c r="F1124" s="29">
        <f t="shared" ref="F1124:F1139" si="243">H1124+J1124+L1124</f>
        <v>27787927</v>
      </c>
      <c r="G1124" s="184"/>
      <c r="H1124" s="29">
        <f>TRUNC(H1125+H1126+H1127+H1128+H1130+H1131+H1132+H1133+H1134+H1138+H1139,0)</f>
        <v>4818694</v>
      </c>
      <c r="I1124" s="184"/>
      <c r="J1124" s="29">
        <f>TRUNC(J1125+J1126+J1127+J1128+J1130+J1131+J1132+J1133+J1134+J1138+J1139,0)</f>
        <v>19577202</v>
      </c>
      <c r="K1124" s="184"/>
      <c r="L1124" s="29">
        <f>TRUNC(L1125+L1126+L1127+L1128+L1130+L1131+L1132+L1133+L1134+L1138+L1139,0)</f>
        <v>3392031</v>
      </c>
      <c r="M1124" s="86" t="s">
        <v>2856</v>
      </c>
      <c r="N1124" t="s">
        <v>2856</v>
      </c>
      <c r="O1124" t="s">
        <v>663</v>
      </c>
    </row>
    <row r="1125" spans="1:61" ht="18.399999999999999" hidden="1" customHeight="1" x14ac:dyDescent="0.15">
      <c r="A1125" s="2" t="s">
        <v>1163</v>
      </c>
      <c r="B1125" s="87" t="s">
        <v>576</v>
      </c>
      <c r="C1125" s="2">
        <v>20.52</v>
      </c>
      <c r="D1125" s="2" t="s">
        <v>2825</v>
      </c>
      <c r="E1125" s="27">
        <f t="shared" ref="E1125:E1139" si="244">G1125+I1125+K1125</f>
        <v>5009</v>
      </c>
      <c r="F1125" s="28">
        <f t="shared" si="243"/>
        <v>102784.6</v>
      </c>
      <c r="G1125" s="27">
        <f>일위대가목록!F4</f>
        <v>300</v>
      </c>
      <c r="H1125" s="28">
        <f t="shared" ref="H1125:H1139" si="245">TRUNC(G1125*C1125,1)</f>
        <v>6156</v>
      </c>
      <c r="I1125" s="27">
        <f>일위대가목록!H4</f>
        <v>4328</v>
      </c>
      <c r="J1125" s="28">
        <f>TRUNC(I1125*C1125,1)</f>
        <v>88810.5</v>
      </c>
      <c r="K1125" s="27">
        <f>일위대가목록!J4</f>
        <v>381</v>
      </c>
      <c r="L1125" s="28">
        <f>TRUNC(K1125*C1125,1)</f>
        <v>7818.1</v>
      </c>
      <c r="M1125" s="86" t="s">
        <v>2856</v>
      </c>
      <c r="N1125" t="s">
        <v>2856</v>
      </c>
      <c r="P1125" t="s">
        <v>334</v>
      </c>
      <c r="Q1125" t="s">
        <v>2856</v>
      </c>
      <c r="R1125" t="s">
        <v>69</v>
      </c>
      <c r="T1125" t="s">
        <v>2405</v>
      </c>
      <c r="BI1125" s="34" t="str">
        <f>HYPERLINK("#일위대가목록!A4","N1070 →")</f>
        <v>N1070 →</v>
      </c>
    </row>
    <row r="1126" spans="1:61" ht="18.399999999999999" hidden="1" customHeight="1" x14ac:dyDescent="0.15">
      <c r="A1126" s="2" t="s">
        <v>1112</v>
      </c>
      <c r="B1126" s="87" t="s">
        <v>2429</v>
      </c>
      <c r="C1126" s="2">
        <v>19.440000000000001</v>
      </c>
      <c r="D1126" s="2" t="s">
        <v>2825</v>
      </c>
      <c r="E1126" s="27">
        <f t="shared" si="244"/>
        <v>1588</v>
      </c>
      <c r="F1126" s="28">
        <f t="shared" si="243"/>
        <v>30870.7</v>
      </c>
      <c r="G1126" s="27">
        <f>일위대가목록!F5</f>
        <v>285</v>
      </c>
      <c r="H1126" s="28">
        <f t="shared" si="245"/>
        <v>5540.4</v>
      </c>
      <c r="I1126" s="27">
        <f>일위대가목록!H5</f>
        <v>940</v>
      </c>
      <c r="J1126" s="28">
        <f>TRUNC(I1126*C1126,1)</f>
        <v>18273.599999999999</v>
      </c>
      <c r="K1126" s="27">
        <f>일위대가목록!J5</f>
        <v>363</v>
      </c>
      <c r="L1126" s="28">
        <f>TRUNC(K1126*C1126,1)</f>
        <v>7056.7</v>
      </c>
      <c r="M1126" s="86" t="s">
        <v>2856</v>
      </c>
      <c r="N1126" t="s">
        <v>2856</v>
      </c>
      <c r="P1126" t="s">
        <v>2471</v>
      </c>
      <c r="Q1126" t="s">
        <v>2856</v>
      </c>
      <c r="R1126" t="s">
        <v>1705</v>
      </c>
      <c r="T1126" t="s">
        <v>2405</v>
      </c>
      <c r="BI1126" s="34" t="str">
        <f>HYPERLINK("#일위대가목록!A5","N0860 →")</f>
        <v>N0860 →</v>
      </c>
    </row>
    <row r="1127" spans="1:61" ht="18.399999999999999" hidden="1" customHeight="1" x14ac:dyDescent="0.15">
      <c r="A1127" s="2" t="s">
        <v>2451</v>
      </c>
      <c r="B1127" s="87" t="s">
        <v>1333</v>
      </c>
      <c r="C1127" s="2">
        <v>1.08</v>
      </c>
      <c r="D1127" s="2" t="s">
        <v>2825</v>
      </c>
      <c r="E1127" s="27">
        <f t="shared" si="244"/>
        <v>7144</v>
      </c>
      <c r="F1127" s="28">
        <f t="shared" si="243"/>
        <v>7715.5000000000009</v>
      </c>
      <c r="G1127" s="27">
        <f>일위대가목록!F6</f>
        <v>445</v>
      </c>
      <c r="H1127" s="28">
        <f t="shared" si="245"/>
        <v>480.6</v>
      </c>
      <c r="I1127" s="27">
        <f>일위대가목록!H6</f>
        <v>6329</v>
      </c>
      <c r="J1127" s="28">
        <f>TRUNC(I1127*C1127,1)</f>
        <v>6835.3</v>
      </c>
      <c r="K1127" s="27">
        <f>일위대가목록!J6</f>
        <v>370</v>
      </c>
      <c r="L1127" s="28">
        <f>TRUNC(K1127*C1127,1)</f>
        <v>399.6</v>
      </c>
      <c r="M1127" s="86" t="s">
        <v>2856</v>
      </c>
      <c r="N1127" t="s">
        <v>2856</v>
      </c>
      <c r="P1127" t="s">
        <v>1741</v>
      </c>
      <c r="Q1127" t="s">
        <v>2856</v>
      </c>
      <c r="R1127" t="s">
        <v>1429</v>
      </c>
      <c r="T1127" t="s">
        <v>2405</v>
      </c>
      <c r="BI1127" s="34" t="str">
        <f>HYPERLINK("#일위대가목록!A6","N1010 →")</f>
        <v>N1010 →</v>
      </c>
    </row>
    <row r="1128" spans="1:61" ht="18.399999999999999" hidden="1" customHeight="1" x14ac:dyDescent="0.15">
      <c r="A1128" s="2" t="s">
        <v>832</v>
      </c>
      <c r="B1128" s="87" t="s">
        <v>610</v>
      </c>
      <c r="C1128" s="2">
        <v>53.92</v>
      </c>
      <c r="D1128" s="2" t="s">
        <v>1202</v>
      </c>
      <c r="E1128" s="27">
        <f t="shared" si="244"/>
        <v>45715</v>
      </c>
      <c r="F1128" s="28">
        <f t="shared" si="243"/>
        <v>2464952.7000000002</v>
      </c>
      <c r="G1128" s="27">
        <f>일위대가목록!F236</f>
        <v>11180</v>
      </c>
      <c r="H1128" s="28">
        <f t="shared" si="245"/>
        <v>602825.6</v>
      </c>
      <c r="I1128" s="27">
        <f>일위대가목록!H236</f>
        <v>34194</v>
      </c>
      <c r="J1128" s="28">
        <f>TRUNC(I1128*C1128,1)</f>
        <v>1843740.4</v>
      </c>
      <c r="K1128" s="27">
        <f>일위대가목록!J236</f>
        <v>341</v>
      </c>
      <c r="L1128" s="28">
        <f>TRUNC(K1128*C1128,1)</f>
        <v>18386.7</v>
      </c>
      <c r="M1128" s="86" t="s">
        <v>2856</v>
      </c>
      <c r="N1128" t="s">
        <v>2856</v>
      </c>
      <c r="P1128" t="s">
        <v>1036</v>
      </c>
      <c r="Q1128" t="s">
        <v>2856</v>
      </c>
      <c r="R1128" t="s">
        <v>1998</v>
      </c>
      <c r="T1128" t="s">
        <v>1778</v>
      </c>
      <c r="BI1128" s="34" t="str">
        <f>HYPERLINK("#일위대가목록!A231","N1150 →")</f>
        <v>N1150 →</v>
      </c>
    </row>
    <row r="1129" spans="1:61" ht="18.399999999999999" hidden="1" customHeight="1" x14ac:dyDescent="0.15">
      <c r="A1129" s="2" t="s">
        <v>1632</v>
      </c>
      <c r="B1129" s="87" t="s">
        <v>2279</v>
      </c>
      <c r="C1129" s="2">
        <v>16.41</v>
      </c>
      <c r="D1129" s="2" t="s">
        <v>2825</v>
      </c>
      <c r="E1129" s="27">
        <f t="shared" si="244"/>
        <v>89830</v>
      </c>
      <c r="F1129" s="28">
        <f t="shared" si="243"/>
        <v>1474110.3</v>
      </c>
      <c r="G1129" s="27">
        <f>자재조서!E73</f>
        <v>89830</v>
      </c>
      <c r="H1129" s="28">
        <f t="shared" si="245"/>
        <v>1474110.3</v>
      </c>
      <c r="I1129" s="27">
        <v>0</v>
      </c>
      <c r="J1129" s="28"/>
      <c r="K1129" s="27">
        <v>0</v>
      </c>
      <c r="L1129" s="28"/>
      <c r="M1129" s="86" t="s">
        <v>2856</v>
      </c>
      <c r="N1129" t="s">
        <v>2856</v>
      </c>
      <c r="P1129" t="s">
        <v>286</v>
      </c>
      <c r="Q1129" t="s">
        <v>1839</v>
      </c>
      <c r="R1129" t="s">
        <v>2547</v>
      </c>
      <c r="BI1129" s="34" t="str">
        <f>HYPERLINK("#자재조서!A70","MB-190-24 →")</f>
        <v>MB-190-24 →</v>
      </c>
    </row>
    <row r="1130" spans="1:61" ht="18.399999999999999" hidden="1" customHeight="1" x14ac:dyDescent="0.15">
      <c r="A1130" s="2" t="s">
        <v>54</v>
      </c>
      <c r="B1130" s="87" t="s">
        <v>1255</v>
      </c>
      <c r="C1130" s="2">
        <v>16.09</v>
      </c>
      <c r="D1130" s="2" t="s">
        <v>2825</v>
      </c>
      <c r="E1130" s="27">
        <f t="shared" si="244"/>
        <v>55166</v>
      </c>
      <c r="F1130" s="28">
        <f t="shared" si="243"/>
        <v>887620.9</v>
      </c>
      <c r="G1130" s="27">
        <f>일위대가목록!F235</f>
        <v>2538</v>
      </c>
      <c r="H1130" s="28">
        <f t="shared" si="245"/>
        <v>40836.400000000001</v>
      </c>
      <c r="I1130" s="27">
        <f>일위대가목록!H235</f>
        <v>22449</v>
      </c>
      <c r="J1130" s="28">
        <f>TRUNC(I1130*C1130,1)</f>
        <v>361204.4</v>
      </c>
      <c r="K1130" s="27">
        <f>일위대가목록!J235</f>
        <v>30179</v>
      </c>
      <c r="L1130" s="28">
        <f>TRUNC(K1130*C1130,1)</f>
        <v>485580.1</v>
      </c>
      <c r="M1130" s="86" t="s">
        <v>2856</v>
      </c>
      <c r="N1130" t="s">
        <v>2856</v>
      </c>
      <c r="P1130" t="s">
        <v>2428</v>
      </c>
      <c r="Q1130" t="s">
        <v>2856</v>
      </c>
      <c r="R1130" t="s">
        <v>668</v>
      </c>
      <c r="T1130" t="s">
        <v>1778</v>
      </c>
      <c r="BI1130" s="34" t="str">
        <f>HYPERLINK("#일위대가목록!A230","N1380-24 →")</f>
        <v>N1380-24 →</v>
      </c>
    </row>
    <row r="1131" spans="1:61" ht="18.399999999999999" hidden="1" customHeight="1" x14ac:dyDescent="0.15">
      <c r="A1131" s="2" t="s">
        <v>296</v>
      </c>
      <c r="B1131" s="87" t="s">
        <v>626</v>
      </c>
      <c r="C1131" s="2">
        <v>57.8</v>
      </c>
      <c r="D1131" s="2" t="s">
        <v>2825</v>
      </c>
      <c r="E1131" s="27">
        <f t="shared" si="244"/>
        <v>24000</v>
      </c>
      <c r="F1131" s="28">
        <f t="shared" si="243"/>
        <v>1387200</v>
      </c>
      <c r="G1131" s="27">
        <f>자재조서!E85</f>
        <v>24000</v>
      </c>
      <c r="H1131" s="28">
        <f t="shared" si="245"/>
        <v>1387200</v>
      </c>
      <c r="I1131" s="27">
        <v>0</v>
      </c>
      <c r="J1131" s="28"/>
      <c r="K1131" s="27">
        <v>0</v>
      </c>
      <c r="L1131" s="28"/>
      <c r="M1131" s="86" t="s">
        <v>2856</v>
      </c>
      <c r="N1131" t="s">
        <v>2856</v>
      </c>
      <c r="P1131" t="s">
        <v>1686</v>
      </c>
      <c r="Q1131" t="s">
        <v>2856</v>
      </c>
      <c r="R1131" t="s">
        <v>609</v>
      </c>
      <c r="BI1131" s="34" t="str">
        <f>HYPERLINK("#자재조서!A82","MB-4500 →")</f>
        <v>MB-4500 →</v>
      </c>
    </row>
    <row r="1132" spans="1:61" ht="18.399999999999999" hidden="1" customHeight="1" x14ac:dyDescent="0.15">
      <c r="A1132" s="2" t="s">
        <v>467</v>
      </c>
      <c r="B1132" s="87" t="s">
        <v>2010</v>
      </c>
      <c r="C1132" s="2">
        <v>55.58</v>
      </c>
      <c r="D1132" s="2" t="s">
        <v>2825</v>
      </c>
      <c r="E1132" s="27">
        <f t="shared" si="244"/>
        <v>14311</v>
      </c>
      <c r="F1132" s="28">
        <f t="shared" si="243"/>
        <v>795405.3</v>
      </c>
      <c r="G1132" s="27">
        <f>일위대가목록!F239</f>
        <v>1554</v>
      </c>
      <c r="H1132" s="28">
        <f t="shared" si="245"/>
        <v>86371.3</v>
      </c>
      <c r="I1132" s="27">
        <f>일위대가목록!H239</f>
        <v>11235</v>
      </c>
      <c r="J1132" s="28">
        <f>TRUNC(I1132*C1132,1)</f>
        <v>624441.30000000005</v>
      </c>
      <c r="K1132" s="27">
        <f>일위대가목록!J239</f>
        <v>1522</v>
      </c>
      <c r="L1132" s="28">
        <f>TRUNC(K1132*C1132,1)</f>
        <v>84592.7</v>
      </c>
      <c r="M1132" s="86" t="s">
        <v>2856</v>
      </c>
      <c r="N1132" t="s">
        <v>2856</v>
      </c>
      <c r="P1132" t="s">
        <v>983</v>
      </c>
      <c r="Q1132" t="s">
        <v>2856</v>
      </c>
      <c r="R1132" t="s">
        <v>782</v>
      </c>
      <c r="T1132" t="s">
        <v>1778</v>
      </c>
      <c r="BI1132" s="34" t="str">
        <f>HYPERLINK("#일위대가목록!A234","N0303 →")</f>
        <v>N0303 →</v>
      </c>
    </row>
    <row r="1133" spans="1:61" ht="18.399999999999999" hidden="1" customHeight="1" x14ac:dyDescent="0.15">
      <c r="A1133" s="2" t="s">
        <v>684</v>
      </c>
      <c r="B1133" s="87" t="s">
        <v>2856</v>
      </c>
      <c r="C1133" s="2">
        <v>219.45</v>
      </c>
      <c r="D1133" s="2" t="s">
        <v>1202</v>
      </c>
      <c r="E1133" s="27">
        <f t="shared" si="244"/>
        <v>1375</v>
      </c>
      <c r="F1133" s="28">
        <f t="shared" si="243"/>
        <v>301743.7</v>
      </c>
      <c r="G1133" s="27">
        <f>일위대가목록!F247</f>
        <v>1155</v>
      </c>
      <c r="H1133" s="28">
        <f t="shared" si="245"/>
        <v>253464.7</v>
      </c>
      <c r="I1133" s="27">
        <f>일위대가목록!H247</f>
        <v>220</v>
      </c>
      <c r="J1133" s="28">
        <f>TRUNC(I1133*C1133,1)</f>
        <v>48279</v>
      </c>
      <c r="K1133" s="27">
        <f>일위대가목록!J247</f>
        <v>0</v>
      </c>
      <c r="L1133" s="28">
        <f>TRUNC(K1133*C1133,1)</f>
        <v>0</v>
      </c>
      <c r="M1133" s="86" t="s">
        <v>2856</v>
      </c>
      <c r="N1133" t="s">
        <v>2856</v>
      </c>
      <c r="P1133" t="s">
        <v>248</v>
      </c>
      <c r="Q1133" t="s">
        <v>2856</v>
      </c>
      <c r="R1133" t="s">
        <v>624</v>
      </c>
      <c r="T1133" t="s">
        <v>1778</v>
      </c>
      <c r="BI1133" s="34" t="str">
        <f>HYPERLINK("#일위대가목록!A242","N6010 →")</f>
        <v>N6010 →</v>
      </c>
    </row>
    <row r="1134" spans="1:61" ht="18.399999999999999" hidden="1" customHeight="1" x14ac:dyDescent="0.15">
      <c r="A1134" s="2" t="s">
        <v>1951</v>
      </c>
      <c r="B1134" s="87" t="s">
        <v>1692</v>
      </c>
      <c r="C1134" s="2">
        <v>456</v>
      </c>
      <c r="D1134" s="2" t="s">
        <v>1202</v>
      </c>
      <c r="E1134" s="27">
        <f t="shared" si="244"/>
        <v>3500</v>
      </c>
      <c r="F1134" s="28">
        <f t="shared" si="243"/>
        <v>1596000</v>
      </c>
      <c r="G1134" s="27">
        <f>자재조서!E135</f>
        <v>3500</v>
      </c>
      <c r="H1134" s="28">
        <f t="shared" si="245"/>
        <v>1596000</v>
      </c>
      <c r="I1134" s="27">
        <v>0</v>
      </c>
      <c r="J1134" s="28"/>
      <c r="K1134" s="27">
        <v>0</v>
      </c>
      <c r="L1134" s="28"/>
      <c r="M1134" s="86" t="s">
        <v>2856</v>
      </c>
      <c r="N1134" t="s">
        <v>460</v>
      </c>
      <c r="P1134" t="s">
        <v>1704</v>
      </c>
      <c r="Q1134" t="s">
        <v>2856</v>
      </c>
      <c r="R1134" t="s">
        <v>2000</v>
      </c>
      <c r="BI1134" s="34" t="str">
        <f>HYPERLINK("#자재조서!A129","MTP-103 →")</f>
        <v>MTP-103 →</v>
      </c>
    </row>
    <row r="1135" spans="1:61" ht="18.399999999999999" hidden="1" customHeight="1" x14ac:dyDescent="0.15">
      <c r="A1135" s="2" t="s">
        <v>2855</v>
      </c>
      <c r="B1135" s="87" t="s">
        <v>352</v>
      </c>
      <c r="C1135" s="2">
        <v>181.28</v>
      </c>
      <c r="D1135" s="2" t="s">
        <v>1670</v>
      </c>
      <c r="E1135" s="27">
        <f t="shared" si="244"/>
        <v>14300</v>
      </c>
      <c r="F1135" s="28">
        <f t="shared" si="243"/>
        <v>2592304</v>
      </c>
      <c r="G1135" s="27">
        <f>자재조서!E113</f>
        <v>14300</v>
      </c>
      <c r="H1135" s="28">
        <f t="shared" si="245"/>
        <v>2592304</v>
      </c>
      <c r="I1135" s="27">
        <v>0</v>
      </c>
      <c r="J1135" s="28"/>
      <c r="K1135" s="27">
        <v>0</v>
      </c>
      <c r="L1135" s="28"/>
      <c r="M1135" s="86" t="s">
        <v>1601</v>
      </c>
      <c r="N1135" t="s">
        <v>2856</v>
      </c>
      <c r="P1135" t="s">
        <v>2032</v>
      </c>
      <c r="Q1135" t="s">
        <v>1839</v>
      </c>
      <c r="R1135" t="s">
        <v>2795</v>
      </c>
      <c r="W1135" t="s">
        <v>1601</v>
      </c>
      <c r="BI1135" s="34" t="str">
        <f>HYPERLINK("#자재조서!A108","MS-121 →")</f>
        <v>MS-121 →</v>
      </c>
    </row>
    <row r="1136" spans="1:61" ht="18.399999999999999" hidden="1" customHeight="1" x14ac:dyDescent="0.15">
      <c r="A1136" s="2" t="s">
        <v>900</v>
      </c>
      <c r="B1136" s="87" t="s">
        <v>1049</v>
      </c>
      <c r="C1136" s="2">
        <v>211.07</v>
      </c>
      <c r="D1136" s="2" t="s">
        <v>1202</v>
      </c>
      <c r="E1136" s="27">
        <f t="shared" si="244"/>
        <v>137500</v>
      </c>
      <c r="F1136" s="28">
        <f t="shared" si="243"/>
        <v>29022125</v>
      </c>
      <c r="G1136" s="27">
        <f>자재조서!E114</f>
        <v>137500</v>
      </c>
      <c r="H1136" s="28">
        <f t="shared" si="245"/>
        <v>29022125</v>
      </c>
      <c r="I1136" s="27">
        <v>0</v>
      </c>
      <c r="J1136" s="28"/>
      <c r="K1136" s="27">
        <v>0</v>
      </c>
      <c r="L1136" s="28"/>
      <c r="M1136" s="86" t="s">
        <v>1601</v>
      </c>
      <c r="N1136" t="s">
        <v>2856</v>
      </c>
      <c r="P1136" t="s">
        <v>241</v>
      </c>
      <c r="Q1136" t="s">
        <v>1839</v>
      </c>
      <c r="R1136" t="s">
        <v>699</v>
      </c>
      <c r="W1136" t="s">
        <v>1601</v>
      </c>
      <c r="BI1136" s="34" t="str">
        <f>HYPERLINK("#자재조서!A109","MS-122 →")</f>
        <v>MS-122 →</v>
      </c>
    </row>
    <row r="1137" spans="1:61" ht="18.399999999999999" hidden="1" customHeight="1" x14ac:dyDescent="0.15">
      <c r="A1137" s="2" t="s">
        <v>948</v>
      </c>
      <c r="B1137" s="87" t="s">
        <v>2642</v>
      </c>
      <c r="C1137" s="2">
        <v>8362</v>
      </c>
      <c r="D1137" s="2" t="s">
        <v>1764</v>
      </c>
      <c r="E1137" s="27">
        <f t="shared" si="244"/>
        <v>360</v>
      </c>
      <c r="F1137" s="28">
        <f t="shared" si="243"/>
        <v>3010320</v>
      </c>
      <c r="G1137" s="27">
        <f>자재조서!E115</f>
        <v>360</v>
      </c>
      <c r="H1137" s="28">
        <f t="shared" si="245"/>
        <v>3010320</v>
      </c>
      <c r="I1137" s="27">
        <v>0</v>
      </c>
      <c r="J1137" s="28"/>
      <c r="K1137" s="27">
        <v>0</v>
      </c>
      <c r="L1137" s="28"/>
      <c r="M1137" s="86" t="s">
        <v>1601</v>
      </c>
      <c r="N1137" t="s">
        <v>2856</v>
      </c>
      <c r="P1137" t="s">
        <v>954</v>
      </c>
      <c r="Q1137" t="s">
        <v>1839</v>
      </c>
      <c r="R1137" t="s">
        <v>1303</v>
      </c>
      <c r="W1137" t="s">
        <v>1601</v>
      </c>
      <c r="BI1137" s="34" t="str">
        <f>HYPERLINK("#자재조서!A110","MS-124 →")</f>
        <v>MS-124 →</v>
      </c>
    </row>
    <row r="1138" spans="1:61" ht="18.399999999999999" hidden="1" customHeight="1" x14ac:dyDescent="0.15">
      <c r="A1138" s="2" t="s">
        <v>1074</v>
      </c>
      <c r="B1138" s="87" t="s">
        <v>2856</v>
      </c>
      <c r="C1138" s="2">
        <v>116.16</v>
      </c>
      <c r="D1138" s="2" t="s">
        <v>1674</v>
      </c>
      <c r="E1138" s="27">
        <f t="shared" si="244"/>
        <v>1377</v>
      </c>
      <c r="F1138" s="28">
        <f t="shared" si="243"/>
        <v>159952.29999999999</v>
      </c>
      <c r="G1138" s="27">
        <f>자재조서!E105</f>
        <v>1377</v>
      </c>
      <c r="H1138" s="28">
        <f t="shared" si="245"/>
        <v>159952.29999999999</v>
      </c>
      <c r="I1138" s="27">
        <v>0</v>
      </c>
      <c r="J1138" s="28"/>
      <c r="K1138" s="27">
        <v>0</v>
      </c>
      <c r="L1138" s="28"/>
      <c r="M1138" s="86" t="s">
        <v>2856</v>
      </c>
      <c r="N1138" t="s">
        <v>2856</v>
      </c>
      <c r="P1138" t="s">
        <v>1677</v>
      </c>
      <c r="Q1138" t="s">
        <v>2856</v>
      </c>
      <c r="R1138" t="s">
        <v>1111</v>
      </c>
      <c r="BI1138" s="34" t="str">
        <f>HYPERLINK("#자재조서!A100","MP05 →")</f>
        <v>MP05 →</v>
      </c>
    </row>
    <row r="1139" spans="1:61" ht="18.399999999999999" hidden="1" customHeight="1" x14ac:dyDescent="0.15">
      <c r="A1139" s="2" t="s">
        <v>844</v>
      </c>
      <c r="B1139" s="87" t="s">
        <v>2417</v>
      </c>
      <c r="C1139" s="2">
        <v>185.25</v>
      </c>
      <c r="D1139" s="2" t="s">
        <v>1202</v>
      </c>
      <c r="E1139" s="27">
        <f t="shared" si="244"/>
        <v>108252</v>
      </c>
      <c r="F1139" s="28">
        <f t="shared" si="243"/>
        <v>20053682.899999999</v>
      </c>
      <c r="G1139" s="27">
        <f>일위대가목록!F248</f>
        <v>3670</v>
      </c>
      <c r="H1139" s="28">
        <f t="shared" si="245"/>
        <v>679867.5</v>
      </c>
      <c r="I1139" s="27">
        <f>일위대가목록!H248</f>
        <v>89531</v>
      </c>
      <c r="J1139" s="28">
        <f>TRUNC(I1139*C1139,1)</f>
        <v>16585617.699999999</v>
      </c>
      <c r="K1139" s="27">
        <f>일위대가목록!J248</f>
        <v>15051</v>
      </c>
      <c r="L1139" s="28">
        <f>TRUNC(K1139*C1139,1)</f>
        <v>2788197.7</v>
      </c>
      <c r="M1139" s="86" t="s">
        <v>2856</v>
      </c>
      <c r="N1139" t="s">
        <v>2856</v>
      </c>
      <c r="P1139" t="s">
        <v>2389</v>
      </c>
      <c r="Q1139" t="s">
        <v>2856</v>
      </c>
      <c r="R1139" t="s">
        <v>1446</v>
      </c>
      <c r="T1139" t="s">
        <v>1778</v>
      </c>
      <c r="BI1139" s="34" t="str">
        <f>HYPERLINK("#일위대가목록!A243","HW7051 →")</f>
        <v>HW7051 →</v>
      </c>
    </row>
    <row r="1140" spans="1:61" ht="18.399999999999999" hidden="1" customHeight="1" x14ac:dyDescent="0.15">
      <c r="A1140" s="1"/>
      <c r="B1140" s="87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87"/>
    </row>
    <row r="1141" spans="1:61" ht="18.399999999999999" customHeight="1" x14ac:dyDescent="0.15">
      <c r="A1141" s="69" t="s">
        <v>3248</v>
      </c>
      <c r="B1141" s="174" t="s">
        <v>2196</v>
      </c>
      <c r="C1141" s="69">
        <v>1</v>
      </c>
      <c r="D1141" s="69" t="s">
        <v>1796</v>
      </c>
      <c r="E1141" s="185"/>
      <c r="F1141" s="70">
        <f t="shared" ref="F1141:F1158" si="246">H1141+J1141+L1141</f>
        <v>6897986</v>
      </c>
      <c r="G1141" s="185"/>
      <c r="H1141" s="70">
        <f>TRUNC(H1142+H1143+H1144+H1145+H1147+H1148+H1149+H1150+H1151+H1152+H1153+H1155+H1156+H1157,0)</f>
        <v>1612402</v>
      </c>
      <c r="I1141" s="185"/>
      <c r="J1141" s="70">
        <f>TRUNC(J1142+J1143+J1144+J1145+J1147+J1148+J1149+J1150+J1151+J1152+J1153+J1155+J1156+J1157,0)</f>
        <v>5207812</v>
      </c>
      <c r="K1141" s="185"/>
      <c r="L1141" s="70">
        <f>TRUNC(L1142+L1143+L1144+L1145+L1147+L1148+L1149+L1150+L1151+L1152+L1153+L1155+L1156+L1157,0)</f>
        <v>77772</v>
      </c>
      <c r="M1141" s="181" t="s">
        <v>2856</v>
      </c>
      <c r="N1141" t="s">
        <v>2856</v>
      </c>
      <c r="O1141" t="s">
        <v>1547</v>
      </c>
    </row>
    <row r="1142" spans="1:61" ht="18.399999999999999" customHeight="1" x14ac:dyDescent="0.15">
      <c r="A1142" s="2" t="s">
        <v>1163</v>
      </c>
      <c r="B1142" s="87" t="s">
        <v>1879</v>
      </c>
      <c r="C1142" s="2">
        <v>3.92</v>
      </c>
      <c r="D1142" s="2" t="s">
        <v>2825</v>
      </c>
      <c r="E1142" s="27">
        <f t="shared" ref="E1142:E1157" si="247">G1142+I1142+K1142</f>
        <v>33416</v>
      </c>
      <c r="F1142" s="28">
        <f t="shared" si="246"/>
        <v>130990.7</v>
      </c>
      <c r="G1142" s="27">
        <f>일위대가목록!F249</f>
        <v>0</v>
      </c>
      <c r="H1142" s="28">
        <f t="shared" ref="H1142:H1154" si="248">TRUNC(G1142*C1142,1)</f>
        <v>0</v>
      </c>
      <c r="I1142" s="27">
        <f>일위대가목록!H249</f>
        <v>33416</v>
      </c>
      <c r="J1142" s="28">
        <f>TRUNC(I1142*C1142,1)</f>
        <v>130990.7</v>
      </c>
      <c r="K1142" s="27">
        <f>일위대가목록!J249</f>
        <v>0</v>
      </c>
      <c r="L1142" s="28">
        <f>TRUNC(K1142*C1142,1)</f>
        <v>0</v>
      </c>
      <c r="M1142" s="86" t="s">
        <v>2856</v>
      </c>
      <c r="N1142" t="s">
        <v>2856</v>
      </c>
      <c r="P1142" t="s">
        <v>334</v>
      </c>
      <c r="Q1142" t="s">
        <v>2856</v>
      </c>
      <c r="R1142" t="s">
        <v>786</v>
      </c>
      <c r="T1142" t="s">
        <v>1778</v>
      </c>
      <c r="BI1142" s="34" t="str">
        <f>HYPERLINK("#일위대가목록!A244","N1060 →")</f>
        <v>N1060 →</v>
      </c>
    </row>
    <row r="1143" spans="1:61" ht="18.399999999999999" customHeight="1" x14ac:dyDescent="0.15">
      <c r="A1143" s="2" t="s">
        <v>1112</v>
      </c>
      <c r="B1143" s="87" t="s">
        <v>394</v>
      </c>
      <c r="C1143" s="2">
        <v>0.54</v>
      </c>
      <c r="D1143" s="2" t="s">
        <v>2825</v>
      </c>
      <c r="E1143" s="27">
        <f t="shared" si="247"/>
        <v>33416</v>
      </c>
      <c r="F1143" s="28">
        <f t="shared" si="246"/>
        <v>18044.599999999999</v>
      </c>
      <c r="G1143" s="27">
        <f>일위대가목록!F250</f>
        <v>0</v>
      </c>
      <c r="H1143" s="28">
        <f t="shared" si="248"/>
        <v>0</v>
      </c>
      <c r="I1143" s="27">
        <f>일위대가목록!H250</f>
        <v>33416</v>
      </c>
      <c r="J1143" s="28">
        <f>TRUNC(I1143*C1143,1)</f>
        <v>18044.599999999999</v>
      </c>
      <c r="K1143" s="27">
        <f>일위대가목록!J250</f>
        <v>0</v>
      </c>
      <c r="L1143" s="28">
        <f>TRUNC(K1143*C1143,1)</f>
        <v>0</v>
      </c>
      <c r="M1143" s="86" t="s">
        <v>2856</v>
      </c>
      <c r="N1143" t="s">
        <v>2856</v>
      </c>
      <c r="P1143" t="s">
        <v>2471</v>
      </c>
      <c r="Q1143" t="s">
        <v>2856</v>
      </c>
      <c r="R1143" t="s">
        <v>1013</v>
      </c>
      <c r="T1143" t="s">
        <v>1778</v>
      </c>
      <c r="BI1143" s="34" t="str">
        <f>HYPERLINK("#일위대가목록!A245","N0850 →")</f>
        <v>N0850 →</v>
      </c>
    </row>
    <row r="1144" spans="1:61" ht="18.399999999999999" customHeight="1" x14ac:dyDescent="0.15">
      <c r="A1144" s="2" t="s">
        <v>2451</v>
      </c>
      <c r="B1144" s="87" t="s">
        <v>129</v>
      </c>
      <c r="C1144" s="2">
        <v>3.38</v>
      </c>
      <c r="D1144" s="2" t="s">
        <v>2825</v>
      </c>
      <c r="E1144" s="27">
        <f t="shared" si="247"/>
        <v>16708</v>
      </c>
      <c r="F1144" s="28">
        <f t="shared" si="246"/>
        <v>56473</v>
      </c>
      <c r="G1144" s="27">
        <f>일위대가목록!F251</f>
        <v>0</v>
      </c>
      <c r="H1144" s="28">
        <f t="shared" si="248"/>
        <v>0</v>
      </c>
      <c r="I1144" s="27">
        <f>일위대가목록!H251</f>
        <v>16708</v>
      </c>
      <c r="J1144" s="28">
        <f>TRUNC(I1144*C1144,1)</f>
        <v>56473</v>
      </c>
      <c r="K1144" s="27">
        <f>일위대가목록!J251</f>
        <v>0</v>
      </c>
      <c r="L1144" s="28">
        <f>TRUNC(K1144*C1144,1)</f>
        <v>0</v>
      </c>
      <c r="M1144" s="86" t="s">
        <v>2856</v>
      </c>
      <c r="N1144" t="s">
        <v>2856</v>
      </c>
      <c r="P1144" t="s">
        <v>1741</v>
      </c>
      <c r="Q1144" t="s">
        <v>2856</v>
      </c>
      <c r="R1144" t="s">
        <v>30</v>
      </c>
      <c r="T1144" t="s">
        <v>1778</v>
      </c>
      <c r="BI1144" s="34" t="str">
        <f>HYPERLINK("#일위대가목록!A246","N1030 →")</f>
        <v>N1030 →</v>
      </c>
    </row>
    <row r="1145" spans="1:61" ht="18.399999999999999" customHeight="1" x14ac:dyDescent="0.15">
      <c r="A1145" s="2" t="s">
        <v>832</v>
      </c>
      <c r="B1145" s="87" t="s">
        <v>610</v>
      </c>
      <c r="C1145" s="2">
        <v>7.2</v>
      </c>
      <c r="D1145" s="2" t="s">
        <v>1202</v>
      </c>
      <c r="E1145" s="27">
        <f t="shared" si="247"/>
        <v>45715</v>
      </c>
      <c r="F1145" s="28">
        <f t="shared" si="246"/>
        <v>329148</v>
      </c>
      <c r="G1145" s="27">
        <f>일위대가목록!F236</f>
        <v>11180</v>
      </c>
      <c r="H1145" s="28">
        <f t="shared" si="248"/>
        <v>80496</v>
      </c>
      <c r="I1145" s="27">
        <f>일위대가목록!H236</f>
        <v>34194</v>
      </c>
      <c r="J1145" s="28">
        <f>TRUNC(I1145*C1145,1)</f>
        <v>246196.8</v>
      </c>
      <c r="K1145" s="27">
        <f>일위대가목록!J236</f>
        <v>341</v>
      </c>
      <c r="L1145" s="28">
        <f>TRUNC(K1145*C1145,1)</f>
        <v>2455.1999999999998</v>
      </c>
      <c r="M1145" s="86" t="s">
        <v>2856</v>
      </c>
      <c r="N1145" t="s">
        <v>2856</v>
      </c>
      <c r="P1145" t="s">
        <v>1036</v>
      </c>
      <c r="Q1145" t="s">
        <v>2856</v>
      </c>
      <c r="R1145" t="s">
        <v>1998</v>
      </c>
      <c r="T1145" t="s">
        <v>1778</v>
      </c>
      <c r="BI1145" s="34" t="str">
        <f>HYPERLINK("#일위대가목록!A231","N1150 →")</f>
        <v>N1150 →</v>
      </c>
    </row>
    <row r="1146" spans="1:61" ht="18.399999999999999" customHeight="1" x14ac:dyDescent="0.15">
      <c r="A1146" s="2" t="s">
        <v>1632</v>
      </c>
      <c r="B1146" s="87" t="s">
        <v>2279</v>
      </c>
      <c r="C1146" s="2">
        <v>0.55000000000000004</v>
      </c>
      <c r="D1146" s="2" t="s">
        <v>2825</v>
      </c>
      <c r="E1146" s="27">
        <f t="shared" si="247"/>
        <v>89830</v>
      </c>
      <c r="F1146" s="28">
        <f t="shared" si="246"/>
        <v>49406.5</v>
      </c>
      <c r="G1146" s="27">
        <f>자재조서!E73</f>
        <v>89830</v>
      </c>
      <c r="H1146" s="28">
        <f t="shared" si="248"/>
        <v>49406.5</v>
      </c>
      <c r="I1146" s="27">
        <v>0</v>
      </c>
      <c r="J1146" s="28"/>
      <c r="K1146" s="27">
        <v>0</v>
      </c>
      <c r="L1146" s="28"/>
      <c r="M1146" s="86" t="s">
        <v>1601</v>
      </c>
      <c r="N1146" t="s">
        <v>2856</v>
      </c>
      <c r="P1146" t="s">
        <v>286</v>
      </c>
      <c r="Q1146" t="s">
        <v>1839</v>
      </c>
      <c r="R1146" t="s">
        <v>2547</v>
      </c>
      <c r="BI1146" s="34" t="str">
        <f>HYPERLINK("#자재조서!A70","MB-190-24 →")</f>
        <v>MB-190-24 →</v>
      </c>
    </row>
    <row r="1147" spans="1:61" ht="18.399999999999999" customHeight="1" x14ac:dyDescent="0.15">
      <c r="A1147" s="2" t="s">
        <v>54</v>
      </c>
      <c r="B1147" s="87" t="s">
        <v>1255</v>
      </c>
      <c r="C1147" s="2">
        <v>0.54</v>
      </c>
      <c r="D1147" s="2" t="s">
        <v>2825</v>
      </c>
      <c r="E1147" s="27">
        <f t="shared" si="247"/>
        <v>55166</v>
      </c>
      <c r="F1147" s="28">
        <f t="shared" si="246"/>
        <v>29789.5</v>
      </c>
      <c r="G1147" s="27">
        <f>일위대가목록!F235</f>
        <v>2538</v>
      </c>
      <c r="H1147" s="28">
        <f t="shared" si="248"/>
        <v>1370.5</v>
      </c>
      <c r="I1147" s="27">
        <f>일위대가목록!H235</f>
        <v>22449</v>
      </c>
      <c r="J1147" s="28">
        <f>TRUNC(I1147*C1147,1)</f>
        <v>12122.4</v>
      </c>
      <c r="K1147" s="27">
        <f>일위대가목록!J235</f>
        <v>30179</v>
      </c>
      <c r="L1147" s="28">
        <f>TRUNC(K1147*C1147,1)</f>
        <v>16296.6</v>
      </c>
      <c r="M1147" s="86" t="s">
        <v>2856</v>
      </c>
      <c r="N1147" t="s">
        <v>2856</v>
      </c>
      <c r="P1147" t="s">
        <v>2428</v>
      </c>
      <c r="Q1147" t="s">
        <v>2856</v>
      </c>
      <c r="R1147" t="s">
        <v>668</v>
      </c>
      <c r="T1147" t="s">
        <v>1778</v>
      </c>
      <c r="BI1147" s="34" t="str">
        <f>HYPERLINK("#일위대가목록!A230","N1380-24 →")</f>
        <v>N1380-24 →</v>
      </c>
    </row>
    <row r="1148" spans="1:61" ht="18.399999999999999" customHeight="1" x14ac:dyDescent="0.15">
      <c r="A1148" s="2" t="s">
        <v>485</v>
      </c>
      <c r="B1148" s="87" t="s">
        <v>1172</v>
      </c>
      <c r="C1148" s="2">
        <v>62.805999999999997</v>
      </c>
      <c r="D1148" s="2" t="s">
        <v>1674</v>
      </c>
      <c r="E1148" s="27">
        <f t="shared" si="247"/>
        <v>1210</v>
      </c>
      <c r="F1148" s="28">
        <f t="shared" si="246"/>
        <v>75995.199999999997</v>
      </c>
      <c r="G1148" s="27">
        <f>자재조서!E76</f>
        <v>1210</v>
      </c>
      <c r="H1148" s="28">
        <f t="shared" si="248"/>
        <v>75995.199999999997</v>
      </c>
      <c r="I1148" s="27">
        <v>0</v>
      </c>
      <c r="J1148" s="28"/>
      <c r="K1148" s="27">
        <v>0</v>
      </c>
      <c r="L1148" s="28"/>
      <c r="M1148" s="86" t="s">
        <v>2856</v>
      </c>
      <c r="N1148" t="s">
        <v>2856</v>
      </c>
      <c r="P1148" t="s">
        <v>1686</v>
      </c>
      <c r="Q1148" t="s">
        <v>2856</v>
      </c>
      <c r="R1148" t="s">
        <v>1687</v>
      </c>
      <c r="BI1148" s="34" t="str">
        <f>HYPERLINK("#자재조서!A73","MB-250-2 →")</f>
        <v>MB-250-2 →</v>
      </c>
    </row>
    <row r="1149" spans="1:61" ht="18.399999999999999" customHeight="1" x14ac:dyDescent="0.15">
      <c r="A1149" s="2" t="s">
        <v>1877</v>
      </c>
      <c r="B1149" s="87" t="s">
        <v>2492</v>
      </c>
      <c r="C1149" s="2">
        <v>1.728</v>
      </c>
      <c r="D1149" s="2" t="s">
        <v>1202</v>
      </c>
      <c r="E1149" s="27">
        <f t="shared" si="247"/>
        <v>10589</v>
      </c>
      <c r="F1149" s="28">
        <f t="shared" si="246"/>
        <v>18297.7</v>
      </c>
      <c r="G1149" s="27">
        <f>일위대가목록!F252</f>
        <v>1881</v>
      </c>
      <c r="H1149" s="28">
        <f t="shared" si="248"/>
        <v>3250.3</v>
      </c>
      <c r="I1149" s="27">
        <f>일위대가목록!H252</f>
        <v>8708</v>
      </c>
      <c r="J1149" s="28">
        <f>TRUNC(I1149*C1149,1)</f>
        <v>15047.4</v>
      </c>
      <c r="K1149" s="27">
        <f>일위대가목록!J252</f>
        <v>0</v>
      </c>
      <c r="L1149" s="28">
        <f>TRUNC(K1149*C1149,1)</f>
        <v>0</v>
      </c>
      <c r="M1149" s="86" t="s">
        <v>2856</v>
      </c>
      <c r="N1149" t="s">
        <v>2856</v>
      </c>
      <c r="P1149" t="s">
        <v>983</v>
      </c>
      <c r="Q1149" t="s">
        <v>2856</v>
      </c>
      <c r="R1149" t="s">
        <v>799</v>
      </c>
      <c r="T1149" t="s">
        <v>1778</v>
      </c>
      <c r="BI1149" s="34" t="str">
        <f>HYPERLINK("#일위대가목록!A247","N4665 →")</f>
        <v>N4665 →</v>
      </c>
    </row>
    <row r="1150" spans="1:61" ht="18.399999999999999" customHeight="1" x14ac:dyDescent="0.15">
      <c r="A1150" s="2" t="s">
        <v>1065</v>
      </c>
      <c r="B1150" s="87" t="s">
        <v>1019</v>
      </c>
      <c r="C1150" s="2">
        <v>84</v>
      </c>
      <c r="D1150" s="2" t="s">
        <v>773</v>
      </c>
      <c r="E1150" s="27">
        <f t="shared" si="247"/>
        <v>990</v>
      </c>
      <c r="F1150" s="28">
        <f t="shared" si="246"/>
        <v>83160</v>
      </c>
      <c r="G1150" s="27">
        <f>자재조서!E75</f>
        <v>990</v>
      </c>
      <c r="H1150" s="28">
        <f t="shared" si="248"/>
        <v>83160</v>
      </c>
      <c r="I1150" s="27">
        <v>0</v>
      </c>
      <c r="J1150" s="28"/>
      <c r="K1150" s="27">
        <v>0</v>
      </c>
      <c r="L1150" s="28"/>
      <c r="M1150" s="86" t="s">
        <v>2856</v>
      </c>
      <c r="N1150" t="s">
        <v>2856</v>
      </c>
      <c r="P1150" t="s">
        <v>248</v>
      </c>
      <c r="Q1150" t="s">
        <v>2856</v>
      </c>
      <c r="R1150" t="s">
        <v>141</v>
      </c>
      <c r="BI1150" s="34" t="str">
        <f>HYPERLINK("#자재조서!A72","MB-244-0 →")</f>
        <v>MB-244-0 →</v>
      </c>
    </row>
    <row r="1151" spans="1:61" ht="18.399999999999999" customHeight="1" x14ac:dyDescent="0.15">
      <c r="A1151" s="2" t="s">
        <v>331</v>
      </c>
      <c r="B1151" s="87" t="s">
        <v>33</v>
      </c>
      <c r="C1151" s="2">
        <v>63</v>
      </c>
      <c r="D1151" s="2" t="s">
        <v>1670</v>
      </c>
      <c r="E1151" s="27">
        <f t="shared" si="247"/>
        <v>9550</v>
      </c>
      <c r="F1151" s="28">
        <f t="shared" si="246"/>
        <v>601650</v>
      </c>
      <c r="G1151" s="27">
        <f>자재조서!E51</f>
        <v>9550</v>
      </c>
      <c r="H1151" s="28">
        <f t="shared" si="248"/>
        <v>601650</v>
      </c>
      <c r="I1151" s="27">
        <v>0</v>
      </c>
      <c r="J1151" s="28"/>
      <c r="K1151" s="27">
        <v>0</v>
      </c>
      <c r="L1151" s="28"/>
      <c r="M1151" s="86" t="s">
        <v>2856</v>
      </c>
      <c r="N1151" t="s">
        <v>2856</v>
      </c>
      <c r="P1151" t="s">
        <v>241</v>
      </c>
      <c r="Q1151" t="s">
        <v>2856</v>
      </c>
      <c r="R1151" t="s">
        <v>587</v>
      </c>
      <c r="BI1151" s="34" t="str">
        <f>HYPERLINK("#자재조서!A50","MB-0001-1 →")</f>
        <v>MB-0001-1 →</v>
      </c>
    </row>
    <row r="1152" spans="1:61" ht="18.399999999999999" customHeight="1" x14ac:dyDescent="0.15">
      <c r="A1152" s="2" t="s">
        <v>331</v>
      </c>
      <c r="B1152" s="87" t="s">
        <v>850</v>
      </c>
      <c r="C1152" s="2">
        <v>99.23</v>
      </c>
      <c r="D1152" s="2" t="s">
        <v>1670</v>
      </c>
      <c r="E1152" s="27">
        <f t="shared" si="247"/>
        <v>4610</v>
      </c>
      <c r="F1152" s="28">
        <f t="shared" si="246"/>
        <v>457450.3</v>
      </c>
      <c r="G1152" s="27">
        <f>자재조서!E52</f>
        <v>4610</v>
      </c>
      <c r="H1152" s="28">
        <f t="shared" si="248"/>
        <v>457450.3</v>
      </c>
      <c r="I1152" s="27">
        <v>0</v>
      </c>
      <c r="J1152" s="28"/>
      <c r="K1152" s="27">
        <v>0</v>
      </c>
      <c r="L1152" s="28"/>
      <c r="M1152" s="86" t="s">
        <v>2856</v>
      </c>
      <c r="N1152" t="s">
        <v>2856</v>
      </c>
      <c r="P1152" t="s">
        <v>954</v>
      </c>
      <c r="Q1152" t="s">
        <v>2856</v>
      </c>
      <c r="R1152" t="s">
        <v>1596</v>
      </c>
      <c r="BI1152" s="34" t="str">
        <f>HYPERLINK("#자재조서!A51","MB-0001-2 →")</f>
        <v>MB-0001-2 →</v>
      </c>
    </row>
    <row r="1153" spans="1:61" ht="18.399999999999999" customHeight="1" x14ac:dyDescent="0.15">
      <c r="A1153" s="2" t="s">
        <v>567</v>
      </c>
      <c r="B1153" s="87" t="s">
        <v>708</v>
      </c>
      <c r="C1153" s="2">
        <v>0.79</v>
      </c>
      <c r="D1153" s="2" t="s">
        <v>978</v>
      </c>
      <c r="E1153" s="27">
        <f t="shared" si="247"/>
        <v>1613956</v>
      </c>
      <c r="F1153" s="28">
        <f t="shared" si="246"/>
        <v>1275025.2000000002</v>
      </c>
      <c r="G1153" s="27">
        <f>일위대가목록!F253</f>
        <v>0</v>
      </c>
      <c r="H1153" s="28">
        <f t="shared" si="248"/>
        <v>0</v>
      </c>
      <c r="I1153" s="27">
        <f>일위대가목록!H253</f>
        <v>1567947</v>
      </c>
      <c r="J1153" s="28">
        <f>TRUNC(I1153*C1153,1)</f>
        <v>1238678.1000000001</v>
      </c>
      <c r="K1153" s="27">
        <f>일위대가목록!J253</f>
        <v>46009</v>
      </c>
      <c r="L1153" s="28">
        <f>TRUNC(K1153*C1153,1)</f>
        <v>36347.1</v>
      </c>
      <c r="M1153" s="86" t="s">
        <v>2856</v>
      </c>
      <c r="N1153" t="s">
        <v>2856</v>
      </c>
      <c r="P1153" t="s">
        <v>1677</v>
      </c>
      <c r="Q1153" t="s">
        <v>2856</v>
      </c>
      <c r="R1153" t="s">
        <v>614</v>
      </c>
      <c r="T1153" t="s">
        <v>1778</v>
      </c>
      <c r="BI1153" s="34" t="str">
        <f>HYPERLINK("#일위대가목록!A248","N0211-24 →")</f>
        <v>N0211-24 →</v>
      </c>
    </row>
    <row r="1154" spans="1:61" ht="18.399999999999999" customHeight="1" x14ac:dyDescent="0.15">
      <c r="A1154" s="2" t="s">
        <v>1470</v>
      </c>
      <c r="B1154" s="87" t="s">
        <v>1226</v>
      </c>
      <c r="C1154" s="2">
        <v>46.4</v>
      </c>
      <c r="D1154" s="2" t="s">
        <v>1202</v>
      </c>
      <c r="E1154" s="27">
        <f t="shared" si="247"/>
        <v>66000</v>
      </c>
      <c r="F1154" s="28">
        <f t="shared" si="246"/>
        <v>3062400</v>
      </c>
      <c r="G1154" s="27">
        <f>자재조서!E56</f>
        <v>66000</v>
      </c>
      <c r="H1154" s="28">
        <f t="shared" si="248"/>
        <v>3062400</v>
      </c>
      <c r="I1154" s="27">
        <v>0</v>
      </c>
      <c r="J1154" s="28"/>
      <c r="K1154" s="27">
        <v>0</v>
      </c>
      <c r="L1154" s="28"/>
      <c r="M1154" s="86" t="s">
        <v>1601</v>
      </c>
      <c r="N1154" t="s">
        <v>2856</v>
      </c>
      <c r="P1154" t="s">
        <v>2389</v>
      </c>
      <c r="Q1154" t="s">
        <v>1839</v>
      </c>
      <c r="R1154" t="s">
        <v>936</v>
      </c>
      <c r="W1154" t="s">
        <v>1601</v>
      </c>
      <c r="AA1154" s="42" t="s">
        <v>2127</v>
      </c>
      <c r="AB1154" s="8">
        <f>'일위대가_호표(신규)'!H1154*0.06</f>
        <v>183744</v>
      </c>
      <c r="AC1154" s="42" t="s">
        <v>2369</v>
      </c>
      <c r="AD1154" s="7">
        <f>$AB1154</f>
        <v>183744</v>
      </c>
      <c r="BI1154" s="34" t="str">
        <f>HYPERLINK("#자재조서!A53","MB-0011 →")</f>
        <v>MB-0011 →</v>
      </c>
    </row>
    <row r="1155" spans="1:61" ht="18.399999999999999" customHeight="1" x14ac:dyDescent="0.15">
      <c r="A1155" s="2" t="s">
        <v>323</v>
      </c>
      <c r="B1155" s="87" t="s">
        <v>503</v>
      </c>
      <c r="C1155" s="2">
        <v>6</v>
      </c>
      <c r="D1155" s="2" t="s">
        <v>588</v>
      </c>
      <c r="E1155" s="27">
        <f t="shared" si="247"/>
        <v>0</v>
      </c>
      <c r="F1155" s="28">
        <f t="shared" si="246"/>
        <v>183744</v>
      </c>
      <c r="G1155" s="1"/>
      <c r="H1155" s="28">
        <f>TRUNC((H1154*0.06),1)</f>
        <v>183744</v>
      </c>
      <c r="I1155" s="1"/>
      <c r="J1155" s="28">
        <v>0</v>
      </c>
      <c r="K1155" s="1"/>
      <c r="L1155" s="28">
        <v>0</v>
      </c>
      <c r="M1155" s="86" t="s">
        <v>2856</v>
      </c>
      <c r="N1155" t="s">
        <v>2856</v>
      </c>
      <c r="P1155" t="s">
        <v>1769</v>
      </c>
      <c r="Q1155" t="s">
        <v>2856</v>
      </c>
      <c r="R1155" t="s">
        <v>2405</v>
      </c>
      <c r="X1155" t="s">
        <v>2552</v>
      </c>
    </row>
    <row r="1156" spans="1:61" ht="18.399999999999999" customHeight="1" x14ac:dyDescent="0.15">
      <c r="A1156" s="2" t="s">
        <v>982</v>
      </c>
      <c r="B1156" s="87" t="s">
        <v>2232</v>
      </c>
      <c r="C1156" s="2">
        <v>42.19</v>
      </c>
      <c r="D1156" s="2" t="s">
        <v>1202</v>
      </c>
      <c r="E1156" s="27">
        <f t="shared" si="247"/>
        <v>55826</v>
      </c>
      <c r="F1156" s="28">
        <f t="shared" si="246"/>
        <v>2355298.9</v>
      </c>
      <c r="G1156" s="27">
        <f>일위대가목록!F254</f>
        <v>0</v>
      </c>
      <c r="H1156" s="28">
        <f>TRUNC(G1156*C1156,1)</f>
        <v>0</v>
      </c>
      <c r="I1156" s="27">
        <f>일위대가목록!H254</f>
        <v>55826</v>
      </c>
      <c r="J1156" s="28">
        <f>TRUNC(I1156*C1156,1)</f>
        <v>2355298.9</v>
      </c>
      <c r="K1156" s="27">
        <f>일위대가목록!J254</f>
        <v>0</v>
      </c>
      <c r="L1156" s="28">
        <f>TRUNC(K1156*C1156,1)</f>
        <v>0</v>
      </c>
      <c r="M1156" s="86" t="s">
        <v>2856</v>
      </c>
      <c r="N1156" t="s">
        <v>2856</v>
      </c>
      <c r="P1156" t="s">
        <v>904</v>
      </c>
      <c r="Q1156" t="s">
        <v>2856</v>
      </c>
      <c r="R1156" t="s">
        <v>1522</v>
      </c>
      <c r="T1156" t="s">
        <v>1778</v>
      </c>
      <c r="BI1156" s="34" t="str">
        <f>HYPERLINK("#일위대가목록!A249","N0201-24 →")</f>
        <v>N0201-24 →</v>
      </c>
    </row>
    <row r="1157" spans="1:61" ht="18.399999999999999" customHeight="1" x14ac:dyDescent="0.15">
      <c r="A1157" s="2" t="s">
        <v>1188</v>
      </c>
      <c r="B1157" s="87" t="s">
        <v>2848</v>
      </c>
      <c r="C1157" s="2">
        <v>105.46</v>
      </c>
      <c r="D1157" s="2" t="s">
        <v>1202</v>
      </c>
      <c r="E1157" s="27">
        <f t="shared" si="247"/>
        <v>12165</v>
      </c>
      <c r="F1157" s="28">
        <f t="shared" si="246"/>
        <v>1282920.7999999998</v>
      </c>
      <c r="G1157" s="27">
        <f>일위대가목록!F255</f>
        <v>1188</v>
      </c>
      <c r="H1157" s="28">
        <f>TRUNC(G1157*C1157,1)</f>
        <v>125286.39999999999</v>
      </c>
      <c r="I1157" s="27">
        <f>일위대가목록!H255</f>
        <v>10762</v>
      </c>
      <c r="J1157" s="28">
        <f>TRUNC(I1157*C1157,1)</f>
        <v>1134960.5</v>
      </c>
      <c r="K1157" s="27">
        <f>일위대가목록!J255</f>
        <v>215</v>
      </c>
      <c r="L1157" s="28">
        <f>TRUNC(K1157*C1157,1)</f>
        <v>22673.9</v>
      </c>
      <c r="M1157" s="86" t="s">
        <v>2856</v>
      </c>
      <c r="N1157" t="s">
        <v>2856</v>
      </c>
      <c r="P1157" t="s">
        <v>1640</v>
      </c>
      <c r="Q1157" t="s">
        <v>2856</v>
      </c>
      <c r="R1157" t="s">
        <v>1058</v>
      </c>
      <c r="T1157" t="s">
        <v>1778</v>
      </c>
      <c r="BI1157" s="34" t="str">
        <f>HYPERLINK("#일위대가목록!A250","N4550 →")</f>
        <v>N4550 →</v>
      </c>
    </row>
    <row r="1158" spans="1:61" ht="18.399999999999999" customHeight="1" x14ac:dyDescent="0.15">
      <c r="A1158" s="66" t="s">
        <v>3046</v>
      </c>
      <c r="B1158" s="175" t="s">
        <v>3245</v>
      </c>
      <c r="C1158" s="63"/>
      <c r="D1158" s="63"/>
      <c r="E1158" s="64"/>
      <c r="F1158" s="65">
        <f t="shared" si="246"/>
        <v>6021596</v>
      </c>
      <c r="G1158" s="66"/>
      <c r="H1158" s="65">
        <f>TRUNC(H1141*$B$1158)</f>
        <v>1407546</v>
      </c>
      <c r="I1158" s="66"/>
      <c r="J1158" s="65">
        <f>TRUNC(J1141*$B$1158)</f>
        <v>4546159</v>
      </c>
      <c r="K1158" s="66"/>
      <c r="L1158" s="65">
        <f>TRUNC(L1141*$B$1158)</f>
        <v>67891</v>
      </c>
      <c r="M1158" s="186"/>
      <c r="AA1158" s="42"/>
      <c r="AB1158" s="8"/>
      <c r="AC1158" s="42"/>
      <c r="AD1158" s="7"/>
    </row>
    <row r="1159" spans="1:61" ht="18.399999999999999" customHeight="1" x14ac:dyDescent="0.15">
      <c r="A1159" s="1"/>
      <c r="B1159" s="87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87"/>
    </row>
    <row r="1160" spans="1:61" ht="18.399999999999999" hidden="1" customHeight="1" x14ac:dyDescent="0.15">
      <c r="A1160" s="2" t="s">
        <v>2553</v>
      </c>
      <c r="B1160" s="87" t="s">
        <v>2202</v>
      </c>
      <c r="C1160" s="2">
        <v>1</v>
      </c>
      <c r="D1160" s="2" t="s">
        <v>1796</v>
      </c>
      <c r="E1160" s="184"/>
      <c r="F1160" s="29">
        <f t="shared" ref="F1160:F1176" si="249">H1160+J1160+L1160</f>
        <v>6909956</v>
      </c>
      <c r="G1160" s="184"/>
      <c r="H1160" s="29">
        <f>TRUNC(H1161+H1162+H1163+H1164+H1166+H1167+H1168+H1169+H1170+H1171+H1172+H1174+H1175+H1176,0)</f>
        <v>1667574</v>
      </c>
      <c r="I1160" s="184"/>
      <c r="J1160" s="29">
        <f>TRUNC(J1161+J1162+J1163+J1164+J1166+J1167+J1168+J1169+J1170+J1171+J1172+J1174+J1175+J1176,0)</f>
        <v>5157115</v>
      </c>
      <c r="K1160" s="184"/>
      <c r="L1160" s="29">
        <f>TRUNC(L1161+L1162+L1163+L1164+L1166+L1167+L1168+L1169+L1170+L1171+L1172+L1174+L1175+L1176,0)</f>
        <v>85267</v>
      </c>
      <c r="M1160" s="86" t="s">
        <v>2856</v>
      </c>
      <c r="N1160" t="s">
        <v>2856</v>
      </c>
      <c r="O1160" t="s">
        <v>519</v>
      </c>
    </row>
    <row r="1161" spans="1:61" ht="18.399999999999999" hidden="1" customHeight="1" x14ac:dyDescent="0.15">
      <c r="A1161" s="2" t="s">
        <v>1163</v>
      </c>
      <c r="B1161" s="87" t="s">
        <v>1879</v>
      </c>
      <c r="C1161" s="2">
        <v>5.88</v>
      </c>
      <c r="D1161" s="2" t="s">
        <v>2825</v>
      </c>
      <c r="E1161" s="27">
        <f t="shared" ref="E1161:E1176" si="250">G1161+I1161+K1161</f>
        <v>33416</v>
      </c>
      <c r="F1161" s="28">
        <f t="shared" si="249"/>
        <v>196486</v>
      </c>
      <c r="G1161" s="27">
        <f>일위대가목록!F249</f>
        <v>0</v>
      </c>
      <c r="H1161" s="28">
        <f t="shared" ref="H1161:H1173" si="251">TRUNC(G1161*C1161,1)</f>
        <v>0</v>
      </c>
      <c r="I1161" s="27">
        <f>일위대가목록!H249</f>
        <v>33416</v>
      </c>
      <c r="J1161" s="28">
        <f>TRUNC(I1161*C1161,1)</f>
        <v>196486</v>
      </c>
      <c r="K1161" s="27">
        <f>일위대가목록!J249</f>
        <v>0</v>
      </c>
      <c r="L1161" s="28">
        <f>TRUNC(K1161*C1161,1)</f>
        <v>0</v>
      </c>
      <c r="M1161" s="86" t="s">
        <v>2856</v>
      </c>
      <c r="N1161" t="s">
        <v>2856</v>
      </c>
      <c r="P1161" t="s">
        <v>334</v>
      </c>
      <c r="Q1161" t="s">
        <v>2856</v>
      </c>
      <c r="R1161" t="s">
        <v>786</v>
      </c>
      <c r="T1161" t="s">
        <v>1778</v>
      </c>
      <c r="BI1161" s="34" t="str">
        <f>HYPERLINK("#일위대가목록!A244","N1060 →")</f>
        <v>N1060 →</v>
      </c>
    </row>
    <row r="1162" spans="1:61" ht="18.399999999999999" hidden="1" customHeight="1" x14ac:dyDescent="0.15">
      <c r="A1162" s="2" t="s">
        <v>1112</v>
      </c>
      <c r="B1162" s="87" t="s">
        <v>394</v>
      </c>
      <c r="C1162" s="2">
        <v>0.81</v>
      </c>
      <c r="D1162" s="2" t="s">
        <v>2825</v>
      </c>
      <c r="E1162" s="27">
        <f t="shared" si="250"/>
        <v>33416</v>
      </c>
      <c r="F1162" s="28">
        <f t="shared" si="249"/>
        <v>27066.9</v>
      </c>
      <c r="G1162" s="27">
        <f>일위대가목록!F250</f>
        <v>0</v>
      </c>
      <c r="H1162" s="28">
        <f t="shared" si="251"/>
        <v>0</v>
      </c>
      <c r="I1162" s="27">
        <f>일위대가목록!H250</f>
        <v>33416</v>
      </c>
      <c r="J1162" s="28">
        <f>TRUNC(I1162*C1162,1)</f>
        <v>27066.9</v>
      </c>
      <c r="K1162" s="27">
        <f>일위대가목록!J250</f>
        <v>0</v>
      </c>
      <c r="L1162" s="28">
        <f>TRUNC(K1162*C1162,1)</f>
        <v>0</v>
      </c>
      <c r="M1162" s="86" t="s">
        <v>2856</v>
      </c>
      <c r="N1162" t="s">
        <v>2856</v>
      </c>
      <c r="P1162" t="s">
        <v>2471</v>
      </c>
      <c r="Q1162" t="s">
        <v>2856</v>
      </c>
      <c r="R1162" t="s">
        <v>1013</v>
      </c>
      <c r="T1162" t="s">
        <v>1778</v>
      </c>
      <c r="BI1162" s="34" t="str">
        <f>HYPERLINK("#일위대가목록!A245","N0850 →")</f>
        <v>N0850 →</v>
      </c>
    </row>
    <row r="1163" spans="1:61" ht="18.399999999999999" hidden="1" customHeight="1" x14ac:dyDescent="0.15">
      <c r="A1163" s="2" t="s">
        <v>2451</v>
      </c>
      <c r="B1163" s="87" t="s">
        <v>129</v>
      </c>
      <c r="C1163" s="2">
        <v>5.07</v>
      </c>
      <c r="D1163" s="2" t="s">
        <v>2825</v>
      </c>
      <c r="E1163" s="27">
        <f t="shared" si="250"/>
        <v>16708</v>
      </c>
      <c r="F1163" s="28">
        <f t="shared" si="249"/>
        <v>84709.5</v>
      </c>
      <c r="G1163" s="27">
        <f>일위대가목록!F251</f>
        <v>0</v>
      </c>
      <c r="H1163" s="28">
        <f t="shared" si="251"/>
        <v>0</v>
      </c>
      <c r="I1163" s="27">
        <f>일위대가목록!H251</f>
        <v>16708</v>
      </c>
      <c r="J1163" s="28">
        <f>TRUNC(I1163*C1163,1)</f>
        <v>84709.5</v>
      </c>
      <c r="K1163" s="27">
        <f>일위대가목록!J251</f>
        <v>0</v>
      </c>
      <c r="L1163" s="28">
        <f>TRUNC(K1163*C1163,1)</f>
        <v>0</v>
      </c>
      <c r="M1163" s="86" t="s">
        <v>2856</v>
      </c>
      <c r="N1163" t="s">
        <v>2856</v>
      </c>
      <c r="P1163" t="s">
        <v>1741</v>
      </c>
      <c r="Q1163" t="s">
        <v>2856</v>
      </c>
      <c r="R1163" t="s">
        <v>30</v>
      </c>
      <c r="T1163" t="s">
        <v>1778</v>
      </c>
      <c r="BI1163" s="34" t="str">
        <f>HYPERLINK("#일위대가목록!A246","N1030 →")</f>
        <v>N1030 →</v>
      </c>
    </row>
    <row r="1164" spans="1:61" ht="18.399999999999999" hidden="1" customHeight="1" x14ac:dyDescent="0.15">
      <c r="A1164" s="2" t="s">
        <v>832</v>
      </c>
      <c r="B1164" s="87" t="s">
        <v>610</v>
      </c>
      <c r="C1164" s="2">
        <v>10.8</v>
      </c>
      <c r="D1164" s="2" t="s">
        <v>1202</v>
      </c>
      <c r="E1164" s="27">
        <f t="shared" si="250"/>
        <v>45715</v>
      </c>
      <c r="F1164" s="28">
        <f t="shared" si="249"/>
        <v>493722</v>
      </c>
      <c r="G1164" s="27">
        <f>일위대가목록!F236</f>
        <v>11180</v>
      </c>
      <c r="H1164" s="28">
        <f t="shared" si="251"/>
        <v>120744</v>
      </c>
      <c r="I1164" s="27">
        <f>일위대가목록!H236</f>
        <v>34194</v>
      </c>
      <c r="J1164" s="28">
        <f>TRUNC(I1164*C1164,1)</f>
        <v>369295.2</v>
      </c>
      <c r="K1164" s="27">
        <f>일위대가목록!J236</f>
        <v>341</v>
      </c>
      <c r="L1164" s="28">
        <f>TRUNC(K1164*C1164,1)</f>
        <v>3682.8</v>
      </c>
      <c r="M1164" s="86" t="s">
        <v>2856</v>
      </c>
      <c r="N1164" t="s">
        <v>2856</v>
      </c>
      <c r="P1164" t="s">
        <v>1036</v>
      </c>
      <c r="Q1164" t="s">
        <v>2856</v>
      </c>
      <c r="R1164" t="s">
        <v>1998</v>
      </c>
      <c r="T1164" t="s">
        <v>1778</v>
      </c>
      <c r="BI1164" s="34" t="str">
        <f>HYPERLINK("#일위대가목록!A231","N1150 →")</f>
        <v>N1150 →</v>
      </c>
    </row>
    <row r="1165" spans="1:61" ht="18.399999999999999" hidden="1" customHeight="1" x14ac:dyDescent="0.15">
      <c r="A1165" s="2" t="s">
        <v>1632</v>
      </c>
      <c r="B1165" s="87" t="s">
        <v>2279</v>
      </c>
      <c r="C1165" s="2">
        <v>0.83</v>
      </c>
      <c r="D1165" s="2" t="s">
        <v>2825</v>
      </c>
      <c r="E1165" s="27">
        <f t="shared" si="250"/>
        <v>89830</v>
      </c>
      <c r="F1165" s="28">
        <f t="shared" si="249"/>
        <v>74558.899999999994</v>
      </c>
      <c r="G1165" s="27">
        <f>자재조서!E73</f>
        <v>89830</v>
      </c>
      <c r="H1165" s="28">
        <f t="shared" si="251"/>
        <v>74558.899999999994</v>
      </c>
      <c r="I1165" s="27">
        <v>0</v>
      </c>
      <c r="J1165" s="28"/>
      <c r="K1165" s="27">
        <v>0</v>
      </c>
      <c r="L1165" s="28"/>
      <c r="M1165" s="86" t="s">
        <v>2856</v>
      </c>
      <c r="N1165" t="s">
        <v>2856</v>
      </c>
      <c r="P1165" t="s">
        <v>286</v>
      </c>
      <c r="Q1165" t="s">
        <v>1839</v>
      </c>
      <c r="R1165" t="s">
        <v>2547</v>
      </c>
      <c r="BI1165" s="34" t="str">
        <f>HYPERLINK("#자재조서!A70","MB-190-24 →")</f>
        <v>MB-190-24 →</v>
      </c>
    </row>
    <row r="1166" spans="1:61" ht="18.399999999999999" hidden="1" customHeight="1" x14ac:dyDescent="0.15">
      <c r="A1166" s="2" t="s">
        <v>54</v>
      </c>
      <c r="B1166" s="87" t="s">
        <v>1255</v>
      </c>
      <c r="C1166" s="2">
        <v>0.81</v>
      </c>
      <c r="D1166" s="2" t="s">
        <v>2825</v>
      </c>
      <c r="E1166" s="27">
        <f t="shared" si="250"/>
        <v>55166</v>
      </c>
      <c r="F1166" s="28">
        <f t="shared" si="249"/>
        <v>44684.2</v>
      </c>
      <c r="G1166" s="27">
        <f>일위대가목록!F235</f>
        <v>2538</v>
      </c>
      <c r="H1166" s="28">
        <f t="shared" si="251"/>
        <v>2055.6999999999998</v>
      </c>
      <c r="I1166" s="27">
        <f>일위대가목록!H235</f>
        <v>22449</v>
      </c>
      <c r="J1166" s="28">
        <f>TRUNC(I1166*C1166,1)</f>
        <v>18183.599999999999</v>
      </c>
      <c r="K1166" s="27">
        <f>일위대가목록!J235</f>
        <v>30179</v>
      </c>
      <c r="L1166" s="28">
        <f>TRUNC(K1166*C1166,1)</f>
        <v>24444.9</v>
      </c>
      <c r="M1166" s="86" t="s">
        <v>2856</v>
      </c>
      <c r="N1166" t="s">
        <v>2856</v>
      </c>
      <c r="P1166" t="s">
        <v>2428</v>
      </c>
      <c r="Q1166" t="s">
        <v>2856</v>
      </c>
      <c r="R1166" t="s">
        <v>668</v>
      </c>
      <c r="T1166" t="s">
        <v>1778</v>
      </c>
      <c r="BI1166" s="34" t="str">
        <f>HYPERLINK("#일위대가목록!A230","N1380-24 →")</f>
        <v>N1380-24 →</v>
      </c>
    </row>
    <row r="1167" spans="1:61" ht="18.399999999999999" hidden="1" customHeight="1" x14ac:dyDescent="0.15">
      <c r="A1167" s="2" t="s">
        <v>485</v>
      </c>
      <c r="B1167" s="87" t="s">
        <v>1172</v>
      </c>
      <c r="C1167" s="2">
        <v>94.207999999999998</v>
      </c>
      <c r="D1167" s="2" t="s">
        <v>1674</v>
      </c>
      <c r="E1167" s="27">
        <f t="shared" si="250"/>
        <v>1210</v>
      </c>
      <c r="F1167" s="28">
        <f t="shared" si="249"/>
        <v>113991.6</v>
      </c>
      <c r="G1167" s="27">
        <f>자재조서!E76</f>
        <v>1210</v>
      </c>
      <c r="H1167" s="28">
        <f t="shared" si="251"/>
        <v>113991.6</v>
      </c>
      <c r="I1167" s="27">
        <v>0</v>
      </c>
      <c r="J1167" s="28"/>
      <c r="K1167" s="27">
        <v>0</v>
      </c>
      <c r="L1167" s="28"/>
      <c r="M1167" s="86" t="s">
        <v>2856</v>
      </c>
      <c r="N1167" t="s">
        <v>2856</v>
      </c>
      <c r="P1167" t="s">
        <v>1686</v>
      </c>
      <c r="Q1167" t="s">
        <v>2856</v>
      </c>
      <c r="R1167" t="s">
        <v>1687</v>
      </c>
      <c r="BI1167" s="34" t="str">
        <f>HYPERLINK("#자재조서!A73","MB-250-2 →")</f>
        <v>MB-250-2 →</v>
      </c>
    </row>
    <row r="1168" spans="1:61" ht="18.399999999999999" hidden="1" customHeight="1" x14ac:dyDescent="0.15">
      <c r="A1168" s="2" t="s">
        <v>1877</v>
      </c>
      <c r="B1168" s="87" t="s">
        <v>2492</v>
      </c>
      <c r="C1168" s="2">
        <v>2.59</v>
      </c>
      <c r="D1168" s="2" t="s">
        <v>1202</v>
      </c>
      <c r="E1168" s="27">
        <f t="shared" si="250"/>
        <v>10589</v>
      </c>
      <c r="F1168" s="28">
        <f t="shared" si="249"/>
        <v>27425.4</v>
      </c>
      <c r="G1168" s="27">
        <f>일위대가목록!F252</f>
        <v>1881</v>
      </c>
      <c r="H1168" s="28">
        <f t="shared" si="251"/>
        <v>4871.7</v>
      </c>
      <c r="I1168" s="27">
        <f>일위대가목록!H252</f>
        <v>8708</v>
      </c>
      <c r="J1168" s="28">
        <f>TRUNC(I1168*C1168,1)</f>
        <v>22553.7</v>
      </c>
      <c r="K1168" s="27">
        <f>일위대가목록!J252</f>
        <v>0</v>
      </c>
      <c r="L1168" s="28">
        <f>TRUNC(K1168*C1168,1)</f>
        <v>0</v>
      </c>
      <c r="M1168" s="86" t="s">
        <v>2856</v>
      </c>
      <c r="N1168" t="s">
        <v>2856</v>
      </c>
      <c r="P1168" t="s">
        <v>983</v>
      </c>
      <c r="Q1168" t="s">
        <v>2856</v>
      </c>
      <c r="R1168" t="s">
        <v>799</v>
      </c>
      <c r="T1168" t="s">
        <v>1778</v>
      </c>
      <c r="BI1168" s="34" t="str">
        <f>HYPERLINK("#일위대가목록!A247","N4665 →")</f>
        <v>N4665 →</v>
      </c>
    </row>
    <row r="1169" spans="1:61" ht="18.399999999999999" hidden="1" customHeight="1" x14ac:dyDescent="0.15">
      <c r="A1169" s="2" t="s">
        <v>1065</v>
      </c>
      <c r="B1169" s="87" t="s">
        <v>1019</v>
      </c>
      <c r="C1169" s="2">
        <v>126</v>
      </c>
      <c r="D1169" s="2" t="s">
        <v>773</v>
      </c>
      <c r="E1169" s="27">
        <f t="shared" si="250"/>
        <v>990</v>
      </c>
      <c r="F1169" s="28">
        <f t="shared" si="249"/>
        <v>124740</v>
      </c>
      <c r="G1169" s="27">
        <f>자재조서!E75</f>
        <v>990</v>
      </c>
      <c r="H1169" s="28">
        <f t="shared" si="251"/>
        <v>124740</v>
      </c>
      <c r="I1169" s="27">
        <v>0</v>
      </c>
      <c r="J1169" s="28"/>
      <c r="K1169" s="27">
        <v>0</v>
      </c>
      <c r="L1169" s="28"/>
      <c r="M1169" s="86" t="s">
        <v>2856</v>
      </c>
      <c r="N1169" t="s">
        <v>2856</v>
      </c>
      <c r="P1169" t="s">
        <v>248</v>
      </c>
      <c r="Q1169" t="s">
        <v>2856</v>
      </c>
      <c r="R1169" t="s">
        <v>141</v>
      </c>
      <c r="BI1169" s="34" t="str">
        <f>HYPERLINK("#자재조서!A72","MB-244-0 →")</f>
        <v>MB-244-0 →</v>
      </c>
    </row>
    <row r="1170" spans="1:61" ht="18.399999999999999" hidden="1" customHeight="1" x14ac:dyDescent="0.15">
      <c r="A1170" s="2" t="s">
        <v>331</v>
      </c>
      <c r="B1170" s="87" t="s">
        <v>33</v>
      </c>
      <c r="C1170" s="2">
        <v>58.49</v>
      </c>
      <c r="D1170" s="2" t="s">
        <v>1670</v>
      </c>
      <c r="E1170" s="27">
        <f t="shared" si="250"/>
        <v>9550</v>
      </c>
      <c r="F1170" s="28">
        <f t="shared" si="249"/>
        <v>558579.5</v>
      </c>
      <c r="G1170" s="27">
        <f>자재조서!E51</f>
        <v>9550</v>
      </c>
      <c r="H1170" s="28">
        <f t="shared" si="251"/>
        <v>558579.5</v>
      </c>
      <c r="I1170" s="27">
        <v>0</v>
      </c>
      <c r="J1170" s="28"/>
      <c r="K1170" s="27">
        <v>0</v>
      </c>
      <c r="L1170" s="28"/>
      <c r="M1170" s="86" t="s">
        <v>2856</v>
      </c>
      <c r="N1170" t="s">
        <v>2856</v>
      </c>
      <c r="P1170" t="s">
        <v>241</v>
      </c>
      <c r="Q1170" t="s">
        <v>2856</v>
      </c>
      <c r="R1170" t="s">
        <v>587</v>
      </c>
      <c r="BI1170" s="34" t="str">
        <f>HYPERLINK("#자재조서!A50","MB-0001-1 →")</f>
        <v>MB-0001-1 →</v>
      </c>
    </row>
    <row r="1171" spans="1:61" ht="18.399999999999999" hidden="1" customHeight="1" x14ac:dyDescent="0.15">
      <c r="A1171" s="2" t="s">
        <v>331</v>
      </c>
      <c r="B1171" s="87" t="s">
        <v>850</v>
      </c>
      <c r="C1171" s="2">
        <v>99.61</v>
      </c>
      <c r="D1171" s="2" t="s">
        <v>1670</v>
      </c>
      <c r="E1171" s="27">
        <f t="shared" si="250"/>
        <v>4610</v>
      </c>
      <c r="F1171" s="28">
        <f t="shared" si="249"/>
        <v>459202.1</v>
      </c>
      <c r="G1171" s="27">
        <f>자재조서!E52</f>
        <v>4610</v>
      </c>
      <c r="H1171" s="28">
        <f t="shared" si="251"/>
        <v>459202.1</v>
      </c>
      <c r="I1171" s="27">
        <v>0</v>
      </c>
      <c r="J1171" s="28"/>
      <c r="K1171" s="27">
        <v>0</v>
      </c>
      <c r="L1171" s="28"/>
      <c r="M1171" s="86" t="s">
        <v>2856</v>
      </c>
      <c r="N1171" t="s">
        <v>2856</v>
      </c>
      <c r="P1171" t="s">
        <v>954</v>
      </c>
      <c r="Q1171" t="s">
        <v>2856</v>
      </c>
      <c r="R1171" t="s">
        <v>1596</v>
      </c>
      <c r="BI1171" s="34" t="str">
        <f>HYPERLINK("#자재조서!A51","MB-0001-2 →")</f>
        <v>MB-0001-2 →</v>
      </c>
    </row>
    <row r="1172" spans="1:61" ht="18.399999999999999" hidden="1" customHeight="1" x14ac:dyDescent="0.15">
      <c r="A1172" s="2" t="s">
        <v>567</v>
      </c>
      <c r="B1172" s="87" t="s">
        <v>708</v>
      </c>
      <c r="C1172" s="2">
        <v>0.79</v>
      </c>
      <c r="D1172" s="2" t="s">
        <v>978</v>
      </c>
      <c r="E1172" s="27">
        <f t="shared" si="250"/>
        <v>1613956</v>
      </c>
      <c r="F1172" s="28">
        <f t="shared" si="249"/>
        <v>1275025.2000000002</v>
      </c>
      <c r="G1172" s="27">
        <f>일위대가목록!F253</f>
        <v>0</v>
      </c>
      <c r="H1172" s="28">
        <f t="shared" si="251"/>
        <v>0</v>
      </c>
      <c r="I1172" s="27">
        <f>일위대가목록!H253</f>
        <v>1567947</v>
      </c>
      <c r="J1172" s="28">
        <f>TRUNC(I1172*C1172,1)</f>
        <v>1238678.1000000001</v>
      </c>
      <c r="K1172" s="27">
        <f>일위대가목록!J253</f>
        <v>46009</v>
      </c>
      <c r="L1172" s="28">
        <f>TRUNC(K1172*C1172,1)</f>
        <v>36347.1</v>
      </c>
      <c r="M1172" s="86" t="s">
        <v>2856</v>
      </c>
      <c r="N1172" t="s">
        <v>2856</v>
      </c>
      <c r="P1172" t="s">
        <v>1677</v>
      </c>
      <c r="Q1172" t="s">
        <v>2856</v>
      </c>
      <c r="R1172" t="s">
        <v>614</v>
      </c>
      <c r="T1172" t="s">
        <v>1778</v>
      </c>
      <c r="BI1172" s="34" t="str">
        <f>HYPERLINK("#일위대가목록!A248","N0211-24 →")</f>
        <v>N0211-24 →</v>
      </c>
    </row>
    <row r="1173" spans="1:61" ht="18.399999999999999" hidden="1" customHeight="1" x14ac:dyDescent="0.15">
      <c r="A1173" s="2" t="s">
        <v>1470</v>
      </c>
      <c r="B1173" s="87" t="s">
        <v>1226</v>
      </c>
      <c r="C1173" s="2">
        <v>42.55</v>
      </c>
      <c r="D1173" s="2" t="s">
        <v>1202</v>
      </c>
      <c r="E1173" s="27">
        <f t="shared" si="250"/>
        <v>66000</v>
      </c>
      <c r="F1173" s="28">
        <f t="shared" si="249"/>
        <v>2808300</v>
      </c>
      <c r="G1173" s="27">
        <f>자재조서!E56</f>
        <v>66000</v>
      </c>
      <c r="H1173" s="28">
        <f t="shared" si="251"/>
        <v>2808300</v>
      </c>
      <c r="I1173" s="27">
        <v>0</v>
      </c>
      <c r="J1173" s="28"/>
      <c r="K1173" s="27">
        <v>0</v>
      </c>
      <c r="L1173" s="28"/>
      <c r="M1173" s="86" t="s">
        <v>1601</v>
      </c>
      <c r="N1173" t="s">
        <v>2856</v>
      </c>
      <c r="P1173" t="s">
        <v>2389</v>
      </c>
      <c r="Q1173" t="s">
        <v>1839</v>
      </c>
      <c r="R1173" t="s">
        <v>936</v>
      </c>
      <c r="W1173" t="s">
        <v>1601</v>
      </c>
      <c r="AA1173" s="42" t="s">
        <v>2127</v>
      </c>
      <c r="AB1173" s="8">
        <f>'일위대가_호표(신규)'!H1173*0.06</f>
        <v>168498</v>
      </c>
      <c r="AC1173" s="42" t="s">
        <v>2369</v>
      </c>
      <c r="AD1173" s="7">
        <f>$AB1173</f>
        <v>168498</v>
      </c>
      <c r="BI1173" s="34" t="str">
        <f>HYPERLINK("#자재조서!A53","MB-0011 →")</f>
        <v>MB-0011 →</v>
      </c>
    </row>
    <row r="1174" spans="1:61" ht="18.399999999999999" hidden="1" customHeight="1" x14ac:dyDescent="0.15">
      <c r="A1174" s="2" t="s">
        <v>323</v>
      </c>
      <c r="B1174" s="87" t="s">
        <v>503</v>
      </c>
      <c r="C1174" s="2">
        <v>6</v>
      </c>
      <c r="D1174" s="2" t="s">
        <v>588</v>
      </c>
      <c r="E1174" s="27">
        <f t="shared" si="250"/>
        <v>0</v>
      </c>
      <c r="F1174" s="28">
        <f t="shared" si="249"/>
        <v>168498</v>
      </c>
      <c r="G1174" s="1"/>
      <c r="H1174" s="28">
        <f>TRUNC((H1173*0.06),1)</f>
        <v>168498</v>
      </c>
      <c r="I1174" s="1"/>
      <c r="J1174" s="28">
        <v>0</v>
      </c>
      <c r="K1174" s="1"/>
      <c r="L1174" s="28">
        <v>0</v>
      </c>
      <c r="M1174" s="86" t="s">
        <v>2856</v>
      </c>
      <c r="N1174" t="s">
        <v>2856</v>
      </c>
      <c r="P1174" t="s">
        <v>189</v>
      </c>
      <c r="Q1174" t="s">
        <v>2856</v>
      </c>
      <c r="R1174" t="s">
        <v>2405</v>
      </c>
      <c r="X1174" t="s">
        <v>2552</v>
      </c>
    </row>
    <row r="1175" spans="1:61" ht="18.399999999999999" hidden="1" customHeight="1" x14ac:dyDescent="0.15">
      <c r="A1175" s="2" t="s">
        <v>982</v>
      </c>
      <c r="B1175" s="87" t="s">
        <v>2232</v>
      </c>
      <c r="C1175" s="2">
        <v>38.68</v>
      </c>
      <c r="D1175" s="2" t="s">
        <v>1202</v>
      </c>
      <c r="E1175" s="27">
        <f t="shared" si="250"/>
        <v>55826</v>
      </c>
      <c r="F1175" s="28">
        <f t="shared" si="249"/>
        <v>2159349.6</v>
      </c>
      <c r="G1175" s="27">
        <f>일위대가목록!F254</f>
        <v>0</v>
      </c>
      <c r="H1175" s="28">
        <f>TRUNC(G1175*C1175,1)</f>
        <v>0</v>
      </c>
      <c r="I1175" s="27">
        <f>일위대가목록!H254</f>
        <v>55826</v>
      </c>
      <c r="J1175" s="28">
        <f>TRUNC(I1175*C1175,1)</f>
        <v>2159349.6</v>
      </c>
      <c r="K1175" s="27">
        <f>일위대가목록!J254</f>
        <v>0</v>
      </c>
      <c r="L1175" s="28">
        <f>TRUNC(K1175*C1175,1)</f>
        <v>0</v>
      </c>
      <c r="M1175" s="86" t="s">
        <v>2856</v>
      </c>
      <c r="N1175" t="s">
        <v>2856</v>
      </c>
      <c r="P1175" t="s">
        <v>1640</v>
      </c>
      <c r="Q1175" t="s">
        <v>2856</v>
      </c>
      <c r="R1175" t="s">
        <v>1522</v>
      </c>
      <c r="T1175" t="s">
        <v>1778</v>
      </c>
      <c r="BI1175" s="34" t="str">
        <f>HYPERLINK("#일위대가목록!A249","N0201-24 →")</f>
        <v>N0201-24 →</v>
      </c>
    </row>
    <row r="1176" spans="1:61" ht="18.399999999999999" hidden="1" customHeight="1" x14ac:dyDescent="0.15">
      <c r="A1176" s="2" t="s">
        <v>1188</v>
      </c>
      <c r="B1176" s="87" t="s">
        <v>2848</v>
      </c>
      <c r="C1176" s="2">
        <v>96.71</v>
      </c>
      <c r="D1176" s="2" t="s">
        <v>1202</v>
      </c>
      <c r="E1176" s="27">
        <f t="shared" si="250"/>
        <v>12165</v>
      </c>
      <c r="F1176" s="28">
        <f t="shared" si="249"/>
        <v>1176477</v>
      </c>
      <c r="G1176" s="27">
        <f>일위대가목록!F255</f>
        <v>1188</v>
      </c>
      <c r="H1176" s="28">
        <f>TRUNC(G1176*C1176,1)</f>
        <v>114891.4</v>
      </c>
      <c r="I1176" s="27">
        <f>일위대가목록!H255</f>
        <v>10762</v>
      </c>
      <c r="J1176" s="28">
        <f>TRUNC(I1176*C1176,1)</f>
        <v>1040793</v>
      </c>
      <c r="K1176" s="27">
        <f>일위대가목록!J255</f>
        <v>215</v>
      </c>
      <c r="L1176" s="28">
        <f>TRUNC(K1176*C1176,1)</f>
        <v>20792.599999999999</v>
      </c>
      <c r="M1176" s="86" t="s">
        <v>2856</v>
      </c>
      <c r="N1176" t="s">
        <v>2856</v>
      </c>
      <c r="P1176" t="s">
        <v>2340</v>
      </c>
      <c r="Q1176" t="s">
        <v>2856</v>
      </c>
      <c r="R1176" t="s">
        <v>1058</v>
      </c>
      <c r="T1176" t="s">
        <v>1778</v>
      </c>
      <c r="BI1176" s="34" t="str">
        <f>HYPERLINK("#일위대가목록!A250","N4550 →")</f>
        <v>N4550 →</v>
      </c>
    </row>
    <row r="1177" spans="1:61" ht="18.399999999999999" hidden="1" customHeight="1" x14ac:dyDescent="0.15">
      <c r="A1177" s="1"/>
      <c r="B1177" s="87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87"/>
    </row>
    <row r="1178" spans="1:61" ht="18.399999999999999" hidden="1" customHeight="1" x14ac:dyDescent="0.15">
      <c r="A1178" s="2" t="s">
        <v>1532</v>
      </c>
      <c r="B1178" s="87" t="s">
        <v>2856</v>
      </c>
      <c r="C1178" s="2">
        <v>1</v>
      </c>
      <c r="D1178" s="2" t="s">
        <v>1796</v>
      </c>
      <c r="E1178" s="184"/>
      <c r="F1178" s="29">
        <f t="shared" ref="F1178:F1203" si="252">H1178+J1178+L1178</f>
        <v>18126697</v>
      </c>
      <c r="G1178" s="184"/>
      <c r="H1178" s="29">
        <f>TRUNC(H1179+H1180+H1181+H1182+H1184+H1186+H1187+H1188+H1189+H1190+H1191+H1192+H1193+H1194+H1195+H1196+H1197+H1198+H1200+H1201+H1202,0)</f>
        <v>3896006</v>
      </c>
      <c r="I1178" s="184"/>
      <c r="J1178" s="29">
        <f>TRUNC(J1179+J1180+J1181+J1182+J1184+J1186+J1187+J1188+J1189+J1190+J1191+J1192+J1193+J1194+J1195+J1196+J1197+J1198+J1200+J1201+J1202,0)</f>
        <v>10623831</v>
      </c>
      <c r="K1178" s="184"/>
      <c r="L1178" s="29">
        <f>TRUNC(L1179+L1180+L1181+L1182+L1184+L1186+L1187+L1188+L1189+L1190+L1191+L1192+L1193+L1194+L1195+L1196+L1197+L1198+L1200+L1201+L1202,0)</f>
        <v>3606860</v>
      </c>
      <c r="M1178" s="86" t="s">
        <v>2856</v>
      </c>
      <c r="N1178" t="s">
        <v>2856</v>
      </c>
      <c r="O1178" t="s">
        <v>448</v>
      </c>
    </row>
    <row r="1179" spans="1:61" ht="18.399999999999999" hidden="1" customHeight="1" x14ac:dyDescent="0.15">
      <c r="A1179" s="2" t="s">
        <v>1163</v>
      </c>
      <c r="B1179" s="87" t="s">
        <v>1879</v>
      </c>
      <c r="C1179" s="2">
        <v>13.77</v>
      </c>
      <c r="D1179" s="2" t="s">
        <v>2825</v>
      </c>
      <c r="E1179" s="27">
        <f t="shared" ref="E1179:E1203" si="253">G1179+I1179+K1179</f>
        <v>33416</v>
      </c>
      <c r="F1179" s="28">
        <f t="shared" si="252"/>
        <v>460138.3</v>
      </c>
      <c r="G1179" s="27">
        <f>일위대가목록!F249</f>
        <v>0</v>
      </c>
      <c r="H1179" s="28">
        <f t="shared" ref="H1179:H1199" si="254">TRUNC(G1179*C1179,1)</f>
        <v>0</v>
      </c>
      <c r="I1179" s="27">
        <f>일위대가목록!H249</f>
        <v>33416</v>
      </c>
      <c r="J1179" s="28">
        <f>TRUNC(I1179*C1179,1)</f>
        <v>460138.3</v>
      </c>
      <c r="K1179" s="27">
        <f>일위대가목록!J249</f>
        <v>0</v>
      </c>
      <c r="L1179" s="28">
        <f>TRUNC(K1179*C1179,1)</f>
        <v>0</v>
      </c>
      <c r="M1179" s="86" t="s">
        <v>2856</v>
      </c>
      <c r="N1179" t="s">
        <v>2856</v>
      </c>
      <c r="P1179" t="s">
        <v>334</v>
      </c>
      <c r="Q1179" t="s">
        <v>2856</v>
      </c>
      <c r="R1179" t="s">
        <v>786</v>
      </c>
      <c r="T1179" t="s">
        <v>1778</v>
      </c>
      <c r="BI1179" s="34" t="str">
        <f>HYPERLINK("#일위대가목록!A244","N1060 →")</f>
        <v>N1060 →</v>
      </c>
    </row>
    <row r="1180" spans="1:61" ht="18.399999999999999" hidden="1" customHeight="1" x14ac:dyDescent="0.15">
      <c r="A1180" s="2" t="s">
        <v>1112</v>
      </c>
      <c r="B1180" s="87" t="s">
        <v>394</v>
      </c>
      <c r="C1180" s="2">
        <v>10.97</v>
      </c>
      <c r="D1180" s="2" t="s">
        <v>2825</v>
      </c>
      <c r="E1180" s="27">
        <f t="shared" si="253"/>
        <v>33416</v>
      </c>
      <c r="F1180" s="28">
        <f t="shared" si="252"/>
        <v>366573.5</v>
      </c>
      <c r="G1180" s="27">
        <f>일위대가목록!F250</f>
        <v>0</v>
      </c>
      <c r="H1180" s="28">
        <f t="shared" si="254"/>
        <v>0</v>
      </c>
      <c r="I1180" s="27">
        <f>일위대가목록!H250</f>
        <v>33416</v>
      </c>
      <c r="J1180" s="28">
        <f>TRUNC(I1180*C1180,1)</f>
        <v>366573.5</v>
      </c>
      <c r="K1180" s="27">
        <f>일위대가목록!J250</f>
        <v>0</v>
      </c>
      <c r="L1180" s="28">
        <f>TRUNC(K1180*C1180,1)</f>
        <v>0</v>
      </c>
      <c r="M1180" s="86" t="s">
        <v>2856</v>
      </c>
      <c r="N1180" t="s">
        <v>2856</v>
      </c>
      <c r="P1180" t="s">
        <v>2471</v>
      </c>
      <c r="Q1180" t="s">
        <v>2856</v>
      </c>
      <c r="R1180" t="s">
        <v>1013</v>
      </c>
      <c r="T1180" t="s">
        <v>1778</v>
      </c>
      <c r="BI1180" s="34" t="str">
        <f>HYPERLINK("#일위대가목록!A245","N0850 →")</f>
        <v>N0850 →</v>
      </c>
    </row>
    <row r="1181" spans="1:61" ht="18.399999999999999" hidden="1" customHeight="1" x14ac:dyDescent="0.15">
      <c r="A1181" s="2" t="s">
        <v>2451</v>
      </c>
      <c r="B1181" s="87" t="s">
        <v>129</v>
      </c>
      <c r="C1181" s="2">
        <v>2.8</v>
      </c>
      <c r="D1181" s="2" t="s">
        <v>2825</v>
      </c>
      <c r="E1181" s="27">
        <f t="shared" si="253"/>
        <v>16708</v>
      </c>
      <c r="F1181" s="28">
        <f t="shared" si="252"/>
        <v>46782.400000000001</v>
      </c>
      <c r="G1181" s="27">
        <f>일위대가목록!F251</f>
        <v>0</v>
      </c>
      <c r="H1181" s="28">
        <f t="shared" si="254"/>
        <v>0</v>
      </c>
      <c r="I1181" s="27">
        <f>일위대가목록!H251</f>
        <v>16708</v>
      </c>
      <c r="J1181" s="28">
        <f>TRUNC(I1181*C1181,1)</f>
        <v>46782.400000000001</v>
      </c>
      <c r="K1181" s="27">
        <f>일위대가목록!J251</f>
        <v>0</v>
      </c>
      <c r="L1181" s="28">
        <f>TRUNC(K1181*C1181,1)</f>
        <v>0</v>
      </c>
      <c r="M1181" s="86" t="s">
        <v>2856</v>
      </c>
      <c r="N1181" t="s">
        <v>2856</v>
      </c>
      <c r="P1181" t="s">
        <v>1741</v>
      </c>
      <c r="Q1181" t="s">
        <v>2856</v>
      </c>
      <c r="R1181" t="s">
        <v>30</v>
      </c>
      <c r="T1181" t="s">
        <v>1778</v>
      </c>
      <c r="BI1181" s="34" t="str">
        <f>HYPERLINK("#일위대가목록!A246","N1030 →")</f>
        <v>N1030 →</v>
      </c>
    </row>
    <row r="1182" spans="1:61" ht="18.399999999999999" hidden="1" customHeight="1" x14ac:dyDescent="0.15">
      <c r="A1182" s="2" t="s">
        <v>832</v>
      </c>
      <c r="B1182" s="87" t="s">
        <v>610</v>
      </c>
      <c r="C1182" s="2">
        <v>27.04</v>
      </c>
      <c r="D1182" s="2" t="s">
        <v>1202</v>
      </c>
      <c r="E1182" s="27">
        <f t="shared" si="253"/>
        <v>45715</v>
      </c>
      <c r="F1182" s="28">
        <f t="shared" si="252"/>
        <v>1236133.5</v>
      </c>
      <c r="G1182" s="27">
        <f>일위대가목록!F236</f>
        <v>11180</v>
      </c>
      <c r="H1182" s="28">
        <f t="shared" si="254"/>
        <v>302307.20000000001</v>
      </c>
      <c r="I1182" s="27">
        <f>일위대가목록!H236</f>
        <v>34194</v>
      </c>
      <c r="J1182" s="28">
        <f>TRUNC(I1182*C1182,1)</f>
        <v>924605.7</v>
      </c>
      <c r="K1182" s="27">
        <f>일위대가목록!J236</f>
        <v>341</v>
      </c>
      <c r="L1182" s="28">
        <f>TRUNC(K1182*C1182,1)</f>
        <v>9220.6</v>
      </c>
      <c r="M1182" s="86" t="s">
        <v>2856</v>
      </c>
      <c r="N1182" t="s">
        <v>2856</v>
      </c>
      <c r="P1182" t="s">
        <v>1036</v>
      </c>
      <c r="Q1182" t="s">
        <v>2856</v>
      </c>
      <c r="R1182" t="s">
        <v>1998</v>
      </c>
      <c r="T1182" t="s">
        <v>1778</v>
      </c>
      <c r="BI1182" s="34" t="str">
        <f>HYPERLINK("#일위대가목록!A231","N1150 →")</f>
        <v>N1150 →</v>
      </c>
    </row>
    <row r="1183" spans="1:61" ht="18.399999999999999" hidden="1" customHeight="1" x14ac:dyDescent="0.15">
      <c r="A1183" s="2" t="s">
        <v>1632</v>
      </c>
      <c r="B1183" s="87" t="s">
        <v>2279</v>
      </c>
      <c r="C1183" s="2">
        <v>11.19</v>
      </c>
      <c r="D1183" s="2" t="s">
        <v>2825</v>
      </c>
      <c r="E1183" s="27">
        <f t="shared" si="253"/>
        <v>89830</v>
      </c>
      <c r="F1183" s="28">
        <f t="shared" si="252"/>
        <v>1005197.7</v>
      </c>
      <c r="G1183" s="27">
        <f>자재조서!E73</f>
        <v>89830</v>
      </c>
      <c r="H1183" s="28">
        <f t="shared" si="254"/>
        <v>1005197.7</v>
      </c>
      <c r="I1183" s="27">
        <v>0</v>
      </c>
      <c r="J1183" s="28"/>
      <c r="K1183" s="27">
        <v>0</v>
      </c>
      <c r="L1183" s="28"/>
      <c r="M1183" s="86" t="s">
        <v>1601</v>
      </c>
      <c r="N1183" t="s">
        <v>2856</v>
      </c>
      <c r="P1183" t="s">
        <v>286</v>
      </c>
      <c r="Q1183" t="s">
        <v>1839</v>
      </c>
      <c r="R1183" t="s">
        <v>2547</v>
      </c>
      <c r="W1183" t="s">
        <v>1601</v>
      </c>
      <c r="BI1183" s="34" t="str">
        <f>HYPERLINK("#자재조서!A70","MB-190-24 →")</f>
        <v>MB-190-24 →</v>
      </c>
    </row>
    <row r="1184" spans="1:61" ht="18.399999999999999" hidden="1" customHeight="1" x14ac:dyDescent="0.15">
      <c r="A1184" s="2" t="s">
        <v>54</v>
      </c>
      <c r="B1184" s="87" t="s">
        <v>1057</v>
      </c>
      <c r="C1184" s="2">
        <v>10.97</v>
      </c>
      <c r="D1184" s="2" t="s">
        <v>2825</v>
      </c>
      <c r="E1184" s="27">
        <f t="shared" si="253"/>
        <v>63190</v>
      </c>
      <c r="F1184" s="28">
        <f t="shared" si="252"/>
        <v>693194.10000000009</v>
      </c>
      <c r="G1184" s="27">
        <f>일위대가목록!F240</f>
        <v>2908</v>
      </c>
      <c r="H1184" s="28">
        <f t="shared" si="254"/>
        <v>31900.7</v>
      </c>
      <c r="I1184" s="27">
        <f>일위대가목록!H240</f>
        <v>25714</v>
      </c>
      <c r="J1184" s="28">
        <f>TRUNC(I1184*C1184,1)</f>
        <v>282082.5</v>
      </c>
      <c r="K1184" s="27">
        <f>일위대가목록!J240</f>
        <v>34568</v>
      </c>
      <c r="L1184" s="28">
        <f>TRUNC(K1184*C1184,1)</f>
        <v>379210.9</v>
      </c>
      <c r="M1184" s="86" t="s">
        <v>2856</v>
      </c>
      <c r="N1184" t="s">
        <v>2856</v>
      </c>
      <c r="P1184" t="s">
        <v>2428</v>
      </c>
      <c r="Q1184" t="s">
        <v>2856</v>
      </c>
      <c r="R1184" t="s">
        <v>170</v>
      </c>
      <c r="T1184" t="s">
        <v>1778</v>
      </c>
      <c r="BI1184" s="34" t="str">
        <f>HYPERLINK("#일위대가목록!A235","N1385-24 →")</f>
        <v>N1385-24 →</v>
      </c>
    </row>
    <row r="1185" spans="1:61" ht="18.399999999999999" hidden="1" customHeight="1" x14ac:dyDescent="0.15">
      <c r="A1185" s="2" t="s">
        <v>1996</v>
      </c>
      <c r="B1185" s="87" t="s">
        <v>1225</v>
      </c>
      <c r="C1185" s="2">
        <v>1.2330000000000001</v>
      </c>
      <c r="D1185" s="2" t="s">
        <v>978</v>
      </c>
      <c r="E1185" s="27">
        <f t="shared" si="253"/>
        <v>1039100</v>
      </c>
      <c r="F1185" s="28">
        <f t="shared" si="252"/>
        <v>1281210.3</v>
      </c>
      <c r="G1185" s="27">
        <f>자재조서!E89</f>
        <v>1039100</v>
      </c>
      <c r="H1185" s="28">
        <f t="shared" si="254"/>
        <v>1281210.3</v>
      </c>
      <c r="I1185" s="27">
        <v>0</v>
      </c>
      <c r="J1185" s="28"/>
      <c r="K1185" s="27">
        <v>0</v>
      </c>
      <c r="L1185" s="28"/>
      <c r="M1185" s="86" t="s">
        <v>2856</v>
      </c>
      <c r="N1185" t="s">
        <v>2004</v>
      </c>
      <c r="P1185" t="s">
        <v>1686</v>
      </c>
      <c r="Q1185" t="s">
        <v>1839</v>
      </c>
      <c r="R1185" t="s">
        <v>2422</v>
      </c>
      <c r="BI1185" s="34" t="str">
        <f>HYPERLINK("#자재조서!A86","MB0014-24 →")</f>
        <v>MB0014-24 →</v>
      </c>
    </row>
    <row r="1186" spans="1:61" ht="18.399999999999999" hidden="1" customHeight="1" x14ac:dyDescent="0.15">
      <c r="A1186" s="2" t="s">
        <v>2085</v>
      </c>
      <c r="B1186" s="87" t="s">
        <v>1440</v>
      </c>
      <c r="C1186" s="2">
        <v>1.198</v>
      </c>
      <c r="D1186" s="2" t="s">
        <v>978</v>
      </c>
      <c r="E1186" s="27">
        <f t="shared" si="253"/>
        <v>3414044</v>
      </c>
      <c r="F1186" s="28">
        <f t="shared" si="252"/>
        <v>4090024.5</v>
      </c>
      <c r="G1186" s="27">
        <f>일위대가목록!F242</f>
        <v>10770</v>
      </c>
      <c r="H1186" s="28">
        <f t="shared" si="254"/>
        <v>12902.4</v>
      </c>
      <c r="I1186" s="27">
        <f>일위대가목록!H242</f>
        <v>756255</v>
      </c>
      <c r="J1186" s="28">
        <f>TRUNC(I1186*C1186,1)</f>
        <v>905993.4</v>
      </c>
      <c r="K1186" s="27">
        <f>일위대가목록!J242</f>
        <v>2647019</v>
      </c>
      <c r="L1186" s="28">
        <f>TRUNC(K1186*C1186,1)</f>
        <v>3171128.7</v>
      </c>
      <c r="M1186" s="86" t="s">
        <v>2856</v>
      </c>
      <c r="N1186" t="s">
        <v>2856</v>
      </c>
      <c r="P1186" t="s">
        <v>983</v>
      </c>
      <c r="Q1186" t="s">
        <v>2856</v>
      </c>
      <c r="R1186" t="s">
        <v>1458</v>
      </c>
      <c r="T1186" t="s">
        <v>1778</v>
      </c>
      <c r="BI1186" s="34" t="str">
        <f>HYPERLINK("#일위대가목록!A237","N0180-24 →")</f>
        <v>N0180-24 →</v>
      </c>
    </row>
    <row r="1187" spans="1:61" ht="18.399999999999999" hidden="1" customHeight="1" x14ac:dyDescent="0.15">
      <c r="A1187" s="2" t="s">
        <v>1720</v>
      </c>
      <c r="B1187" s="87" t="s">
        <v>540</v>
      </c>
      <c r="C1187" s="2">
        <v>0.23</v>
      </c>
      <c r="D1187" s="2" t="s">
        <v>978</v>
      </c>
      <c r="E1187" s="27">
        <f t="shared" si="253"/>
        <v>1540000</v>
      </c>
      <c r="F1187" s="28">
        <f t="shared" si="252"/>
        <v>354200</v>
      </c>
      <c r="G1187" s="27">
        <f>자재조서!E78</f>
        <v>1540000</v>
      </c>
      <c r="H1187" s="28">
        <f t="shared" si="254"/>
        <v>354200</v>
      </c>
      <c r="I1187" s="27">
        <v>0</v>
      </c>
      <c r="J1187" s="28"/>
      <c r="K1187" s="27">
        <v>0</v>
      </c>
      <c r="L1187" s="28"/>
      <c r="M1187" s="86" t="s">
        <v>2856</v>
      </c>
      <c r="N1187" t="s">
        <v>2856</v>
      </c>
      <c r="P1187" t="s">
        <v>248</v>
      </c>
      <c r="Q1187" t="s">
        <v>2856</v>
      </c>
      <c r="R1187" t="s">
        <v>1326</v>
      </c>
      <c r="BI1187" s="34" t="str">
        <f>HYPERLINK("#자재조서!A75","MB-260-2 →")</f>
        <v>MB-260-2 →</v>
      </c>
    </row>
    <row r="1188" spans="1:61" ht="18.399999999999999" hidden="1" customHeight="1" x14ac:dyDescent="0.15">
      <c r="A1188" s="2" t="s">
        <v>1720</v>
      </c>
      <c r="B1188" s="87" t="s">
        <v>1010</v>
      </c>
      <c r="C1188" s="2">
        <v>0.06</v>
      </c>
      <c r="D1188" s="2" t="s">
        <v>978</v>
      </c>
      <c r="E1188" s="27">
        <f t="shared" si="253"/>
        <v>1540000</v>
      </c>
      <c r="F1188" s="28">
        <f t="shared" si="252"/>
        <v>92400</v>
      </c>
      <c r="G1188" s="27">
        <f>자재조서!E77</f>
        <v>1540000</v>
      </c>
      <c r="H1188" s="28">
        <f t="shared" si="254"/>
        <v>92400</v>
      </c>
      <c r="I1188" s="27">
        <v>0</v>
      </c>
      <c r="J1188" s="28"/>
      <c r="K1188" s="27">
        <v>0</v>
      </c>
      <c r="L1188" s="28"/>
      <c r="M1188" s="86" t="s">
        <v>2856</v>
      </c>
      <c r="N1188" t="s">
        <v>2856</v>
      </c>
      <c r="P1188" t="s">
        <v>241</v>
      </c>
      <c r="Q1188" t="s">
        <v>2856</v>
      </c>
      <c r="R1188" t="s">
        <v>2284</v>
      </c>
      <c r="BI1188" s="34" t="str">
        <f>HYPERLINK("#자재조서!A74","MB-260-1 →")</f>
        <v>MB-260-1 →</v>
      </c>
    </row>
    <row r="1189" spans="1:61" ht="18.399999999999999" hidden="1" customHeight="1" x14ac:dyDescent="0.15">
      <c r="A1189" s="2" t="s">
        <v>2511</v>
      </c>
      <c r="B1189" s="87" t="s">
        <v>2351</v>
      </c>
      <c r="C1189" s="2">
        <v>26</v>
      </c>
      <c r="D1189" s="2" t="s">
        <v>474</v>
      </c>
      <c r="E1189" s="27">
        <f t="shared" si="253"/>
        <v>4500</v>
      </c>
      <c r="F1189" s="28">
        <f t="shared" si="252"/>
        <v>117000</v>
      </c>
      <c r="G1189" s="27">
        <f>자재조서!E81</f>
        <v>4500</v>
      </c>
      <c r="H1189" s="28">
        <f t="shared" si="254"/>
        <v>117000</v>
      </c>
      <c r="I1189" s="27">
        <v>0</v>
      </c>
      <c r="J1189" s="28"/>
      <c r="K1189" s="27">
        <v>0</v>
      </c>
      <c r="L1189" s="28"/>
      <c r="M1189" s="86" t="s">
        <v>2856</v>
      </c>
      <c r="N1189" t="s">
        <v>2856</v>
      </c>
      <c r="P1189" t="s">
        <v>954</v>
      </c>
      <c r="Q1189" t="s">
        <v>2856</v>
      </c>
      <c r="R1189" t="s">
        <v>2383</v>
      </c>
      <c r="BI1189" s="34" t="str">
        <f>HYPERLINK("#자재조서!A78","MB-260-5 →")</f>
        <v>MB-260-5 →</v>
      </c>
    </row>
    <row r="1190" spans="1:61" ht="18.399999999999999" hidden="1" customHeight="1" x14ac:dyDescent="0.15">
      <c r="A1190" s="2" t="s">
        <v>2508</v>
      </c>
      <c r="B1190" s="87" t="s">
        <v>250</v>
      </c>
      <c r="C1190" s="2">
        <v>38</v>
      </c>
      <c r="D1190" s="2" t="s">
        <v>387</v>
      </c>
      <c r="E1190" s="27">
        <f t="shared" si="253"/>
        <v>1009</v>
      </c>
      <c r="F1190" s="28">
        <f t="shared" si="252"/>
        <v>38342</v>
      </c>
      <c r="G1190" s="27">
        <f>자재조서!E79</f>
        <v>1009</v>
      </c>
      <c r="H1190" s="28">
        <f t="shared" si="254"/>
        <v>38342</v>
      </c>
      <c r="I1190" s="27">
        <v>0</v>
      </c>
      <c r="J1190" s="28"/>
      <c r="K1190" s="27">
        <v>0</v>
      </c>
      <c r="L1190" s="28"/>
      <c r="M1190" s="86" t="s">
        <v>2856</v>
      </c>
      <c r="N1190" t="s">
        <v>2856</v>
      </c>
      <c r="P1190" t="s">
        <v>1677</v>
      </c>
      <c r="Q1190" t="s">
        <v>2856</v>
      </c>
      <c r="R1190" t="s">
        <v>2500</v>
      </c>
      <c r="BI1190" s="34" t="str">
        <f>HYPERLINK("#자재조서!A76","MB-260-3 →")</f>
        <v>MB-260-3 →</v>
      </c>
    </row>
    <row r="1191" spans="1:61" ht="18.399999999999999" hidden="1" customHeight="1" x14ac:dyDescent="0.15">
      <c r="A1191" s="2" t="s">
        <v>268</v>
      </c>
      <c r="B1191" s="87" t="s">
        <v>1342</v>
      </c>
      <c r="C1191" s="2">
        <v>1001.95</v>
      </c>
      <c r="D1191" s="2" t="s">
        <v>1674</v>
      </c>
      <c r="E1191" s="27">
        <f t="shared" si="253"/>
        <v>1170</v>
      </c>
      <c r="F1191" s="28">
        <f t="shared" si="252"/>
        <v>1172281.5</v>
      </c>
      <c r="G1191" s="27">
        <f>자재조서!E82</f>
        <v>1170</v>
      </c>
      <c r="H1191" s="28">
        <f t="shared" si="254"/>
        <v>1172281.5</v>
      </c>
      <c r="I1191" s="27">
        <v>0</v>
      </c>
      <c r="J1191" s="28"/>
      <c r="K1191" s="27">
        <v>0</v>
      </c>
      <c r="L1191" s="28"/>
      <c r="M1191" s="86" t="s">
        <v>2856</v>
      </c>
      <c r="N1191" t="s">
        <v>2856</v>
      </c>
      <c r="P1191" t="s">
        <v>2389</v>
      </c>
      <c r="Q1191" t="s">
        <v>2856</v>
      </c>
      <c r="R1191" t="s">
        <v>1245</v>
      </c>
      <c r="BI1191" s="34" t="str">
        <f>HYPERLINK("#자재조서!A79","MB-260-6 →")</f>
        <v>MB-260-6 →</v>
      </c>
    </row>
    <row r="1192" spans="1:61" ht="18.399999999999999" hidden="1" customHeight="1" x14ac:dyDescent="0.15">
      <c r="A1192" s="2" t="s">
        <v>268</v>
      </c>
      <c r="B1192" s="87" t="s">
        <v>884</v>
      </c>
      <c r="C1192" s="2">
        <v>195.917</v>
      </c>
      <c r="D1192" s="2" t="s">
        <v>1674</v>
      </c>
      <c r="E1192" s="27">
        <f t="shared" si="253"/>
        <v>1170</v>
      </c>
      <c r="F1192" s="28">
        <f t="shared" si="252"/>
        <v>229222.8</v>
      </c>
      <c r="G1192" s="27">
        <f>자재조서!E83</f>
        <v>1170</v>
      </c>
      <c r="H1192" s="28">
        <f t="shared" si="254"/>
        <v>229222.8</v>
      </c>
      <c r="I1192" s="27">
        <v>0</v>
      </c>
      <c r="J1192" s="28"/>
      <c r="K1192" s="27">
        <v>0</v>
      </c>
      <c r="L1192" s="28"/>
      <c r="M1192" s="86" t="s">
        <v>2856</v>
      </c>
      <c r="N1192" t="s">
        <v>2856</v>
      </c>
      <c r="P1192" t="s">
        <v>189</v>
      </c>
      <c r="Q1192" t="s">
        <v>2856</v>
      </c>
      <c r="R1192" t="s">
        <v>2789</v>
      </c>
      <c r="BI1192" s="34" t="str">
        <f>HYPERLINK("#자재조서!A80","MB-260-7 →")</f>
        <v>MB-260-7 →</v>
      </c>
    </row>
    <row r="1193" spans="1:61" ht="18.399999999999999" hidden="1" customHeight="1" x14ac:dyDescent="0.15">
      <c r="A1193" s="2" t="s">
        <v>1890</v>
      </c>
      <c r="B1193" s="87" t="s">
        <v>722</v>
      </c>
      <c r="C1193" s="2">
        <v>1.141</v>
      </c>
      <c r="D1193" s="2" t="s">
        <v>978</v>
      </c>
      <c r="E1193" s="27">
        <f t="shared" si="253"/>
        <v>3783056</v>
      </c>
      <c r="F1193" s="28">
        <f t="shared" si="252"/>
        <v>4316466.8</v>
      </c>
      <c r="G1193" s="27">
        <f>일위대가목록!F256</f>
        <v>0</v>
      </c>
      <c r="H1193" s="28">
        <f t="shared" si="254"/>
        <v>0</v>
      </c>
      <c r="I1193" s="27">
        <f>일위대가목록!H256</f>
        <v>3783056</v>
      </c>
      <c r="J1193" s="28">
        <f>TRUNC(I1193*C1193,1)</f>
        <v>4316466.8</v>
      </c>
      <c r="K1193" s="27">
        <f>일위대가목록!J256</f>
        <v>0</v>
      </c>
      <c r="L1193" s="28">
        <f>TRUNC(K1193*C1193,1)</f>
        <v>0</v>
      </c>
      <c r="M1193" s="86" t="s">
        <v>2856</v>
      </c>
      <c r="N1193" t="s">
        <v>2856</v>
      </c>
      <c r="P1193" t="s">
        <v>904</v>
      </c>
      <c r="Q1193" t="s">
        <v>2856</v>
      </c>
      <c r="R1193" t="s">
        <v>399</v>
      </c>
      <c r="T1193" t="s">
        <v>1778</v>
      </c>
      <c r="BI1193" s="34" t="str">
        <f>HYPERLINK("#일위대가목록!A251","NS0061 →")</f>
        <v>NS0061 →</v>
      </c>
    </row>
    <row r="1194" spans="1:61" ht="18.399999999999999" hidden="1" customHeight="1" x14ac:dyDescent="0.15">
      <c r="A1194" s="2" t="s">
        <v>331</v>
      </c>
      <c r="B1194" s="87" t="s">
        <v>850</v>
      </c>
      <c r="C1194" s="2">
        <v>53.34</v>
      </c>
      <c r="D1194" s="2" t="s">
        <v>1670</v>
      </c>
      <c r="E1194" s="27">
        <f t="shared" si="253"/>
        <v>4610</v>
      </c>
      <c r="F1194" s="28">
        <f t="shared" si="252"/>
        <v>245897.4</v>
      </c>
      <c r="G1194" s="27">
        <f>자재조서!E52</f>
        <v>4610</v>
      </c>
      <c r="H1194" s="28">
        <f t="shared" si="254"/>
        <v>245897.4</v>
      </c>
      <c r="I1194" s="27">
        <v>0</v>
      </c>
      <c r="J1194" s="28"/>
      <c r="K1194" s="27">
        <v>0</v>
      </c>
      <c r="L1194" s="28"/>
      <c r="M1194" s="86" t="s">
        <v>2856</v>
      </c>
      <c r="N1194" t="s">
        <v>2856</v>
      </c>
      <c r="P1194" t="s">
        <v>1640</v>
      </c>
      <c r="Q1194" t="s">
        <v>2856</v>
      </c>
      <c r="R1194" t="s">
        <v>1596</v>
      </c>
      <c r="BI1194" s="34" t="str">
        <f>HYPERLINK("#자재조서!A51","MB-0001-2 →")</f>
        <v>MB-0001-2 →</v>
      </c>
    </row>
    <row r="1195" spans="1:61" ht="18.399999999999999" hidden="1" customHeight="1" x14ac:dyDescent="0.15">
      <c r="A1195" s="2" t="s">
        <v>688</v>
      </c>
      <c r="B1195" s="87" t="s">
        <v>73</v>
      </c>
      <c r="C1195" s="2">
        <v>0.95399999999999996</v>
      </c>
      <c r="D1195" s="2" t="s">
        <v>978</v>
      </c>
      <c r="E1195" s="27">
        <f t="shared" si="253"/>
        <v>1000000</v>
      </c>
      <c r="F1195" s="28">
        <f t="shared" si="252"/>
        <v>954000</v>
      </c>
      <c r="G1195" s="27">
        <f>자재조서!E80</f>
        <v>1000000</v>
      </c>
      <c r="H1195" s="28">
        <f t="shared" si="254"/>
        <v>954000</v>
      </c>
      <c r="I1195" s="27">
        <v>0</v>
      </c>
      <c r="J1195" s="28"/>
      <c r="K1195" s="27">
        <v>0</v>
      </c>
      <c r="L1195" s="28"/>
      <c r="M1195" s="86" t="s">
        <v>2856</v>
      </c>
      <c r="N1195" t="s">
        <v>2856</v>
      </c>
      <c r="P1195" t="s">
        <v>2340</v>
      </c>
      <c r="Q1195" t="s">
        <v>2856</v>
      </c>
      <c r="R1195" t="s">
        <v>750</v>
      </c>
      <c r="BI1195" s="34" t="str">
        <f>HYPERLINK("#자재조서!A77","MB-260-4 →")</f>
        <v>MB-260-4 →</v>
      </c>
    </row>
    <row r="1196" spans="1:61" ht="18.399999999999999" hidden="1" customHeight="1" x14ac:dyDescent="0.15">
      <c r="A1196" s="2" t="s">
        <v>14</v>
      </c>
      <c r="B1196" s="87" t="s">
        <v>73</v>
      </c>
      <c r="C1196" s="2">
        <v>0.245</v>
      </c>
      <c r="D1196" s="2" t="s">
        <v>978</v>
      </c>
      <c r="E1196" s="27">
        <f t="shared" si="253"/>
        <v>500000</v>
      </c>
      <c r="F1196" s="28">
        <f t="shared" si="252"/>
        <v>122500</v>
      </c>
      <c r="G1196" s="27">
        <f>자재조서!E84</f>
        <v>500000</v>
      </c>
      <c r="H1196" s="28">
        <f t="shared" si="254"/>
        <v>122500</v>
      </c>
      <c r="I1196" s="27">
        <v>0</v>
      </c>
      <c r="J1196" s="28"/>
      <c r="K1196" s="27">
        <v>0</v>
      </c>
      <c r="L1196" s="28"/>
      <c r="M1196" s="86" t="s">
        <v>2856</v>
      </c>
      <c r="N1196" t="s">
        <v>2856</v>
      </c>
      <c r="P1196" t="s">
        <v>317</v>
      </c>
      <c r="Q1196" t="s">
        <v>2856</v>
      </c>
      <c r="R1196" t="s">
        <v>1177</v>
      </c>
      <c r="BI1196" s="34" t="str">
        <f>HYPERLINK("#자재조서!A81","MB-260-8 →")</f>
        <v>MB-260-8 →</v>
      </c>
    </row>
    <row r="1197" spans="1:61" ht="18.399999999999999" hidden="1" customHeight="1" x14ac:dyDescent="0.15">
      <c r="A1197" s="2" t="s">
        <v>1877</v>
      </c>
      <c r="B1197" s="87" t="s">
        <v>2492</v>
      </c>
      <c r="C1197" s="2">
        <v>32.22</v>
      </c>
      <c r="D1197" s="2" t="s">
        <v>1202</v>
      </c>
      <c r="E1197" s="27">
        <f t="shared" si="253"/>
        <v>10589</v>
      </c>
      <c r="F1197" s="28">
        <f t="shared" si="252"/>
        <v>341177.5</v>
      </c>
      <c r="G1197" s="27">
        <f>일위대가목록!F252</f>
        <v>1881</v>
      </c>
      <c r="H1197" s="28">
        <f t="shared" si="254"/>
        <v>60605.8</v>
      </c>
      <c r="I1197" s="27">
        <f>일위대가목록!H252</f>
        <v>8708</v>
      </c>
      <c r="J1197" s="28">
        <f>TRUNC(I1197*C1197,1)</f>
        <v>280571.7</v>
      </c>
      <c r="K1197" s="27">
        <f>일위대가목록!J252</f>
        <v>0</v>
      </c>
      <c r="L1197" s="28">
        <f>TRUNC(K1197*C1197,1)</f>
        <v>0</v>
      </c>
      <c r="M1197" s="86" t="s">
        <v>2856</v>
      </c>
      <c r="N1197" t="s">
        <v>2856</v>
      </c>
      <c r="P1197" t="s">
        <v>1045</v>
      </c>
      <c r="Q1197" t="s">
        <v>2856</v>
      </c>
      <c r="R1197" t="s">
        <v>799</v>
      </c>
      <c r="T1197" t="s">
        <v>1778</v>
      </c>
      <c r="BI1197" s="34" t="str">
        <f>HYPERLINK("#일위대가목록!A247","N4665 →")</f>
        <v>N4665 →</v>
      </c>
    </row>
    <row r="1198" spans="1:61" ht="18.399999999999999" hidden="1" customHeight="1" x14ac:dyDescent="0.15">
      <c r="A1198" s="2" t="s">
        <v>567</v>
      </c>
      <c r="B1198" s="87" t="s">
        <v>708</v>
      </c>
      <c r="C1198" s="2">
        <v>0.76900000000000002</v>
      </c>
      <c r="D1198" s="2" t="s">
        <v>978</v>
      </c>
      <c r="E1198" s="27">
        <f t="shared" si="253"/>
        <v>1613956</v>
      </c>
      <c r="F1198" s="28">
        <f t="shared" si="252"/>
        <v>1241132.0999999999</v>
      </c>
      <c r="G1198" s="27">
        <f>일위대가목록!F253</f>
        <v>0</v>
      </c>
      <c r="H1198" s="28">
        <f t="shared" si="254"/>
        <v>0</v>
      </c>
      <c r="I1198" s="27">
        <f>일위대가목록!H253</f>
        <v>1567947</v>
      </c>
      <c r="J1198" s="28">
        <f>TRUNC(I1198*C1198,1)</f>
        <v>1205751.2</v>
      </c>
      <c r="K1198" s="27">
        <f>일위대가목록!J253</f>
        <v>46009</v>
      </c>
      <c r="L1198" s="28">
        <f>TRUNC(K1198*C1198,1)</f>
        <v>35380.9</v>
      </c>
      <c r="M1198" s="86" t="s">
        <v>2856</v>
      </c>
      <c r="N1198" t="s">
        <v>2856</v>
      </c>
      <c r="P1198" t="s">
        <v>847</v>
      </c>
      <c r="Q1198" t="s">
        <v>2856</v>
      </c>
      <c r="R1198" t="s">
        <v>614</v>
      </c>
      <c r="T1198" t="s">
        <v>1778</v>
      </c>
      <c r="BI1198" s="34" t="str">
        <f>HYPERLINK("#일위대가목록!A248","N0211-24 →")</f>
        <v>N0211-24 →</v>
      </c>
    </row>
    <row r="1199" spans="1:61" ht="18.399999999999999" hidden="1" customHeight="1" x14ac:dyDescent="0.15">
      <c r="A1199" s="2" t="s">
        <v>1470</v>
      </c>
      <c r="B1199" s="87" t="s">
        <v>1226</v>
      </c>
      <c r="C1199" s="2">
        <v>24.39</v>
      </c>
      <c r="D1199" s="2" t="s">
        <v>1202</v>
      </c>
      <c r="E1199" s="27">
        <f t="shared" si="253"/>
        <v>66000</v>
      </c>
      <c r="F1199" s="28">
        <f t="shared" si="252"/>
        <v>1609740</v>
      </c>
      <c r="G1199" s="27">
        <f>자재조서!E56</f>
        <v>66000</v>
      </c>
      <c r="H1199" s="28">
        <f t="shared" si="254"/>
        <v>1609740</v>
      </c>
      <c r="I1199" s="27">
        <v>0</v>
      </c>
      <c r="J1199" s="28"/>
      <c r="K1199" s="27">
        <v>0</v>
      </c>
      <c r="L1199" s="28"/>
      <c r="M1199" s="86" t="s">
        <v>1601</v>
      </c>
      <c r="N1199" t="s">
        <v>2856</v>
      </c>
      <c r="P1199" t="s">
        <v>140</v>
      </c>
      <c r="Q1199" t="s">
        <v>1839</v>
      </c>
      <c r="R1199" t="s">
        <v>936</v>
      </c>
      <c r="W1199" t="s">
        <v>1601</v>
      </c>
      <c r="AA1199" s="42" t="s">
        <v>2127</v>
      </c>
      <c r="AB1199" s="8">
        <f>'일위대가_호표(신규)'!H1199*0.06</f>
        <v>96584.4</v>
      </c>
      <c r="AC1199" s="42" t="s">
        <v>2369</v>
      </c>
      <c r="AD1199" s="7">
        <f>$AB1199</f>
        <v>96584.4</v>
      </c>
      <c r="BI1199" s="34" t="str">
        <f>HYPERLINK("#자재조서!A53","MB-0011 →")</f>
        <v>MB-0011 →</v>
      </c>
    </row>
    <row r="1200" spans="1:61" ht="18.399999999999999" hidden="1" customHeight="1" x14ac:dyDescent="0.15">
      <c r="A1200" s="2" t="s">
        <v>323</v>
      </c>
      <c r="B1200" s="87" t="s">
        <v>503</v>
      </c>
      <c r="C1200" s="2">
        <v>6</v>
      </c>
      <c r="D1200" s="2" t="s">
        <v>588</v>
      </c>
      <c r="E1200" s="27">
        <f t="shared" si="253"/>
        <v>0</v>
      </c>
      <c r="F1200" s="28">
        <f t="shared" si="252"/>
        <v>96584.4</v>
      </c>
      <c r="G1200" s="1"/>
      <c r="H1200" s="28">
        <f>TRUNC((H1199*0.06),1)</f>
        <v>96584.4</v>
      </c>
      <c r="I1200" s="1"/>
      <c r="J1200" s="28">
        <v>0</v>
      </c>
      <c r="K1200" s="1"/>
      <c r="L1200" s="28">
        <v>0</v>
      </c>
      <c r="M1200" s="86" t="s">
        <v>2856</v>
      </c>
      <c r="N1200" t="s">
        <v>2856</v>
      </c>
      <c r="P1200" t="s">
        <v>2301</v>
      </c>
      <c r="Q1200" t="s">
        <v>2856</v>
      </c>
      <c r="R1200" t="s">
        <v>2405</v>
      </c>
      <c r="X1200" t="s">
        <v>1042</v>
      </c>
    </row>
    <row r="1201" spans="1:61" ht="18.399999999999999" hidden="1" customHeight="1" x14ac:dyDescent="0.15">
      <c r="A1201" s="2" t="s">
        <v>982</v>
      </c>
      <c r="B1201" s="87" t="s">
        <v>2232</v>
      </c>
      <c r="C1201" s="2">
        <v>22.18</v>
      </c>
      <c r="D1201" s="2" t="s">
        <v>1202</v>
      </c>
      <c r="E1201" s="27">
        <f t="shared" si="253"/>
        <v>55826</v>
      </c>
      <c r="F1201" s="28">
        <f t="shared" si="252"/>
        <v>1238220.6000000001</v>
      </c>
      <c r="G1201" s="27">
        <f>일위대가목록!F254</f>
        <v>0</v>
      </c>
      <c r="H1201" s="28">
        <f>TRUNC(G1201*C1201,1)</f>
        <v>0</v>
      </c>
      <c r="I1201" s="27">
        <f>일위대가목록!H254</f>
        <v>55826</v>
      </c>
      <c r="J1201" s="28">
        <f>TRUNC(I1201*C1201,1)</f>
        <v>1238220.6000000001</v>
      </c>
      <c r="K1201" s="27">
        <f>일위대가목록!J254</f>
        <v>0</v>
      </c>
      <c r="L1201" s="28">
        <f>TRUNC(K1201*C1201,1)</f>
        <v>0</v>
      </c>
      <c r="M1201" s="86" t="s">
        <v>2856</v>
      </c>
      <c r="N1201" t="s">
        <v>2856</v>
      </c>
      <c r="P1201" t="s">
        <v>803</v>
      </c>
      <c r="Q1201" t="s">
        <v>2856</v>
      </c>
      <c r="R1201" t="s">
        <v>1522</v>
      </c>
      <c r="T1201" t="s">
        <v>1778</v>
      </c>
      <c r="BI1201" s="34" t="str">
        <f>HYPERLINK("#일위대가목록!A249","N0201-24 →")</f>
        <v>N0201-24 →</v>
      </c>
    </row>
    <row r="1202" spans="1:61" ht="18.399999999999999" hidden="1" customHeight="1" x14ac:dyDescent="0.15">
      <c r="A1202" s="2" t="s">
        <v>1188</v>
      </c>
      <c r="B1202" s="87" t="s">
        <v>2848</v>
      </c>
      <c r="C1202" s="2">
        <v>55.44</v>
      </c>
      <c r="D1202" s="2" t="s">
        <v>1202</v>
      </c>
      <c r="E1202" s="27">
        <f t="shared" si="253"/>
        <v>12165</v>
      </c>
      <c r="F1202" s="28">
        <f t="shared" si="252"/>
        <v>674427.49999999988</v>
      </c>
      <c r="G1202" s="27">
        <f>일위대가목록!F255</f>
        <v>1188</v>
      </c>
      <c r="H1202" s="28">
        <f>TRUNC(G1202*C1202,1)</f>
        <v>65862.7</v>
      </c>
      <c r="I1202" s="27">
        <f>일위대가목록!H255</f>
        <v>10762</v>
      </c>
      <c r="J1202" s="28">
        <f>TRUNC(I1202*C1202,1)</f>
        <v>596645.19999999995</v>
      </c>
      <c r="K1202" s="27">
        <f>일위대가목록!J255</f>
        <v>215</v>
      </c>
      <c r="L1202" s="28">
        <f>TRUNC(K1202*C1202,1)</f>
        <v>11919.6</v>
      </c>
      <c r="M1202" s="86" t="s">
        <v>2856</v>
      </c>
      <c r="N1202" t="s">
        <v>2856</v>
      </c>
      <c r="P1202" t="s">
        <v>103</v>
      </c>
      <c r="Q1202" t="s">
        <v>2856</v>
      </c>
      <c r="R1202" t="s">
        <v>1058</v>
      </c>
      <c r="T1202" t="s">
        <v>1778</v>
      </c>
      <c r="BI1202" s="34" t="str">
        <f>HYPERLINK("#일위대가목록!A250","N4550 →")</f>
        <v>N4550 →</v>
      </c>
    </row>
    <row r="1203" spans="1:61" ht="18.399999999999999" hidden="1" customHeight="1" x14ac:dyDescent="0.15">
      <c r="A1203" s="2" t="s">
        <v>615</v>
      </c>
      <c r="B1203" s="87" t="s">
        <v>943</v>
      </c>
      <c r="C1203" s="2">
        <v>12</v>
      </c>
      <c r="D1203" s="2" t="s">
        <v>1160</v>
      </c>
      <c r="E1203" s="27">
        <f t="shared" si="253"/>
        <v>255000</v>
      </c>
      <c r="F1203" s="28">
        <f t="shared" si="252"/>
        <v>3060000</v>
      </c>
      <c r="G1203" s="27">
        <f>자재조서!E55</f>
        <v>255000</v>
      </c>
      <c r="H1203" s="28">
        <f>TRUNC(G1203*C1203,1)</f>
        <v>3060000</v>
      </c>
      <c r="I1203" s="27">
        <v>0</v>
      </c>
      <c r="J1203" s="28"/>
      <c r="K1203" s="27">
        <v>0</v>
      </c>
      <c r="L1203" s="28"/>
      <c r="M1203" s="86" t="s">
        <v>1601</v>
      </c>
      <c r="N1203" t="s">
        <v>2856</v>
      </c>
      <c r="P1203" t="s">
        <v>2261</v>
      </c>
      <c r="Q1203" t="s">
        <v>1839</v>
      </c>
      <c r="R1203" t="s">
        <v>2034</v>
      </c>
      <c r="W1203" t="s">
        <v>1601</v>
      </c>
      <c r="BI1203" s="34" t="str">
        <f>HYPERLINK("#자재조서!A52","MB-0008 →")</f>
        <v>MB-0008 →</v>
      </c>
    </row>
    <row r="1204" spans="1:61" ht="18.399999999999999" hidden="1" customHeight="1" x14ac:dyDescent="0.15">
      <c r="A1204" s="1"/>
      <c r="B1204" s="87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87"/>
    </row>
    <row r="1205" spans="1:61" ht="18.399999999999999" hidden="1" customHeight="1" x14ac:dyDescent="0.15">
      <c r="A1205" s="2" t="s">
        <v>2635</v>
      </c>
      <c r="B1205" s="87" t="s">
        <v>913</v>
      </c>
      <c r="C1205" s="2">
        <v>1</v>
      </c>
      <c r="D1205" s="2" t="s">
        <v>1670</v>
      </c>
      <c r="E1205" s="184"/>
      <c r="F1205" s="29">
        <f>H1205+J1205+L1205</f>
        <v>4626</v>
      </c>
      <c r="G1205" s="184"/>
      <c r="H1205" s="29">
        <f>TRUNC(H1206+H1207+H1208+H1209,0)</f>
        <v>1935</v>
      </c>
      <c r="I1205" s="184"/>
      <c r="J1205" s="29">
        <f>TRUNC(J1206+J1207+J1208+J1209,0)</f>
        <v>2650</v>
      </c>
      <c r="K1205" s="184"/>
      <c r="L1205" s="29">
        <f>TRUNC(L1206+L1207+L1208+L1209,0)</f>
        <v>41</v>
      </c>
      <c r="M1205" s="86" t="s">
        <v>2856</v>
      </c>
      <c r="N1205" t="s">
        <v>2856</v>
      </c>
      <c r="O1205" t="s">
        <v>2275</v>
      </c>
    </row>
    <row r="1206" spans="1:61" ht="18.399999999999999" hidden="1" customHeight="1" x14ac:dyDescent="0.15">
      <c r="A1206" s="2" t="s">
        <v>1163</v>
      </c>
      <c r="B1206" s="87" t="s">
        <v>576</v>
      </c>
      <c r="C1206" s="2">
        <v>0.05</v>
      </c>
      <c r="D1206" s="2" t="s">
        <v>2825</v>
      </c>
      <c r="E1206" s="27">
        <f>G1206+I1206+K1206</f>
        <v>5009</v>
      </c>
      <c r="F1206" s="28">
        <f>H1206+J1206+L1206</f>
        <v>250.4</v>
      </c>
      <c r="G1206" s="27">
        <f>일위대가목록!F4</f>
        <v>300</v>
      </c>
      <c r="H1206" s="28">
        <f>TRUNC(G1206*C1206,1)</f>
        <v>15</v>
      </c>
      <c r="I1206" s="27">
        <f>일위대가목록!H4</f>
        <v>4328</v>
      </c>
      <c r="J1206" s="28">
        <f>TRUNC(I1206*C1206,1)</f>
        <v>216.4</v>
      </c>
      <c r="K1206" s="27">
        <f>일위대가목록!J4</f>
        <v>381</v>
      </c>
      <c r="L1206" s="28">
        <f>TRUNC(K1206*C1206,1)</f>
        <v>19</v>
      </c>
      <c r="M1206" s="86" t="s">
        <v>2856</v>
      </c>
      <c r="N1206" t="s">
        <v>2856</v>
      </c>
      <c r="P1206" t="s">
        <v>334</v>
      </c>
      <c r="Q1206" t="s">
        <v>2856</v>
      </c>
      <c r="R1206" t="s">
        <v>69</v>
      </c>
      <c r="T1206" t="s">
        <v>2405</v>
      </c>
      <c r="BI1206" s="34" t="str">
        <f>HYPERLINK("#일위대가목록!A4","N1070 →")</f>
        <v>N1070 →</v>
      </c>
    </row>
    <row r="1207" spans="1:61" ht="18.399999999999999" hidden="1" customHeight="1" x14ac:dyDescent="0.15">
      <c r="A1207" s="2" t="s">
        <v>1112</v>
      </c>
      <c r="B1207" s="87" t="s">
        <v>2429</v>
      </c>
      <c r="C1207" s="2">
        <v>0.05</v>
      </c>
      <c r="D1207" s="2" t="s">
        <v>2825</v>
      </c>
      <c r="E1207" s="27">
        <f>G1207+I1207+K1207</f>
        <v>1588</v>
      </c>
      <c r="F1207" s="28">
        <f>H1207+J1207+L1207</f>
        <v>79.300000000000011</v>
      </c>
      <c r="G1207" s="27">
        <f>일위대가목록!F5</f>
        <v>285</v>
      </c>
      <c r="H1207" s="28">
        <f>TRUNC(G1207*C1207,1)</f>
        <v>14.2</v>
      </c>
      <c r="I1207" s="27">
        <f>일위대가목록!H5</f>
        <v>940</v>
      </c>
      <c r="J1207" s="28">
        <f>TRUNC(I1207*C1207,1)</f>
        <v>47</v>
      </c>
      <c r="K1207" s="27">
        <f>일위대가목록!J5</f>
        <v>363</v>
      </c>
      <c r="L1207" s="28">
        <f>TRUNC(K1207*C1207,1)</f>
        <v>18.100000000000001</v>
      </c>
      <c r="M1207" s="86" t="s">
        <v>2856</v>
      </c>
      <c r="N1207" t="s">
        <v>2856</v>
      </c>
      <c r="P1207" t="s">
        <v>2471</v>
      </c>
      <c r="Q1207" t="s">
        <v>2856</v>
      </c>
      <c r="R1207" t="s">
        <v>1705</v>
      </c>
      <c r="T1207" t="s">
        <v>2405</v>
      </c>
      <c r="BI1207" s="34" t="str">
        <f>HYPERLINK("#일위대가목록!A5","N0860 →")</f>
        <v>N0860 →</v>
      </c>
    </row>
    <row r="1208" spans="1:61" ht="18.399999999999999" hidden="1" customHeight="1" x14ac:dyDescent="0.15">
      <c r="A1208" s="2" t="s">
        <v>482</v>
      </c>
      <c r="B1208" s="87" t="s">
        <v>1174</v>
      </c>
      <c r="C1208" s="2">
        <v>0.8</v>
      </c>
      <c r="D1208" s="2" t="s">
        <v>1202</v>
      </c>
      <c r="E1208" s="27">
        <f>G1208+I1208+K1208</f>
        <v>412</v>
      </c>
      <c r="F1208" s="28">
        <f>H1208+J1208+L1208</f>
        <v>329.6</v>
      </c>
      <c r="G1208" s="27">
        <f>일위대가목록!F7</f>
        <v>20</v>
      </c>
      <c r="H1208" s="28">
        <f>TRUNC(G1208*C1208,1)</f>
        <v>16</v>
      </c>
      <c r="I1208" s="27">
        <f>일위대가목록!H7</f>
        <v>386</v>
      </c>
      <c r="J1208" s="28">
        <f>TRUNC(I1208*C1208,1)</f>
        <v>308.8</v>
      </c>
      <c r="K1208" s="27">
        <f>일위대가목록!J7</f>
        <v>6</v>
      </c>
      <c r="L1208" s="28">
        <f>TRUNC(K1208*C1208,1)</f>
        <v>4.8</v>
      </c>
      <c r="M1208" s="86" t="s">
        <v>2856</v>
      </c>
      <c r="N1208" t="s">
        <v>2856</v>
      </c>
      <c r="P1208" t="s">
        <v>1741</v>
      </c>
      <c r="Q1208" t="s">
        <v>2856</v>
      </c>
      <c r="R1208" t="s">
        <v>303</v>
      </c>
      <c r="T1208" t="s">
        <v>2405</v>
      </c>
      <c r="BI1208" s="34" t="str">
        <f>HYPERLINK("#일위대가목록!A7","N0800 →")</f>
        <v>N0800 →</v>
      </c>
    </row>
    <row r="1209" spans="1:61" ht="18.399999999999999" hidden="1" customHeight="1" x14ac:dyDescent="0.15">
      <c r="A1209" s="2" t="s">
        <v>628</v>
      </c>
      <c r="B1209" s="87" t="s">
        <v>1910</v>
      </c>
      <c r="C1209" s="2">
        <v>0.35</v>
      </c>
      <c r="D1209" s="2" t="s">
        <v>1202</v>
      </c>
      <c r="E1209" s="27">
        <f>G1209+I1209+K1209</f>
        <v>11338</v>
      </c>
      <c r="F1209" s="28">
        <f>H1209+J1209+L1209</f>
        <v>3968.3</v>
      </c>
      <c r="G1209" s="27">
        <f>일위대가목록!F172</f>
        <v>5400</v>
      </c>
      <c r="H1209" s="28">
        <f>TRUNC(G1209*C1209,1)</f>
        <v>1890</v>
      </c>
      <c r="I1209" s="27">
        <f>일위대가목록!H172</f>
        <v>5938</v>
      </c>
      <c r="J1209" s="28">
        <f>TRUNC(I1209*C1209,1)</f>
        <v>2078.3000000000002</v>
      </c>
      <c r="K1209" s="27">
        <f>일위대가목록!J172</f>
        <v>0</v>
      </c>
      <c r="L1209" s="28">
        <f>TRUNC(K1209*C1209,1)</f>
        <v>0</v>
      </c>
      <c r="M1209" s="86" t="s">
        <v>2856</v>
      </c>
      <c r="N1209" t="s">
        <v>2856</v>
      </c>
      <c r="P1209" t="s">
        <v>1036</v>
      </c>
      <c r="Q1209" t="s">
        <v>2856</v>
      </c>
      <c r="R1209" t="s">
        <v>199</v>
      </c>
      <c r="T1209" t="s">
        <v>1778</v>
      </c>
      <c r="BI1209" s="34" t="str">
        <f>HYPERLINK("#일위대가목록!A167","NT0100 →")</f>
        <v>NT0100 →</v>
      </c>
    </row>
    <row r="1210" spans="1:61" ht="18.399999999999999" hidden="1" customHeight="1" x14ac:dyDescent="0.15">
      <c r="A1210" s="1"/>
      <c r="B1210" s="87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87"/>
    </row>
    <row r="1211" spans="1:61" ht="18.399999999999999" hidden="1" customHeight="1" x14ac:dyDescent="0.15">
      <c r="A1211" s="2" t="s">
        <v>311</v>
      </c>
      <c r="B1211" s="87" t="s">
        <v>2419</v>
      </c>
      <c r="C1211" s="2">
        <v>1</v>
      </c>
      <c r="D1211" s="2" t="s">
        <v>1796</v>
      </c>
      <c r="E1211" s="184"/>
      <c r="F1211" s="29">
        <f t="shared" ref="F1211:F1219" si="255">H1211+J1211+L1211</f>
        <v>3407700</v>
      </c>
      <c r="G1211" s="184"/>
      <c r="H1211" s="29">
        <f>TRUNC(H1212+H1213+H1214+H1215+H1216+H1217+H1218+H1219,0)</f>
        <v>2922934</v>
      </c>
      <c r="I1211" s="184"/>
      <c r="J1211" s="29">
        <f>TRUNC(J1212+J1213+J1214+J1215+J1216+J1217+J1218+J1219,0)</f>
        <v>468239</v>
      </c>
      <c r="K1211" s="184"/>
      <c r="L1211" s="29">
        <f>TRUNC(L1212+L1213+L1214+L1215+L1216+L1217+L1218+L1219,0)</f>
        <v>16527</v>
      </c>
      <c r="M1211" s="86" t="s">
        <v>2856</v>
      </c>
      <c r="N1211" t="s">
        <v>2856</v>
      </c>
      <c r="O1211" t="s">
        <v>1263</v>
      </c>
    </row>
    <row r="1212" spans="1:61" ht="18.399999999999999" hidden="1" customHeight="1" x14ac:dyDescent="0.15">
      <c r="A1212" s="2" t="s">
        <v>1163</v>
      </c>
      <c r="B1212" s="87" t="s">
        <v>576</v>
      </c>
      <c r="C1212" s="2">
        <v>14.74</v>
      </c>
      <c r="D1212" s="2" t="s">
        <v>2825</v>
      </c>
      <c r="E1212" s="27">
        <f t="shared" ref="E1212:E1219" si="256">G1212+I1212+K1212</f>
        <v>5009</v>
      </c>
      <c r="F1212" s="28">
        <f t="shared" si="255"/>
        <v>73832.599999999991</v>
      </c>
      <c r="G1212" s="27">
        <f>일위대가목록!F4</f>
        <v>300</v>
      </c>
      <c r="H1212" s="28">
        <f t="shared" ref="H1212:H1219" si="257">TRUNC(G1212*C1212,1)</f>
        <v>4422</v>
      </c>
      <c r="I1212" s="27">
        <f>일위대가목록!H4</f>
        <v>4328</v>
      </c>
      <c r="J1212" s="28">
        <f>TRUNC(I1212*C1212,1)</f>
        <v>63794.7</v>
      </c>
      <c r="K1212" s="27">
        <f>일위대가목록!J4</f>
        <v>381</v>
      </c>
      <c r="L1212" s="28">
        <f>TRUNC(K1212*C1212,1)</f>
        <v>5615.9</v>
      </c>
      <c r="M1212" s="86" t="s">
        <v>2856</v>
      </c>
      <c r="N1212" t="s">
        <v>2856</v>
      </c>
      <c r="P1212" t="s">
        <v>334</v>
      </c>
      <c r="Q1212" t="s">
        <v>2856</v>
      </c>
      <c r="R1212" t="s">
        <v>69</v>
      </c>
      <c r="T1212" t="s">
        <v>2405</v>
      </c>
      <c r="BI1212" s="34" t="str">
        <f>HYPERLINK("#일위대가목록!A4","N1070 →")</f>
        <v>N1070 →</v>
      </c>
    </row>
    <row r="1213" spans="1:61" ht="18.399999999999999" hidden="1" customHeight="1" x14ac:dyDescent="0.15">
      <c r="A1213" s="2" t="s">
        <v>1112</v>
      </c>
      <c r="B1213" s="87" t="s">
        <v>2429</v>
      </c>
      <c r="C1213" s="2">
        <v>14.74</v>
      </c>
      <c r="D1213" s="2" t="s">
        <v>2825</v>
      </c>
      <c r="E1213" s="27">
        <f t="shared" si="256"/>
        <v>1588</v>
      </c>
      <c r="F1213" s="28">
        <f t="shared" si="255"/>
        <v>23407.1</v>
      </c>
      <c r="G1213" s="27">
        <f>일위대가목록!F5</f>
        <v>285</v>
      </c>
      <c r="H1213" s="28">
        <f t="shared" si="257"/>
        <v>4200.8999999999996</v>
      </c>
      <c r="I1213" s="27">
        <f>일위대가목록!H5</f>
        <v>940</v>
      </c>
      <c r="J1213" s="28">
        <f>TRUNC(I1213*C1213,1)</f>
        <v>13855.6</v>
      </c>
      <c r="K1213" s="27">
        <f>일위대가목록!J5</f>
        <v>363</v>
      </c>
      <c r="L1213" s="28">
        <f>TRUNC(K1213*C1213,1)</f>
        <v>5350.6</v>
      </c>
      <c r="M1213" s="86" t="s">
        <v>2856</v>
      </c>
      <c r="N1213" t="s">
        <v>2856</v>
      </c>
      <c r="P1213" t="s">
        <v>2471</v>
      </c>
      <c r="Q1213" t="s">
        <v>2856</v>
      </c>
      <c r="R1213" t="s">
        <v>1705</v>
      </c>
      <c r="T1213" t="s">
        <v>2405</v>
      </c>
      <c r="BI1213" s="34" t="str">
        <f>HYPERLINK("#일위대가목록!A5","N0860 →")</f>
        <v>N0860 →</v>
      </c>
    </row>
    <row r="1214" spans="1:61" ht="18.399999999999999" hidden="1" customHeight="1" x14ac:dyDescent="0.15">
      <c r="A1214" s="2" t="s">
        <v>482</v>
      </c>
      <c r="B1214" s="87" t="s">
        <v>1174</v>
      </c>
      <c r="C1214" s="2">
        <v>64.38</v>
      </c>
      <c r="D1214" s="2" t="s">
        <v>1202</v>
      </c>
      <c r="E1214" s="27">
        <f t="shared" si="256"/>
        <v>412</v>
      </c>
      <c r="F1214" s="28">
        <f t="shared" si="255"/>
        <v>26524.399999999998</v>
      </c>
      <c r="G1214" s="27">
        <f>일위대가목록!F7</f>
        <v>20</v>
      </c>
      <c r="H1214" s="28">
        <f t="shared" si="257"/>
        <v>1287.5999999999999</v>
      </c>
      <c r="I1214" s="27">
        <f>일위대가목록!H7</f>
        <v>386</v>
      </c>
      <c r="J1214" s="28">
        <f>TRUNC(I1214*C1214,1)</f>
        <v>24850.6</v>
      </c>
      <c r="K1214" s="27">
        <f>일위대가목록!J7</f>
        <v>6</v>
      </c>
      <c r="L1214" s="28">
        <f>TRUNC(K1214*C1214,1)</f>
        <v>386.2</v>
      </c>
      <c r="M1214" s="86" t="s">
        <v>2856</v>
      </c>
      <c r="N1214" t="s">
        <v>2856</v>
      </c>
      <c r="P1214" t="s">
        <v>1741</v>
      </c>
      <c r="Q1214" t="s">
        <v>2856</v>
      </c>
      <c r="R1214" t="s">
        <v>303</v>
      </c>
      <c r="T1214" t="s">
        <v>2405</v>
      </c>
      <c r="BI1214" s="34" t="str">
        <f>HYPERLINK("#일위대가목록!A7","N0800 →")</f>
        <v>N0800 →</v>
      </c>
    </row>
    <row r="1215" spans="1:61" ht="18.399999999999999" hidden="1" customHeight="1" x14ac:dyDescent="0.15">
      <c r="A1215" s="2" t="s">
        <v>2132</v>
      </c>
      <c r="B1215" s="87" t="s">
        <v>2760</v>
      </c>
      <c r="C1215" s="2">
        <v>3.54</v>
      </c>
      <c r="D1215" s="2" t="s">
        <v>2087</v>
      </c>
      <c r="E1215" s="27">
        <f t="shared" si="256"/>
        <v>31000</v>
      </c>
      <c r="F1215" s="28">
        <f t="shared" si="255"/>
        <v>109740</v>
      </c>
      <c r="G1215" s="27">
        <f>자재조서!E87</f>
        <v>31000</v>
      </c>
      <c r="H1215" s="28">
        <f t="shared" si="257"/>
        <v>109740</v>
      </c>
      <c r="I1215" s="27">
        <v>0</v>
      </c>
      <c r="J1215" s="28"/>
      <c r="K1215" s="27">
        <v>0</v>
      </c>
      <c r="L1215" s="28"/>
      <c r="M1215" s="86" t="s">
        <v>2856</v>
      </c>
      <c r="N1215" t="s">
        <v>695</v>
      </c>
      <c r="P1215" t="s">
        <v>213</v>
      </c>
      <c r="Q1215" t="s">
        <v>2856</v>
      </c>
      <c r="R1215" t="s">
        <v>2130</v>
      </c>
      <c r="BI1215" s="34" t="str">
        <f>HYPERLINK("#자재조서!A84","MB-4560 →")</f>
        <v>MB-4560 →</v>
      </c>
    </row>
    <row r="1216" spans="1:61" ht="18.399999999999999" hidden="1" customHeight="1" x14ac:dyDescent="0.15">
      <c r="A1216" s="2" t="s">
        <v>467</v>
      </c>
      <c r="B1216" s="87" t="s">
        <v>2010</v>
      </c>
      <c r="C1216" s="2">
        <v>3.4</v>
      </c>
      <c r="D1216" s="2" t="s">
        <v>2825</v>
      </c>
      <c r="E1216" s="27">
        <f t="shared" si="256"/>
        <v>14311</v>
      </c>
      <c r="F1216" s="28">
        <f t="shared" si="255"/>
        <v>48657.4</v>
      </c>
      <c r="G1216" s="27">
        <f>일위대가목록!F239</f>
        <v>1554</v>
      </c>
      <c r="H1216" s="28">
        <f t="shared" si="257"/>
        <v>5283.6</v>
      </c>
      <c r="I1216" s="27">
        <f>일위대가목록!H239</f>
        <v>11235</v>
      </c>
      <c r="J1216" s="28">
        <f>TRUNC(I1216*C1216,1)</f>
        <v>38199</v>
      </c>
      <c r="K1216" s="27">
        <f>일위대가목록!J239</f>
        <v>1522</v>
      </c>
      <c r="L1216" s="28">
        <f>TRUNC(K1216*C1216,1)</f>
        <v>5174.8</v>
      </c>
      <c r="M1216" s="86" t="s">
        <v>2856</v>
      </c>
      <c r="N1216" t="s">
        <v>2856</v>
      </c>
      <c r="P1216" t="s">
        <v>2374</v>
      </c>
      <c r="Q1216" t="s">
        <v>2856</v>
      </c>
      <c r="R1216" t="s">
        <v>782</v>
      </c>
      <c r="T1216" t="s">
        <v>1778</v>
      </c>
      <c r="BI1216" s="34" t="str">
        <f>HYPERLINK("#일위대가목록!A234","N0303 →")</f>
        <v>N0303 →</v>
      </c>
    </row>
    <row r="1217" spans="1:61" ht="18.399999999999999" hidden="1" customHeight="1" x14ac:dyDescent="0.15">
      <c r="A1217" s="2" t="s">
        <v>1837</v>
      </c>
      <c r="B1217" s="87" t="s">
        <v>590</v>
      </c>
      <c r="C1217" s="2">
        <v>420</v>
      </c>
      <c r="D1217" s="2" t="s">
        <v>203</v>
      </c>
      <c r="E1217" s="27">
        <f t="shared" si="256"/>
        <v>5309</v>
      </c>
      <c r="F1217" s="28">
        <f t="shared" si="255"/>
        <v>2229780</v>
      </c>
      <c r="G1217" s="27">
        <f>일위대가목록!F163</f>
        <v>5000</v>
      </c>
      <c r="H1217" s="28">
        <f t="shared" si="257"/>
        <v>2100000</v>
      </c>
      <c r="I1217" s="27">
        <f>일위대가목록!H163</f>
        <v>309</v>
      </c>
      <c r="J1217" s="28">
        <f>TRUNC(I1217*C1217,1)</f>
        <v>129780</v>
      </c>
      <c r="K1217" s="27">
        <f>일위대가목록!J163</f>
        <v>0</v>
      </c>
      <c r="L1217" s="28">
        <f>TRUNC(K1217*C1217,1)</f>
        <v>0</v>
      </c>
      <c r="M1217" s="86" t="s">
        <v>2856</v>
      </c>
      <c r="N1217" t="s">
        <v>2856</v>
      </c>
      <c r="P1217" t="s">
        <v>286</v>
      </c>
      <c r="Q1217" t="s">
        <v>2856</v>
      </c>
      <c r="R1217" t="s">
        <v>2358</v>
      </c>
      <c r="T1217" t="s">
        <v>1778</v>
      </c>
      <c r="BI1217" s="34" t="str">
        <f>HYPERLINK("#일위대가목록!A158","HT4840 →")</f>
        <v>HT4840 →</v>
      </c>
    </row>
    <row r="1218" spans="1:61" ht="18.399999999999999" hidden="1" customHeight="1" x14ac:dyDescent="0.15">
      <c r="A1218" s="2" t="s">
        <v>1454</v>
      </c>
      <c r="B1218" s="87" t="s">
        <v>763</v>
      </c>
      <c r="C1218" s="2">
        <v>350</v>
      </c>
      <c r="D1218" s="2" t="s">
        <v>203</v>
      </c>
      <c r="E1218" s="27">
        <f t="shared" si="256"/>
        <v>1309</v>
      </c>
      <c r="F1218" s="28">
        <f t="shared" si="255"/>
        <v>458150</v>
      </c>
      <c r="G1218" s="27">
        <f>일위대가목록!F165</f>
        <v>1000</v>
      </c>
      <c r="H1218" s="28">
        <f t="shared" si="257"/>
        <v>350000</v>
      </c>
      <c r="I1218" s="27">
        <f>일위대가목록!H165</f>
        <v>309</v>
      </c>
      <c r="J1218" s="28">
        <f>TRUNC(I1218*C1218,1)</f>
        <v>108150</v>
      </c>
      <c r="K1218" s="27">
        <f>일위대가목록!J165</f>
        <v>0</v>
      </c>
      <c r="L1218" s="28">
        <f>TRUNC(K1218*C1218,1)</f>
        <v>0</v>
      </c>
      <c r="M1218" s="86" t="s">
        <v>2856</v>
      </c>
      <c r="N1218" t="s">
        <v>2856</v>
      </c>
      <c r="P1218" t="s">
        <v>2428</v>
      </c>
      <c r="Q1218" t="s">
        <v>2856</v>
      </c>
      <c r="R1218" t="s">
        <v>2104</v>
      </c>
      <c r="T1218" t="s">
        <v>1778</v>
      </c>
      <c r="BI1218" s="34" t="str">
        <f>HYPERLINK("#일위대가목록!A160","HT5160 →")</f>
        <v>HT5160 →</v>
      </c>
    </row>
    <row r="1219" spans="1:61" ht="18.399999999999999" hidden="1" customHeight="1" x14ac:dyDescent="0.15">
      <c r="A1219" s="2" t="s">
        <v>478</v>
      </c>
      <c r="B1219" s="87" t="s">
        <v>1527</v>
      </c>
      <c r="C1219" s="2">
        <v>290</v>
      </c>
      <c r="D1219" s="2" t="s">
        <v>203</v>
      </c>
      <c r="E1219" s="27">
        <f t="shared" si="256"/>
        <v>1509</v>
      </c>
      <c r="F1219" s="28">
        <f t="shared" si="255"/>
        <v>437610</v>
      </c>
      <c r="G1219" s="27">
        <f>일위대가목록!F168</f>
        <v>1200</v>
      </c>
      <c r="H1219" s="28">
        <f t="shared" si="257"/>
        <v>348000</v>
      </c>
      <c r="I1219" s="27">
        <f>일위대가목록!H168</f>
        <v>309</v>
      </c>
      <c r="J1219" s="28">
        <f>TRUNC(I1219*C1219,1)</f>
        <v>89610</v>
      </c>
      <c r="K1219" s="27">
        <f>일위대가목록!J168</f>
        <v>0</v>
      </c>
      <c r="L1219" s="28">
        <f>TRUNC(K1219*C1219,1)</f>
        <v>0</v>
      </c>
      <c r="M1219" s="86" t="s">
        <v>2856</v>
      </c>
      <c r="N1219" t="s">
        <v>2856</v>
      </c>
      <c r="P1219" t="s">
        <v>1686</v>
      </c>
      <c r="Q1219" t="s">
        <v>2856</v>
      </c>
      <c r="R1219" t="s">
        <v>2533</v>
      </c>
      <c r="T1219" t="s">
        <v>1778</v>
      </c>
      <c r="BI1219" s="34" t="str">
        <f>HYPERLINK("#일위대가목록!A163","HT4780 →")</f>
        <v>HT4780 →</v>
      </c>
    </row>
    <row r="1220" spans="1:61" ht="18.399999999999999" hidden="1" customHeight="1" x14ac:dyDescent="0.15">
      <c r="A1220" s="1"/>
      <c r="B1220" s="87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87"/>
    </row>
    <row r="1221" spans="1:61" ht="18.399999999999999" hidden="1" customHeight="1" x14ac:dyDescent="0.15">
      <c r="A1221" s="2" t="s">
        <v>682</v>
      </c>
      <c r="B1221" s="87" t="s">
        <v>2419</v>
      </c>
      <c r="C1221" s="2">
        <v>1</v>
      </c>
      <c r="D1221" s="2" t="s">
        <v>1796</v>
      </c>
      <c r="E1221" s="184"/>
      <c r="F1221" s="29">
        <f t="shared" ref="F1221:F1230" si="258">H1221+J1221+L1221</f>
        <v>5849582</v>
      </c>
      <c r="G1221" s="184"/>
      <c r="H1221" s="29">
        <f>TRUNC(H1222+H1223+H1224+H1225+H1226+H1227+H1228+H1229+H1230,0)</f>
        <v>5016412</v>
      </c>
      <c r="I1221" s="184"/>
      <c r="J1221" s="29">
        <f>TRUNC(J1222+J1223+J1224+J1225+J1226+J1227+J1228+J1229+J1230,0)</f>
        <v>763330</v>
      </c>
      <c r="K1221" s="184"/>
      <c r="L1221" s="29">
        <f>TRUNC(L1222+L1223+L1224+L1225+L1226+L1227+L1228+L1229+L1230,0)</f>
        <v>69840</v>
      </c>
      <c r="M1221" s="86" t="s">
        <v>2856</v>
      </c>
      <c r="N1221" t="s">
        <v>2856</v>
      </c>
      <c r="O1221" t="s">
        <v>2584</v>
      </c>
    </row>
    <row r="1222" spans="1:61" ht="18.399999999999999" hidden="1" customHeight="1" x14ac:dyDescent="0.15">
      <c r="A1222" s="2" t="s">
        <v>1163</v>
      </c>
      <c r="B1222" s="87" t="s">
        <v>576</v>
      </c>
      <c r="C1222" s="2">
        <v>15.65</v>
      </c>
      <c r="D1222" s="2" t="s">
        <v>2825</v>
      </c>
      <c r="E1222" s="27">
        <f t="shared" ref="E1222:E1230" si="259">G1222+I1222+K1222</f>
        <v>5009</v>
      </c>
      <c r="F1222" s="28">
        <f t="shared" si="258"/>
        <v>78390.8</v>
      </c>
      <c r="G1222" s="27">
        <f>일위대가목록!F4</f>
        <v>300</v>
      </c>
      <c r="H1222" s="28">
        <f t="shared" ref="H1222:H1230" si="260">TRUNC(G1222*C1222,1)</f>
        <v>4695</v>
      </c>
      <c r="I1222" s="27">
        <f>일위대가목록!H4</f>
        <v>4328</v>
      </c>
      <c r="J1222" s="28">
        <f>TRUNC(I1222*C1222,1)</f>
        <v>67733.2</v>
      </c>
      <c r="K1222" s="27">
        <f>일위대가목록!J4</f>
        <v>381</v>
      </c>
      <c r="L1222" s="28">
        <f>TRUNC(K1222*C1222,1)</f>
        <v>5962.6</v>
      </c>
      <c r="M1222" s="86" t="s">
        <v>2856</v>
      </c>
      <c r="N1222" t="s">
        <v>2856</v>
      </c>
      <c r="P1222" t="s">
        <v>334</v>
      </c>
      <c r="Q1222" t="s">
        <v>2856</v>
      </c>
      <c r="R1222" t="s">
        <v>69</v>
      </c>
      <c r="T1222" t="s">
        <v>2405</v>
      </c>
      <c r="BI1222" s="34" t="str">
        <f>HYPERLINK("#일위대가목록!A4","N1070 →")</f>
        <v>N1070 →</v>
      </c>
    </row>
    <row r="1223" spans="1:61" ht="18.399999999999999" hidden="1" customHeight="1" x14ac:dyDescent="0.15">
      <c r="A1223" s="2" t="s">
        <v>1112</v>
      </c>
      <c r="B1223" s="87" t="s">
        <v>2429</v>
      </c>
      <c r="C1223" s="2">
        <v>15.65</v>
      </c>
      <c r="D1223" s="2" t="s">
        <v>2825</v>
      </c>
      <c r="E1223" s="27">
        <f t="shared" si="259"/>
        <v>1588</v>
      </c>
      <c r="F1223" s="28">
        <f t="shared" si="258"/>
        <v>24852.1</v>
      </c>
      <c r="G1223" s="27">
        <f>일위대가목록!F5</f>
        <v>285</v>
      </c>
      <c r="H1223" s="28">
        <f t="shared" si="260"/>
        <v>4460.2</v>
      </c>
      <c r="I1223" s="27">
        <f>일위대가목록!H5</f>
        <v>940</v>
      </c>
      <c r="J1223" s="28">
        <f>TRUNC(I1223*C1223,1)</f>
        <v>14711</v>
      </c>
      <c r="K1223" s="27">
        <f>일위대가목록!J5</f>
        <v>363</v>
      </c>
      <c r="L1223" s="28">
        <f>TRUNC(K1223*C1223,1)</f>
        <v>5680.9</v>
      </c>
      <c r="M1223" s="86" t="s">
        <v>2856</v>
      </c>
      <c r="N1223" t="s">
        <v>2856</v>
      </c>
      <c r="P1223" t="s">
        <v>2471</v>
      </c>
      <c r="Q1223" t="s">
        <v>2856</v>
      </c>
      <c r="R1223" t="s">
        <v>1705</v>
      </c>
      <c r="T1223" t="s">
        <v>2405</v>
      </c>
      <c r="BI1223" s="34" t="str">
        <f>HYPERLINK("#일위대가목록!A5","N0860 →")</f>
        <v>N0860 →</v>
      </c>
    </row>
    <row r="1224" spans="1:61" ht="18.399999999999999" hidden="1" customHeight="1" x14ac:dyDescent="0.15">
      <c r="A1224" s="2" t="s">
        <v>482</v>
      </c>
      <c r="B1224" s="87" t="s">
        <v>1174</v>
      </c>
      <c r="C1224" s="2">
        <v>54</v>
      </c>
      <c r="D1224" s="2" t="s">
        <v>1202</v>
      </c>
      <c r="E1224" s="27">
        <f t="shared" si="259"/>
        <v>412</v>
      </c>
      <c r="F1224" s="28">
        <f t="shared" si="258"/>
        <v>22248</v>
      </c>
      <c r="G1224" s="27">
        <f>일위대가목록!F7</f>
        <v>20</v>
      </c>
      <c r="H1224" s="28">
        <f t="shared" si="260"/>
        <v>1080</v>
      </c>
      <c r="I1224" s="27">
        <f>일위대가목록!H7</f>
        <v>386</v>
      </c>
      <c r="J1224" s="28">
        <f>TRUNC(I1224*C1224,1)</f>
        <v>20844</v>
      </c>
      <c r="K1224" s="27">
        <f>일위대가목록!J7</f>
        <v>6</v>
      </c>
      <c r="L1224" s="28">
        <f>TRUNC(K1224*C1224,1)</f>
        <v>324</v>
      </c>
      <c r="M1224" s="86" t="s">
        <v>2856</v>
      </c>
      <c r="N1224" t="s">
        <v>2856</v>
      </c>
      <c r="P1224" t="s">
        <v>1741</v>
      </c>
      <c r="Q1224" t="s">
        <v>2856</v>
      </c>
      <c r="R1224" t="s">
        <v>303</v>
      </c>
      <c r="T1224" t="s">
        <v>2405</v>
      </c>
      <c r="BI1224" s="34" t="str">
        <f>HYPERLINK("#일위대가목록!A7","N0800 →")</f>
        <v>N0800 →</v>
      </c>
    </row>
    <row r="1225" spans="1:61" ht="18.399999999999999" hidden="1" customHeight="1" x14ac:dyDescent="0.15">
      <c r="A1225" s="2" t="s">
        <v>2132</v>
      </c>
      <c r="B1225" s="87" t="s">
        <v>2760</v>
      </c>
      <c r="C1225" s="2">
        <v>1.1399999999999999</v>
      </c>
      <c r="D1225" s="2" t="s">
        <v>2087</v>
      </c>
      <c r="E1225" s="27">
        <f t="shared" si="259"/>
        <v>31000</v>
      </c>
      <c r="F1225" s="28">
        <f t="shared" si="258"/>
        <v>35340</v>
      </c>
      <c r="G1225" s="27">
        <f>자재조서!E87</f>
        <v>31000</v>
      </c>
      <c r="H1225" s="28">
        <f t="shared" si="260"/>
        <v>35340</v>
      </c>
      <c r="I1225" s="27">
        <v>0</v>
      </c>
      <c r="J1225" s="28"/>
      <c r="K1225" s="27">
        <v>0</v>
      </c>
      <c r="L1225" s="28"/>
      <c r="M1225" s="86" t="s">
        <v>2856</v>
      </c>
      <c r="N1225" t="s">
        <v>695</v>
      </c>
      <c r="P1225" t="s">
        <v>213</v>
      </c>
      <c r="Q1225" t="s">
        <v>2856</v>
      </c>
      <c r="R1225" t="s">
        <v>2130</v>
      </c>
      <c r="BI1225" s="34" t="str">
        <f>HYPERLINK("#자재조서!A84","MB-4560 →")</f>
        <v>MB-4560 →</v>
      </c>
    </row>
    <row r="1226" spans="1:61" ht="18.399999999999999" hidden="1" customHeight="1" x14ac:dyDescent="0.15">
      <c r="A1226" s="2" t="s">
        <v>467</v>
      </c>
      <c r="B1226" s="87" t="s">
        <v>2010</v>
      </c>
      <c r="C1226" s="2">
        <v>1.1000000000000001</v>
      </c>
      <c r="D1226" s="2" t="s">
        <v>2825</v>
      </c>
      <c r="E1226" s="27">
        <f t="shared" si="259"/>
        <v>14311</v>
      </c>
      <c r="F1226" s="28">
        <f t="shared" si="258"/>
        <v>15742.1</v>
      </c>
      <c r="G1226" s="27">
        <f>일위대가목록!F239</f>
        <v>1554</v>
      </c>
      <c r="H1226" s="28">
        <f t="shared" si="260"/>
        <v>1709.4</v>
      </c>
      <c r="I1226" s="27">
        <f>일위대가목록!H239</f>
        <v>11235</v>
      </c>
      <c r="J1226" s="28">
        <f>TRUNC(I1226*C1226,1)</f>
        <v>12358.5</v>
      </c>
      <c r="K1226" s="27">
        <f>일위대가목록!J239</f>
        <v>1522</v>
      </c>
      <c r="L1226" s="28">
        <f>TRUNC(K1226*C1226,1)</f>
        <v>1674.2</v>
      </c>
      <c r="M1226" s="86" t="s">
        <v>2856</v>
      </c>
      <c r="N1226" t="s">
        <v>2856</v>
      </c>
      <c r="P1226" t="s">
        <v>2374</v>
      </c>
      <c r="Q1226" t="s">
        <v>2856</v>
      </c>
      <c r="R1226" t="s">
        <v>782</v>
      </c>
      <c r="T1226" t="s">
        <v>1778</v>
      </c>
      <c r="BI1226" s="34" t="str">
        <f>HYPERLINK("#일위대가목록!A234","N0303 →")</f>
        <v>N0303 →</v>
      </c>
    </row>
    <row r="1227" spans="1:61" ht="18.399999999999999" hidden="1" customHeight="1" x14ac:dyDescent="0.15">
      <c r="A1227" s="2" t="s">
        <v>2285</v>
      </c>
      <c r="B1227" s="87" t="s">
        <v>763</v>
      </c>
      <c r="C1227" s="2">
        <v>400</v>
      </c>
      <c r="D1227" s="2" t="s">
        <v>203</v>
      </c>
      <c r="E1227" s="27">
        <f t="shared" si="259"/>
        <v>5309</v>
      </c>
      <c r="F1227" s="28">
        <f t="shared" si="258"/>
        <v>2123600</v>
      </c>
      <c r="G1227" s="27">
        <f>일위대가목록!F257</f>
        <v>5000</v>
      </c>
      <c r="H1227" s="28">
        <f t="shared" si="260"/>
        <v>2000000</v>
      </c>
      <c r="I1227" s="27">
        <f>일위대가목록!H257</f>
        <v>309</v>
      </c>
      <c r="J1227" s="28">
        <f>TRUNC(I1227*C1227,1)</f>
        <v>123600</v>
      </c>
      <c r="K1227" s="27">
        <f>일위대가목록!J257</f>
        <v>0</v>
      </c>
      <c r="L1227" s="28">
        <f>TRUNC(K1227*C1227,1)</f>
        <v>0</v>
      </c>
      <c r="M1227" s="86" t="s">
        <v>2856</v>
      </c>
      <c r="N1227" t="s">
        <v>2856</v>
      </c>
      <c r="P1227" t="s">
        <v>286</v>
      </c>
      <c r="Q1227" t="s">
        <v>2856</v>
      </c>
      <c r="R1227" t="s">
        <v>955</v>
      </c>
      <c r="T1227" t="s">
        <v>1778</v>
      </c>
      <c r="BI1227" s="34" t="str">
        <f>HYPERLINK("#일위대가목록!A252","HT4820 →")</f>
        <v>HT4820 →</v>
      </c>
    </row>
    <row r="1228" spans="1:61" ht="18.399999999999999" hidden="1" customHeight="1" x14ac:dyDescent="0.15">
      <c r="A1228" s="2" t="s">
        <v>1591</v>
      </c>
      <c r="B1228" s="87" t="s">
        <v>422</v>
      </c>
      <c r="C1228" s="2">
        <v>190</v>
      </c>
      <c r="D1228" s="2" t="s">
        <v>203</v>
      </c>
      <c r="E1228" s="27">
        <f t="shared" si="259"/>
        <v>1809</v>
      </c>
      <c r="F1228" s="28">
        <f t="shared" si="258"/>
        <v>343710</v>
      </c>
      <c r="G1228" s="27">
        <f>일위대가목록!F258</f>
        <v>1500</v>
      </c>
      <c r="H1228" s="28">
        <f t="shared" si="260"/>
        <v>285000</v>
      </c>
      <c r="I1228" s="27">
        <f>일위대가목록!H258</f>
        <v>309</v>
      </c>
      <c r="J1228" s="28">
        <f>TRUNC(I1228*C1228,1)</f>
        <v>58710</v>
      </c>
      <c r="K1228" s="27">
        <f>일위대가목록!J258</f>
        <v>0</v>
      </c>
      <c r="L1228" s="28">
        <f>TRUNC(K1228*C1228,1)</f>
        <v>0</v>
      </c>
      <c r="M1228" s="86" t="s">
        <v>2856</v>
      </c>
      <c r="N1228" t="s">
        <v>2856</v>
      </c>
      <c r="P1228" t="s">
        <v>2428</v>
      </c>
      <c r="Q1228" t="s">
        <v>2856</v>
      </c>
      <c r="R1228" t="s">
        <v>424</v>
      </c>
      <c r="T1228" t="s">
        <v>1778</v>
      </c>
      <c r="BI1228" s="34" t="str">
        <f>HYPERLINK("#일위대가목록!A253","HT54904 →")</f>
        <v>HT54904 →</v>
      </c>
    </row>
    <row r="1229" spans="1:61" ht="18.399999999999999" hidden="1" customHeight="1" x14ac:dyDescent="0.15">
      <c r="A1229" s="2" t="s">
        <v>1001</v>
      </c>
      <c r="B1229" s="87" t="s">
        <v>569</v>
      </c>
      <c r="C1229" s="2">
        <v>6</v>
      </c>
      <c r="D1229" s="2" t="s">
        <v>1796</v>
      </c>
      <c r="E1229" s="27">
        <f t="shared" si="259"/>
        <v>400000</v>
      </c>
      <c r="F1229" s="28">
        <f t="shared" si="258"/>
        <v>2400000</v>
      </c>
      <c r="G1229" s="27">
        <f>자재조서!E128</f>
        <v>400000</v>
      </c>
      <c r="H1229" s="28">
        <f t="shared" si="260"/>
        <v>2400000</v>
      </c>
      <c r="I1229" s="27">
        <v>0</v>
      </c>
      <c r="J1229" s="28"/>
      <c r="K1229" s="27">
        <v>0</v>
      </c>
      <c r="L1229" s="28"/>
      <c r="M1229" s="86" t="s">
        <v>2856</v>
      </c>
      <c r="N1229" t="s">
        <v>2856</v>
      </c>
      <c r="P1229" t="s">
        <v>1686</v>
      </c>
      <c r="Q1229" t="s">
        <v>2856</v>
      </c>
      <c r="R1229" t="s">
        <v>1210</v>
      </c>
      <c r="BI1229" s="34" t="str">
        <f>HYPERLINK("#자재조서!A122","MTH07 →")</f>
        <v>MTH07 →</v>
      </c>
    </row>
    <row r="1230" spans="1:61" ht="18.399999999999999" hidden="1" customHeight="1" x14ac:dyDescent="0.15">
      <c r="A1230" s="2" t="s">
        <v>530</v>
      </c>
      <c r="B1230" s="87" t="s">
        <v>423</v>
      </c>
      <c r="C1230" s="2">
        <v>13</v>
      </c>
      <c r="D1230" s="2" t="s">
        <v>1796</v>
      </c>
      <c r="E1230" s="27">
        <f t="shared" si="259"/>
        <v>61977</v>
      </c>
      <c r="F1230" s="28">
        <f t="shared" si="258"/>
        <v>805701</v>
      </c>
      <c r="G1230" s="27">
        <f>일위대가목록!F191</f>
        <v>21856</v>
      </c>
      <c r="H1230" s="28">
        <f t="shared" si="260"/>
        <v>284128</v>
      </c>
      <c r="I1230" s="27">
        <f>일위대가목록!H191</f>
        <v>35798</v>
      </c>
      <c r="J1230" s="28">
        <f>TRUNC(I1230*C1230,1)</f>
        <v>465374</v>
      </c>
      <c r="K1230" s="27">
        <f>일위대가목록!J191</f>
        <v>4323</v>
      </c>
      <c r="L1230" s="28">
        <f>TRUNC(K1230*C1230,1)</f>
        <v>56199</v>
      </c>
      <c r="M1230" s="86" t="s">
        <v>2856</v>
      </c>
      <c r="N1230" t="s">
        <v>2856</v>
      </c>
      <c r="P1230" t="s">
        <v>983</v>
      </c>
      <c r="Q1230" t="s">
        <v>2856</v>
      </c>
      <c r="R1230" t="s">
        <v>107</v>
      </c>
      <c r="T1230" t="s">
        <v>1778</v>
      </c>
      <c r="BI1230" s="34" t="str">
        <f>HYPERLINK("#일위대가목록!A186","HW0017 →")</f>
        <v>HW0017 →</v>
      </c>
    </row>
    <row r="1231" spans="1:61" ht="18.399999999999999" hidden="1" customHeight="1" x14ac:dyDescent="0.15">
      <c r="A1231" s="1"/>
      <c r="B1231" s="87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87"/>
    </row>
    <row r="1232" spans="1:61" ht="18.399999999999999" hidden="1" customHeight="1" x14ac:dyDescent="0.15">
      <c r="A1232" s="2" t="s">
        <v>1710</v>
      </c>
      <c r="B1232" s="87" t="s">
        <v>2664</v>
      </c>
      <c r="C1232" s="2">
        <v>1</v>
      </c>
      <c r="D1232" s="2" t="s">
        <v>1796</v>
      </c>
      <c r="E1232" s="184"/>
      <c r="F1232" s="29">
        <f t="shared" ref="F1232:F1245" si="261">H1232+J1232+L1232</f>
        <v>18198344</v>
      </c>
      <c r="G1232" s="184"/>
      <c r="H1232" s="29">
        <f>TRUNC(H1233+H1234+H1235+H1236+H1237+H1238+H1240+H1241+H1242+H1243+H1244+H1245,0)</f>
        <v>9442278</v>
      </c>
      <c r="I1232" s="184"/>
      <c r="J1232" s="29">
        <f>TRUNC(J1233+J1234+J1235+J1236+J1237+J1238+J1240+J1241+J1242+J1243+J1244+J1245,0)</f>
        <v>6939070</v>
      </c>
      <c r="K1232" s="184"/>
      <c r="L1232" s="29">
        <f>TRUNC(L1233+L1234+L1235+L1236+L1237+L1238+L1240+L1241+L1242+L1243+L1244+L1245,0)</f>
        <v>1816996</v>
      </c>
      <c r="M1232" s="86" t="s">
        <v>2856</v>
      </c>
      <c r="N1232" t="s">
        <v>2856</v>
      </c>
      <c r="O1232" t="s">
        <v>756</v>
      </c>
    </row>
    <row r="1233" spans="1:61" ht="18.399999999999999" hidden="1" customHeight="1" x14ac:dyDescent="0.15">
      <c r="A1233" s="2" t="s">
        <v>1163</v>
      </c>
      <c r="B1233" s="87" t="s">
        <v>576</v>
      </c>
      <c r="C1233" s="2">
        <v>108</v>
      </c>
      <c r="D1233" s="2" t="s">
        <v>2825</v>
      </c>
      <c r="E1233" s="27">
        <f t="shared" ref="E1233:E1245" si="262">G1233+I1233+K1233</f>
        <v>5009</v>
      </c>
      <c r="F1233" s="28">
        <f t="shared" si="261"/>
        <v>540972</v>
      </c>
      <c r="G1233" s="27">
        <f>일위대가목록!F4</f>
        <v>300</v>
      </c>
      <c r="H1233" s="28">
        <f t="shared" ref="H1233:H1245" si="263">TRUNC(G1233*C1233,1)</f>
        <v>32400</v>
      </c>
      <c r="I1233" s="27">
        <f>일위대가목록!H4</f>
        <v>4328</v>
      </c>
      <c r="J1233" s="28">
        <f>TRUNC(I1233*C1233,1)</f>
        <v>467424</v>
      </c>
      <c r="K1233" s="27">
        <f>일위대가목록!J4</f>
        <v>381</v>
      </c>
      <c r="L1233" s="28">
        <f>TRUNC(K1233*C1233,1)</f>
        <v>41148</v>
      </c>
      <c r="M1233" s="86" t="s">
        <v>2856</v>
      </c>
      <c r="N1233" t="s">
        <v>2856</v>
      </c>
      <c r="P1233" t="s">
        <v>334</v>
      </c>
      <c r="Q1233" t="s">
        <v>2856</v>
      </c>
      <c r="R1233" t="s">
        <v>69</v>
      </c>
      <c r="T1233" t="s">
        <v>2405</v>
      </c>
      <c r="BI1233" s="34" t="str">
        <f>HYPERLINK("#일위대가목록!A4","N1070 →")</f>
        <v>N1070 →</v>
      </c>
    </row>
    <row r="1234" spans="1:61" ht="18.399999999999999" hidden="1" customHeight="1" x14ac:dyDescent="0.15">
      <c r="A1234" s="2" t="s">
        <v>1112</v>
      </c>
      <c r="B1234" s="87" t="s">
        <v>2429</v>
      </c>
      <c r="C1234" s="2">
        <v>81</v>
      </c>
      <c r="D1234" s="2" t="s">
        <v>2825</v>
      </c>
      <c r="E1234" s="27">
        <f t="shared" si="262"/>
        <v>1588</v>
      </c>
      <c r="F1234" s="28">
        <f t="shared" si="261"/>
        <v>128628</v>
      </c>
      <c r="G1234" s="27">
        <f>일위대가목록!F5</f>
        <v>285</v>
      </c>
      <c r="H1234" s="28">
        <f t="shared" si="263"/>
        <v>23085</v>
      </c>
      <c r="I1234" s="27">
        <f>일위대가목록!H5</f>
        <v>940</v>
      </c>
      <c r="J1234" s="28">
        <f>TRUNC(I1234*C1234,1)</f>
        <v>76140</v>
      </c>
      <c r="K1234" s="27">
        <f>일위대가목록!J5</f>
        <v>363</v>
      </c>
      <c r="L1234" s="28">
        <f>TRUNC(K1234*C1234,1)</f>
        <v>29403</v>
      </c>
      <c r="M1234" s="86" t="s">
        <v>2856</v>
      </c>
      <c r="N1234" t="s">
        <v>2856</v>
      </c>
      <c r="P1234" t="s">
        <v>2471</v>
      </c>
      <c r="Q1234" t="s">
        <v>2856</v>
      </c>
      <c r="R1234" t="s">
        <v>1705</v>
      </c>
      <c r="T1234" t="s">
        <v>2405</v>
      </c>
      <c r="BI1234" s="34" t="str">
        <f>HYPERLINK("#일위대가목록!A5","N0860 →")</f>
        <v>N0860 →</v>
      </c>
    </row>
    <row r="1235" spans="1:61" ht="18.399999999999999" hidden="1" customHeight="1" x14ac:dyDescent="0.15">
      <c r="A1235" s="2" t="s">
        <v>2451</v>
      </c>
      <c r="B1235" s="87" t="s">
        <v>565</v>
      </c>
      <c r="C1235" s="2">
        <v>27</v>
      </c>
      <c r="D1235" s="2" t="s">
        <v>2825</v>
      </c>
      <c r="E1235" s="27">
        <f t="shared" si="262"/>
        <v>7144</v>
      </c>
      <c r="F1235" s="28">
        <f t="shared" si="261"/>
        <v>192888</v>
      </c>
      <c r="G1235" s="27">
        <f>일위대가목록!F6</f>
        <v>445</v>
      </c>
      <c r="H1235" s="28">
        <f t="shared" si="263"/>
        <v>12015</v>
      </c>
      <c r="I1235" s="27">
        <f>일위대가목록!H6</f>
        <v>6329</v>
      </c>
      <c r="J1235" s="28">
        <f>TRUNC(I1235*C1235,1)</f>
        <v>170883</v>
      </c>
      <c r="K1235" s="27">
        <f>일위대가목록!J6</f>
        <v>370</v>
      </c>
      <c r="L1235" s="28">
        <f>TRUNC(K1235*C1235,1)</f>
        <v>9990</v>
      </c>
      <c r="M1235" s="86" t="s">
        <v>2856</v>
      </c>
      <c r="N1235" t="s">
        <v>2856</v>
      </c>
      <c r="P1235" t="s">
        <v>928</v>
      </c>
      <c r="Q1235" t="s">
        <v>2856</v>
      </c>
      <c r="R1235" t="s">
        <v>1429</v>
      </c>
      <c r="T1235" t="s">
        <v>2405</v>
      </c>
      <c r="BI1235" s="34" t="str">
        <f>HYPERLINK("#일위대가목록!A6","N1010 →")</f>
        <v>N1010 →</v>
      </c>
    </row>
    <row r="1236" spans="1:61" ht="18.399999999999999" hidden="1" customHeight="1" x14ac:dyDescent="0.15">
      <c r="A1236" s="2" t="s">
        <v>482</v>
      </c>
      <c r="B1236" s="87" t="s">
        <v>1174</v>
      </c>
      <c r="C1236" s="2">
        <v>198</v>
      </c>
      <c r="D1236" s="2" t="s">
        <v>1202</v>
      </c>
      <c r="E1236" s="27">
        <f t="shared" si="262"/>
        <v>412</v>
      </c>
      <c r="F1236" s="28">
        <f t="shared" si="261"/>
        <v>81576</v>
      </c>
      <c r="G1236" s="27">
        <f>일위대가목록!F7</f>
        <v>20</v>
      </c>
      <c r="H1236" s="28">
        <f t="shared" si="263"/>
        <v>3960</v>
      </c>
      <c r="I1236" s="27">
        <f>일위대가목록!H7</f>
        <v>386</v>
      </c>
      <c r="J1236" s="28">
        <f>TRUNC(I1236*C1236,1)</f>
        <v>76428</v>
      </c>
      <c r="K1236" s="27">
        <f>일위대가목록!J7</f>
        <v>6</v>
      </c>
      <c r="L1236" s="28">
        <f>TRUNC(K1236*C1236,1)</f>
        <v>1188</v>
      </c>
      <c r="M1236" s="86" t="s">
        <v>2856</v>
      </c>
      <c r="N1236" t="s">
        <v>2856</v>
      </c>
      <c r="P1236" t="s">
        <v>1741</v>
      </c>
      <c r="Q1236" t="s">
        <v>2856</v>
      </c>
      <c r="R1236" t="s">
        <v>303</v>
      </c>
      <c r="T1236" t="s">
        <v>2405</v>
      </c>
      <c r="BI1236" s="34" t="str">
        <f>HYPERLINK("#일위대가목록!A7","N0800 →")</f>
        <v>N0800 →</v>
      </c>
    </row>
    <row r="1237" spans="1:61" ht="18.399999999999999" hidden="1" customHeight="1" x14ac:dyDescent="0.15">
      <c r="A1237" s="2" t="s">
        <v>2126</v>
      </c>
      <c r="B1237" s="87" t="s">
        <v>2760</v>
      </c>
      <c r="C1237" s="2">
        <v>28.08</v>
      </c>
      <c r="D1237" s="2" t="s">
        <v>2825</v>
      </c>
      <c r="E1237" s="27">
        <f t="shared" si="262"/>
        <v>31000</v>
      </c>
      <c r="F1237" s="28">
        <f t="shared" si="261"/>
        <v>870480</v>
      </c>
      <c r="G1237" s="27">
        <f>자재조서!E88</f>
        <v>31000</v>
      </c>
      <c r="H1237" s="28">
        <f t="shared" si="263"/>
        <v>870480</v>
      </c>
      <c r="I1237" s="27">
        <v>0</v>
      </c>
      <c r="J1237" s="28"/>
      <c r="K1237" s="27">
        <v>0</v>
      </c>
      <c r="L1237" s="28"/>
      <c r="M1237" s="86" t="s">
        <v>2856</v>
      </c>
      <c r="N1237" t="s">
        <v>2856</v>
      </c>
      <c r="P1237" t="s">
        <v>213</v>
      </c>
      <c r="Q1237" t="s">
        <v>2856</v>
      </c>
      <c r="R1237" t="s">
        <v>439</v>
      </c>
      <c r="BI1237" s="34" t="str">
        <f>HYPERLINK("#자재조서!A85","MB-4561 →")</f>
        <v>MB-4561 →</v>
      </c>
    </row>
    <row r="1238" spans="1:61" ht="18.399999999999999" hidden="1" customHeight="1" x14ac:dyDescent="0.15">
      <c r="A1238" s="2" t="s">
        <v>467</v>
      </c>
      <c r="B1238" s="87" t="s">
        <v>2010</v>
      </c>
      <c r="C1238" s="2">
        <v>27</v>
      </c>
      <c r="D1238" s="2" t="s">
        <v>2825</v>
      </c>
      <c r="E1238" s="27">
        <f t="shared" si="262"/>
        <v>14311</v>
      </c>
      <c r="F1238" s="28">
        <f t="shared" si="261"/>
        <v>386397</v>
      </c>
      <c r="G1238" s="27">
        <f>일위대가목록!F239</f>
        <v>1554</v>
      </c>
      <c r="H1238" s="28">
        <f t="shared" si="263"/>
        <v>41958</v>
      </c>
      <c r="I1238" s="27">
        <f>일위대가목록!H239</f>
        <v>11235</v>
      </c>
      <c r="J1238" s="28">
        <f>TRUNC(I1238*C1238,1)</f>
        <v>303345</v>
      </c>
      <c r="K1238" s="27">
        <f>일위대가목록!J239</f>
        <v>1522</v>
      </c>
      <c r="L1238" s="28">
        <f>TRUNC(K1238*C1238,1)</f>
        <v>41094</v>
      </c>
      <c r="M1238" s="86" t="s">
        <v>2856</v>
      </c>
      <c r="N1238" t="s">
        <v>2856</v>
      </c>
      <c r="P1238" t="s">
        <v>2374</v>
      </c>
      <c r="Q1238" t="s">
        <v>2856</v>
      </c>
      <c r="R1238" t="s">
        <v>782</v>
      </c>
      <c r="T1238" t="s">
        <v>1778</v>
      </c>
      <c r="BI1238" s="34" t="str">
        <f>HYPERLINK("#일위대가목록!A234","N0303 →")</f>
        <v>N0303 →</v>
      </c>
    </row>
    <row r="1239" spans="1:61" ht="18.399999999999999" hidden="1" customHeight="1" x14ac:dyDescent="0.15">
      <c r="A1239" s="2" t="s">
        <v>1632</v>
      </c>
      <c r="B1239" s="87" t="s">
        <v>2279</v>
      </c>
      <c r="C1239" s="2">
        <v>36.72</v>
      </c>
      <c r="D1239" s="2" t="s">
        <v>2825</v>
      </c>
      <c r="E1239" s="27">
        <f t="shared" si="262"/>
        <v>89830</v>
      </c>
      <c r="F1239" s="28">
        <f t="shared" si="261"/>
        <v>3298557.6</v>
      </c>
      <c r="G1239" s="27">
        <f>자재조서!E73</f>
        <v>89830</v>
      </c>
      <c r="H1239" s="28">
        <f t="shared" si="263"/>
        <v>3298557.6</v>
      </c>
      <c r="I1239" s="27">
        <v>0</v>
      </c>
      <c r="J1239" s="28"/>
      <c r="K1239" s="27">
        <v>0</v>
      </c>
      <c r="L1239" s="28"/>
      <c r="M1239" s="86" t="s">
        <v>2856</v>
      </c>
      <c r="N1239" t="s">
        <v>2856</v>
      </c>
      <c r="P1239" t="s">
        <v>1661</v>
      </c>
      <c r="Q1239" t="s">
        <v>1839</v>
      </c>
      <c r="R1239" t="s">
        <v>2547</v>
      </c>
      <c r="BI1239" s="34" t="str">
        <f>HYPERLINK("#자재조서!A70","MB-190-24 →")</f>
        <v>MB-190-24 →</v>
      </c>
    </row>
    <row r="1240" spans="1:61" ht="18.399999999999999" hidden="1" customHeight="1" x14ac:dyDescent="0.15">
      <c r="A1240" s="2" t="s">
        <v>54</v>
      </c>
      <c r="B1240" s="87" t="s">
        <v>1255</v>
      </c>
      <c r="C1240" s="2">
        <v>36</v>
      </c>
      <c r="D1240" s="2" t="s">
        <v>2825</v>
      </c>
      <c r="E1240" s="27">
        <f t="shared" si="262"/>
        <v>55166</v>
      </c>
      <c r="F1240" s="28">
        <f t="shared" si="261"/>
        <v>1985976</v>
      </c>
      <c r="G1240" s="27">
        <f>일위대가목록!F235</f>
        <v>2538</v>
      </c>
      <c r="H1240" s="28">
        <f t="shared" si="263"/>
        <v>91368</v>
      </c>
      <c r="I1240" s="27">
        <f>일위대가목록!H235</f>
        <v>22449</v>
      </c>
      <c r="J1240" s="28">
        <f>TRUNC(I1240*C1240,1)</f>
        <v>808164</v>
      </c>
      <c r="K1240" s="27">
        <f>일위대가목록!J235</f>
        <v>30179</v>
      </c>
      <c r="L1240" s="28">
        <f>TRUNC(K1240*C1240,1)</f>
        <v>1086444</v>
      </c>
      <c r="M1240" s="86" t="s">
        <v>2856</v>
      </c>
      <c r="N1240" t="s">
        <v>2856</v>
      </c>
      <c r="P1240" t="s">
        <v>976</v>
      </c>
      <c r="Q1240" t="s">
        <v>2856</v>
      </c>
      <c r="R1240" t="s">
        <v>668</v>
      </c>
      <c r="T1240" t="s">
        <v>1778</v>
      </c>
      <c r="BI1240" s="34" t="str">
        <f>HYPERLINK("#일위대가목록!A230","N1380-24 →")</f>
        <v>N1380-24 →</v>
      </c>
    </row>
    <row r="1241" spans="1:61" ht="18.399999999999999" hidden="1" customHeight="1" x14ac:dyDescent="0.15">
      <c r="A1241" s="2" t="s">
        <v>2132</v>
      </c>
      <c r="B1241" s="87" t="s">
        <v>2760</v>
      </c>
      <c r="C1241" s="2">
        <v>7.8</v>
      </c>
      <c r="D1241" s="2" t="s">
        <v>2087</v>
      </c>
      <c r="E1241" s="27">
        <f t="shared" si="262"/>
        <v>31000</v>
      </c>
      <c r="F1241" s="28">
        <f t="shared" si="261"/>
        <v>241800</v>
      </c>
      <c r="G1241" s="27">
        <f>자재조서!E87</f>
        <v>31000</v>
      </c>
      <c r="H1241" s="28">
        <f t="shared" si="263"/>
        <v>241800</v>
      </c>
      <c r="I1241" s="27">
        <v>0</v>
      </c>
      <c r="J1241" s="28"/>
      <c r="K1241" s="27">
        <v>0</v>
      </c>
      <c r="L1241" s="28"/>
      <c r="M1241" s="86" t="s">
        <v>2856</v>
      </c>
      <c r="N1241" t="s">
        <v>695</v>
      </c>
      <c r="P1241" t="s">
        <v>1686</v>
      </c>
      <c r="Q1241" t="s">
        <v>2856</v>
      </c>
      <c r="R1241" t="s">
        <v>2130</v>
      </c>
      <c r="BI1241" s="34" t="str">
        <f>HYPERLINK("#자재조서!A84","MB-4560 →")</f>
        <v>MB-4560 →</v>
      </c>
    </row>
    <row r="1242" spans="1:61" ht="18.399999999999999" hidden="1" customHeight="1" x14ac:dyDescent="0.15">
      <c r="A1242" s="2" t="s">
        <v>1367</v>
      </c>
      <c r="B1242" s="87" t="s">
        <v>924</v>
      </c>
      <c r="C1242" s="2">
        <v>20.67</v>
      </c>
      <c r="D1242" s="2" t="s">
        <v>978</v>
      </c>
      <c r="E1242" s="27">
        <f t="shared" si="262"/>
        <v>120000</v>
      </c>
      <c r="F1242" s="28">
        <f t="shared" si="261"/>
        <v>2480400</v>
      </c>
      <c r="G1242" s="27">
        <f>자재조서!E122</f>
        <v>120000</v>
      </c>
      <c r="H1242" s="28">
        <f t="shared" si="263"/>
        <v>2480400</v>
      </c>
      <c r="I1242" s="27">
        <v>0</v>
      </c>
      <c r="J1242" s="28"/>
      <c r="K1242" s="27">
        <v>0</v>
      </c>
      <c r="L1242" s="28"/>
      <c r="M1242" s="86" t="s">
        <v>2856</v>
      </c>
      <c r="N1242" t="s">
        <v>2856</v>
      </c>
      <c r="P1242" t="s">
        <v>983</v>
      </c>
      <c r="Q1242" t="s">
        <v>2856</v>
      </c>
      <c r="R1242" t="s">
        <v>1484</v>
      </c>
      <c r="BI1242" s="34" t="str">
        <f>HYPERLINK("#자재조서!A117","MT-60 →")</f>
        <v>MT-60 →</v>
      </c>
    </row>
    <row r="1243" spans="1:61" ht="18.399999999999999" hidden="1" customHeight="1" x14ac:dyDescent="0.15">
      <c r="A1243" s="2" t="s">
        <v>1990</v>
      </c>
      <c r="B1243" s="87" t="s">
        <v>509</v>
      </c>
      <c r="C1243" s="2">
        <v>15</v>
      </c>
      <c r="D1243" s="2" t="s">
        <v>2825</v>
      </c>
      <c r="E1243" s="27">
        <f t="shared" si="262"/>
        <v>10971</v>
      </c>
      <c r="F1243" s="28">
        <f t="shared" si="261"/>
        <v>164565</v>
      </c>
      <c r="G1243" s="27">
        <f>일위대가목록!F8</f>
        <v>1106</v>
      </c>
      <c r="H1243" s="28">
        <f t="shared" si="263"/>
        <v>16590</v>
      </c>
      <c r="I1243" s="27">
        <f>일위대가목록!H8</f>
        <v>8824</v>
      </c>
      <c r="J1243" s="28">
        <f>TRUNC(I1243*C1243,1)</f>
        <v>132360</v>
      </c>
      <c r="K1243" s="27">
        <f>일위대가목록!J8</f>
        <v>1041</v>
      </c>
      <c r="L1243" s="28">
        <f>TRUNC(K1243*C1243,1)</f>
        <v>15615</v>
      </c>
      <c r="M1243" s="86" t="s">
        <v>2856</v>
      </c>
      <c r="N1243" t="s">
        <v>2856</v>
      </c>
      <c r="P1243" t="s">
        <v>248</v>
      </c>
      <c r="Q1243" t="s">
        <v>2856</v>
      </c>
      <c r="R1243" t="s">
        <v>2833</v>
      </c>
      <c r="T1243" t="s">
        <v>2405</v>
      </c>
      <c r="BI1243" s="34" t="str">
        <f>HYPERLINK("#일위대가목록!A8","N0300 →")</f>
        <v>N0300 →</v>
      </c>
    </row>
    <row r="1244" spans="1:61" ht="18.399999999999999" hidden="1" customHeight="1" x14ac:dyDescent="0.15">
      <c r="A1244" s="2" t="s">
        <v>134</v>
      </c>
      <c r="B1244" s="87" t="s">
        <v>2445</v>
      </c>
      <c r="C1244" s="2">
        <v>274</v>
      </c>
      <c r="D1244" s="2" t="s">
        <v>1796</v>
      </c>
      <c r="E1244" s="27">
        <f t="shared" si="262"/>
        <v>30163</v>
      </c>
      <c r="F1244" s="28">
        <f t="shared" si="261"/>
        <v>8264662</v>
      </c>
      <c r="G1244" s="27">
        <f>일위대가목록!F259</f>
        <v>10103</v>
      </c>
      <c r="H1244" s="28">
        <f t="shared" si="263"/>
        <v>2768222</v>
      </c>
      <c r="I1244" s="27">
        <f>일위대가목록!H259</f>
        <v>17899</v>
      </c>
      <c r="J1244" s="28">
        <f>TRUNC(I1244*C1244,1)</f>
        <v>4904326</v>
      </c>
      <c r="K1244" s="27">
        <f>일위대가목록!J259</f>
        <v>2161</v>
      </c>
      <c r="L1244" s="28">
        <f>TRUNC(K1244*C1244,1)</f>
        <v>592114</v>
      </c>
      <c r="M1244" s="86" t="s">
        <v>2856</v>
      </c>
      <c r="N1244" t="s">
        <v>2856</v>
      </c>
      <c r="P1244" t="s">
        <v>241</v>
      </c>
      <c r="Q1244" t="s">
        <v>2856</v>
      </c>
      <c r="R1244" t="s">
        <v>1723</v>
      </c>
      <c r="T1244" t="s">
        <v>1778</v>
      </c>
      <c r="BI1244" s="34" t="str">
        <f>HYPERLINK("#일위대가목록!A254","HW0018 →")</f>
        <v>HW0018 →</v>
      </c>
    </row>
    <row r="1245" spans="1:61" ht="18.399999999999999" hidden="1" customHeight="1" x14ac:dyDescent="0.15">
      <c r="A1245" s="2" t="s">
        <v>2512</v>
      </c>
      <c r="B1245" s="87" t="s">
        <v>1227</v>
      </c>
      <c r="C1245" s="2">
        <v>13</v>
      </c>
      <c r="D1245" s="2" t="s">
        <v>1796</v>
      </c>
      <c r="E1245" s="27">
        <f t="shared" si="262"/>
        <v>220000</v>
      </c>
      <c r="F1245" s="28">
        <f t="shared" si="261"/>
        <v>2860000</v>
      </c>
      <c r="G1245" s="27">
        <f>자재조서!E123</f>
        <v>220000</v>
      </c>
      <c r="H1245" s="28">
        <f t="shared" si="263"/>
        <v>2860000</v>
      </c>
      <c r="I1245" s="27">
        <v>0</v>
      </c>
      <c r="J1245" s="28"/>
      <c r="K1245" s="27">
        <v>0</v>
      </c>
      <c r="L1245" s="28"/>
      <c r="M1245" s="86" t="s">
        <v>2856</v>
      </c>
      <c r="N1245" t="s">
        <v>2856</v>
      </c>
      <c r="P1245" t="s">
        <v>954</v>
      </c>
      <c r="Q1245" t="s">
        <v>2856</v>
      </c>
      <c r="R1245" t="s">
        <v>212</v>
      </c>
      <c r="BI1245" s="34" t="str">
        <f>HYPERLINK("#자재조서!A118","MT-61 →")</f>
        <v>MT-61 →</v>
      </c>
    </row>
    <row r="1246" spans="1:61" ht="18.399999999999999" hidden="1" customHeight="1" x14ac:dyDescent="0.15">
      <c r="A1246" s="1"/>
      <c r="B1246" s="87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87"/>
    </row>
    <row r="1247" spans="1:61" ht="18.399999999999999" hidden="1" customHeight="1" x14ac:dyDescent="0.15">
      <c r="A1247" s="2" t="s">
        <v>1656</v>
      </c>
      <c r="B1247" s="87" t="s">
        <v>1915</v>
      </c>
      <c r="C1247" s="2">
        <v>1</v>
      </c>
      <c r="D1247" s="2" t="s">
        <v>1796</v>
      </c>
      <c r="E1247" s="184"/>
      <c r="F1247" s="29">
        <f>H1247+J1247+L1247</f>
        <v>112172</v>
      </c>
      <c r="G1247" s="184"/>
      <c r="H1247" s="29">
        <f>TRUNC(H1248+H1249,0)</f>
        <v>41960</v>
      </c>
      <c r="I1247" s="184"/>
      <c r="J1247" s="29">
        <f>TRUNC(J1248+J1249,0)</f>
        <v>62646</v>
      </c>
      <c r="K1247" s="184"/>
      <c r="L1247" s="29">
        <f>TRUNC(L1248+L1249,0)</f>
        <v>7566</v>
      </c>
      <c r="M1247" s="86" t="s">
        <v>2856</v>
      </c>
      <c r="N1247" t="s">
        <v>2856</v>
      </c>
      <c r="O1247" t="s">
        <v>1731</v>
      </c>
    </row>
    <row r="1248" spans="1:61" ht="18.399999999999999" hidden="1" customHeight="1" x14ac:dyDescent="0.15">
      <c r="A1248" s="2" t="s">
        <v>845</v>
      </c>
      <c r="B1248" s="87" t="s">
        <v>826</v>
      </c>
      <c r="C1248" s="2">
        <v>0.72</v>
      </c>
      <c r="D1248" s="2" t="s">
        <v>978</v>
      </c>
      <c r="E1248" s="27">
        <f>G1248+I1248+K1248</f>
        <v>50000</v>
      </c>
      <c r="F1248" s="28">
        <f>H1248+J1248+L1248</f>
        <v>36000</v>
      </c>
      <c r="G1248" s="27">
        <f>자재조서!E121</f>
        <v>50000</v>
      </c>
      <c r="H1248" s="28">
        <f>TRUNC(G1248*C1248,1)</f>
        <v>36000</v>
      </c>
      <c r="I1248" s="27">
        <v>0</v>
      </c>
      <c r="J1248" s="28"/>
      <c r="K1248" s="27">
        <v>0</v>
      </c>
      <c r="L1248" s="28"/>
      <c r="M1248" s="86" t="s">
        <v>2856</v>
      </c>
      <c r="N1248" t="s">
        <v>2856</v>
      </c>
      <c r="P1248" t="s">
        <v>334</v>
      </c>
      <c r="Q1248" t="s">
        <v>2856</v>
      </c>
      <c r="R1248" t="s">
        <v>2530</v>
      </c>
      <c r="BI1248" s="34" t="str">
        <f>HYPERLINK("#자재조서!A116","MT-59 →")</f>
        <v>MT-59 →</v>
      </c>
    </row>
    <row r="1249" spans="1:61" ht="18.399999999999999" hidden="1" customHeight="1" x14ac:dyDescent="0.15">
      <c r="A1249" s="2" t="s">
        <v>378</v>
      </c>
      <c r="B1249" s="87" t="s">
        <v>2856</v>
      </c>
      <c r="C1249" s="2">
        <v>0.56000000000000005</v>
      </c>
      <c r="D1249" s="2" t="s">
        <v>978</v>
      </c>
      <c r="E1249" s="27">
        <f>G1249+I1249+K1249</f>
        <v>136025</v>
      </c>
      <c r="F1249" s="28">
        <f>H1249+J1249+L1249</f>
        <v>76173.899999999994</v>
      </c>
      <c r="G1249" s="27">
        <f>일위대가목록!F238</f>
        <v>10644</v>
      </c>
      <c r="H1249" s="28">
        <f>TRUNC(G1249*C1249,1)</f>
        <v>5960.6</v>
      </c>
      <c r="I1249" s="27">
        <f>일위대가목록!H238</f>
        <v>111869</v>
      </c>
      <c r="J1249" s="28">
        <f>TRUNC(I1249*C1249,1)</f>
        <v>62646.6</v>
      </c>
      <c r="K1249" s="27">
        <f>일위대가목록!J238</f>
        <v>13512</v>
      </c>
      <c r="L1249" s="28">
        <f>TRUNC(K1249*C1249,1)</f>
        <v>7566.7</v>
      </c>
      <c r="M1249" s="86" t="s">
        <v>2856</v>
      </c>
      <c r="N1249" t="s">
        <v>2856</v>
      </c>
      <c r="P1249" t="s">
        <v>2471</v>
      </c>
      <c r="Q1249" t="s">
        <v>2856</v>
      </c>
      <c r="R1249" t="s">
        <v>2735</v>
      </c>
      <c r="T1249" t="s">
        <v>1778</v>
      </c>
      <c r="BI1249" s="34" t="str">
        <f>HYPERLINK("#일위대가목록!A233","NT9460 →")</f>
        <v>NT9460 →</v>
      </c>
    </row>
    <row r="1250" spans="1:61" ht="18.399999999999999" hidden="1" customHeight="1" x14ac:dyDescent="0.15">
      <c r="A1250" s="1"/>
      <c r="B1250" s="87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87"/>
    </row>
    <row r="1251" spans="1:61" ht="18.399999999999999" hidden="1" customHeight="1" x14ac:dyDescent="0.15">
      <c r="A1251" s="2" t="s">
        <v>1781</v>
      </c>
      <c r="B1251" s="87" t="s">
        <v>423</v>
      </c>
      <c r="C1251" s="2">
        <v>1</v>
      </c>
      <c r="D1251" s="2" t="s">
        <v>1796</v>
      </c>
      <c r="E1251" s="184"/>
      <c r="F1251" s="29">
        <f>H1251+J1251+L1251</f>
        <v>61977</v>
      </c>
      <c r="G1251" s="184"/>
      <c r="H1251" s="29">
        <f>TRUNC(H1252+H1253,0)</f>
        <v>21856</v>
      </c>
      <c r="I1251" s="184"/>
      <c r="J1251" s="29">
        <f>TRUNC(J1252+J1253,0)</f>
        <v>35798</v>
      </c>
      <c r="K1251" s="184"/>
      <c r="L1251" s="29">
        <f>TRUNC(L1252+L1253,0)</f>
        <v>4323</v>
      </c>
      <c r="M1251" s="86" t="s">
        <v>2856</v>
      </c>
      <c r="N1251" t="s">
        <v>2856</v>
      </c>
      <c r="O1251" t="s">
        <v>107</v>
      </c>
    </row>
    <row r="1252" spans="1:61" ht="18.399999999999999" hidden="1" customHeight="1" x14ac:dyDescent="0.15">
      <c r="A1252" s="2" t="s">
        <v>845</v>
      </c>
      <c r="B1252" s="87" t="s">
        <v>1345</v>
      </c>
      <c r="C1252" s="2">
        <v>0.41</v>
      </c>
      <c r="D1252" s="2" t="s">
        <v>978</v>
      </c>
      <c r="E1252" s="27">
        <f>G1252+I1252+K1252</f>
        <v>45000</v>
      </c>
      <c r="F1252" s="28">
        <f>H1252+J1252+L1252</f>
        <v>18450</v>
      </c>
      <c r="G1252" s="27">
        <f>자재조서!E120</f>
        <v>45000</v>
      </c>
      <c r="H1252" s="28">
        <f>TRUNC(G1252*C1252,1)</f>
        <v>18450</v>
      </c>
      <c r="I1252" s="27">
        <v>0</v>
      </c>
      <c r="J1252" s="28"/>
      <c r="K1252" s="27">
        <v>0</v>
      </c>
      <c r="L1252" s="28"/>
      <c r="M1252" s="86" t="s">
        <v>2856</v>
      </c>
      <c r="N1252" t="s">
        <v>2856</v>
      </c>
      <c r="P1252" t="s">
        <v>334</v>
      </c>
      <c r="Q1252" t="s">
        <v>2856</v>
      </c>
      <c r="R1252" t="s">
        <v>1300</v>
      </c>
      <c r="BI1252" s="34" t="str">
        <f>HYPERLINK("#자재조서!A115","MT-58 →")</f>
        <v>MT-58 →</v>
      </c>
    </row>
    <row r="1253" spans="1:61" ht="18.399999999999999" hidden="1" customHeight="1" x14ac:dyDescent="0.15">
      <c r="A1253" s="2" t="s">
        <v>378</v>
      </c>
      <c r="B1253" s="87" t="s">
        <v>2856</v>
      </c>
      <c r="C1253" s="2">
        <v>0.32</v>
      </c>
      <c r="D1253" s="2" t="s">
        <v>978</v>
      </c>
      <c r="E1253" s="27">
        <f>G1253+I1253+K1253</f>
        <v>136025</v>
      </c>
      <c r="F1253" s="28">
        <f>H1253+J1253+L1253</f>
        <v>43527.8</v>
      </c>
      <c r="G1253" s="27">
        <f>일위대가목록!F238</f>
        <v>10644</v>
      </c>
      <c r="H1253" s="28">
        <f>TRUNC(G1253*C1253,1)</f>
        <v>3406</v>
      </c>
      <c r="I1253" s="27">
        <f>일위대가목록!H238</f>
        <v>111869</v>
      </c>
      <c r="J1253" s="28">
        <f>TRUNC(I1253*C1253,1)</f>
        <v>35798</v>
      </c>
      <c r="K1253" s="27">
        <f>일위대가목록!J238</f>
        <v>13512</v>
      </c>
      <c r="L1253" s="28">
        <f>TRUNC(K1253*C1253,1)</f>
        <v>4323.8</v>
      </c>
      <c r="M1253" s="86" t="s">
        <v>2856</v>
      </c>
      <c r="N1253" t="s">
        <v>2856</v>
      </c>
      <c r="P1253" t="s">
        <v>2471</v>
      </c>
      <c r="Q1253" t="s">
        <v>2856</v>
      </c>
      <c r="R1253" t="s">
        <v>2735</v>
      </c>
      <c r="T1253" t="s">
        <v>1778</v>
      </c>
      <c r="BI1253" s="34" t="str">
        <f>HYPERLINK("#일위대가목록!A233","NT9460 →")</f>
        <v>NT9460 →</v>
      </c>
    </row>
    <row r="1254" spans="1:61" ht="18.399999999999999" hidden="1" customHeight="1" x14ac:dyDescent="0.15">
      <c r="A1254" s="1"/>
      <c r="B1254" s="87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87"/>
    </row>
    <row r="1255" spans="1:61" ht="18.399999999999999" hidden="1" customHeight="1" x14ac:dyDescent="0.15">
      <c r="A1255" s="2" t="s">
        <v>2054</v>
      </c>
      <c r="B1255" s="87" t="s">
        <v>127</v>
      </c>
      <c r="C1255" s="2">
        <v>1</v>
      </c>
      <c r="D1255" s="2" t="s">
        <v>1202</v>
      </c>
      <c r="E1255" s="184"/>
      <c r="F1255" s="29">
        <f t="shared" ref="F1255:F1261" si="264">H1255+J1255+L1255</f>
        <v>82824</v>
      </c>
      <c r="G1255" s="184"/>
      <c r="H1255" s="29">
        <f>TRUNC(H1256+H1257+H1258+H1259+H1260+H1261,0)</f>
        <v>79654</v>
      </c>
      <c r="I1255" s="184"/>
      <c r="J1255" s="29">
        <f>TRUNC(J1256+J1257+J1258+J1259+J1260+J1261,0)</f>
        <v>2826</v>
      </c>
      <c r="K1255" s="184"/>
      <c r="L1255" s="29">
        <f>TRUNC(L1256+L1257+L1258+L1259+L1260+L1261,0)</f>
        <v>344</v>
      </c>
      <c r="M1255" s="86" t="s">
        <v>2856</v>
      </c>
      <c r="N1255" t="s">
        <v>2856</v>
      </c>
      <c r="O1255" t="s">
        <v>2504</v>
      </c>
    </row>
    <row r="1256" spans="1:61" ht="18.399999999999999" hidden="1" customHeight="1" x14ac:dyDescent="0.15">
      <c r="A1256" s="2" t="s">
        <v>1163</v>
      </c>
      <c r="B1256" s="87" t="s">
        <v>576</v>
      </c>
      <c r="C1256" s="2">
        <v>0.25</v>
      </c>
      <c r="D1256" s="2" t="s">
        <v>2825</v>
      </c>
      <c r="E1256" s="27">
        <f t="shared" ref="E1256:E1261" si="265">G1256+I1256+K1256</f>
        <v>5009</v>
      </c>
      <c r="F1256" s="28">
        <f t="shared" si="264"/>
        <v>1252.2</v>
      </c>
      <c r="G1256" s="27">
        <f>일위대가목록!F4</f>
        <v>300</v>
      </c>
      <c r="H1256" s="28">
        <f t="shared" ref="H1256:H1261" si="266">TRUNC(G1256*C1256,1)</f>
        <v>75</v>
      </c>
      <c r="I1256" s="27">
        <f>일위대가목록!H4</f>
        <v>4328</v>
      </c>
      <c r="J1256" s="28">
        <f>TRUNC(I1256*C1256,1)</f>
        <v>1082</v>
      </c>
      <c r="K1256" s="27">
        <f>일위대가목록!J4</f>
        <v>381</v>
      </c>
      <c r="L1256" s="28">
        <f>TRUNC(K1256*C1256,1)</f>
        <v>95.2</v>
      </c>
      <c r="M1256" s="86" t="s">
        <v>2856</v>
      </c>
      <c r="N1256" t="s">
        <v>2856</v>
      </c>
      <c r="P1256" t="s">
        <v>334</v>
      </c>
      <c r="Q1256" t="s">
        <v>2856</v>
      </c>
      <c r="R1256" t="s">
        <v>69</v>
      </c>
      <c r="T1256" t="s">
        <v>2405</v>
      </c>
      <c r="BI1256" s="34" t="str">
        <f>HYPERLINK("#일위대가목록!A4","N1070 →")</f>
        <v>N1070 →</v>
      </c>
    </row>
    <row r="1257" spans="1:61" ht="18.399999999999999" hidden="1" customHeight="1" x14ac:dyDescent="0.15">
      <c r="A1257" s="2" t="s">
        <v>1112</v>
      </c>
      <c r="B1257" s="87" t="s">
        <v>2429</v>
      </c>
      <c r="C1257" s="2">
        <v>0.25</v>
      </c>
      <c r="D1257" s="2" t="s">
        <v>2825</v>
      </c>
      <c r="E1257" s="27">
        <f t="shared" si="265"/>
        <v>1588</v>
      </c>
      <c r="F1257" s="28">
        <f t="shared" si="264"/>
        <v>396.9</v>
      </c>
      <c r="G1257" s="27">
        <f>일위대가목록!F5</f>
        <v>285</v>
      </c>
      <c r="H1257" s="28">
        <f t="shared" si="266"/>
        <v>71.2</v>
      </c>
      <c r="I1257" s="27">
        <f>일위대가목록!H5</f>
        <v>940</v>
      </c>
      <c r="J1257" s="28">
        <f>TRUNC(I1257*C1257,1)</f>
        <v>235</v>
      </c>
      <c r="K1257" s="27">
        <f>일위대가목록!J5</f>
        <v>363</v>
      </c>
      <c r="L1257" s="28">
        <f>TRUNC(K1257*C1257,1)</f>
        <v>90.7</v>
      </c>
      <c r="M1257" s="86" t="s">
        <v>2856</v>
      </c>
      <c r="N1257" t="s">
        <v>2856</v>
      </c>
      <c r="P1257" t="s">
        <v>2471</v>
      </c>
      <c r="Q1257" t="s">
        <v>2856</v>
      </c>
      <c r="R1257" t="s">
        <v>1705</v>
      </c>
      <c r="T1257" t="s">
        <v>2405</v>
      </c>
      <c r="BI1257" s="34" t="str">
        <f>HYPERLINK("#일위대가목록!A5","N0860 →")</f>
        <v>N0860 →</v>
      </c>
    </row>
    <row r="1258" spans="1:61" ht="18.399999999999999" hidden="1" customHeight="1" x14ac:dyDescent="0.15">
      <c r="A1258" s="2" t="s">
        <v>482</v>
      </c>
      <c r="B1258" s="87" t="s">
        <v>1174</v>
      </c>
      <c r="C1258" s="2">
        <v>1</v>
      </c>
      <c r="D1258" s="2" t="s">
        <v>1202</v>
      </c>
      <c r="E1258" s="27">
        <f t="shared" si="265"/>
        <v>412</v>
      </c>
      <c r="F1258" s="28">
        <f t="shared" si="264"/>
        <v>412</v>
      </c>
      <c r="G1258" s="27">
        <f>일위대가목록!F7</f>
        <v>20</v>
      </c>
      <c r="H1258" s="28">
        <f t="shared" si="266"/>
        <v>20</v>
      </c>
      <c r="I1258" s="27">
        <f>일위대가목록!H7</f>
        <v>386</v>
      </c>
      <c r="J1258" s="28">
        <f>TRUNC(I1258*C1258,1)</f>
        <v>386</v>
      </c>
      <c r="K1258" s="27">
        <f>일위대가목록!J7</f>
        <v>6</v>
      </c>
      <c r="L1258" s="28">
        <f>TRUNC(K1258*C1258,1)</f>
        <v>6</v>
      </c>
      <c r="M1258" s="86" t="s">
        <v>2856</v>
      </c>
      <c r="N1258" t="s">
        <v>2856</v>
      </c>
      <c r="P1258" t="s">
        <v>1741</v>
      </c>
      <c r="Q1258" t="s">
        <v>2856</v>
      </c>
      <c r="R1258" t="s">
        <v>303</v>
      </c>
      <c r="T1258" t="s">
        <v>2405</v>
      </c>
      <c r="BI1258" s="34" t="str">
        <f>HYPERLINK("#일위대가목록!A7","N0800 →")</f>
        <v>N0800 →</v>
      </c>
    </row>
    <row r="1259" spans="1:61" ht="18.399999999999999" hidden="1" customHeight="1" x14ac:dyDescent="0.15">
      <c r="A1259" s="2" t="s">
        <v>296</v>
      </c>
      <c r="B1259" s="87" t="s">
        <v>626</v>
      </c>
      <c r="C1259" s="2">
        <v>0.104</v>
      </c>
      <c r="D1259" s="2" t="s">
        <v>2825</v>
      </c>
      <c r="E1259" s="27">
        <f t="shared" si="265"/>
        <v>24000</v>
      </c>
      <c r="F1259" s="28">
        <f t="shared" si="264"/>
        <v>2496</v>
      </c>
      <c r="G1259" s="27">
        <f>자재조서!E85</f>
        <v>24000</v>
      </c>
      <c r="H1259" s="28">
        <f t="shared" si="266"/>
        <v>2496</v>
      </c>
      <c r="I1259" s="27">
        <v>0</v>
      </c>
      <c r="J1259" s="28"/>
      <c r="K1259" s="27">
        <v>0</v>
      </c>
      <c r="L1259" s="28"/>
      <c r="M1259" s="86" t="s">
        <v>2856</v>
      </c>
      <c r="N1259" t="s">
        <v>2856</v>
      </c>
      <c r="P1259" t="s">
        <v>1686</v>
      </c>
      <c r="Q1259" t="s">
        <v>2856</v>
      </c>
      <c r="R1259" t="s">
        <v>609</v>
      </c>
      <c r="BI1259" s="34" t="str">
        <f>HYPERLINK("#자재조서!A82","MB-4500 →")</f>
        <v>MB-4500 →</v>
      </c>
    </row>
    <row r="1260" spans="1:61" ht="18.399999999999999" hidden="1" customHeight="1" x14ac:dyDescent="0.15">
      <c r="A1260" s="2" t="s">
        <v>467</v>
      </c>
      <c r="B1260" s="87" t="s">
        <v>2010</v>
      </c>
      <c r="C1260" s="2">
        <v>0.1</v>
      </c>
      <c r="D1260" s="2" t="s">
        <v>2825</v>
      </c>
      <c r="E1260" s="27">
        <f t="shared" si="265"/>
        <v>14311</v>
      </c>
      <c r="F1260" s="28">
        <f t="shared" si="264"/>
        <v>1431.1000000000001</v>
      </c>
      <c r="G1260" s="27">
        <f>일위대가목록!F239</f>
        <v>1554</v>
      </c>
      <c r="H1260" s="28">
        <f t="shared" si="266"/>
        <v>155.4</v>
      </c>
      <c r="I1260" s="27">
        <f>일위대가목록!H239</f>
        <v>11235</v>
      </c>
      <c r="J1260" s="28">
        <f>TRUNC(I1260*C1260,1)</f>
        <v>1123.5</v>
      </c>
      <c r="K1260" s="27">
        <f>일위대가목록!J239</f>
        <v>1522</v>
      </c>
      <c r="L1260" s="28">
        <f>TRUNC(K1260*C1260,1)</f>
        <v>152.19999999999999</v>
      </c>
      <c r="M1260" s="86" t="s">
        <v>2856</v>
      </c>
      <c r="N1260" t="s">
        <v>2856</v>
      </c>
      <c r="P1260" t="s">
        <v>983</v>
      </c>
      <c r="Q1260" t="s">
        <v>2856</v>
      </c>
      <c r="R1260" t="s">
        <v>782</v>
      </c>
      <c r="T1260" t="s">
        <v>1778</v>
      </c>
      <c r="BI1260" s="34" t="str">
        <f>HYPERLINK("#일위대가목록!A234","N0303 →")</f>
        <v>N0303 →</v>
      </c>
    </row>
    <row r="1261" spans="1:61" ht="18.399999999999999" hidden="1" customHeight="1" x14ac:dyDescent="0.15">
      <c r="A1261" s="2" t="s">
        <v>1971</v>
      </c>
      <c r="B1261" s="87" t="s">
        <v>127</v>
      </c>
      <c r="C1261" s="2">
        <v>1</v>
      </c>
      <c r="D1261" s="2" t="s">
        <v>1202</v>
      </c>
      <c r="E1261" s="27">
        <f t="shared" si="265"/>
        <v>76837</v>
      </c>
      <c r="F1261" s="28">
        <f t="shared" si="264"/>
        <v>76837</v>
      </c>
      <c r="G1261" s="27">
        <f>자재조서!E103</f>
        <v>76837</v>
      </c>
      <c r="H1261" s="28">
        <f t="shared" si="266"/>
        <v>76837</v>
      </c>
      <c r="I1261" s="27">
        <v>0</v>
      </c>
      <c r="J1261" s="28"/>
      <c r="K1261" s="27">
        <v>0</v>
      </c>
      <c r="L1261" s="28"/>
      <c r="M1261" s="86" t="s">
        <v>2856</v>
      </c>
      <c r="N1261" t="s">
        <v>2856</v>
      </c>
      <c r="P1261" t="s">
        <v>2493</v>
      </c>
      <c r="Q1261" t="s">
        <v>2856</v>
      </c>
      <c r="R1261" t="s">
        <v>2736</v>
      </c>
      <c r="BI1261" s="34" t="str">
        <f>HYPERLINK("#자재조서!A98","MP-T80-1 →")</f>
        <v>MP-T80-1 →</v>
      </c>
    </row>
    <row r="1262" spans="1:61" ht="18.399999999999999" hidden="1" customHeight="1" x14ac:dyDescent="0.15">
      <c r="A1262" s="1"/>
      <c r="B1262" s="87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87"/>
    </row>
    <row r="1263" spans="1:61" ht="18.399999999999999" hidden="1" customHeight="1" x14ac:dyDescent="0.15">
      <c r="A1263" s="2" t="s">
        <v>1229</v>
      </c>
      <c r="B1263" s="87" t="s">
        <v>995</v>
      </c>
      <c r="C1263" s="2">
        <v>1</v>
      </c>
      <c r="D1263" s="2" t="s">
        <v>1202</v>
      </c>
      <c r="E1263" s="184"/>
      <c r="F1263" s="29">
        <f t="shared" ref="F1263:F1271" si="267">H1263+J1263+L1263</f>
        <v>23276</v>
      </c>
      <c r="G1263" s="184"/>
      <c r="H1263" s="29">
        <f>TRUNC(H1264+H1265+H1266+H1267+H1268+H1269+H1271,0)</f>
        <v>4867</v>
      </c>
      <c r="I1263" s="184"/>
      <c r="J1263" s="29">
        <f>TRUNC(J1264+J1265+J1266+J1267+J1268+J1269+J1271,0)</f>
        <v>9521</v>
      </c>
      <c r="K1263" s="184"/>
      <c r="L1263" s="29">
        <f>TRUNC(L1264+L1265+L1266+L1267+L1268+L1269+L1271,0)</f>
        <v>8888</v>
      </c>
      <c r="M1263" s="86" t="s">
        <v>2856</v>
      </c>
      <c r="N1263" t="s">
        <v>2856</v>
      </c>
      <c r="O1263" t="s">
        <v>246</v>
      </c>
    </row>
    <row r="1264" spans="1:61" ht="18.399999999999999" hidden="1" customHeight="1" x14ac:dyDescent="0.15">
      <c r="A1264" s="2" t="s">
        <v>1163</v>
      </c>
      <c r="B1264" s="87" t="s">
        <v>576</v>
      </c>
      <c r="C1264" s="2">
        <v>0.2</v>
      </c>
      <c r="D1264" s="2" t="s">
        <v>2825</v>
      </c>
      <c r="E1264" s="27">
        <f t="shared" ref="E1264:E1271" si="268">G1264+I1264+K1264</f>
        <v>5009</v>
      </c>
      <c r="F1264" s="28">
        <f t="shared" si="267"/>
        <v>1001.8000000000001</v>
      </c>
      <c r="G1264" s="27">
        <f>일위대가목록!F4</f>
        <v>300</v>
      </c>
      <c r="H1264" s="28">
        <f t="shared" ref="H1264:H1271" si="269">TRUNC(G1264*C1264,1)</f>
        <v>60</v>
      </c>
      <c r="I1264" s="27">
        <f>일위대가목록!H4</f>
        <v>4328</v>
      </c>
      <c r="J1264" s="28">
        <f>TRUNC(I1264*C1264,1)</f>
        <v>865.6</v>
      </c>
      <c r="K1264" s="27">
        <f>일위대가목록!J4</f>
        <v>381</v>
      </c>
      <c r="L1264" s="28">
        <f>TRUNC(K1264*C1264,1)</f>
        <v>76.2</v>
      </c>
      <c r="M1264" s="86" t="s">
        <v>2856</v>
      </c>
      <c r="N1264" t="s">
        <v>2856</v>
      </c>
      <c r="P1264" t="s">
        <v>334</v>
      </c>
      <c r="Q1264" t="s">
        <v>2856</v>
      </c>
      <c r="R1264" t="s">
        <v>69</v>
      </c>
      <c r="T1264" t="s">
        <v>2405</v>
      </c>
      <c r="BI1264" s="34" t="str">
        <f>HYPERLINK("#일위대가목록!A4","N1070 →")</f>
        <v>N1070 →</v>
      </c>
    </row>
    <row r="1265" spans="1:61" ht="18.399999999999999" hidden="1" customHeight="1" x14ac:dyDescent="0.15">
      <c r="A1265" s="2" t="s">
        <v>1112</v>
      </c>
      <c r="B1265" s="87" t="s">
        <v>2429</v>
      </c>
      <c r="C1265" s="2">
        <v>0.2</v>
      </c>
      <c r="D1265" s="2" t="s">
        <v>2825</v>
      </c>
      <c r="E1265" s="27">
        <f t="shared" si="268"/>
        <v>1588</v>
      </c>
      <c r="F1265" s="28">
        <f t="shared" si="267"/>
        <v>317.60000000000002</v>
      </c>
      <c r="G1265" s="27">
        <f>일위대가목록!F5</f>
        <v>285</v>
      </c>
      <c r="H1265" s="28">
        <f t="shared" si="269"/>
        <v>57</v>
      </c>
      <c r="I1265" s="27">
        <f>일위대가목록!H5</f>
        <v>940</v>
      </c>
      <c r="J1265" s="28">
        <f>TRUNC(I1265*C1265,1)</f>
        <v>188</v>
      </c>
      <c r="K1265" s="27">
        <f>일위대가목록!J5</f>
        <v>363</v>
      </c>
      <c r="L1265" s="28">
        <f>TRUNC(K1265*C1265,1)</f>
        <v>72.599999999999994</v>
      </c>
      <c r="M1265" s="86" t="s">
        <v>2856</v>
      </c>
      <c r="N1265" t="s">
        <v>2856</v>
      </c>
      <c r="P1265" t="s">
        <v>2471</v>
      </c>
      <c r="Q1265" t="s">
        <v>2856</v>
      </c>
      <c r="R1265" t="s">
        <v>1705</v>
      </c>
      <c r="T1265" t="s">
        <v>2405</v>
      </c>
      <c r="BI1265" s="34" t="str">
        <f>HYPERLINK("#일위대가목록!A5","N0860 →")</f>
        <v>N0860 →</v>
      </c>
    </row>
    <row r="1266" spans="1:61" ht="18.399999999999999" hidden="1" customHeight="1" x14ac:dyDescent="0.15">
      <c r="A1266" s="2" t="s">
        <v>482</v>
      </c>
      <c r="B1266" s="87" t="s">
        <v>1174</v>
      </c>
      <c r="C1266" s="2">
        <v>1</v>
      </c>
      <c r="D1266" s="2" t="s">
        <v>1202</v>
      </c>
      <c r="E1266" s="27">
        <f t="shared" si="268"/>
        <v>412</v>
      </c>
      <c r="F1266" s="28">
        <f t="shared" si="267"/>
        <v>412</v>
      </c>
      <c r="G1266" s="27">
        <f>일위대가목록!F7</f>
        <v>20</v>
      </c>
      <c r="H1266" s="28">
        <f t="shared" si="269"/>
        <v>20</v>
      </c>
      <c r="I1266" s="27">
        <f>일위대가목록!H7</f>
        <v>386</v>
      </c>
      <c r="J1266" s="28">
        <f>TRUNC(I1266*C1266,1)</f>
        <v>386</v>
      </c>
      <c r="K1266" s="27">
        <f>일위대가목록!J7</f>
        <v>6</v>
      </c>
      <c r="L1266" s="28">
        <f>TRUNC(K1266*C1266,1)</f>
        <v>6</v>
      </c>
      <c r="M1266" s="86" t="s">
        <v>2856</v>
      </c>
      <c r="N1266" t="s">
        <v>2856</v>
      </c>
      <c r="P1266" t="s">
        <v>1741</v>
      </c>
      <c r="Q1266" t="s">
        <v>2856</v>
      </c>
      <c r="R1266" t="s">
        <v>303</v>
      </c>
      <c r="T1266" t="s">
        <v>2405</v>
      </c>
      <c r="BI1266" s="34" t="str">
        <f>HYPERLINK("#일위대가목록!A7","N0800 →")</f>
        <v>N0800 →</v>
      </c>
    </row>
    <row r="1267" spans="1:61" ht="18.399999999999999" hidden="1" customHeight="1" x14ac:dyDescent="0.15">
      <c r="A1267" s="2" t="s">
        <v>296</v>
      </c>
      <c r="B1267" s="87" t="s">
        <v>626</v>
      </c>
      <c r="C1267" s="2">
        <v>0.104</v>
      </c>
      <c r="D1267" s="2" t="s">
        <v>2825</v>
      </c>
      <c r="E1267" s="27">
        <f t="shared" si="268"/>
        <v>24000</v>
      </c>
      <c r="F1267" s="28">
        <f t="shared" si="267"/>
        <v>2496</v>
      </c>
      <c r="G1267" s="27">
        <f>자재조서!E85</f>
        <v>24000</v>
      </c>
      <c r="H1267" s="28">
        <f t="shared" si="269"/>
        <v>2496</v>
      </c>
      <c r="I1267" s="27">
        <v>0</v>
      </c>
      <c r="J1267" s="28"/>
      <c r="K1267" s="27">
        <v>0</v>
      </c>
      <c r="L1267" s="28"/>
      <c r="M1267" s="86" t="s">
        <v>2856</v>
      </c>
      <c r="N1267" t="s">
        <v>2856</v>
      </c>
      <c r="P1267" t="s">
        <v>1686</v>
      </c>
      <c r="Q1267" t="s">
        <v>2856</v>
      </c>
      <c r="R1267" t="s">
        <v>609</v>
      </c>
      <c r="BI1267" s="34" t="str">
        <f>HYPERLINK("#자재조서!A82","MB-4500 →")</f>
        <v>MB-4500 →</v>
      </c>
    </row>
    <row r="1268" spans="1:61" ht="18.399999999999999" hidden="1" customHeight="1" x14ac:dyDescent="0.15">
      <c r="A1268" s="2" t="s">
        <v>467</v>
      </c>
      <c r="B1268" s="87" t="s">
        <v>2010</v>
      </c>
      <c r="C1268" s="2">
        <v>0.1</v>
      </c>
      <c r="D1268" s="2" t="s">
        <v>2825</v>
      </c>
      <c r="E1268" s="27">
        <f t="shared" si="268"/>
        <v>14311</v>
      </c>
      <c r="F1268" s="28">
        <f t="shared" si="267"/>
        <v>1431.1000000000001</v>
      </c>
      <c r="G1268" s="27">
        <f>일위대가목록!F239</f>
        <v>1554</v>
      </c>
      <c r="H1268" s="28">
        <f t="shared" si="269"/>
        <v>155.4</v>
      </c>
      <c r="I1268" s="27">
        <f>일위대가목록!H239</f>
        <v>11235</v>
      </c>
      <c r="J1268" s="28">
        <f>TRUNC(I1268*C1268,1)</f>
        <v>1123.5</v>
      </c>
      <c r="K1268" s="27">
        <f>일위대가목록!J239</f>
        <v>1522</v>
      </c>
      <c r="L1268" s="28">
        <f>TRUNC(K1268*C1268,1)</f>
        <v>152.19999999999999</v>
      </c>
      <c r="M1268" s="86" t="s">
        <v>2856</v>
      </c>
      <c r="N1268" t="s">
        <v>2856</v>
      </c>
      <c r="P1268" t="s">
        <v>983</v>
      </c>
      <c r="Q1268" t="s">
        <v>2856</v>
      </c>
      <c r="R1268" t="s">
        <v>782</v>
      </c>
      <c r="T1268" t="s">
        <v>1778</v>
      </c>
      <c r="BI1268" s="34" t="str">
        <f>HYPERLINK("#일위대가목록!A234","N0303 →")</f>
        <v>N0303 →</v>
      </c>
    </row>
    <row r="1269" spans="1:61" ht="18.399999999999999" hidden="1" customHeight="1" x14ac:dyDescent="0.15">
      <c r="A1269" s="2" t="s">
        <v>440</v>
      </c>
      <c r="B1269" s="87" t="s">
        <v>1763</v>
      </c>
      <c r="C1269" s="2">
        <v>4.24E-2</v>
      </c>
      <c r="D1269" s="2" t="s">
        <v>2825</v>
      </c>
      <c r="E1269" s="27">
        <f t="shared" si="268"/>
        <v>37000</v>
      </c>
      <c r="F1269" s="28">
        <f t="shared" si="267"/>
        <v>1568.8</v>
      </c>
      <c r="G1269" s="27">
        <f>자재조서!E86</f>
        <v>37000</v>
      </c>
      <c r="H1269" s="28">
        <f t="shared" si="269"/>
        <v>1568.8</v>
      </c>
      <c r="I1269" s="27">
        <v>0</v>
      </c>
      <c r="J1269" s="28"/>
      <c r="K1269" s="27">
        <v>0</v>
      </c>
      <c r="L1269" s="28"/>
      <c r="M1269" s="86" t="s">
        <v>2856</v>
      </c>
      <c r="N1269" t="s">
        <v>2856</v>
      </c>
      <c r="P1269" t="s">
        <v>248</v>
      </c>
      <c r="Q1269" t="s">
        <v>2856</v>
      </c>
      <c r="R1269" t="s">
        <v>2805</v>
      </c>
      <c r="BI1269" s="34" t="str">
        <f>HYPERLINK("#자재조서!A83","MB-4530 →")</f>
        <v>MB-4530 →</v>
      </c>
    </row>
    <row r="1270" spans="1:61" ht="18.399999999999999" hidden="1" customHeight="1" x14ac:dyDescent="0.15">
      <c r="A1270" s="2" t="s">
        <v>592</v>
      </c>
      <c r="B1270" s="87" t="s">
        <v>995</v>
      </c>
      <c r="C1270" s="2">
        <v>1.04</v>
      </c>
      <c r="D1270" s="2" t="s">
        <v>1202</v>
      </c>
      <c r="E1270" s="27">
        <f t="shared" si="268"/>
        <v>25000</v>
      </c>
      <c r="F1270" s="28">
        <f t="shared" si="267"/>
        <v>26000</v>
      </c>
      <c r="G1270" s="27">
        <f>자재조서!E102</f>
        <v>25000</v>
      </c>
      <c r="H1270" s="28">
        <f t="shared" si="269"/>
        <v>26000</v>
      </c>
      <c r="I1270" s="27">
        <v>0</v>
      </c>
      <c r="J1270" s="28"/>
      <c r="K1270" s="27">
        <v>0</v>
      </c>
      <c r="L1270" s="28"/>
      <c r="M1270" s="86" t="s">
        <v>2856</v>
      </c>
      <c r="N1270" t="s">
        <v>2856</v>
      </c>
      <c r="P1270" t="s">
        <v>2493</v>
      </c>
      <c r="Q1270" t="s">
        <v>1839</v>
      </c>
      <c r="R1270" t="s">
        <v>1285</v>
      </c>
      <c r="BI1270" s="34" t="str">
        <f>HYPERLINK("#자재조서!A97","MP-T60 →")</f>
        <v>MP-T60 →</v>
      </c>
    </row>
    <row r="1271" spans="1:61" ht="18.399999999999999" hidden="1" customHeight="1" x14ac:dyDescent="0.15">
      <c r="A1271" s="2" t="s">
        <v>2618</v>
      </c>
      <c r="B1271" s="87" t="s">
        <v>960</v>
      </c>
      <c r="C1271" s="2">
        <v>1</v>
      </c>
      <c r="D1271" s="2" t="s">
        <v>1202</v>
      </c>
      <c r="E1271" s="27">
        <f t="shared" si="268"/>
        <v>16049</v>
      </c>
      <c r="F1271" s="28">
        <f t="shared" si="267"/>
        <v>16049</v>
      </c>
      <c r="G1271" s="27">
        <f>일위대가목록!F260</f>
        <v>510</v>
      </c>
      <c r="H1271" s="28">
        <f t="shared" si="269"/>
        <v>510</v>
      </c>
      <c r="I1271" s="27">
        <f>일위대가목록!H260</f>
        <v>6958</v>
      </c>
      <c r="J1271" s="28">
        <f>TRUNC(I1271*C1271,1)</f>
        <v>6958</v>
      </c>
      <c r="K1271" s="27">
        <f>일위대가목록!J260</f>
        <v>8581</v>
      </c>
      <c r="L1271" s="28">
        <f>TRUNC(K1271*C1271,1)</f>
        <v>8581</v>
      </c>
      <c r="M1271" s="86" t="s">
        <v>2856</v>
      </c>
      <c r="N1271" t="s">
        <v>2856</v>
      </c>
      <c r="P1271" t="s">
        <v>313</v>
      </c>
      <c r="Q1271" t="s">
        <v>2856</v>
      </c>
      <c r="R1271" t="s">
        <v>131</v>
      </c>
      <c r="T1271" t="s">
        <v>1778</v>
      </c>
      <c r="BI1271" s="34" t="str">
        <f>HYPERLINK("#일위대가목록!A255","N6030-24 →")</f>
        <v>N6030-24 →</v>
      </c>
    </row>
    <row r="1272" spans="1:61" ht="18.399999999999999" hidden="1" customHeight="1" x14ac:dyDescent="0.15">
      <c r="A1272" s="1"/>
      <c r="B1272" s="87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87"/>
    </row>
    <row r="1273" spans="1:61" ht="18.399999999999999" hidden="1" customHeight="1" x14ac:dyDescent="0.15">
      <c r="A1273" s="2" t="s">
        <v>660</v>
      </c>
      <c r="B1273" s="87" t="s">
        <v>2663</v>
      </c>
      <c r="C1273" s="2">
        <v>1</v>
      </c>
      <c r="D1273" s="2" t="s">
        <v>1202</v>
      </c>
      <c r="E1273" s="184"/>
      <c r="F1273" s="29">
        <f t="shared" ref="F1273:F1279" si="270">H1273+J1273+L1273</f>
        <v>29847</v>
      </c>
      <c r="G1273" s="184"/>
      <c r="H1273" s="29">
        <f>TRUNC(H1274+H1275+H1276+H1277+H1278+H1279,0)</f>
        <v>26039</v>
      </c>
      <c r="I1273" s="184"/>
      <c r="J1273" s="29">
        <f>TRUNC(J1274+J1275+J1276+J1277+J1278+J1279,0)</f>
        <v>3388</v>
      </c>
      <c r="K1273" s="184"/>
      <c r="L1273" s="29">
        <f>TRUNC(L1274+L1275+L1276+L1277+L1278+L1279,0)</f>
        <v>420</v>
      </c>
      <c r="M1273" s="86" t="s">
        <v>2856</v>
      </c>
      <c r="N1273" t="s">
        <v>2856</v>
      </c>
      <c r="O1273" t="s">
        <v>1378</v>
      </c>
    </row>
    <row r="1274" spans="1:61" ht="18.399999999999999" hidden="1" customHeight="1" x14ac:dyDescent="0.15">
      <c r="A1274" s="2" t="s">
        <v>1163</v>
      </c>
      <c r="B1274" s="87" t="s">
        <v>576</v>
      </c>
      <c r="C1274" s="2">
        <v>0.25</v>
      </c>
      <c r="D1274" s="2" t="s">
        <v>2825</v>
      </c>
      <c r="E1274" s="27">
        <f t="shared" ref="E1274:E1279" si="271">G1274+I1274+K1274</f>
        <v>5009</v>
      </c>
      <c r="F1274" s="28">
        <f t="shared" si="270"/>
        <v>1252.2</v>
      </c>
      <c r="G1274" s="27">
        <f>일위대가목록!F4</f>
        <v>300</v>
      </c>
      <c r="H1274" s="28">
        <f t="shared" ref="H1274:H1279" si="272">TRUNC(G1274*C1274,1)</f>
        <v>75</v>
      </c>
      <c r="I1274" s="27">
        <f>일위대가목록!H4</f>
        <v>4328</v>
      </c>
      <c r="J1274" s="28">
        <f>TRUNC(I1274*C1274,1)</f>
        <v>1082</v>
      </c>
      <c r="K1274" s="27">
        <f>일위대가목록!J4</f>
        <v>381</v>
      </c>
      <c r="L1274" s="28">
        <f>TRUNC(K1274*C1274,1)</f>
        <v>95.2</v>
      </c>
      <c r="M1274" s="86" t="s">
        <v>2856</v>
      </c>
      <c r="N1274" t="s">
        <v>2856</v>
      </c>
      <c r="P1274" t="s">
        <v>334</v>
      </c>
      <c r="Q1274" t="s">
        <v>2856</v>
      </c>
      <c r="R1274" t="s">
        <v>69</v>
      </c>
      <c r="T1274" t="s">
        <v>2405</v>
      </c>
      <c r="BI1274" s="34" t="str">
        <f>HYPERLINK("#일위대가목록!A4","N1070 →")</f>
        <v>N1070 →</v>
      </c>
    </row>
    <row r="1275" spans="1:61" ht="18.399999999999999" hidden="1" customHeight="1" x14ac:dyDescent="0.15">
      <c r="A1275" s="2" t="s">
        <v>1112</v>
      </c>
      <c r="B1275" s="87" t="s">
        <v>2429</v>
      </c>
      <c r="C1275" s="2">
        <v>0.25</v>
      </c>
      <c r="D1275" s="2" t="s">
        <v>2825</v>
      </c>
      <c r="E1275" s="27">
        <f t="shared" si="271"/>
        <v>1588</v>
      </c>
      <c r="F1275" s="28">
        <f t="shared" si="270"/>
        <v>396.9</v>
      </c>
      <c r="G1275" s="27">
        <f>일위대가목록!F5</f>
        <v>285</v>
      </c>
      <c r="H1275" s="28">
        <f t="shared" si="272"/>
        <v>71.2</v>
      </c>
      <c r="I1275" s="27">
        <f>일위대가목록!H5</f>
        <v>940</v>
      </c>
      <c r="J1275" s="28">
        <f>TRUNC(I1275*C1275,1)</f>
        <v>235</v>
      </c>
      <c r="K1275" s="27">
        <f>일위대가목록!J5</f>
        <v>363</v>
      </c>
      <c r="L1275" s="28">
        <f>TRUNC(K1275*C1275,1)</f>
        <v>90.7</v>
      </c>
      <c r="M1275" s="86" t="s">
        <v>2856</v>
      </c>
      <c r="N1275" t="s">
        <v>2856</v>
      </c>
      <c r="P1275" t="s">
        <v>2471</v>
      </c>
      <c r="Q1275" t="s">
        <v>2856</v>
      </c>
      <c r="R1275" t="s">
        <v>1705</v>
      </c>
      <c r="T1275" t="s">
        <v>2405</v>
      </c>
      <c r="BI1275" s="34" t="str">
        <f>HYPERLINK("#일위대가목록!A5","N0860 →")</f>
        <v>N0860 →</v>
      </c>
    </row>
    <row r="1276" spans="1:61" ht="18.399999999999999" hidden="1" customHeight="1" x14ac:dyDescent="0.15">
      <c r="A1276" s="2" t="s">
        <v>482</v>
      </c>
      <c r="B1276" s="87" t="s">
        <v>1174</v>
      </c>
      <c r="C1276" s="2">
        <v>1</v>
      </c>
      <c r="D1276" s="2" t="s">
        <v>1202</v>
      </c>
      <c r="E1276" s="27">
        <f t="shared" si="271"/>
        <v>412</v>
      </c>
      <c r="F1276" s="28">
        <f t="shared" si="270"/>
        <v>412</v>
      </c>
      <c r="G1276" s="27">
        <f>일위대가목록!F7</f>
        <v>20</v>
      </c>
      <c r="H1276" s="28">
        <f t="shared" si="272"/>
        <v>20</v>
      </c>
      <c r="I1276" s="27">
        <f>일위대가목록!H7</f>
        <v>386</v>
      </c>
      <c r="J1276" s="28">
        <f>TRUNC(I1276*C1276,1)</f>
        <v>386</v>
      </c>
      <c r="K1276" s="27">
        <f>일위대가목록!J7</f>
        <v>6</v>
      </c>
      <c r="L1276" s="28">
        <f>TRUNC(K1276*C1276,1)</f>
        <v>6</v>
      </c>
      <c r="M1276" s="86" t="s">
        <v>2856</v>
      </c>
      <c r="N1276" t="s">
        <v>2856</v>
      </c>
      <c r="P1276" t="s">
        <v>1741</v>
      </c>
      <c r="Q1276" t="s">
        <v>2856</v>
      </c>
      <c r="R1276" t="s">
        <v>303</v>
      </c>
      <c r="T1276" t="s">
        <v>2405</v>
      </c>
      <c r="BI1276" s="34" t="str">
        <f>HYPERLINK("#일위대가목록!A7","N0800 →")</f>
        <v>N0800 →</v>
      </c>
    </row>
    <row r="1277" spans="1:61" ht="18.399999999999999" hidden="1" customHeight="1" x14ac:dyDescent="0.15">
      <c r="A1277" s="2" t="s">
        <v>296</v>
      </c>
      <c r="B1277" s="87" t="s">
        <v>626</v>
      </c>
      <c r="C1277" s="2">
        <v>0.16</v>
      </c>
      <c r="D1277" s="2" t="s">
        <v>2825</v>
      </c>
      <c r="E1277" s="27">
        <f t="shared" si="271"/>
        <v>24000</v>
      </c>
      <c r="F1277" s="28">
        <f t="shared" si="270"/>
        <v>3840</v>
      </c>
      <c r="G1277" s="27">
        <f>자재조서!E85</f>
        <v>24000</v>
      </c>
      <c r="H1277" s="28">
        <f t="shared" si="272"/>
        <v>3840</v>
      </c>
      <c r="I1277" s="27">
        <v>0</v>
      </c>
      <c r="J1277" s="28"/>
      <c r="K1277" s="27">
        <v>0</v>
      </c>
      <c r="L1277" s="28"/>
      <c r="M1277" s="86" t="s">
        <v>2856</v>
      </c>
      <c r="N1277" t="s">
        <v>2856</v>
      </c>
      <c r="P1277" t="s">
        <v>1686</v>
      </c>
      <c r="Q1277" t="s">
        <v>2856</v>
      </c>
      <c r="R1277" t="s">
        <v>609</v>
      </c>
      <c r="BI1277" s="34" t="str">
        <f>HYPERLINK("#자재조서!A82","MB-4500 →")</f>
        <v>MB-4500 →</v>
      </c>
    </row>
    <row r="1278" spans="1:61" ht="18.399999999999999" hidden="1" customHeight="1" x14ac:dyDescent="0.15">
      <c r="A1278" s="2" t="s">
        <v>467</v>
      </c>
      <c r="B1278" s="87" t="s">
        <v>2010</v>
      </c>
      <c r="C1278" s="2">
        <v>0.15</v>
      </c>
      <c r="D1278" s="2" t="s">
        <v>2825</v>
      </c>
      <c r="E1278" s="27">
        <f t="shared" si="271"/>
        <v>14311</v>
      </c>
      <c r="F1278" s="28">
        <f t="shared" si="270"/>
        <v>2146.6</v>
      </c>
      <c r="G1278" s="27">
        <f>일위대가목록!F239</f>
        <v>1554</v>
      </c>
      <c r="H1278" s="28">
        <f t="shared" si="272"/>
        <v>233.1</v>
      </c>
      <c r="I1278" s="27">
        <f>일위대가목록!H239</f>
        <v>11235</v>
      </c>
      <c r="J1278" s="28">
        <f>TRUNC(I1278*C1278,1)</f>
        <v>1685.2</v>
      </c>
      <c r="K1278" s="27">
        <f>일위대가목록!J239</f>
        <v>1522</v>
      </c>
      <c r="L1278" s="28">
        <f>TRUNC(K1278*C1278,1)</f>
        <v>228.3</v>
      </c>
      <c r="M1278" s="86" t="s">
        <v>2856</v>
      </c>
      <c r="N1278" t="s">
        <v>2856</v>
      </c>
      <c r="P1278" t="s">
        <v>983</v>
      </c>
      <c r="Q1278" t="s">
        <v>2856</v>
      </c>
      <c r="R1278" t="s">
        <v>782</v>
      </c>
      <c r="T1278" t="s">
        <v>1778</v>
      </c>
      <c r="BI1278" s="34" t="str">
        <f>HYPERLINK("#일위대가목록!A234","N0303 →")</f>
        <v>N0303 →</v>
      </c>
    </row>
    <row r="1279" spans="1:61" ht="18.399999999999999" hidden="1" customHeight="1" x14ac:dyDescent="0.15">
      <c r="A1279" s="2" t="s">
        <v>1399</v>
      </c>
      <c r="B1279" s="87" t="s">
        <v>1770</v>
      </c>
      <c r="C1279" s="2">
        <v>1</v>
      </c>
      <c r="D1279" s="2" t="s">
        <v>1202</v>
      </c>
      <c r="E1279" s="27">
        <f t="shared" si="271"/>
        <v>21800</v>
      </c>
      <c r="F1279" s="28">
        <f t="shared" si="270"/>
        <v>21800</v>
      </c>
      <c r="G1279" s="27">
        <f>자재조서!E104</f>
        <v>21800</v>
      </c>
      <c r="H1279" s="28">
        <f t="shared" si="272"/>
        <v>21800</v>
      </c>
      <c r="I1279" s="27">
        <v>0</v>
      </c>
      <c r="J1279" s="28"/>
      <c r="K1279" s="27">
        <v>0</v>
      </c>
      <c r="L1279" s="28"/>
      <c r="M1279" s="86" t="s">
        <v>2856</v>
      </c>
      <c r="N1279" t="s">
        <v>2856</v>
      </c>
      <c r="P1279" t="s">
        <v>2493</v>
      </c>
      <c r="Q1279" t="s">
        <v>2856</v>
      </c>
      <c r="R1279" t="s">
        <v>456</v>
      </c>
      <c r="BI1279" s="34" t="str">
        <f>HYPERLINK("#자재조서!A99","MP-T91 →")</f>
        <v>MP-T91 →</v>
      </c>
    </row>
    <row r="1280" spans="1:61" ht="18.399999999999999" hidden="1" customHeight="1" x14ac:dyDescent="0.15">
      <c r="A1280" s="1"/>
      <c r="B1280" s="87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87"/>
    </row>
    <row r="1281" spans="1:61" ht="18.399999999999999" hidden="1" customHeight="1" x14ac:dyDescent="0.15">
      <c r="A1281" s="2" t="s">
        <v>657</v>
      </c>
      <c r="B1281" s="87" t="s">
        <v>645</v>
      </c>
      <c r="C1281" s="2">
        <v>1</v>
      </c>
      <c r="D1281" s="2" t="s">
        <v>1202</v>
      </c>
      <c r="E1281" s="184"/>
      <c r="F1281" s="29">
        <f t="shared" ref="F1281:F1290" si="273">H1281+J1281+L1281</f>
        <v>15665</v>
      </c>
      <c r="G1281" s="184"/>
      <c r="H1281" s="29">
        <f>TRUNC(H1282+H1283+H1284+H1285+H1286+H1288+H1289,0)</f>
        <v>6594</v>
      </c>
      <c r="I1281" s="184"/>
      <c r="J1281" s="29">
        <f>TRUNC(J1282+J1283+J1284+J1285+J1286+J1288+J1289,0)</f>
        <v>5633</v>
      </c>
      <c r="K1281" s="184"/>
      <c r="L1281" s="29">
        <f>TRUNC(L1282+L1283+L1284+L1285+L1286+L1288+L1289,0)</f>
        <v>3438</v>
      </c>
      <c r="M1281" s="86" t="s">
        <v>2856</v>
      </c>
      <c r="N1281" t="s">
        <v>2856</v>
      </c>
      <c r="O1281" t="s">
        <v>608</v>
      </c>
    </row>
    <row r="1282" spans="1:61" ht="18.399999999999999" hidden="1" customHeight="1" x14ac:dyDescent="0.15">
      <c r="A1282" s="2" t="s">
        <v>1163</v>
      </c>
      <c r="B1282" s="87" t="s">
        <v>576</v>
      </c>
      <c r="C1282" s="2">
        <v>0.25</v>
      </c>
      <c r="D1282" s="2" t="s">
        <v>2825</v>
      </c>
      <c r="E1282" s="27">
        <f t="shared" ref="E1282:E1290" si="274">G1282+I1282+K1282</f>
        <v>5009</v>
      </c>
      <c r="F1282" s="28">
        <f t="shared" si="273"/>
        <v>1252.2</v>
      </c>
      <c r="G1282" s="27">
        <f>일위대가목록!F4</f>
        <v>300</v>
      </c>
      <c r="H1282" s="28">
        <f t="shared" ref="H1282:H1290" si="275">TRUNC(G1282*C1282,1)</f>
        <v>75</v>
      </c>
      <c r="I1282" s="27">
        <f>일위대가목록!H4</f>
        <v>4328</v>
      </c>
      <c r="J1282" s="28">
        <f>TRUNC(I1282*C1282,1)</f>
        <v>1082</v>
      </c>
      <c r="K1282" s="27">
        <f>일위대가목록!J4</f>
        <v>381</v>
      </c>
      <c r="L1282" s="28">
        <f>TRUNC(K1282*C1282,1)</f>
        <v>95.2</v>
      </c>
      <c r="M1282" s="86" t="s">
        <v>2856</v>
      </c>
      <c r="N1282" t="s">
        <v>2856</v>
      </c>
      <c r="P1282" t="s">
        <v>334</v>
      </c>
      <c r="Q1282" t="s">
        <v>2856</v>
      </c>
      <c r="R1282" t="s">
        <v>69</v>
      </c>
      <c r="T1282" t="s">
        <v>2405</v>
      </c>
      <c r="BI1282" s="34" t="str">
        <f>HYPERLINK("#일위대가목록!A4","N1070 →")</f>
        <v>N1070 →</v>
      </c>
    </row>
    <row r="1283" spans="1:61" ht="18.399999999999999" hidden="1" customHeight="1" x14ac:dyDescent="0.15">
      <c r="A1283" s="2" t="s">
        <v>1112</v>
      </c>
      <c r="B1283" s="87" t="s">
        <v>2429</v>
      </c>
      <c r="C1283" s="2">
        <v>0.25</v>
      </c>
      <c r="D1283" s="2" t="s">
        <v>2825</v>
      </c>
      <c r="E1283" s="27">
        <f t="shared" si="274"/>
        <v>1588</v>
      </c>
      <c r="F1283" s="28">
        <f t="shared" si="273"/>
        <v>396.9</v>
      </c>
      <c r="G1283" s="27">
        <f>일위대가목록!F5</f>
        <v>285</v>
      </c>
      <c r="H1283" s="28">
        <f t="shared" si="275"/>
        <v>71.2</v>
      </c>
      <c r="I1283" s="27">
        <f>일위대가목록!H5</f>
        <v>940</v>
      </c>
      <c r="J1283" s="28">
        <f>TRUNC(I1283*C1283,1)</f>
        <v>235</v>
      </c>
      <c r="K1283" s="27">
        <f>일위대가목록!J5</f>
        <v>363</v>
      </c>
      <c r="L1283" s="28">
        <f>TRUNC(K1283*C1283,1)</f>
        <v>90.7</v>
      </c>
      <c r="M1283" s="86" t="s">
        <v>2856</v>
      </c>
      <c r="N1283" t="s">
        <v>2856</v>
      </c>
      <c r="P1283" t="s">
        <v>2471</v>
      </c>
      <c r="Q1283" t="s">
        <v>2856</v>
      </c>
      <c r="R1283" t="s">
        <v>1705</v>
      </c>
      <c r="T1283" t="s">
        <v>2405</v>
      </c>
      <c r="BI1283" s="34" t="str">
        <f>HYPERLINK("#일위대가목록!A5","N0860 →")</f>
        <v>N0860 →</v>
      </c>
    </row>
    <row r="1284" spans="1:61" ht="18.399999999999999" hidden="1" customHeight="1" x14ac:dyDescent="0.15">
      <c r="A1284" s="2" t="s">
        <v>482</v>
      </c>
      <c r="B1284" s="87" t="s">
        <v>1174</v>
      </c>
      <c r="C1284" s="2">
        <v>1</v>
      </c>
      <c r="D1284" s="2" t="s">
        <v>1202</v>
      </c>
      <c r="E1284" s="27">
        <f t="shared" si="274"/>
        <v>412</v>
      </c>
      <c r="F1284" s="28">
        <f t="shared" si="273"/>
        <v>412</v>
      </c>
      <c r="G1284" s="27">
        <f>일위대가목록!F7</f>
        <v>20</v>
      </c>
      <c r="H1284" s="28">
        <f t="shared" si="275"/>
        <v>20</v>
      </c>
      <c r="I1284" s="27">
        <f>일위대가목록!H7</f>
        <v>386</v>
      </c>
      <c r="J1284" s="28">
        <f>TRUNC(I1284*C1284,1)</f>
        <v>386</v>
      </c>
      <c r="K1284" s="27">
        <f>일위대가목록!J7</f>
        <v>6</v>
      </c>
      <c r="L1284" s="28">
        <f>TRUNC(K1284*C1284,1)</f>
        <v>6</v>
      </c>
      <c r="M1284" s="86" t="s">
        <v>2856</v>
      </c>
      <c r="N1284" t="s">
        <v>2856</v>
      </c>
      <c r="P1284" t="s">
        <v>1741</v>
      </c>
      <c r="Q1284" t="s">
        <v>2856</v>
      </c>
      <c r="R1284" t="s">
        <v>303</v>
      </c>
      <c r="T1284" t="s">
        <v>2405</v>
      </c>
      <c r="BI1284" s="34" t="str">
        <f>HYPERLINK("#일위대가목록!A7","N0800 →")</f>
        <v>N0800 →</v>
      </c>
    </row>
    <row r="1285" spans="1:61" ht="18.399999999999999" hidden="1" customHeight="1" x14ac:dyDescent="0.15">
      <c r="A1285" s="2" t="s">
        <v>296</v>
      </c>
      <c r="B1285" s="87" t="s">
        <v>626</v>
      </c>
      <c r="C1285" s="2">
        <v>0.16</v>
      </c>
      <c r="D1285" s="2" t="s">
        <v>2825</v>
      </c>
      <c r="E1285" s="27">
        <f t="shared" si="274"/>
        <v>24000</v>
      </c>
      <c r="F1285" s="28">
        <f t="shared" si="273"/>
        <v>3840</v>
      </c>
      <c r="G1285" s="27">
        <f>자재조서!E85</f>
        <v>24000</v>
      </c>
      <c r="H1285" s="28">
        <f t="shared" si="275"/>
        <v>3840</v>
      </c>
      <c r="I1285" s="27">
        <v>0</v>
      </c>
      <c r="J1285" s="28"/>
      <c r="K1285" s="27">
        <v>0</v>
      </c>
      <c r="L1285" s="28"/>
      <c r="M1285" s="86" t="s">
        <v>2856</v>
      </c>
      <c r="N1285" t="s">
        <v>2856</v>
      </c>
      <c r="P1285" t="s">
        <v>1686</v>
      </c>
      <c r="Q1285" t="s">
        <v>2856</v>
      </c>
      <c r="R1285" t="s">
        <v>609</v>
      </c>
      <c r="BI1285" s="34" t="str">
        <f>HYPERLINK("#자재조서!A82","MB-4500 →")</f>
        <v>MB-4500 →</v>
      </c>
    </row>
    <row r="1286" spans="1:61" ht="18.399999999999999" hidden="1" customHeight="1" x14ac:dyDescent="0.15">
      <c r="A1286" s="2" t="s">
        <v>467</v>
      </c>
      <c r="B1286" s="87" t="s">
        <v>2010</v>
      </c>
      <c r="C1286" s="2">
        <v>0.15</v>
      </c>
      <c r="D1286" s="2" t="s">
        <v>2825</v>
      </c>
      <c r="E1286" s="27">
        <f t="shared" si="274"/>
        <v>14311</v>
      </c>
      <c r="F1286" s="28">
        <f t="shared" si="273"/>
        <v>2146.6</v>
      </c>
      <c r="G1286" s="27">
        <f>일위대가목록!F239</f>
        <v>1554</v>
      </c>
      <c r="H1286" s="28">
        <f t="shared" si="275"/>
        <v>233.1</v>
      </c>
      <c r="I1286" s="27">
        <f>일위대가목록!H239</f>
        <v>11235</v>
      </c>
      <c r="J1286" s="28">
        <f>TRUNC(I1286*C1286,1)</f>
        <v>1685.2</v>
      </c>
      <c r="K1286" s="27">
        <f>일위대가목록!J239</f>
        <v>1522</v>
      </c>
      <c r="L1286" s="28">
        <f>TRUNC(K1286*C1286,1)</f>
        <v>228.3</v>
      </c>
      <c r="M1286" s="86" t="s">
        <v>2856</v>
      </c>
      <c r="N1286" t="s">
        <v>2856</v>
      </c>
      <c r="P1286" t="s">
        <v>983</v>
      </c>
      <c r="Q1286" t="s">
        <v>2856</v>
      </c>
      <c r="R1286" t="s">
        <v>782</v>
      </c>
      <c r="T1286" t="s">
        <v>1778</v>
      </c>
      <c r="BI1286" s="34" t="str">
        <f>HYPERLINK("#일위대가목록!A234","N0303 →")</f>
        <v>N0303 →</v>
      </c>
    </row>
    <row r="1287" spans="1:61" ht="18.399999999999999" hidden="1" customHeight="1" x14ac:dyDescent="0.15">
      <c r="A1287" s="2" t="s">
        <v>1632</v>
      </c>
      <c r="B1287" s="87" t="s">
        <v>2279</v>
      </c>
      <c r="C1287" s="2">
        <v>0.10199999999999999</v>
      </c>
      <c r="D1287" s="2" t="s">
        <v>2825</v>
      </c>
      <c r="E1287" s="27">
        <f t="shared" si="274"/>
        <v>89830</v>
      </c>
      <c r="F1287" s="28">
        <f t="shared" si="273"/>
        <v>9162.6</v>
      </c>
      <c r="G1287" s="27">
        <f>자재조서!E73</f>
        <v>89830</v>
      </c>
      <c r="H1287" s="28">
        <f t="shared" si="275"/>
        <v>9162.6</v>
      </c>
      <c r="I1287" s="27">
        <v>0</v>
      </c>
      <c r="J1287" s="28"/>
      <c r="K1287" s="27">
        <v>0</v>
      </c>
      <c r="L1287" s="28"/>
      <c r="M1287" s="86" t="s">
        <v>1601</v>
      </c>
      <c r="N1287" t="s">
        <v>2856</v>
      </c>
      <c r="P1287" t="s">
        <v>248</v>
      </c>
      <c r="Q1287" t="s">
        <v>1839</v>
      </c>
      <c r="R1287" t="s">
        <v>2547</v>
      </c>
      <c r="W1287" t="s">
        <v>1601</v>
      </c>
      <c r="BI1287" s="34" t="str">
        <f>HYPERLINK("#자재조서!A70","MB-190-24 →")</f>
        <v>MB-190-24 →</v>
      </c>
    </row>
    <row r="1288" spans="1:61" ht="18.399999999999999" hidden="1" customHeight="1" x14ac:dyDescent="0.15">
      <c r="A1288" s="2" t="s">
        <v>54</v>
      </c>
      <c r="B1288" s="87" t="s">
        <v>1255</v>
      </c>
      <c r="C1288" s="2">
        <v>0.1</v>
      </c>
      <c r="D1288" s="2" t="s">
        <v>2825</v>
      </c>
      <c r="E1288" s="27">
        <f t="shared" si="274"/>
        <v>55166</v>
      </c>
      <c r="F1288" s="28">
        <f t="shared" si="273"/>
        <v>5516.6</v>
      </c>
      <c r="G1288" s="27">
        <f>일위대가목록!F235</f>
        <v>2538</v>
      </c>
      <c r="H1288" s="28">
        <f t="shared" si="275"/>
        <v>253.8</v>
      </c>
      <c r="I1288" s="27">
        <f>일위대가목록!H235</f>
        <v>22449</v>
      </c>
      <c r="J1288" s="28">
        <f>TRUNC(I1288*C1288,1)</f>
        <v>2244.9</v>
      </c>
      <c r="K1288" s="27">
        <f>일위대가목록!J235</f>
        <v>30179</v>
      </c>
      <c r="L1288" s="28">
        <f>TRUNC(K1288*C1288,1)</f>
        <v>3017.9</v>
      </c>
      <c r="M1288" s="86" t="s">
        <v>2856</v>
      </c>
      <c r="N1288" t="s">
        <v>2856</v>
      </c>
      <c r="P1288" t="s">
        <v>241</v>
      </c>
      <c r="Q1288" t="s">
        <v>2856</v>
      </c>
      <c r="R1288" t="s">
        <v>668</v>
      </c>
      <c r="T1288" t="s">
        <v>1778</v>
      </c>
      <c r="BI1288" s="34" t="str">
        <f>HYPERLINK("#일위대가목록!A230","N1380-24 →")</f>
        <v>N1380-24 →</v>
      </c>
    </row>
    <row r="1289" spans="1:61" ht="18.399999999999999" hidden="1" customHeight="1" x14ac:dyDescent="0.15">
      <c r="A1289" s="2" t="s">
        <v>595</v>
      </c>
      <c r="B1289" s="87" t="s">
        <v>487</v>
      </c>
      <c r="C1289" s="2">
        <v>1</v>
      </c>
      <c r="D1289" s="2" t="s">
        <v>1202</v>
      </c>
      <c r="E1289" s="27">
        <f t="shared" si="274"/>
        <v>2101</v>
      </c>
      <c r="F1289" s="28">
        <f t="shared" si="273"/>
        <v>2101</v>
      </c>
      <c r="G1289" s="27">
        <f>자재조서!E11</f>
        <v>2101</v>
      </c>
      <c r="H1289" s="28">
        <f t="shared" si="275"/>
        <v>2101</v>
      </c>
      <c r="I1289" s="27">
        <v>0</v>
      </c>
      <c r="J1289" s="28"/>
      <c r="K1289" s="27">
        <v>0</v>
      </c>
      <c r="L1289" s="28"/>
      <c r="M1289" s="86" t="s">
        <v>2856</v>
      </c>
      <c r="N1289" t="s">
        <v>1181</v>
      </c>
      <c r="P1289" t="s">
        <v>954</v>
      </c>
      <c r="Q1289" t="s">
        <v>2856</v>
      </c>
      <c r="R1289" t="s">
        <v>1801</v>
      </c>
      <c r="BI1289" s="34" t="str">
        <f>HYPERLINK("#자재조서!A10","M0654029 →")</f>
        <v>M0654029 →</v>
      </c>
    </row>
    <row r="1290" spans="1:61" ht="18.399999999999999" hidden="1" customHeight="1" x14ac:dyDescent="0.15">
      <c r="A1290" s="2" t="s">
        <v>949</v>
      </c>
      <c r="B1290" s="87" t="s">
        <v>645</v>
      </c>
      <c r="C1290" s="2">
        <v>1</v>
      </c>
      <c r="D1290" s="2" t="s">
        <v>1202</v>
      </c>
      <c r="E1290" s="27">
        <f t="shared" si="274"/>
        <v>38300</v>
      </c>
      <c r="F1290" s="28">
        <f t="shared" si="273"/>
        <v>38300</v>
      </c>
      <c r="G1290" s="27">
        <f>자재조서!E101</f>
        <v>38300</v>
      </c>
      <c r="H1290" s="28">
        <f t="shared" si="275"/>
        <v>38300</v>
      </c>
      <c r="I1290" s="27">
        <v>0</v>
      </c>
      <c r="J1290" s="28"/>
      <c r="K1290" s="27">
        <v>0</v>
      </c>
      <c r="L1290" s="28"/>
      <c r="M1290" s="86" t="s">
        <v>1601</v>
      </c>
      <c r="N1290" t="s">
        <v>2856</v>
      </c>
      <c r="P1290" t="s">
        <v>2389</v>
      </c>
      <c r="Q1290" t="s">
        <v>1839</v>
      </c>
      <c r="R1290" t="s">
        <v>1330</v>
      </c>
      <c r="W1290" t="s">
        <v>1601</v>
      </c>
      <c r="BI1290" s="34" t="str">
        <f>HYPERLINK("#자재조서!A96","MP-T100 →")</f>
        <v>MP-T100 →</v>
      </c>
    </row>
    <row r="1291" spans="1:61" ht="18.399999999999999" hidden="1" customHeight="1" x14ac:dyDescent="0.15">
      <c r="A1291" s="1"/>
      <c r="B1291" s="87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87"/>
    </row>
    <row r="1292" spans="1:61" ht="18.399999999999999" hidden="1" customHeight="1" x14ac:dyDescent="0.15">
      <c r="A1292" s="2" t="s">
        <v>329</v>
      </c>
      <c r="B1292" s="87" t="s">
        <v>2710</v>
      </c>
      <c r="C1292" s="2">
        <v>1</v>
      </c>
      <c r="D1292" s="2" t="s">
        <v>1796</v>
      </c>
      <c r="E1292" s="184"/>
      <c r="F1292" s="29">
        <f>H1292+J1292+L1292</f>
        <v>92669</v>
      </c>
      <c r="G1292" s="184"/>
      <c r="H1292" s="29">
        <f>TRUNC(H1293+H1294,0)</f>
        <v>80402</v>
      </c>
      <c r="I1292" s="184"/>
      <c r="J1292" s="29">
        <f>TRUNC(J1293+J1294,0)</f>
        <v>5493</v>
      </c>
      <c r="K1292" s="184"/>
      <c r="L1292" s="29">
        <f>TRUNC(L1293+L1294,0)</f>
        <v>6774</v>
      </c>
      <c r="M1292" s="86" t="s">
        <v>2856</v>
      </c>
      <c r="N1292" t="s">
        <v>2856</v>
      </c>
      <c r="O1292" t="s">
        <v>1478</v>
      </c>
    </row>
    <row r="1293" spans="1:61" ht="18.399999999999999" hidden="1" customHeight="1" x14ac:dyDescent="0.15">
      <c r="A1293" s="2" t="s">
        <v>1396</v>
      </c>
      <c r="B1293" s="87" t="s">
        <v>2704</v>
      </c>
      <c r="C1293" s="2">
        <v>1</v>
      </c>
      <c r="D1293" s="2" t="s">
        <v>773</v>
      </c>
      <c r="E1293" s="27">
        <f>G1293+I1293+K1293</f>
        <v>80000</v>
      </c>
      <c r="F1293" s="28">
        <f>H1293+J1293+L1293</f>
        <v>80000</v>
      </c>
      <c r="G1293" s="27">
        <f>자재조서!E97</f>
        <v>80000</v>
      </c>
      <c r="H1293" s="28">
        <f>TRUNC(G1293*C1293,1)</f>
        <v>80000</v>
      </c>
      <c r="I1293" s="27">
        <v>0</v>
      </c>
      <c r="J1293" s="28"/>
      <c r="K1293" s="27">
        <v>0</v>
      </c>
      <c r="L1293" s="28"/>
      <c r="M1293" s="86" t="s">
        <v>2856</v>
      </c>
      <c r="N1293" t="s">
        <v>2856</v>
      </c>
      <c r="P1293" t="s">
        <v>334</v>
      </c>
      <c r="Q1293" t="s">
        <v>2856</v>
      </c>
      <c r="R1293" t="s">
        <v>1672</v>
      </c>
      <c r="BI1293" s="34" t="str">
        <f>HYPERLINK("#자재조서!A92","MP-2080 →")</f>
        <v>MP-2080 →</v>
      </c>
    </row>
    <row r="1294" spans="1:61" ht="18.399999999999999" hidden="1" customHeight="1" x14ac:dyDescent="0.15">
      <c r="A1294" s="2" t="s">
        <v>403</v>
      </c>
      <c r="B1294" s="87" t="s">
        <v>469</v>
      </c>
      <c r="C1294" s="2">
        <v>0.5</v>
      </c>
      <c r="D1294" s="2" t="s">
        <v>1202</v>
      </c>
      <c r="E1294" s="27">
        <f>G1294+I1294+K1294</f>
        <v>25341</v>
      </c>
      <c r="F1294" s="28">
        <f>H1294+J1294+L1294</f>
        <v>12670.5</v>
      </c>
      <c r="G1294" s="27">
        <f>일위대가목록!F261</f>
        <v>805</v>
      </c>
      <c r="H1294" s="28">
        <f>TRUNC(G1294*C1294,1)</f>
        <v>402.5</v>
      </c>
      <c r="I1294" s="27">
        <f>일위대가목록!H261</f>
        <v>10987</v>
      </c>
      <c r="J1294" s="28">
        <f>TRUNC(I1294*C1294,1)</f>
        <v>5493.5</v>
      </c>
      <c r="K1294" s="27">
        <f>일위대가목록!J261</f>
        <v>13549</v>
      </c>
      <c r="L1294" s="28">
        <f>TRUNC(K1294*C1294,1)</f>
        <v>6774.5</v>
      </c>
      <c r="M1294" s="86" t="s">
        <v>2856</v>
      </c>
      <c r="N1294" t="s">
        <v>2856</v>
      </c>
      <c r="P1294" t="s">
        <v>2471</v>
      </c>
      <c r="Q1294" t="s">
        <v>2856</v>
      </c>
      <c r="R1294" t="s">
        <v>2529</v>
      </c>
      <c r="T1294" t="s">
        <v>1778</v>
      </c>
      <c r="BI1294" s="34" t="str">
        <f>HYPERLINK("#일위대가목록!A256","N6033-24 →")</f>
        <v>N6033-24 →</v>
      </c>
    </row>
    <row r="1295" spans="1:61" ht="18.399999999999999" hidden="1" customHeight="1" x14ac:dyDescent="0.15">
      <c r="A1295" s="1"/>
      <c r="B1295" s="87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87"/>
    </row>
    <row r="1296" spans="1:61" ht="18.399999999999999" hidden="1" customHeight="1" x14ac:dyDescent="0.15">
      <c r="A1296" s="2" t="s">
        <v>412</v>
      </c>
      <c r="B1296" s="87" t="s">
        <v>2681</v>
      </c>
      <c r="C1296" s="2">
        <v>1</v>
      </c>
      <c r="D1296" s="2" t="s">
        <v>1670</v>
      </c>
      <c r="E1296" s="184"/>
      <c r="F1296" s="29">
        <f t="shared" ref="F1296:F1304" si="276">H1296+J1296+L1296</f>
        <v>60187</v>
      </c>
      <c r="G1296" s="184"/>
      <c r="H1296" s="29">
        <f>TRUNC(H1297+H1298+H1299+H1300+H1302+H1304,0)</f>
        <v>2157</v>
      </c>
      <c r="I1296" s="184"/>
      <c r="J1296" s="29">
        <f>TRUNC(J1297+J1298+J1299+J1300+J1302+J1304,0)</f>
        <v>20610</v>
      </c>
      <c r="K1296" s="184"/>
      <c r="L1296" s="29">
        <f>TRUNC(L1297+L1298+L1299+L1300+L1302+L1304,0)</f>
        <v>37420</v>
      </c>
      <c r="M1296" s="86" t="s">
        <v>2856</v>
      </c>
      <c r="N1296" t="s">
        <v>2856</v>
      </c>
      <c r="O1296" t="s">
        <v>1902</v>
      </c>
    </row>
    <row r="1297" spans="1:61" ht="18.399999999999999" hidden="1" customHeight="1" x14ac:dyDescent="0.15">
      <c r="A1297" s="2" t="s">
        <v>1163</v>
      </c>
      <c r="B1297" s="87" t="s">
        <v>576</v>
      </c>
      <c r="C1297" s="2">
        <v>0.16</v>
      </c>
      <c r="D1297" s="2" t="s">
        <v>2825</v>
      </c>
      <c r="E1297" s="27">
        <f t="shared" ref="E1297:E1304" si="277">G1297+I1297+K1297</f>
        <v>5009</v>
      </c>
      <c r="F1297" s="28">
        <f t="shared" si="276"/>
        <v>801.3</v>
      </c>
      <c r="G1297" s="27">
        <f>일위대가목록!F4</f>
        <v>300</v>
      </c>
      <c r="H1297" s="28">
        <f t="shared" ref="H1297:H1304" si="278">TRUNC(G1297*C1297,1)</f>
        <v>48</v>
      </c>
      <c r="I1297" s="27">
        <f>일위대가목록!H4</f>
        <v>4328</v>
      </c>
      <c r="J1297" s="28">
        <f>TRUNC(I1297*C1297,1)</f>
        <v>692.4</v>
      </c>
      <c r="K1297" s="27">
        <f>일위대가목록!J4</f>
        <v>381</v>
      </c>
      <c r="L1297" s="28">
        <f>TRUNC(K1297*C1297,1)</f>
        <v>60.9</v>
      </c>
      <c r="M1297" s="86" t="s">
        <v>2856</v>
      </c>
      <c r="N1297" t="s">
        <v>2856</v>
      </c>
      <c r="P1297" t="s">
        <v>334</v>
      </c>
      <c r="Q1297" t="s">
        <v>2856</v>
      </c>
      <c r="R1297" t="s">
        <v>69</v>
      </c>
      <c r="T1297" t="s">
        <v>2405</v>
      </c>
      <c r="BI1297" s="34" t="str">
        <f>HYPERLINK("#일위대가목록!A4","N1070 →")</f>
        <v>N1070 →</v>
      </c>
    </row>
    <row r="1298" spans="1:61" ht="18.399999999999999" hidden="1" customHeight="1" x14ac:dyDescent="0.15">
      <c r="A1298" s="2" t="s">
        <v>1112</v>
      </c>
      <c r="B1298" s="87" t="s">
        <v>2429</v>
      </c>
      <c r="C1298" s="2">
        <v>0.05</v>
      </c>
      <c r="D1298" s="2" t="s">
        <v>2825</v>
      </c>
      <c r="E1298" s="27">
        <f t="shared" si="277"/>
        <v>1588</v>
      </c>
      <c r="F1298" s="28">
        <f t="shared" si="276"/>
        <v>79.300000000000011</v>
      </c>
      <c r="G1298" s="27">
        <f>일위대가목록!F5</f>
        <v>285</v>
      </c>
      <c r="H1298" s="28">
        <f t="shared" si="278"/>
        <v>14.2</v>
      </c>
      <c r="I1298" s="27">
        <f>일위대가목록!H5</f>
        <v>940</v>
      </c>
      <c r="J1298" s="28">
        <f>TRUNC(I1298*C1298,1)</f>
        <v>47</v>
      </c>
      <c r="K1298" s="27">
        <f>일위대가목록!J5</f>
        <v>363</v>
      </c>
      <c r="L1298" s="28">
        <f>TRUNC(K1298*C1298,1)</f>
        <v>18.100000000000001</v>
      </c>
      <c r="M1298" s="86" t="s">
        <v>2856</v>
      </c>
      <c r="N1298" t="s">
        <v>2856</v>
      </c>
      <c r="P1298" t="s">
        <v>2471</v>
      </c>
      <c r="Q1298" t="s">
        <v>2856</v>
      </c>
      <c r="R1298" t="s">
        <v>1705</v>
      </c>
      <c r="T1298" t="s">
        <v>2405</v>
      </c>
      <c r="BI1298" s="34" t="str">
        <f>HYPERLINK("#일위대가목록!A5","N0860 →")</f>
        <v>N0860 →</v>
      </c>
    </row>
    <row r="1299" spans="1:61" ht="18.399999999999999" hidden="1" customHeight="1" x14ac:dyDescent="0.15">
      <c r="A1299" s="2" t="s">
        <v>2451</v>
      </c>
      <c r="B1299" s="87" t="s">
        <v>1333</v>
      </c>
      <c r="C1299" s="2">
        <v>0.11</v>
      </c>
      <c r="D1299" s="2" t="s">
        <v>2825</v>
      </c>
      <c r="E1299" s="27">
        <f t="shared" si="277"/>
        <v>7144</v>
      </c>
      <c r="F1299" s="28">
        <f t="shared" si="276"/>
        <v>785.7</v>
      </c>
      <c r="G1299" s="27">
        <f>일위대가목록!F6</f>
        <v>445</v>
      </c>
      <c r="H1299" s="28">
        <f t="shared" si="278"/>
        <v>48.9</v>
      </c>
      <c r="I1299" s="27">
        <f>일위대가목록!H6</f>
        <v>6329</v>
      </c>
      <c r="J1299" s="28">
        <f>TRUNC(I1299*C1299,1)</f>
        <v>696.1</v>
      </c>
      <c r="K1299" s="27">
        <f>일위대가목록!J6</f>
        <v>370</v>
      </c>
      <c r="L1299" s="28">
        <f>TRUNC(K1299*C1299,1)</f>
        <v>40.700000000000003</v>
      </c>
      <c r="M1299" s="86" t="s">
        <v>2856</v>
      </c>
      <c r="N1299" t="s">
        <v>2856</v>
      </c>
      <c r="P1299" t="s">
        <v>1741</v>
      </c>
      <c r="Q1299" t="s">
        <v>2856</v>
      </c>
      <c r="R1299" t="s">
        <v>1429</v>
      </c>
      <c r="T1299" t="s">
        <v>2405</v>
      </c>
      <c r="BI1299" s="34" t="str">
        <f>HYPERLINK("#일위대가목록!A6","N1010 →")</f>
        <v>N1010 →</v>
      </c>
    </row>
    <row r="1300" spans="1:61" ht="18.399999999999999" hidden="1" customHeight="1" x14ac:dyDescent="0.15">
      <c r="A1300" s="2" t="s">
        <v>1410</v>
      </c>
      <c r="B1300" s="87" t="s">
        <v>2731</v>
      </c>
      <c r="C1300" s="2">
        <v>0.3</v>
      </c>
      <c r="D1300" s="2" t="s">
        <v>1202</v>
      </c>
      <c r="E1300" s="27">
        <f t="shared" si="277"/>
        <v>119130</v>
      </c>
      <c r="F1300" s="28">
        <f t="shared" si="276"/>
        <v>35739</v>
      </c>
      <c r="G1300" s="27">
        <f>일위대가목록!F262</f>
        <v>3419</v>
      </c>
      <c r="H1300" s="28">
        <f t="shared" si="278"/>
        <v>1025.7</v>
      </c>
      <c r="I1300" s="27">
        <f>일위대가목록!H262</f>
        <v>31687</v>
      </c>
      <c r="J1300" s="28">
        <f>TRUNC(I1300*C1300,1)</f>
        <v>9506.1</v>
      </c>
      <c r="K1300" s="27">
        <f>일위대가목록!J262</f>
        <v>84024</v>
      </c>
      <c r="L1300" s="28">
        <f>TRUNC(K1300*C1300,1)</f>
        <v>25207.200000000001</v>
      </c>
      <c r="M1300" s="86" t="s">
        <v>2856</v>
      </c>
      <c r="N1300" t="s">
        <v>2856</v>
      </c>
      <c r="P1300" t="s">
        <v>1036</v>
      </c>
      <c r="Q1300" t="s">
        <v>2856</v>
      </c>
      <c r="R1300" t="s">
        <v>1624</v>
      </c>
      <c r="T1300" t="s">
        <v>1778</v>
      </c>
      <c r="BI1300" s="34" t="str">
        <f>HYPERLINK("#일위대가목록!A257","NS00700 →")</f>
        <v>NS00700 →</v>
      </c>
    </row>
    <row r="1301" spans="1:61" ht="18.399999999999999" hidden="1" customHeight="1" x14ac:dyDescent="0.15">
      <c r="A1301" s="2" t="s">
        <v>1632</v>
      </c>
      <c r="B1301" s="87" t="s">
        <v>2279</v>
      </c>
      <c r="C1301" s="2">
        <v>3.8300000000000001E-2</v>
      </c>
      <c r="D1301" s="2" t="s">
        <v>2825</v>
      </c>
      <c r="E1301" s="27">
        <f t="shared" si="277"/>
        <v>89830</v>
      </c>
      <c r="F1301" s="28">
        <f t="shared" si="276"/>
        <v>3440.4</v>
      </c>
      <c r="G1301" s="27">
        <f>자재조서!E73</f>
        <v>89830</v>
      </c>
      <c r="H1301" s="28">
        <f t="shared" si="278"/>
        <v>3440.4</v>
      </c>
      <c r="I1301" s="27">
        <v>0</v>
      </c>
      <c r="J1301" s="28"/>
      <c r="K1301" s="27">
        <v>0</v>
      </c>
      <c r="L1301" s="28"/>
      <c r="M1301" s="86" t="s">
        <v>1601</v>
      </c>
      <c r="N1301" t="s">
        <v>2856</v>
      </c>
      <c r="P1301" t="s">
        <v>976</v>
      </c>
      <c r="Q1301" t="s">
        <v>1839</v>
      </c>
      <c r="R1301" t="s">
        <v>2547</v>
      </c>
      <c r="W1301" t="s">
        <v>1601</v>
      </c>
      <c r="BI1301" s="34" t="str">
        <f>HYPERLINK("#자재조서!A70","MB-190-24 →")</f>
        <v>MB-190-24 →</v>
      </c>
    </row>
    <row r="1302" spans="1:61" ht="18.399999999999999" hidden="1" customHeight="1" x14ac:dyDescent="0.15">
      <c r="A1302" s="2" t="s">
        <v>54</v>
      </c>
      <c r="B1302" s="87" t="s">
        <v>1986</v>
      </c>
      <c r="C1302" s="2">
        <v>3.7499999999999999E-2</v>
      </c>
      <c r="D1302" s="2" t="s">
        <v>2825</v>
      </c>
      <c r="E1302" s="27">
        <f t="shared" si="277"/>
        <v>55166</v>
      </c>
      <c r="F1302" s="28">
        <f t="shared" si="276"/>
        <v>2068.6</v>
      </c>
      <c r="G1302" s="27">
        <f>일위대가목록!F235</f>
        <v>2538</v>
      </c>
      <c r="H1302" s="28">
        <f t="shared" si="278"/>
        <v>95.1</v>
      </c>
      <c r="I1302" s="27">
        <f>일위대가목록!H235</f>
        <v>22449</v>
      </c>
      <c r="J1302" s="28">
        <f>TRUNC(I1302*C1302,1)</f>
        <v>841.8</v>
      </c>
      <c r="K1302" s="27">
        <f>일위대가목록!J235</f>
        <v>30179</v>
      </c>
      <c r="L1302" s="28">
        <f>TRUNC(K1302*C1302,1)</f>
        <v>1131.7</v>
      </c>
      <c r="M1302" s="86" t="s">
        <v>2856</v>
      </c>
      <c r="N1302" t="s">
        <v>2856</v>
      </c>
      <c r="P1302" t="s">
        <v>983</v>
      </c>
      <c r="Q1302" t="s">
        <v>2856</v>
      </c>
      <c r="R1302" t="s">
        <v>668</v>
      </c>
      <c r="T1302" t="s">
        <v>1778</v>
      </c>
      <c r="BI1302" s="34" t="str">
        <f>HYPERLINK("#일위대가목록!A230","N1380-24 →")</f>
        <v>N1380-24 →</v>
      </c>
    </row>
    <row r="1303" spans="1:61" ht="18.399999999999999" hidden="1" customHeight="1" x14ac:dyDescent="0.15">
      <c r="A1303" s="2" t="s">
        <v>1233</v>
      </c>
      <c r="B1303" s="87" t="s">
        <v>561</v>
      </c>
      <c r="C1303" s="2">
        <v>1.03</v>
      </c>
      <c r="D1303" s="2" t="s">
        <v>773</v>
      </c>
      <c r="E1303" s="27">
        <f t="shared" si="277"/>
        <v>15270</v>
      </c>
      <c r="F1303" s="28">
        <f t="shared" si="276"/>
        <v>15728.1</v>
      </c>
      <c r="G1303" s="27">
        <f>자재조서!E98</f>
        <v>15270</v>
      </c>
      <c r="H1303" s="28">
        <f t="shared" si="278"/>
        <v>15728.1</v>
      </c>
      <c r="I1303" s="27">
        <v>0</v>
      </c>
      <c r="J1303" s="28"/>
      <c r="K1303" s="27">
        <v>0</v>
      </c>
      <c r="L1303" s="28"/>
      <c r="M1303" s="86" t="s">
        <v>1601</v>
      </c>
      <c r="N1303" t="s">
        <v>2856</v>
      </c>
      <c r="P1303" t="s">
        <v>248</v>
      </c>
      <c r="Q1303" t="s">
        <v>1839</v>
      </c>
      <c r="R1303" t="s">
        <v>493</v>
      </c>
      <c r="W1303" t="s">
        <v>1601</v>
      </c>
      <c r="BI1303" s="34" t="str">
        <f>HYPERLINK("#자재조서!A93","MP-80G →")</f>
        <v>MP-80G →</v>
      </c>
    </row>
    <row r="1304" spans="1:61" ht="18.399999999999999" hidden="1" customHeight="1" x14ac:dyDescent="0.15">
      <c r="A1304" s="2" t="s">
        <v>861</v>
      </c>
      <c r="B1304" s="87" t="s">
        <v>1727</v>
      </c>
      <c r="C1304" s="2">
        <v>1</v>
      </c>
      <c r="D1304" s="2" t="s">
        <v>1670</v>
      </c>
      <c r="E1304" s="27">
        <f t="shared" si="277"/>
        <v>20715</v>
      </c>
      <c r="F1304" s="28">
        <f t="shared" si="276"/>
        <v>20715</v>
      </c>
      <c r="G1304" s="27">
        <f>일위대가목록!F263</f>
        <v>926</v>
      </c>
      <c r="H1304" s="28">
        <f t="shared" si="278"/>
        <v>926</v>
      </c>
      <c r="I1304" s="27">
        <f>일위대가목록!H263</f>
        <v>8827</v>
      </c>
      <c r="J1304" s="28">
        <f>TRUNC(I1304*C1304,1)</f>
        <v>8827</v>
      </c>
      <c r="K1304" s="27">
        <f>일위대가목록!J263</f>
        <v>10962</v>
      </c>
      <c r="L1304" s="28">
        <f>TRUNC(K1304*C1304,1)</f>
        <v>10962</v>
      </c>
      <c r="M1304" s="86" t="s">
        <v>2856</v>
      </c>
      <c r="N1304" t="s">
        <v>2856</v>
      </c>
      <c r="P1304" t="s">
        <v>1704</v>
      </c>
      <c r="Q1304" t="s">
        <v>2856</v>
      </c>
      <c r="R1304" t="s">
        <v>2847</v>
      </c>
      <c r="T1304" t="s">
        <v>1778</v>
      </c>
      <c r="BI1304" s="34" t="str">
        <f>HYPERLINK("#일위대가목록!A258","N6075-24 →")</f>
        <v>N6075-24 →</v>
      </c>
    </row>
    <row r="1305" spans="1:61" ht="18.399999999999999" hidden="1" customHeight="1" x14ac:dyDescent="0.15">
      <c r="A1305" s="1"/>
      <c r="B1305" s="87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87"/>
    </row>
    <row r="1306" spans="1:61" ht="18.399999999999999" hidden="1" customHeight="1" x14ac:dyDescent="0.15">
      <c r="A1306" s="2" t="s">
        <v>99</v>
      </c>
      <c r="B1306" s="87" t="s">
        <v>2681</v>
      </c>
      <c r="C1306" s="2">
        <v>1</v>
      </c>
      <c r="D1306" s="2" t="s">
        <v>1670</v>
      </c>
      <c r="E1306" s="184"/>
      <c r="F1306" s="29">
        <f t="shared" ref="F1306:F1314" si="279">H1306+J1306+L1306</f>
        <v>63501</v>
      </c>
      <c r="G1306" s="184"/>
      <c r="H1306" s="29">
        <f>TRUNC(H1307+H1308+H1309+H1310+H1312+H1314,0)</f>
        <v>2305</v>
      </c>
      <c r="I1306" s="184"/>
      <c r="J1306" s="29">
        <f>TRUNC(J1307+J1308+J1309+J1310+J1312+J1314,0)</f>
        <v>22023</v>
      </c>
      <c r="K1306" s="184"/>
      <c r="L1306" s="29">
        <f>TRUNC(L1307+L1308+L1309+L1310+L1312+L1314,0)</f>
        <v>39173</v>
      </c>
      <c r="M1306" s="86" t="s">
        <v>2856</v>
      </c>
      <c r="N1306" t="s">
        <v>2856</v>
      </c>
      <c r="O1306" t="s">
        <v>1695</v>
      </c>
    </row>
    <row r="1307" spans="1:61" ht="18.399999999999999" hidden="1" customHeight="1" x14ac:dyDescent="0.15">
      <c r="A1307" s="2" t="s">
        <v>1163</v>
      </c>
      <c r="B1307" s="87" t="s">
        <v>576</v>
      </c>
      <c r="C1307" s="2">
        <v>0.16</v>
      </c>
      <c r="D1307" s="2" t="s">
        <v>2825</v>
      </c>
      <c r="E1307" s="27">
        <f t="shared" ref="E1307:E1314" si="280">G1307+I1307+K1307</f>
        <v>5009</v>
      </c>
      <c r="F1307" s="28">
        <f t="shared" si="279"/>
        <v>801.3</v>
      </c>
      <c r="G1307" s="27">
        <f>일위대가목록!F4</f>
        <v>300</v>
      </c>
      <c r="H1307" s="28">
        <f t="shared" ref="H1307:H1314" si="281">TRUNC(G1307*C1307,1)</f>
        <v>48</v>
      </c>
      <c r="I1307" s="27">
        <f>일위대가목록!H4</f>
        <v>4328</v>
      </c>
      <c r="J1307" s="28">
        <f>TRUNC(I1307*C1307,1)</f>
        <v>692.4</v>
      </c>
      <c r="K1307" s="27">
        <f>일위대가목록!J4</f>
        <v>381</v>
      </c>
      <c r="L1307" s="28">
        <f>TRUNC(K1307*C1307,1)</f>
        <v>60.9</v>
      </c>
      <c r="M1307" s="86" t="s">
        <v>2856</v>
      </c>
      <c r="N1307" t="s">
        <v>2856</v>
      </c>
      <c r="P1307" t="s">
        <v>334</v>
      </c>
      <c r="Q1307" t="s">
        <v>2856</v>
      </c>
      <c r="R1307" t="s">
        <v>69</v>
      </c>
      <c r="T1307" t="s">
        <v>2405</v>
      </c>
      <c r="BI1307" s="34" t="str">
        <f>HYPERLINK("#일위대가목록!A4","N1070 →")</f>
        <v>N1070 →</v>
      </c>
    </row>
    <row r="1308" spans="1:61" ht="18.399999999999999" hidden="1" customHeight="1" x14ac:dyDescent="0.15">
      <c r="A1308" s="2" t="s">
        <v>1112</v>
      </c>
      <c r="B1308" s="87" t="s">
        <v>2429</v>
      </c>
      <c r="C1308" s="2">
        <v>0.05</v>
      </c>
      <c r="D1308" s="2" t="s">
        <v>2825</v>
      </c>
      <c r="E1308" s="27">
        <f t="shared" si="280"/>
        <v>1588</v>
      </c>
      <c r="F1308" s="28">
        <f t="shared" si="279"/>
        <v>79.300000000000011</v>
      </c>
      <c r="G1308" s="27">
        <f>일위대가목록!F5</f>
        <v>285</v>
      </c>
      <c r="H1308" s="28">
        <f t="shared" si="281"/>
        <v>14.2</v>
      </c>
      <c r="I1308" s="27">
        <f>일위대가목록!H5</f>
        <v>940</v>
      </c>
      <c r="J1308" s="28">
        <f>TRUNC(I1308*C1308,1)</f>
        <v>47</v>
      </c>
      <c r="K1308" s="27">
        <f>일위대가목록!J5</f>
        <v>363</v>
      </c>
      <c r="L1308" s="28">
        <f>TRUNC(K1308*C1308,1)</f>
        <v>18.100000000000001</v>
      </c>
      <c r="M1308" s="86" t="s">
        <v>2856</v>
      </c>
      <c r="N1308" t="s">
        <v>2856</v>
      </c>
      <c r="P1308" t="s">
        <v>2471</v>
      </c>
      <c r="Q1308" t="s">
        <v>2856</v>
      </c>
      <c r="R1308" t="s">
        <v>1705</v>
      </c>
      <c r="T1308" t="s">
        <v>2405</v>
      </c>
      <c r="BI1308" s="34" t="str">
        <f>HYPERLINK("#일위대가목록!A5","N0860 →")</f>
        <v>N0860 →</v>
      </c>
    </row>
    <row r="1309" spans="1:61" ht="18.399999999999999" hidden="1" customHeight="1" x14ac:dyDescent="0.15">
      <c r="A1309" s="2" t="s">
        <v>2451</v>
      </c>
      <c r="B1309" s="87" t="s">
        <v>1333</v>
      </c>
      <c r="C1309" s="2">
        <v>0.11</v>
      </c>
      <c r="D1309" s="2" t="s">
        <v>2825</v>
      </c>
      <c r="E1309" s="27">
        <f t="shared" si="280"/>
        <v>7144</v>
      </c>
      <c r="F1309" s="28">
        <f t="shared" si="279"/>
        <v>785.7</v>
      </c>
      <c r="G1309" s="27">
        <f>일위대가목록!F6</f>
        <v>445</v>
      </c>
      <c r="H1309" s="28">
        <f t="shared" si="281"/>
        <v>48.9</v>
      </c>
      <c r="I1309" s="27">
        <f>일위대가목록!H6</f>
        <v>6329</v>
      </c>
      <c r="J1309" s="28">
        <f>TRUNC(I1309*C1309,1)</f>
        <v>696.1</v>
      </c>
      <c r="K1309" s="27">
        <f>일위대가목록!J6</f>
        <v>370</v>
      </c>
      <c r="L1309" s="28">
        <f>TRUNC(K1309*C1309,1)</f>
        <v>40.700000000000003</v>
      </c>
      <c r="M1309" s="86" t="s">
        <v>2856</v>
      </c>
      <c r="N1309" t="s">
        <v>2856</v>
      </c>
      <c r="P1309" t="s">
        <v>1741</v>
      </c>
      <c r="Q1309" t="s">
        <v>2856</v>
      </c>
      <c r="R1309" t="s">
        <v>1429</v>
      </c>
      <c r="T1309" t="s">
        <v>2405</v>
      </c>
      <c r="BI1309" s="34" t="str">
        <f>HYPERLINK("#일위대가목록!A6","N1010 →")</f>
        <v>N1010 →</v>
      </c>
    </row>
    <row r="1310" spans="1:61" ht="18.399999999999999" hidden="1" customHeight="1" x14ac:dyDescent="0.15">
      <c r="A1310" s="2" t="s">
        <v>1410</v>
      </c>
      <c r="B1310" s="87" t="s">
        <v>2731</v>
      </c>
      <c r="C1310" s="2">
        <v>0.3</v>
      </c>
      <c r="D1310" s="2" t="s">
        <v>1202</v>
      </c>
      <c r="E1310" s="27">
        <f t="shared" si="280"/>
        <v>119130</v>
      </c>
      <c r="F1310" s="28">
        <f t="shared" si="279"/>
        <v>35739</v>
      </c>
      <c r="G1310" s="27">
        <f>일위대가목록!F262</f>
        <v>3419</v>
      </c>
      <c r="H1310" s="28">
        <f t="shared" si="281"/>
        <v>1025.7</v>
      </c>
      <c r="I1310" s="27">
        <f>일위대가목록!H262</f>
        <v>31687</v>
      </c>
      <c r="J1310" s="28">
        <f>TRUNC(I1310*C1310,1)</f>
        <v>9506.1</v>
      </c>
      <c r="K1310" s="27">
        <f>일위대가목록!J262</f>
        <v>84024</v>
      </c>
      <c r="L1310" s="28">
        <f>TRUNC(K1310*C1310,1)</f>
        <v>25207.200000000001</v>
      </c>
      <c r="M1310" s="86" t="s">
        <v>2856</v>
      </c>
      <c r="N1310" t="s">
        <v>2856</v>
      </c>
      <c r="P1310" t="s">
        <v>1036</v>
      </c>
      <c r="Q1310" t="s">
        <v>2856</v>
      </c>
      <c r="R1310" t="s">
        <v>1624</v>
      </c>
      <c r="T1310" t="s">
        <v>1778</v>
      </c>
      <c r="BI1310" s="34" t="str">
        <f>HYPERLINK("#일위대가목록!A257","NS00700 →")</f>
        <v>NS00700 →</v>
      </c>
    </row>
    <row r="1311" spans="1:61" ht="18.399999999999999" hidden="1" customHeight="1" x14ac:dyDescent="0.15">
      <c r="A1311" s="2" t="s">
        <v>1632</v>
      </c>
      <c r="B1311" s="87" t="s">
        <v>2279</v>
      </c>
      <c r="C1311" s="2">
        <v>3.8300000000000001E-2</v>
      </c>
      <c r="D1311" s="2" t="s">
        <v>2825</v>
      </c>
      <c r="E1311" s="27">
        <f t="shared" si="280"/>
        <v>89830</v>
      </c>
      <c r="F1311" s="28">
        <f t="shared" si="279"/>
        <v>3440.4</v>
      </c>
      <c r="G1311" s="27">
        <f>자재조서!E73</f>
        <v>89830</v>
      </c>
      <c r="H1311" s="28">
        <f t="shared" si="281"/>
        <v>3440.4</v>
      </c>
      <c r="I1311" s="27">
        <v>0</v>
      </c>
      <c r="J1311" s="28"/>
      <c r="K1311" s="27">
        <v>0</v>
      </c>
      <c r="L1311" s="28"/>
      <c r="M1311" s="86" t="s">
        <v>1601</v>
      </c>
      <c r="N1311" t="s">
        <v>2856</v>
      </c>
      <c r="P1311" t="s">
        <v>976</v>
      </c>
      <c r="Q1311" t="s">
        <v>1839</v>
      </c>
      <c r="R1311" t="s">
        <v>2547</v>
      </c>
      <c r="W1311" t="s">
        <v>1601</v>
      </c>
      <c r="BI1311" s="34" t="str">
        <f>HYPERLINK("#자재조서!A70","MB-190-24 →")</f>
        <v>MB-190-24 →</v>
      </c>
    </row>
    <row r="1312" spans="1:61" ht="18.399999999999999" hidden="1" customHeight="1" x14ac:dyDescent="0.15">
      <c r="A1312" s="2" t="s">
        <v>54</v>
      </c>
      <c r="B1312" s="87" t="s">
        <v>1986</v>
      </c>
      <c r="C1312" s="2">
        <v>3.7499999999999999E-2</v>
      </c>
      <c r="D1312" s="2" t="s">
        <v>2825</v>
      </c>
      <c r="E1312" s="27">
        <f t="shared" si="280"/>
        <v>55166</v>
      </c>
      <c r="F1312" s="28">
        <f t="shared" si="279"/>
        <v>2068.6</v>
      </c>
      <c r="G1312" s="27">
        <f>일위대가목록!F235</f>
        <v>2538</v>
      </c>
      <c r="H1312" s="28">
        <f t="shared" si="281"/>
        <v>95.1</v>
      </c>
      <c r="I1312" s="27">
        <f>일위대가목록!H235</f>
        <v>22449</v>
      </c>
      <c r="J1312" s="28">
        <f>TRUNC(I1312*C1312,1)</f>
        <v>841.8</v>
      </c>
      <c r="K1312" s="27">
        <f>일위대가목록!J235</f>
        <v>30179</v>
      </c>
      <c r="L1312" s="28">
        <f>TRUNC(K1312*C1312,1)</f>
        <v>1131.7</v>
      </c>
      <c r="M1312" s="86" t="s">
        <v>2856</v>
      </c>
      <c r="N1312" t="s">
        <v>2856</v>
      </c>
      <c r="P1312" t="s">
        <v>983</v>
      </c>
      <c r="Q1312" t="s">
        <v>2856</v>
      </c>
      <c r="R1312" t="s">
        <v>668</v>
      </c>
      <c r="T1312" t="s">
        <v>1778</v>
      </c>
      <c r="BI1312" s="34" t="str">
        <f>HYPERLINK("#일위대가목록!A230","N1380-24 →")</f>
        <v>N1380-24 →</v>
      </c>
    </row>
    <row r="1313" spans="1:61" ht="18.399999999999999" hidden="1" customHeight="1" x14ac:dyDescent="0.15">
      <c r="A1313" s="2" t="s">
        <v>1233</v>
      </c>
      <c r="B1313" s="87" t="s">
        <v>2212</v>
      </c>
      <c r="C1313" s="2">
        <v>1.03</v>
      </c>
      <c r="D1313" s="2" t="s">
        <v>773</v>
      </c>
      <c r="E1313" s="27">
        <f t="shared" si="280"/>
        <v>26670</v>
      </c>
      <c r="F1313" s="28">
        <f t="shared" si="279"/>
        <v>27470.1</v>
      </c>
      <c r="G1313" s="27">
        <f>자재조서!E99</f>
        <v>26670</v>
      </c>
      <c r="H1313" s="28">
        <f t="shared" si="281"/>
        <v>27470.1</v>
      </c>
      <c r="I1313" s="27">
        <v>0</v>
      </c>
      <c r="J1313" s="28"/>
      <c r="K1313" s="27">
        <v>0</v>
      </c>
      <c r="L1313" s="28"/>
      <c r="M1313" s="86" t="s">
        <v>2856</v>
      </c>
      <c r="N1313" t="s">
        <v>2856</v>
      </c>
      <c r="P1313" t="s">
        <v>248</v>
      </c>
      <c r="Q1313" t="s">
        <v>1839</v>
      </c>
      <c r="R1313" t="s">
        <v>1239</v>
      </c>
      <c r="BI1313" s="34" t="str">
        <f>HYPERLINK("#자재조서!A94","MP-81G →")</f>
        <v>MP-81G →</v>
      </c>
    </row>
    <row r="1314" spans="1:61" ht="18.399999999999999" hidden="1" customHeight="1" x14ac:dyDescent="0.15">
      <c r="A1314" s="2" t="s">
        <v>1200</v>
      </c>
      <c r="B1314" s="87" t="s">
        <v>254</v>
      </c>
      <c r="C1314" s="2">
        <v>1</v>
      </c>
      <c r="D1314" s="2" t="s">
        <v>1670</v>
      </c>
      <c r="E1314" s="27">
        <f t="shared" si="280"/>
        <v>24029</v>
      </c>
      <c r="F1314" s="28">
        <f t="shared" si="279"/>
        <v>24029</v>
      </c>
      <c r="G1314" s="27">
        <f>일위대가목록!F264</f>
        <v>1074</v>
      </c>
      <c r="H1314" s="28">
        <f t="shared" si="281"/>
        <v>1074</v>
      </c>
      <c r="I1314" s="27">
        <f>일위대가목록!H264</f>
        <v>10240</v>
      </c>
      <c r="J1314" s="28">
        <f>TRUNC(I1314*C1314,1)</f>
        <v>10240</v>
      </c>
      <c r="K1314" s="27">
        <f>일위대가목록!J264</f>
        <v>12715</v>
      </c>
      <c r="L1314" s="28">
        <f>TRUNC(K1314*C1314,1)</f>
        <v>12715</v>
      </c>
      <c r="M1314" s="86" t="s">
        <v>2856</v>
      </c>
      <c r="N1314" t="s">
        <v>2856</v>
      </c>
      <c r="P1314" t="s">
        <v>1704</v>
      </c>
      <c r="Q1314" t="s">
        <v>2856</v>
      </c>
      <c r="R1314" t="s">
        <v>1312</v>
      </c>
      <c r="T1314" t="s">
        <v>1778</v>
      </c>
      <c r="BI1314" s="34" t="str">
        <f>HYPERLINK("#일위대가목록!A259","N6077-24 →")</f>
        <v>N6077-24 →</v>
      </c>
    </row>
    <row r="1315" spans="1:61" ht="18.399999999999999" hidden="1" customHeight="1" x14ac:dyDescent="0.15">
      <c r="A1315" s="1"/>
      <c r="B1315" s="87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87"/>
    </row>
    <row r="1316" spans="1:61" ht="18.399999999999999" hidden="1" customHeight="1" x14ac:dyDescent="0.15">
      <c r="A1316" s="2" t="s">
        <v>1352</v>
      </c>
      <c r="B1316" s="87" t="s">
        <v>2681</v>
      </c>
      <c r="C1316" s="2">
        <v>1</v>
      </c>
      <c r="D1316" s="2" t="s">
        <v>1670</v>
      </c>
      <c r="E1316" s="184"/>
      <c r="F1316" s="29">
        <f t="shared" ref="F1316:F1324" si="282">H1316+J1316+L1316</f>
        <v>60187</v>
      </c>
      <c r="G1316" s="184"/>
      <c r="H1316" s="29">
        <f>TRUNC(H1317+H1318+H1319+H1320+H1322+H1324,0)</f>
        <v>2157</v>
      </c>
      <c r="I1316" s="184"/>
      <c r="J1316" s="29">
        <f>TRUNC(J1317+J1318+J1319+J1320+J1322+J1324,0)</f>
        <v>20610</v>
      </c>
      <c r="K1316" s="184"/>
      <c r="L1316" s="29">
        <f>TRUNC(L1317+L1318+L1319+L1320+L1322+L1324,0)</f>
        <v>37420</v>
      </c>
      <c r="M1316" s="86" t="s">
        <v>2856</v>
      </c>
      <c r="N1316" t="s">
        <v>2856</v>
      </c>
      <c r="O1316" t="s">
        <v>1368</v>
      </c>
    </row>
    <row r="1317" spans="1:61" ht="18.399999999999999" hidden="1" customHeight="1" x14ac:dyDescent="0.15">
      <c r="A1317" s="2" t="s">
        <v>1163</v>
      </c>
      <c r="B1317" s="87" t="s">
        <v>576</v>
      </c>
      <c r="C1317" s="2">
        <v>0.16</v>
      </c>
      <c r="D1317" s="2" t="s">
        <v>2825</v>
      </c>
      <c r="E1317" s="27">
        <f t="shared" ref="E1317:E1324" si="283">G1317+I1317+K1317</f>
        <v>5009</v>
      </c>
      <c r="F1317" s="28">
        <f t="shared" si="282"/>
        <v>801.3</v>
      </c>
      <c r="G1317" s="27">
        <f>일위대가목록!F4</f>
        <v>300</v>
      </c>
      <c r="H1317" s="28">
        <f t="shared" ref="H1317:H1324" si="284">TRUNC(G1317*C1317,1)</f>
        <v>48</v>
      </c>
      <c r="I1317" s="27">
        <f>일위대가목록!H4</f>
        <v>4328</v>
      </c>
      <c r="J1317" s="28">
        <f>TRUNC(I1317*C1317,1)</f>
        <v>692.4</v>
      </c>
      <c r="K1317" s="27">
        <f>일위대가목록!J4</f>
        <v>381</v>
      </c>
      <c r="L1317" s="28">
        <f>TRUNC(K1317*C1317,1)</f>
        <v>60.9</v>
      </c>
      <c r="M1317" s="86" t="s">
        <v>2856</v>
      </c>
      <c r="N1317" t="s">
        <v>2856</v>
      </c>
      <c r="P1317" t="s">
        <v>334</v>
      </c>
      <c r="Q1317" t="s">
        <v>2856</v>
      </c>
      <c r="R1317" t="s">
        <v>69</v>
      </c>
      <c r="T1317" t="s">
        <v>2405</v>
      </c>
      <c r="BI1317" s="34" t="str">
        <f>HYPERLINK("#일위대가목록!A4","N1070 →")</f>
        <v>N1070 →</v>
      </c>
    </row>
    <row r="1318" spans="1:61" ht="18.399999999999999" hidden="1" customHeight="1" x14ac:dyDescent="0.15">
      <c r="A1318" s="2" t="s">
        <v>1112</v>
      </c>
      <c r="B1318" s="87" t="s">
        <v>2429</v>
      </c>
      <c r="C1318" s="2">
        <v>0.05</v>
      </c>
      <c r="D1318" s="2" t="s">
        <v>2825</v>
      </c>
      <c r="E1318" s="27">
        <f t="shared" si="283"/>
        <v>1588</v>
      </c>
      <c r="F1318" s="28">
        <f t="shared" si="282"/>
        <v>79.300000000000011</v>
      </c>
      <c r="G1318" s="27">
        <f>일위대가목록!F5</f>
        <v>285</v>
      </c>
      <c r="H1318" s="28">
        <f t="shared" si="284"/>
        <v>14.2</v>
      </c>
      <c r="I1318" s="27">
        <f>일위대가목록!H5</f>
        <v>940</v>
      </c>
      <c r="J1318" s="28">
        <f>TRUNC(I1318*C1318,1)</f>
        <v>47</v>
      </c>
      <c r="K1318" s="27">
        <f>일위대가목록!J5</f>
        <v>363</v>
      </c>
      <c r="L1318" s="28">
        <f>TRUNC(K1318*C1318,1)</f>
        <v>18.100000000000001</v>
      </c>
      <c r="M1318" s="86" t="s">
        <v>2856</v>
      </c>
      <c r="N1318" t="s">
        <v>2856</v>
      </c>
      <c r="P1318" t="s">
        <v>2471</v>
      </c>
      <c r="Q1318" t="s">
        <v>2856</v>
      </c>
      <c r="R1318" t="s">
        <v>1705</v>
      </c>
      <c r="T1318" t="s">
        <v>2405</v>
      </c>
      <c r="BI1318" s="34" t="str">
        <f>HYPERLINK("#일위대가목록!A5","N0860 →")</f>
        <v>N0860 →</v>
      </c>
    </row>
    <row r="1319" spans="1:61" ht="18.399999999999999" hidden="1" customHeight="1" x14ac:dyDescent="0.15">
      <c r="A1319" s="2" t="s">
        <v>2451</v>
      </c>
      <c r="B1319" s="87" t="s">
        <v>1333</v>
      </c>
      <c r="C1319" s="2">
        <v>0.11</v>
      </c>
      <c r="D1319" s="2" t="s">
        <v>2825</v>
      </c>
      <c r="E1319" s="27">
        <f t="shared" si="283"/>
        <v>7144</v>
      </c>
      <c r="F1319" s="28">
        <f t="shared" si="282"/>
        <v>785.7</v>
      </c>
      <c r="G1319" s="27">
        <f>일위대가목록!F6</f>
        <v>445</v>
      </c>
      <c r="H1319" s="28">
        <f t="shared" si="284"/>
        <v>48.9</v>
      </c>
      <c r="I1319" s="27">
        <f>일위대가목록!H6</f>
        <v>6329</v>
      </c>
      <c r="J1319" s="28">
        <f>TRUNC(I1319*C1319,1)</f>
        <v>696.1</v>
      </c>
      <c r="K1319" s="27">
        <f>일위대가목록!J6</f>
        <v>370</v>
      </c>
      <c r="L1319" s="28">
        <f>TRUNC(K1319*C1319,1)</f>
        <v>40.700000000000003</v>
      </c>
      <c r="M1319" s="86" t="s">
        <v>2856</v>
      </c>
      <c r="N1319" t="s">
        <v>2856</v>
      </c>
      <c r="P1319" t="s">
        <v>1741</v>
      </c>
      <c r="Q1319" t="s">
        <v>2856</v>
      </c>
      <c r="R1319" t="s">
        <v>1429</v>
      </c>
      <c r="T1319" t="s">
        <v>2405</v>
      </c>
      <c r="BI1319" s="34" t="str">
        <f>HYPERLINK("#일위대가목록!A6","N1010 →")</f>
        <v>N1010 →</v>
      </c>
    </row>
    <row r="1320" spans="1:61" ht="18.399999999999999" hidden="1" customHeight="1" x14ac:dyDescent="0.15">
      <c r="A1320" s="2" t="s">
        <v>1410</v>
      </c>
      <c r="B1320" s="87" t="s">
        <v>2731</v>
      </c>
      <c r="C1320" s="2">
        <v>0.3</v>
      </c>
      <c r="D1320" s="2" t="s">
        <v>1202</v>
      </c>
      <c r="E1320" s="27">
        <f t="shared" si="283"/>
        <v>119130</v>
      </c>
      <c r="F1320" s="28">
        <f t="shared" si="282"/>
        <v>35739</v>
      </c>
      <c r="G1320" s="27">
        <f>일위대가목록!F262</f>
        <v>3419</v>
      </c>
      <c r="H1320" s="28">
        <f t="shared" si="284"/>
        <v>1025.7</v>
      </c>
      <c r="I1320" s="27">
        <f>일위대가목록!H262</f>
        <v>31687</v>
      </c>
      <c r="J1320" s="28">
        <f>TRUNC(I1320*C1320,1)</f>
        <v>9506.1</v>
      </c>
      <c r="K1320" s="27">
        <f>일위대가목록!J262</f>
        <v>84024</v>
      </c>
      <c r="L1320" s="28">
        <f>TRUNC(K1320*C1320,1)</f>
        <v>25207.200000000001</v>
      </c>
      <c r="M1320" s="86" t="s">
        <v>2856</v>
      </c>
      <c r="N1320" t="s">
        <v>2856</v>
      </c>
      <c r="P1320" t="s">
        <v>1036</v>
      </c>
      <c r="Q1320" t="s">
        <v>2856</v>
      </c>
      <c r="R1320" t="s">
        <v>1624</v>
      </c>
      <c r="T1320" t="s">
        <v>1778</v>
      </c>
      <c r="BI1320" s="34" t="str">
        <f>HYPERLINK("#일위대가목록!A257","NS00700 →")</f>
        <v>NS00700 →</v>
      </c>
    </row>
    <row r="1321" spans="1:61" ht="18.399999999999999" hidden="1" customHeight="1" x14ac:dyDescent="0.15">
      <c r="A1321" s="2" t="s">
        <v>1632</v>
      </c>
      <c r="B1321" s="87" t="s">
        <v>2279</v>
      </c>
      <c r="C1321" s="2">
        <v>3.8300000000000001E-2</v>
      </c>
      <c r="D1321" s="2" t="s">
        <v>2825</v>
      </c>
      <c r="E1321" s="27">
        <f t="shared" si="283"/>
        <v>89830</v>
      </c>
      <c r="F1321" s="28">
        <f t="shared" si="282"/>
        <v>3440.4</v>
      </c>
      <c r="G1321" s="27">
        <f>자재조서!E73</f>
        <v>89830</v>
      </c>
      <c r="H1321" s="28">
        <f t="shared" si="284"/>
        <v>3440.4</v>
      </c>
      <c r="I1321" s="27">
        <v>0</v>
      </c>
      <c r="J1321" s="28"/>
      <c r="K1321" s="27">
        <v>0</v>
      </c>
      <c r="L1321" s="28"/>
      <c r="M1321" s="86" t="s">
        <v>1601</v>
      </c>
      <c r="N1321" t="s">
        <v>2856</v>
      </c>
      <c r="P1321" t="s">
        <v>976</v>
      </c>
      <c r="Q1321" t="s">
        <v>1839</v>
      </c>
      <c r="R1321" t="s">
        <v>2547</v>
      </c>
      <c r="W1321" t="s">
        <v>1601</v>
      </c>
      <c r="BI1321" s="34" t="str">
        <f>HYPERLINK("#자재조서!A70","MB-190-24 →")</f>
        <v>MB-190-24 →</v>
      </c>
    </row>
    <row r="1322" spans="1:61" ht="18.399999999999999" hidden="1" customHeight="1" x14ac:dyDescent="0.15">
      <c r="A1322" s="2" t="s">
        <v>54</v>
      </c>
      <c r="B1322" s="87" t="s">
        <v>1986</v>
      </c>
      <c r="C1322" s="2">
        <v>3.7499999999999999E-2</v>
      </c>
      <c r="D1322" s="2" t="s">
        <v>2825</v>
      </c>
      <c r="E1322" s="27">
        <f t="shared" si="283"/>
        <v>55166</v>
      </c>
      <c r="F1322" s="28">
        <f t="shared" si="282"/>
        <v>2068.6</v>
      </c>
      <c r="G1322" s="27">
        <f>일위대가목록!F235</f>
        <v>2538</v>
      </c>
      <c r="H1322" s="28">
        <f t="shared" si="284"/>
        <v>95.1</v>
      </c>
      <c r="I1322" s="27">
        <f>일위대가목록!H235</f>
        <v>22449</v>
      </c>
      <c r="J1322" s="28">
        <f>TRUNC(I1322*C1322,1)</f>
        <v>841.8</v>
      </c>
      <c r="K1322" s="27">
        <f>일위대가목록!J235</f>
        <v>30179</v>
      </c>
      <c r="L1322" s="28">
        <f>TRUNC(K1322*C1322,1)</f>
        <v>1131.7</v>
      </c>
      <c r="M1322" s="86" t="s">
        <v>2856</v>
      </c>
      <c r="N1322" t="s">
        <v>2856</v>
      </c>
      <c r="P1322" t="s">
        <v>983</v>
      </c>
      <c r="Q1322" t="s">
        <v>2856</v>
      </c>
      <c r="R1322" t="s">
        <v>668</v>
      </c>
      <c r="T1322" t="s">
        <v>1778</v>
      </c>
      <c r="BI1322" s="34" t="str">
        <f>HYPERLINK("#일위대가목록!A230","N1380-24 →")</f>
        <v>N1380-24 →</v>
      </c>
    </row>
    <row r="1323" spans="1:61" ht="18.399999999999999" hidden="1" customHeight="1" x14ac:dyDescent="0.15">
      <c r="A1323" s="2" t="s">
        <v>1233</v>
      </c>
      <c r="B1323" s="87" t="s">
        <v>561</v>
      </c>
      <c r="C1323" s="2">
        <v>1.03</v>
      </c>
      <c r="D1323" s="2" t="s">
        <v>773</v>
      </c>
      <c r="E1323" s="27">
        <f t="shared" si="283"/>
        <v>15270</v>
      </c>
      <c r="F1323" s="28">
        <f t="shared" si="282"/>
        <v>15728.1</v>
      </c>
      <c r="G1323" s="27">
        <f>자재조서!E98</f>
        <v>15270</v>
      </c>
      <c r="H1323" s="28">
        <f t="shared" si="284"/>
        <v>15728.1</v>
      </c>
      <c r="I1323" s="27">
        <v>0</v>
      </c>
      <c r="J1323" s="28"/>
      <c r="K1323" s="27">
        <v>0</v>
      </c>
      <c r="L1323" s="28"/>
      <c r="M1323" s="86" t="s">
        <v>1601</v>
      </c>
      <c r="N1323" t="s">
        <v>2856</v>
      </c>
      <c r="P1323" t="s">
        <v>248</v>
      </c>
      <c r="Q1323" t="s">
        <v>1839</v>
      </c>
      <c r="R1323" t="s">
        <v>493</v>
      </c>
      <c r="W1323" t="s">
        <v>1601</v>
      </c>
      <c r="BI1323" s="34" t="str">
        <f>HYPERLINK("#자재조서!A93","MP-80G →")</f>
        <v>MP-80G →</v>
      </c>
    </row>
    <row r="1324" spans="1:61" ht="18.399999999999999" hidden="1" customHeight="1" x14ac:dyDescent="0.15">
      <c r="A1324" s="2" t="s">
        <v>861</v>
      </c>
      <c r="B1324" s="87" t="s">
        <v>1727</v>
      </c>
      <c r="C1324" s="2">
        <v>1</v>
      </c>
      <c r="D1324" s="2" t="s">
        <v>1670</v>
      </c>
      <c r="E1324" s="27">
        <f t="shared" si="283"/>
        <v>20715</v>
      </c>
      <c r="F1324" s="28">
        <f t="shared" si="282"/>
        <v>20715</v>
      </c>
      <c r="G1324" s="27">
        <f>일위대가목록!F263</f>
        <v>926</v>
      </c>
      <c r="H1324" s="28">
        <f t="shared" si="284"/>
        <v>926</v>
      </c>
      <c r="I1324" s="27">
        <f>일위대가목록!H263</f>
        <v>8827</v>
      </c>
      <c r="J1324" s="28">
        <f>TRUNC(I1324*C1324,1)</f>
        <v>8827</v>
      </c>
      <c r="K1324" s="27">
        <f>일위대가목록!J263</f>
        <v>10962</v>
      </c>
      <c r="L1324" s="28">
        <f>TRUNC(K1324*C1324,1)</f>
        <v>10962</v>
      </c>
      <c r="M1324" s="86" t="s">
        <v>2856</v>
      </c>
      <c r="N1324" t="s">
        <v>2856</v>
      </c>
      <c r="P1324" t="s">
        <v>1704</v>
      </c>
      <c r="Q1324" t="s">
        <v>2856</v>
      </c>
      <c r="R1324" t="s">
        <v>2847</v>
      </c>
      <c r="T1324" t="s">
        <v>1778</v>
      </c>
      <c r="BI1324" s="34" t="str">
        <f>HYPERLINK("#일위대가목록!A258","N6075-24 →")</f>
        <v>N6075-24 →</v>
      </c>
    </row>
    <row r="1325" spans="1:61" ht="18.399999999999999" hidden="1" customHeight="1" x14ac:dyDescent="0.15">
      <c r="A1325" s="1"/>
      <c r="B1325" s="87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87"/>
    </row>
    <row r="1326" spans="1:61" ht="18.399999999999999" hidden="1" customHeight="1" x14ac:dyDescent="0.15">
      <c r="A1326" s="2" t="s">
        <v>967</v>
      </c>
      <c r="B1326" s="87" t="s">
        <v>2681</v>
      </c>
      <c r="C1326" s="2">
        <v>1</v>
      </c>
      <c r="D1326" s="2" t="s">
        <v>1670</v>
      </c>
      <c r="E1326" s="184"/>
      <c r="F1326" s="29">
        <f t="shared" ref="F1326:F1334" si="285">H1326+J1326+L1326</f>
        <v>63501</v>
      </c>
      <c r="G1326" s="184"/>
      <c r="H1326" s="29">
        <f>TRUNC(H1327+H1328+H1329+H1330+H1332+H1334,0)</f>
        <v>2305</v>
      </c>
      <c r="I1326" s="184"/>
      <c r="J1326" s="29">
        <f>TRUNC(J1327+J1328+J1329+J1330+J1332+J1334,0)</f>
        <v>22023</v>
      </c>
      <c r="K1326" s="184"/>
      <c r="L1326" s="29">
        <f>TRUNC(L1327+L1328+L1329+L1330+L1332+L1334,0)</f>
        <v>39173</v>
      </c>
      <c r="M1326" s="86" t="s">
        <v>2856</v>
      </c>
      <c r="N1326" t="s">
        <v>2856</v>
      </c>
      <c r="O1326" t="s">
        <v>802</v>
      </c>
    </row>
    <row r="1327" spans="1:61" ht="18.399999999999999" hidden="1" customHeight="1" x14ac:dyDescent="0.15">
      <c r="A1327" s="2" t="s">
        <v>1163</v>
      </c>
      <c r="B1327" s="87" t="s">
        <v>576</v>
      </c>
      <c r="C1327" s="2">
        <v>0.16</v>
      </c>
      <c r="D1327" s="2" t="s">
        <v>2825</v>
      </c>
      <c r="E1327" s="27">
        <f t="shared" ref="E1327:E1334" si="286">G1327+I1327+K1327</f>
        <v>5009</v>
      </c>
      <c r="F1327" s="28">
        <f t="shared" si="285"/>
        <v>801.3</v>
      </c>
      <c r="G1327" s="27">
        <f>일위대가목록!F4</f>
        <v>300</v>
      </c>
      <c r="H1327" s="28">
        <f t="shared" ref="H1327:H1334" si="287">TRUNC(G1327*C1327,1)</f>
        <v>48</v>
      </c>
      <c r="I1327" s="27">
        <f>일위대가목록!H4</f>
        <v>4328</v>
      </c>
      <c r="J1327" s="28">
        <f>TRUNC(I1327*C1327,1)</f>
        <v>692.4</v>
      </c>
      <c r="K1327" s="27">
        <f>일위대가목록!J4</f>
        <v>381</v>
      </c>
      <c r="L1327" s="28">
        <f>TRUNC(K1327*C1327,1)</f>
        <v>60.9</v>
      </c>
      <c r="M1327" s="86" t="s">
        <v>2856</v>
      </c>
      <c r="N1327" t="s">
        <v>2856</v>
      </c>
      <c r="P1327" t="s">
        <v>334</v>
      </c>
      <c r="Q1327" t="s">
        <v>2856</v>
      </c>
      <c r="R1327" t="s">
        <v>69</v>
      </c>
      <c r="T1327" t="s">
        <v>2405</v>
      </c>
      <c r="BI1327" s="34" t="str">
        <f>HYPERLINK("#일위대가목록!A4","N1070 →")</f>
        <v>N1070 →</v>
      </c>
    </row>
    <row r="1328" spans="1:61" ht="18.399999999999999" hidden="1" customHeight="1" x14ac:dyDescent="0.15">
      <c r="A1328" s="2" t="s">
        <v>1112</v>
      </c>
      <c r="B1328" s="87" t="s">
        <v>2429</v>
      </c>
      <c r="C1328" s="2">
        <v>0.05</v>
      </c>
      <c r="D1328" s="2" t="s">
        <v>2825</v>
      </c>
      <c r="E1328" s="27">
        <f t="shared" si="286"/>
        <v>1588</v>
      </c>
      <c r="F1328" s="28">
        <f t="shared" si="285"/>
        <v>79.300000000000011</v>
      </c>
      <c r="G1328" s="27">
        <f>일위대가목록!F5</f>
        <v>285</v>
      </c>
      <c r="H1328" s="28">
        <f t="shared" si="287"/>
        <v>14.2</v>
      </c>
      <c r="I1328" s="27">
        <f>일위대가목록!H5</f>
        <v>940</v>
      </c>
      <c r="J1328" s="28">
        <f>TRUNC(I1328*C1328,1)</f>
        <v>47</v>
      </c>
      <c r="K1328" s="27">
        <f>일위대가목록!J5</f>
        <v>363</v>
      </c>
      <c r="L1328" s="28">
        <f>TRUNC(K1328*C1328,1)</f>
        <v>18.100000000000001</v>
      </c>
      <c r="M1328" s="86" t="s">
        <v>2856</v>
      </c>
      <c r="N1328" t="s">
        <v>2856</v>
      </c>
      <c r="P1328" t="s">
        <v>2471</v>
      </c>
      <c r="Q1328" t="s">
        <v>2856</v>
      </c>
      <c r="R1328" t="s">
        <v>1705</v>
      </c>
      <c r="T1328" t="s">
        <v>2405</v>
      </c>
      <c r="BI1328" s="34" t="str">
        <f>HYPERLINK("#일위대가목록!A5","N0860 →")</f>
        <v>N0860 →</v>
      </c>
    </row>
    <row r="1329" spans="1:61" ht="18.399999999999999" hidden="1" customHeight="1" x14ac:dyDescent="0.15">
      <c r="A1329" s="2" t="s">
        <v>2451</v>
      </c>
      <c r="B1329" s="87" t="s">
        <v>1333</v>
      </c>
      <c r="C1329" s="2">
        <v>0.11</v>
      </c>
      <c r="D1329" s="2" t="s">
        <v>2825</v>
      </c>
      <c r="E1329" s="27">
        <f t="shared" si="286"/>
        <v>7144</v>
      </c>
      <c r="F1329" s="28">
        <f t="shared" si="285"/>
        <v>785.7</v>
      </c>
      <c r="G1329" s="27">
        <f>일위대가목록!F6</f>
        <v>445</v>
      </c>
      <c r="H1329" s="28">
        <f t="shared" si="287"/>
        <v>48.9</v>
      </c>
      <c r="I1329" s="27">
        <f>일위대가목록!H6</f>
        <v>6329</v>
      </c>
      <c r="J1329" s="28">
        <f>TRUNC(I1329*C1329,1)</f>
        <v>696.1</v>
      </c>
      <c r="K1329" s="27">
        <f>일위대가목록!J6</f>
        <v>370</v>
      </c>
      <c r="L1329" s="28">
        <f>TRUNC(K1329*C1329,1)</f>
        <v>40.700000000000003</v>
      </c>
      <c r="M1329" s="86" t="s">
        <v>2856</v>
      </c>
      <c r="N1329" t="s">
        <v>2856</v>
      </c>
      <c r="P1329" t="s">
        <v>1741</v>
      </c>
      <c r="Q1329" t="s">
        <v>2856</v>
      </c>
      <c r="R1329" t="s">
        <v>1429</v>
      </c>
      <c r="T1329" t="s">
        <v>2405</v>
      </c>
      <c r="BI1329" s="34" t="str">
        <f>HYPERLINK("#일위대가목록!A6","N1010 →")</f>
        <v>N1010 →</v>
      </c>
    </row>
    <row r="1330" spans="1:61" ht="18.399999999999999" hidden="1" customHeight="1" x14ac:dyDescent="0.15">
      <c r="A1330" s="2" t="s">
        <v>1410</v>
      </c>
      <c r="B1330" s="87" t="s">
        <v>2731</v>
      </c>
      <c r="C1330" s="2">
        <v>0.3</v>
      </c>
      <c r="D1330" s="2" t="s">
        <v>1202</v>
      </c>
      <c r="E1330" s="27">
        <f t="shared" si="286"/>
        <v>119130</v>
      </c>
      <c r="F1330" s="28">
        <f t="shared" si="285"/>
        <v>35739</v>
      </c>
      <c r="G1330" s="27">
        <f>일위대가목록!F262</f>
        <v>3419</v>
      </c>
      <c r="H1330" s="28">
        <f t="shared" si="287"/>
        <v>1025.7</v>
      </c>
      <c r="I1330" s="27">
        <f>일위대가목록!H262</f>
        <v>31687</v>
      </c>
      <c r="J1330" s="28">
        <f>TRUNC(I1330*C1330,1)</f>
        <v>9506.1</v>
      </c>
      <c r="K1330" s="27">
        <f>일위대가목록!J262</f>
        <v>84024</v>
      </c>
      <c r="L1330" s="28">
        <f>TRUNC(K1330*C1330,1)</f>
        <v>25207.200000000001</v>
      </c>
      <c r="M1330" s="86" t="s">
        <v>2856</v>
      </c>
      <c r="N1330" t="s">
        <v>2856</v>
      </c>
      <c r="P1330" t="s">
        <v>1036</v>
      </c>
      <c r="Q1330" t="s">
        <v>2856</v>
      </c>
      <c r="R1330" t="s">
        <v>1624</v>
      </c>
      <c r="T1330" t="s">
        <v>1778</v>
      </c>
      <c r="BI1330" s="34" t="str">
        <f>HYPERLINK("#일위대가목록!A257","NS00700 →")</f>
        <v>NS00700 →</v>
      </c>
    </row>
    <row r="1331" spans="1:61" ht="18.399999999999999" hidden="1" customHeight="1" x14ac:dyDescent="0.15">
      <c r="A1331" s="2" t="s">
        <v>1632</v>
      </c>
      <c r="B1331" s="87" t="s">
        <v>2279</v>
      </c>
      <c r="C1331" s="2">
        <v>3.8300000000000001E-2</v>
      </c>
      <c r="D1331" s="2" t="s">
        <v>2825</v>
      </c>
      <c r="E1331" s="27">
        <f t="shared" si="286"/>
        <v>89830</v>
      </c>
      <c r="F1331" s="28">
        <f t="shared" si="285"/>
        <v>3440.4</v>
      </c>
      <c r="G1331" s="27">
        <f>자재조서!E73</f>
        <v>89830</v>
      </c>
      <c r="H1331" s="28">
        <f t="shared" si="287"/>
        <v>3440.4</v>
      </c>
      <c r="I1331" s="27">
        <v>0</v>
      </c>
      <c r="J1331" s="28"/>
      <c r="K1331" s="27">
        <v>0</v>
      </c>
      <c r="L1331" s="28"/>
      <c r="M1331" s="86" t="s">
        <v>1601</v>
      </c>
      <c r="N1331" t="s">
        <v>2856</v>
      </c>
      <c r="P1331" t="s">
        <v>976</v>
      </c>
      <c r="Q1331" t="s">
        <v>1839</v>
      </c>
      <c r="R1331" t="s">
        <v>2547</v>
      </c>
      <c r="W1331" t="s">
        <v>1601</v>
      </c>
      <c r="BI1331" s="34" t="str">
        <f>HYPERLINK("#자재조서!A70","MB-190-24 →")</f>
        <v>MB-190-24 →</v>
      </c>
    </row>
    <row r="1332" spans="1:61" ht="18.399999999999999" hidden="1" customHeight="1" x14ac:dyDescent="0.15">
      <c r="A1332" s="2" t="s">
        <v>54</v>
      </c>
      <c r="B1332" s="87" t="s">
        <v>1986</v>
      </c>
      <c r="C1332" s="2">
        <v>3.7499999999999999E-2</v>
      </c>
      <c r="D1332" s="2" t="s">
        <v>2825</v>
      </c>
      <c r="E1332" s="27">
        <f t="shared" si="286"/>
        <v>55166</v>
      </c>
      <c r="F1332" s="28">
        <f t="shared" si="285"/>
        <v>2068.6</v>
      </c>
      <c r="G1332" s="27">
        <f>일위대가목록!F235</f>
        <v>2538</v>
      </c>
      <c r="H1332" s="28">
        <f t="shared" si="287"/>
        <v>95.1</v>
      </c>
      <c r="I1332" s="27">
        <f>일위대가목록!H235</f>
        <v>22449</v>
      </c>
      <c r="J1332" s="28">
        <f>TRUNC(I1332*C1332,1)</f>
        <v>841.8</v>
      </c>
      <c r="K1332" s="27">
        <f>일위대가목록!J235</f>
        <v>30179</v>
      </c>
      <c r="L1332" s="28">
        <f>TRUNC(K1332*C1332,1)</f>
        <v>1131.7</v>
      </c>
      <c r="M1332" s="86" t="s">
        <v>2856</v>
      </c>
      <c r="N1332" t="s">
        <v>2856</v>
      </c>
      <c r="P1332" t="s">
        <v>983</v>
      </c>
      <c r="Q1332" t="s">
        <v>2856</v>
      </c>
      <c r="R1332" t="s">
        <v>668</v>
      </c>
      <c r="T1332" t="s">
        <v>1778</v>
      </c>
      <c r="BI1332" s="34" t="str">
        <f>HYPERLINK("#일위대가목록!A230","N1380-24 →")</f>
        <v>N1380-24 →</v>
      </c>
    </row>
    <row r="1333" spans="1:61" ht="18.399999999999999" hidden="1" customHeight="1" x14ac:dyDescent="0.15">
      <c r="A1333" s="2" t="s">
        <v>1233</v>
      </c>
      <c r="B1333" s="87" t="s">
        <v>2212</v>
      </c>
      <c r="C1333" s="2">
        <v>1.03</v>
      </c>
      <c r="D1333" s="2" t="s">
        <v>773</v>
      </c>
      <c r="E1333" s="27">
        <f t="shared" si="286"/>
        <v>26670</v>
      </c>
      <c r="F1333" s="28">
        <f t="shared" si="285"/>
        <v>27470.1</v>
      </c>
      <c r="G1333" s="27">
        <f>자재조서!E99</f>
        <v>26670</v>
      </c>
      <c r="H1333" s="28">
        <f t="shared" si="287"/>
        <v>27470.1</v>
      </c>
      <c r="I1333" s="27">
        <v>0</v>
      </c>
      <c r="J1333" s="28"/>
      <c r="K1333" s="27">
        <v>0</v>
      </c>
      <c r="L1333" s="28"/>
      <c r="M1333" s="86" t="s">
        <v>2856</v>
      </c>
      <c r="N1333" t="s">
        <v>2856</v>
      </c>
      <c r="P1333" t="s">
        <v>248</v>
      </c>
      <c r="Q1333" t="s">
        <v>1839</v>
      </c>
      <c r="R1333" t="s">
        <v>1239</v>
      </c>
      <c r="BI1333" s="34" t="str">
        <f>HYPERLINK("#자재조서!A94","MP-81G →")</f>
        <v>MP-81G →</v>
      </c>
    </row>
    <row r="1334" spans="1:61" ht="18.399999999999999" hidden="1" customHeight="1" x14ac:dyDescent="0.15">
      <c r="A1334" s="2" t="s">
        <v>861</v>
      </c>
      <c r="B1334" s="87" t="s">
        <v>254</v>
      </c>
      <c r="C1334" s="2">
        <v>1</v>
      </c>
      <c r="D1334" s="2" t="s">
        <v>1670</v>
      </c>
      <c r="E1334" s="27">
        <f t="shared" si="286"/>
        <v>24029</v>
      </c>
      <c r="F1334" s="28">
        <f t="shared" si="285"/>
        <v>24029</v>
      </c>
      <c r="G1334" s="27">
        <f>일위대가목록!F264</f>
        <v>1074</v>
      </c>
      <c r="H1334" s="28">
        <f t="shared" si="287"/>
        <v>1074</v>
      </c>
      <c r="I1334" s="27">
        <f>일위대가목록!H264</f>
        <v>10240</v>
      </c>
      <c r="J1334" s="28">
        <f>TRUNC(I1334*C1334,1)</f>
        <v>10240</v>
      </c>
      <c r="K1334" s="27">
        <f>일위대가목록!J264</f>
        <v>12715</v>
      </c>
      <c r="L1334" s="28">
        <f>TRUNC(K1334*C1334,1)</f>
        <v>12715</v>
      </c>
      <c r="M1334" s="86" t="s">
        <v>2856</v>
      </c>
      <c r="N1334" t="s">
        <v>2856</v>
      </c>
      <c r="P1334" t="s">
        <v>1704</v>
      </c>
      <c r="Q1334" t="s">
        <v>2856</v>
      </c>
      <c r="R1334" t="s">
        <v>1312</v>
      </c>
      <c r="T1334" t="s">
        <v>1778</v>
      </c>
      <c r="BI1334" s="34" t="str">
        <f>HYPERLINK("#일위대가목록!A259","N6077-24 →")</f>
        <v>N6077-24 →</v>
      </c>
    </row>
    <row r="1335" spans="1:61" ht="18.399999999999999" hidden="1" customHeight="1" x14ac:dyDescent="0.15">
      <c r="A1335" s="1"/>
      <c r="B1335" s="87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87"/>
    </row>
    <row r="1336" spans="1:61" ht="18.399999999999999" hidden="1" customHeight="1" x14ac:dyDescent="0.15">
      <c r="A1336" s="2" t="s">
        <v>321</v>
      </c>
      <c r="B1336" s="87" t="s">
        <v>2248</v>
      </c>
      <c r="C1336" s="2">
        <v>1</v>
      </c>
      <c r="D1336" s="2" t="s">
        <v>1670</v>
      </c>
      <c r="E1336" s="184"/>
      <c r="F1336" s="29">
        <f>H1336+J1336+L1336</f>
        <v>22844</v>
      </c>
      <c r="G1336" s="184"/>
      <c r="H1336" s="29">
        <f>TRUNC(H1337+H1339,0)</f>
        <v>14490</v>
      </c>
      <c r="I1336" s="184"/>
      <c r="J1336" s="29">
        <f>TRUNC(J1337+J1339,0)</f>
        <v>8354</v>
      </c>
      <c r="K1336" s="184"/>
      <c r="L1336" s="29">
        <f>TRUNC(L1337+L1339,0)</f>
        <v>0</v>
      </c>
      <c r="M1336" s="86" t="s">
        <v>2856</v>
      </c>
      <c r="N1336" t="s">
        <v>2856</v>
      </c>
      <c r="O1336" t="s">
        <v>267</v>
      </c>
    </row>
    <row r="1337" spans="1:61" ht="18.399999999999999" hidden="1" customHeight="1" x14ac:dyDescent="0.15">
      <c r="A1337" s="2" t="s">
        <v>1130</v>
      </c>
      <c r="B1337" s="87" t="s">
        <v>2248</v>
      </c>
      <c r="C1337" s="2">
        <v>1.05</v>
      </c>
      <c r="D1337" s="2" t="s">
        <v>1670</v>
      </c>
      <c r="E1337" s="27">
        <f>G1337+I1337+K1337</f>
        <v>13800</v>
      </c>
      <c r="F1337" s="28">
        <f>H1337+J1337+L1337</f>
        <v>14490</v>
      </c>
      <c r="G1337" s="27">
        <f>자재조서!E100</f>
        <v>13800</v>
      </c>
      <c r="H1337" s="28">
        <f>TRUNC(G1337*C1337,1)</f>
        <v>14490</v>
      </c>
      <c r="I1337" s="27">
        <v>0</v>
      </c>
      <c r="J1337" s="28"/>
      <c r="K1337" s="27">
        <v>0</v>
      </c>
      <c r="L1337" s="28"/>
      <c r="M1337" s="86" t="s">
        <v>2856</v>
      </c>
      <c r="N1337" t="s">
        <v>2856</v>
      </c>
      <c r="P1337" t="s">
        <v>334</v>
      </c>
      <c r="Q1337" t="s">
        <v>2856</v>
      </c>
      <c r="R1337" t="s">
        <v>281</v>
      </c>
      <c r="BI1337" s="34" t="str">
        <f>HYPERLINK("#자재조서!A95","MP-90G →")</f>
        <v>MP-90G →</v>
      </c>
    </row>
    <row r="1338" spans="1:61" ht="18.399999999999999" hidden="1" customHeight="1" x14ac:dyDescent="0.15">
      <c r="A1338" s="2" t="s">
        <v>1825</v>
      </c>
      <c r="B1338" s="87" t="s">
        <v>1299</v>
      </c>
      <c r="C1338" s="2"/>
      <c r="D1338" s="2" t="s">
        <v>2856</v>
      </c>
      <c r="E1338" s="27">
        <f>G1338+I1338+K1338</f>
        <v>0</v>
      </c>
      <c r="F1338" s="28">
        <f>H1338+J1338+L1338</f>
        <v>0</v>
      </c>
      <c r="G1338" s="1"/>
      <c r="H1338" s="28">
        <v>0</v>
      </c>
      <c r="I1338" s="1"/>
      <c r="J1338" s="28">
        <v>0</v>
      </c>
      <c r="K1338" s="1"/>
      <c r="L1338" s="28">
        <v>0</v>
      </c>
      <c r="M1338" s="86" t="s">
        <v>2856</v>
      </c>
      <c r="N1338" t="s">
        <v>2856</v>
      </c>
      <c r="P1338" t="s">
        <v>2471</v>
      </c>
      <c r="Q1338" t="s">
        <v>2856</v>
      </c>
      <c r="R1338" t="s">
        <v>2856</v>
      </c>
    </row>
    <row r="1339" spans="1:61" ht="18.399999999999999" hidden="1" customHeight="1" x14ac:dyDescent="0.15">
      <c r="A1339" s="2" t="s">
        <v>888</v>
      </c>
      <c r="B1339" s="87" t="s">
        <v>2856</v>
      </c>
      <c r="C1339" s="2">
        <v>0.05</v>
      </c>
      <c r="D1339" s="2" t="s">
        <v>2652</v>
      </c>
      <c r="E1339" s="27">
        <f>G1339+I1339+K1339</f>
        <v>167081</v>
      </c>
      <c r="F1339" s="28">
        <f>H1339+J1339+L1339</f>
        <v>8354</v>
      </c>
      <c r="G1339" s="27">
        <v>0</v>
      </c>
      <c r="H1339" s="28"/>
      <c r="I1339" s="27">
        <f>노임!D15</f>
        <v>167081</v>
      </c>
      <c r="J1339" s="28">
        <f>TRUNC(I1339*C1339,1)</f>
        <v>8354</v>
      </c>
      <c r="K1339" s="27">
        <v>0</v>
      </c>
      <c r="L1339" s="28"/>
      <c r="M1339" s="86" t="s">
        <v>2856</v>
      </c>
      <c r="N1339" t="s">
        <v>821</v>
      </c>
      <c r="P1339" t="s">
        <v>1741</v>
      </c>
      <c r="Q1339" t="s">
        <v>2856</v>
      </c>
      <c r="R1339" t="s">
        <v>498</v>
      </c>
      <c r="BI1339" s="34" t="str">
        <f>HYPERLINK("#노임!A15","L085 →")</f>
        <v>L085 →</v>
      </c>
    </row>
    <row r="1340" spans="1:61" ht="18.399999999999999" hidden="1" customHeight="1" x14ac:dyDescent="0.15">
      <c r="A1340" s="1"/>
      <c r="B1340" s="87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87"/>
    </row>
    <row r="1341" spans="1:61" ht="18.399999999999999" hidden="1" customHeight="1" x14ac:dyDescent="0.15">
      <c r="A1341" s="2" t="s">
        <v>2347</v>
      </c>
      <c r="B1341" s="87" t="s">
        <v>2248</v>
      </c>
      <c r="C1341" s="2">
        <v>1</v>
      </c>
      <c r="D1341" s="2" t="s">
        <v>1670</v>
      </c>
      <c r="E1341" s="184"/>
      <c r="F1341" s="29">
        <f>H1341+J1341+L1341</f>
        <v>11911</v>
      </c>
      <c r="G1341" s="184"/>
      <c r="H1341" s="29">
        <f>TRUNC(H1342,0)</f>
        <v>341</v>
      </c>
      <c r="I1341" s="184"/>
      <c r="J1341" s="29">
        <f>TRUNC(J1342,0)</f>
        <v>3168</v>
      </c>
      <c r="K1341" s="184"/>
      <c r="L1341" s="29">
        <f>TRUNC(L1342,0)</f>
        <v>8402</v>
      </c>
      <c r="M1341" s="86" t="s">
        <v>2856</v>
      </c>
      <c r="N1341" t="s">
        <v>2856</v>
      </c>
      <c r="O1341" t="s">
        <v>1372</v>
      </c>
    </row>
    <row r="1342" spans="1:61" ht="18.399999999999999" hidden="1" customHeight="1" x14ac:dyDescent="0.15">
      <c r="A1342" s="2" t="s">
        <v>1410</v>
      </c>
      <c r="B1342" s="87" t="s">
        <v>2731</v>
      </c>
      <c r="C1342" s="2">
        <v>0.1</v>
      </c>
      <c r="D1342" s="2" t="s">
        <v>1202</v>
      </c>
      <c r="E1342" s="27">
        <f>G1342+I1342+K1342</f>
        <v>119130</v>
      </c>
      <c r="F1342" s="28">
        <f>H1342+J1342+L1342</f>
        <v>11913</v>
      </c>
      <c r="G1342" s="27">
        <f>일위대가목록!F262</f>
        <v>3419</v>
      </c>
      <c r="H1342" s="28">
        <f>TRUNC(G1342*C1342,1)</f>
        <v>341.9</v>
      </c>
      <c r="I1342" s="27">
        <f>일위대가목록!H262</f>
        <v>31687</v>
      </c>
      <c r="J1342" s="28">
        <f>TRUNC(I1342*C1342,1)</f>
        <v>3168.7</v>
      </c>
      <c r="K1342" s="27">
        <f>일위대가목록!J262</f>
        <v>84024</v>
      </c>
      <c r="L1342" s="28">
        <f>TRUNC(K1342*C1342,1)</f>
        <v>8402.4</v>
      </c>
      <c r="M1342" s="86" t="s">
        <v>2856</v>
      </c>
      <c r="N1342" t="s">
        <v>2856</v>
      </c>
      <c r="P1342" t="s">
        <v>334</v>
      </c>
      <c r="Q1342" t="s">
        <v>2856</v>
      </c>
      <c r="R1342" t="s">
        <v>1624</v>
      </c>
      <c r="T1342" t="s">
        <v>1778</v>
      </c>
      <c r="BI1342" s="34" t="str">
        <f>HYPERLINK("#일위대가목록!A257","NS00700 →")</f>
        <v>NS00700 →</v>
      </c>
    </row>
    <row r="1343" spans="1:61" ht="18.399999999999999" hidden="1" customHeight="1" x14ac:dyDescent="0.15">
      <c r="A1343" s="1"/>
      <c r="B1343" s="87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87"/>
    </row>
    <row r="1344" spans="1:61" ht="18.399999999999999" hidden="1" customHeight="1" x14ac:dyDescent="0.15">
      <c r="A1344" s="2" t="s">
        <v>2006</v>
      </c>
      <c r="B1344" s="87" t="s">
        <v>2338</v>
      </c>
      <c r="C1344" s="2">
        <v>1</v>
      </c>
      <c r="D1344" s="2" t="s">
        <v>556</v>
      </c>
      <c r="E1344" s="184"/>
      <c r="F1344" s="29">
        <f t="shared" ref="F1344:F1351" si="288">H1344+J1344+L1344</f>
        <v>11411</v>
      </c>
      <c r="G1344" s="184"/>
      <c r="H1344" s="29">
        <f>TRUNC(H1345+H1346+H1347+H1348+H1349+H1350+H1351,0)</f>
        <v>109</v>
      </c>
      <c r="I1344" s="184"/>
      <c r="J1344" s="29">
        <f>TRUNC(J1345+J1346+J1347+J1348+J1349+J1350+J1351,0)</f>
        <v>11280</v>
      </c>
      <c r="K1344" s="184"/>
      <c r="L1344" s="29">
        <f>TRUNC(L1345+L1346+L1347+L1348+L1349+L1350+L1351,0)</f>
        <v>22</v>
      </c>
      <c r="M1344" s="86" t="s">
        <v>2856</v>
      </c>
      <c r="N1344" t="s">
        <v>2856</v>
      </c>
      <c r="O1344" t="s">
        <v>1579</v>
      </c>
    </row>
    <row r="1345" spans="1:61" ht="18.399999999999999" hidden="1" customHeight="1" x14ac:dyDescent="0.15">
      <c r="A1345" s="2" t="s">
        <v>2176</v>
      </c>
      <c r="B1345" s="87" t="s">
        <v>2549</v>
      </c>
      <c r="C1345" s="2">
        <v>0</v>
      </c>
      <c r="D1345" s="2" t="s">
        <v>2856</v>
      </c>
      <c r="E1345" s="27">
        <f t="shared" ref="E1345:E1351" si="289">G1345+I1345+K1345</f>
        <v>0</v>
      </c>
      <c r="F1345" s="28">
        <f t="shared" si="288"/>
        <v>0</v>
      </c>
      <c r="G1345" s="27">
        <f>경비!D3</f>
        <v>0</v>
      </c>
      <c r="H1345" s="28">
        <f>TRUNC(G1345*C1345,1)</f>
        <v>0</v>
      </c>
      <c r="I1345" s="27">
        <f>경비!E3</f>
        <v>0</v>
      </c>
      <c r="J1345" s="28">
        <f>TRUNC(I1345*C1345,1)</f>
        <v>0</v>
      </c>
      <c r="K1345" s="27">
        <f>경비!F3</f>
        <v>0</v>
      </c>
      <c r="L1345" s="28">
        <f>TRUNC(K1345*C1345,1)</f>
        <v>0</v>
      </c>
      <c r="M1345" s="86" t="s">
        <v>2856</v>
      </c>
      <c r="N1345" t="s">
        <v>2856</v>
      </c>
      <c r="P1345" t="s">
        <v>334</v>
      </c>
      <c r="Q1345" t="s">
        <v>2856</v>
      </c>
      <c r="R1345" t="s">
        <v>1832</v>
      </c>
      <c r="BI1345" s="34" t="str">
        <f>HYPERLINK("#경비!A3","G_N →")</f>
        <v>G_N →</v>
      </c>
    </row>
    <row r="1346" spans="1:61" ht="18.399999999999999" hidden="1" customHeight="1" x14ac:dyDescent="0.15">
      <c r="A1346" s="2" t="s">
        <v>888</v>
      </c>
      <c r="B1346" s="87" t="s">
        <v>1735</v>
      </c>
      <c r="C1346" s="2">
        <v>0.04</v>
      </c>
      <c r="D1346" s="2" t="s">
        <v>2652</v>
      </c>
      <c r="E1346" s="27">
        <f t="shared" si="289"/>
        <v>167081</v>
      </c>
      <c r="F1346" s="28">
        <f t="shared" si="288"/>
        <v>6683.2</v>
      </c>
      <c r="G1346" s="27">
        <v>0</v>
      </c>
      <c r="H1346" s="28"/>
      <c r="I1346" s="27">
        <f>노임!D15</f>
        <v>167081</v>
      </c>
      <c r="J1346" s="28">
        <f>TRUNC(I1346*C1346,1)</f>
        <v>6683.2</v>
      </c>
      <c r="K1346" s="27">
        <v>0</v>
      </c>
      <c r="L1346" s="28"/>
      <c r="M1346" s="86" t="s">
        <v>2856</v>
      </c>
      <c r="N1346" t="s">
        <v>2856</v>
      </c>
      <c r="P1346" t="s">
        <v>2471</v>
      </c>
      <c r="Q1346" t="s">
        <v>2856</v>
      </c>
      <c r="R1346" t="s">
        <v>498</v>
      </c>
      <c r="BI1346" s="34" t="str">
        <f>HYPERLINK("#노임!A15","L085 →")</f>
        <v>L085 →</v>
      </c>
    </row>
    <row r="1347" spans="1:61" ht="18.399999999999999" hidden="1" customHeight="1" x14ac:dyDescent="0.15">
      <c r="A1347" s="2" t="s">
        <v>1254</v>
      </c>
      <c r="B1347" s="87" t="s">
        <v>414</v>
      </c>
      <c r="C1347" s="2">
        <v>5.0000000000000001E-3</v>
      </c>
      <c r="D1347" s="2" t="s">
        <v>2652</v>
      </c>
      <c r="E1347" s="27">
        <f t="shared" si="289"/>
        <v>251041</v>
      </c>
      <c r="F1347" s="28">
        <f t="shared" si="288"/>
        <v>1255.2</v>
      </c>
      <c r="G1347" s="27">
        <v>0</v>
      </c>
      <c r="H1347" s="28"/>
      <c r="I1347" s="27">
        <f>노임!D13</f>
        <v>251041</v>
      </c>
      <c r="J1347" s="28">
        <f>TRUNC(I1347*C1347,1)</f>
        <v>1255.2</v>
      </c>
      <c r="K1347" s="27">
        <v>0</v>
      </c>
      <c r="L1347" s="28"/>
      <c r="M1347" s="86" t="s">
        <v>2856</v>
      </c>
      <c r="N1347" t="s">
        <v>2856</v>
      </c>
      <c r="P1347" t="s">
        <v>1741</v>
      </c>
      <c r="Q1347" t="s">
        <v>2856</v>
      </c>
      <c r="R1347" t="s">
        <v>1362</v>
      </c>
      <c r="BI1347" s="34" t="str">
        <f>HYPERLINK("#노임!A13","L051 →")</f>
        <v>L051 →</v>
      </c>
    </row>
    <row r="1348" spans="1:61" ht="18.399999999999999" hidden="1" customHeight="1" x14ac:dyDescent="0.15">
      <c r="A1348" s="2" t="s">
        <v>888</v>
      </c>
      <c r="B1348" s="87" t="s">
        <v>216</v>
      </c>
      <c r="C1348" s="2">
        <v>0.02</v>
      </c>
      <c r="D1348" s="2" t="s">
        <v>2652</v>
      </c>
      <c r="E1348" s="27">
        <f t="shared" si="289"/>
        <v>167081</v>
      </c>
      <c r="F1348" s="28">
        <f t="shared" si="288"/>
        <v>3341.6</v>
      </c>
      <c r="G1348" s="27">
        <v>0</v>
      </c>
      <c r="H1348" s="28"/>
      <c r="I1348" s="27">
        <f>노임!D15</f>
        <v>167081</v>
      </c>
      <c r="J1348" s="28">
        <f>TRUNC(I1348*C1348,1)</f>
        <v>3341.6</v>
      </c>
      <c r="K1348" s="27">
        <v>0</v>
      </c>
      <c r="L1348" s="28"/>
      <c r="M1348" s="86" t="s">
        <v>2856</v>
      </c>
      <c r="N1348" t="s">
        <v>2856</v>
      </c>
      <c r="P1348" t="s">
        <v>1036</v>
      </c>
      <c r="Q1348" t="s">
        <v>2856</v>
      </c>
      <c r="R1348" t="s">
        <v>498</v>
      </c>
      <c r="BI1348" s="34" t="str">
        <f>HYPERLINK("#노임!A15","L085 →")</f>
        <v>L085 →</v>
      </c>
    </row>
    <row r="1349" spans="1:61" ht="18.399999999999999" hidden="1" customHeight="1" x14ac:dyDescent="0.15">
      <c r="A1349" s="2" t="s">
        <v>1252</v>
      </c>
      <c r="B1349" s="87" t="s">
        <v>2317</v>
      </c>
      <c r="C1349" s="2">
        <v>4.7E-2</v>
      </c>
      <c r="D1349" s="2" t="s">
        <v>2377</v>
      </c>
      <c r="E1349" s="27">
        <f t="shared" si="289"/>
        <v>482</v>
      </c>
      <c r="F1349" s="28">
        <f t="shared" si="288"/>
        <v>22.6</v>
      </c>
      <c r="G1349" s="27">
        <f>경비!D4</f>
        <v>0</v>
      </c>
      <c r="H1349" s="28">
        <f>TRUNC(G1349*C1349,1)</f>
        <v>0</v>
      </c>
      <c r="I1349" s="27">
        <f>경비!E4</f>
        <v>0</v>
      </c>
      <c r="J1349" s="28">
        <f>TRUNC(I1349*C1349,1)</f>
        <v>0</v>
      </c>
      <c r="K1349" s="27">
        <f>경비!F4</f>
        <v>482</v>
      </c>
      <c r="L1349" s="28">
        <f>TRUNC(K1349*C1349,1)</f>
        <v>22.6</v>
      </c>
      <c r="M1349" s="86" t="s">
        <v>2856</v>
      </c>
      <c r="N1349" t="s">
        <v>2856</v>
      </c>
      <c r="P1349" t="s">
        <v>286</v>
      </c>
      <c r="Q1349" t="s">
        <v>2856</v>
      </c>
      <c r="R1349" t="s">
        <v>1205</v>
      </c>
      <c r="BI1349" s="34" t="str">
        <f>HYPERLINK("#경비!A4","GS0001 →")</f>
        <v>GS0001 →</v>
      </c>
    </row>
    <row r="1350" spans="1:61" ht="18.399999999999999" hidden="1" customHeight="1" x14ac:dyDescent="0.15">
      <c r="A1350" s="2" t="s">
        <v>2005</v>
      </c>
      <c r="B1350" s="87" t="s">
        <v>1143</v>
      </c>
      <c r="C1350" s="2">
        <v>3.3000000000000002E-2</v>
      </c>
      <c r="D1350" s="2" t="s">
        <v>2287</v>
      </c>
      <c r="E1350" s="27">
        <f t="shared" si="289"/>
        <v>1538</v>
      </c>
      <c r="F1350" s="28">
        <f t="shared" si="288"/>
        <v>50.7</v>
      </c>
      <c r="G1350" s="27">
        <f>자재조서!E6</f>
        <v>1538</v>
      </c>
      <c r="H1350" s="28">
        <f>TRUNC(G1350*C1350,1)</f>
        <v>50.7</v>
      </c>
      <c r="I1350" s="27">
        <v>0</v>
      </c>
      <c r="J1350" s="28"/>
      <c r="K1350" s="27">
        <v>0</v>
      </c>
      <c r="L1350" s="28"/>
      <c r="M1350" s="86" t="s">
        <v>2856</v>
      </c>
      <c r="N1350" t="s">
        <v>1358</v>
      </c>
      <c r="P1350" t="s">
        <v>2428</v>
      </c>
      <c r="Q1350" t="s">
        <v>2856</v>
      </c>
      <c r="R1350" t="s">
        <v>2425</v>
      </c>
      <c r="BI1350" s="34" t="str">
        <f>HYPERLINK("#자재조서!A5","M-TP-35 →")</f>
        <v>M-TP-35 →</v>
      </c>
    </row>
    <row r="1351" spans="1:61" ht="18.399999999999999" hidden="1" customHeight="1" x14ac:dyDescent="0.15">
      <c r="A1351" s="2" t="s">
        <v>827</v>
      </c>
      <c r="B1351" s="87" t="s">
        <v>2666</v>
      </c>
      <c r="C1351" s="2">
        <v>1.2999999999999999E-2</v>
      </c>
      <c r="D1351" s="2" t="s">
        <v>2287</v>
      </c>
      <c r="E1351" s="27">
        <f t="shared" si="289"/>
        <v>4537</v>
      </c>
      <c r="F1351" s="28">
        <f t="shared" si="288"/>
        <v>58.9</v>
      </c>
      <c r="G1351" s="27">
        <f>자재조서!E5</f>
        <v>4537</v>
      </c>
      <c r="H1351" s="28">
        <f>TRUNC(G1351*C1351,1)</f>
        <v>58.9</v>
      </c>
      <c r="I1351" s="27">
        <v>0</v>
      </c>
      <c r="J1351" s="28"/>
      <c r="K1351" s="27">
        <v>0</v>
      </c>
      <c r="L1351" s="28"/>
      <c r="M1351" s="86" t="s">
        <v>2856</v>
      </c>
      <c r="N1351" t="s">
        <v>2856</v>
      </c>
      <c r="P1351" t="s">
        <v>1686</v>
      </c>
      <c r="Q1351" t="s">
        <v>2856</v>
      </c>
      <c r="R1351" t="s">
        <v>1363</v>
      </c>
      <c r="BI1351" s="34" t="str">
        <f>HYPERLINK("#자재조서!A4","M-TP-32 →")</f>
        <v>M-TP-32 →</v>
      </c>
    </row>
    <row r="1352" spans="1:61" ht="18.399999999999999" hidden="1" customHeight="1" x14ac:dyDescent="0.15">
      <c r="A1352" s="1"/>
      <c r="B1352" s="87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87"/>
    </row>
    <row r="1353" spans="1:61" ht="18.399999999999999" hidden="1" customHeight="1" x14ac:dyDescent="0.15">
      <c r="A1353" s="2" t="s">
        <v>2742</v>
      </c>
      <c r="B1353" s="87" t="s">
        <v>2828</v>
      </c>
      <c r="C1353" s="2">
        <v>1</v>
      </c>
      <c r="D1353" s="2" t="s">
        <v>556</v>
      </c>
      <c r="E1353" s="184"/>
      <c r="F1353" s="29">
        <f t="shared" ref="F1353:F1360" si="290">H1353+J1353+L1353</f>
        <v>90521</v>
      </c>
      <c r="G1353" s="184"/>
      <c r="H1353" s="29">
        <f>TRUNC(H1354+H1355+H1356+H1357+H1358+H1359+H1360,0)</f>
        <v>1404</v>
      </c>
      <c r="I1353" s="184"/>
      <c r="J1353" s="29">
        <f>TRUNC(J1354+J1355+J1356+J1357+J1358+J1359+J1360,0)</f>
        <v>88834</v>
      </c>
      <c r="K1353" s="184"/>
      <c r="L1353" s="29">
        <f>TRUNC(L1354+L1355+L1356+L1357+L1358+L1359+L1360,0)</f>
        <v>283</v>
      </c>
      <c r="M1353" s="86" t="s">
        <v>2856</v>
      </c>
      <c r="N1353" t="s">
        <v>2856</v>
      </c>
      <c r="O1353" t="s">
        <v>2218</v>
      </c>
    </row>
    <row r="1354" spans="1:61" ht="18.399999999999999" hidden="1" customHeight="1" x14ac:dyDescent="0.15">
      <c r="A1354" s="2" t="s">
        <v>2176</v>
      </c>
      <c r="B1354" s="87" t="s">
        <v>2549</v>
      </c>
      <c r="C1354" s="2">
        <v>0</v>
      </c>
      <c r="D1354" s="2" t="s">
        <v>2856</v>
      </c>
      <c r="E1354" s="27">
        <f t="shared" ref="E1354:E1360" si="291">G1354+I1354+K1354</f>
        <v>0</v>
      </c>
      <c r="F1354" s="28">
        <f t="shared" si="290"/>
        <v>0</v>
      </c>
      <c r="G1354" s="27">
        <f>경비!D3</f>
        <v>0</v>
      </c>
      <c r="H1354" s="28">
        <f>TRUNC(G1354*C1354,1)</f>
        <v>0</v>
      </c>
      <c r="I1354" s="27">
        <f>경비!E3</f>
        <v>0</v>
      </c>
      <c r="J1354" s="28">
        <f>TRUNC(I1354*C1354,1)</f>
        <v>0</v>
      </c>
      <c r="K1354" s="27">
        <f>경비!F3</f>
        <v>0</v>
      </c>
      <c r="L1354" s="28">
        <f>TRUNC(K1354*C1354,1)</f>
        <v>0</v>
      </c>
      <c r="M1354" s="86" t="s">
        <v>2856</v>
      </c>
      <c r="N1354" t="s">
        <v>2856</v>
      </c>
      <c r="P1354" t="s">
        <v>334</v>
      </c>
      <c r="Q1354" t="s">
        <v>2856</v>
      </c>
      <c r="R1354" t="s">
        <v>1832</v>
      </c>
      <c r="BI1354" s="34" t="str">
        <f>HYPERLINK("#경비!A3","G_N →")</f>
        <v>G_N →</v>
      </c>
    </row>
    <row r="1355" spans="1:61" ht="18.399999999999999" hidden="1" customHeight="1" x14ac:dyDescent="0.15">
      <c r="A1355" s="2" t="s">
        <v>888</v>
      </c>
      <c r="B1355" s="87" t="s">
        <v>2680</v>
      </c>
      <c r="C1355" s="2">
        <v>0.13</v>
      </c>
      <c r="D1355" s="2" t="s">
        <v>2652</v>
      </c>
      <c r="E1355" s="27">
        <f t="shared" si="291"/>
        <v>167081</v>
      </c>
      <c r="F1355" s="28">
        <f t="shared" si="290"/>
        <v>21720.5</v>
      </c>
      <c r="G1355" s="27">
        <v>0</v>
      </c>
      <c r="H1355" s="28"/>
      <c r="I1355" s="27">
        <f>노임!D15</f>
        <v>167081</v>
      </c>
      <c r="J1355" s="28">
        <f>TRUNC(I1355*C1355,1)</f>
        <v>21720.5</v>
      </c>
      <c r="K1355" s="27">
        <v>0</v>
      </c>
      <c r="L1355" s="28"/>
      <c r="M1355" s="86" t="s">
        <v>2856</v>
      </c>
      <c r="N1355" t="s">
        <v>821</v>
      </c>
      <c r="P1355" t="s">
        <v>2471</v>
      </c>
      <c r="Q1355" t="s">
        <v>2856</v>
      </c>
      <c r="R1355" t="s">
        <v>498</v>
      </c>
      <c r="BI1355" s="34" t="str">
        <f>HYPERLINK("#노임!A15","L085 →")</f>
        <v>L085 →</v>
      </c>
    </row>
    <row r="1356" spans="1:61" ht="18.399999999999999" hidden="1" customHeight="1" x14ac:dyDescent="0.15">
      <c r="A1356" s="2" t="s">
        <v>1254</v>
      </c>
      <c r="B1356" s="87" t="s">
        <v>414</v>
      </c>
      <c r="C1356" s="2">
        <v>7.2999999999999995E-2</v>
      </c>
      <c r="D1356" s="2" t="s">
        <v>2652</v>
      </c>
      <c r="E1356" s="27">
        <f t="shared" si="291"/>
        <v>251041</v>
      </c>
      <c r="F1356" s="28">
        <f t="shared" si="290"/>
        <v>18325.900000000001</v>
      </c>
      <c r="G1356" s="27">
        <v>0</v>
      </c>
      <c r="H1356" s="28"/>
      <c r="I1356" s="27">
        <f>노임!D13</f>
        <v>251041</v>
      </c>
      <c r="J1356" s="28">
        <f>TRUNC(I1356*C1356,1)</f>
        <v>18325.900000000001</v>
      </c>
      <c r="K1356" s="27">
        <v>0</v>
      </c>
      <c r="L1356" s="28"/>
      <c r="M1356" s="86" t="s">
        <v>2856</v>
      </c>
      <c r="N1356" t="s">
        <v>1799</v>
      </c>
      <c r="P1356" t="s">
        <v>1741</v>
      </c>
      <c r="Q1356" t="s">
        <v>2856</v>
      </c>
      <c r="R1356" t="s">
        <v>1362</v>
      </c>
      <c r="BI1356" s="34" t="str">
        <f>HYPERLINK("#노임!A13","L051 →")</f>
        <v>L051 →</v>
      </c>
    </row>
    <row r="1357" spans="1:61" ht="18.399999999999999" hidden="1" customHeight="1" x14ac:dyDescent="0.15">
      <c r="A1357" s="2" t="s">
        <v>888</v>
      </c>
      <c r="B1357" s="87" t="s">
        <v>216</v>
      </c>
      <c r="C1357" s="2">
        <v>0.29199999999999998</v>
      </c>
      <c r="D1357" s="2" t="s">
        <v>2652</v>
      </c>
      <c r="E1357" s="27">
        <f t="shared" si="291"/>
        <v>167081</v>
      </c>
      <c r="F1357" s="28">
        <f t="shared" si="290"/>
        <v>48787.6</v>
      </c>
      <c r="G1357" s="27">
        <v>0</v>
      </c>
      <c r="H1357" s="28"/>
      <c r="I1357" s="27">
        <f>노임!D15</f>
        <v>167081</v>
      </c>
      <c r="J1357" s="28">
        <f>TRUNC(I1357*C1357,1)</f>
        <v>48787.6</v>
      </c>
      <c r="K1357" s="27">
        <v>0</v>
      </c>
      <c r="L1357" s="28"/>
      <c r="M1357" s="86" t="s">
        <v>2856</v>
      </c>
      <c r="N1357" t="s">
        <v>821</v>
      </c>
      <c r="P1357" t="s">
        <v>1036</v>
      </c>
      <c r="Q1357" t="s">
        <v>2856</v>
      </c>
      <c r="R1357" t="s">
        <v>498</v>
      </c>
      <c r="BI1357" s="34" t="str">
        <f>HYPERLINK("#노임!A15","L085 →")</f>
        <v>L085 →</v>
      </c>
    </row>
    <row r="1358" spans="1:61" ht="18.399999999999999" hidden="1" customHeight="1" x14ac:dyDescent="0.15">
      <c r="A1358" s="2" t="s">
        <v>1252</v>
      </c>
      <c r="B1358" s="87" t="s">
        <v>2317</v>
      </c>
      <c r="C1358" s="2">
        <v>0.58899999999999997</v>
      </c>
      <c r="D1358" s="2" t="s">
        <v>2377</v>
      </c>
      <c r="E1358" s="27">
        <f t="shared" si="291"/>
        <v>482</v>
      </c>
      <c r="F1358" s="28">
        <f t="shared" si="290"/>
        <v>283.8</v>
      </c>
      <c r="G1358" s="27">
        <f>경비!D4</f>
        <v>0</v>
      </c>
      <c r="H1358" s="28">
        <f>TRUNC(G1358*C1358,1)</f>
        <v>0</v>
      </c>
      <c r="I1358" s="27">
        <f>경비!E4</f>
        <v>0</v>
      </c>
      <c r="J1358" s="28">
        <f>TRUNC(I1358*C1358,1)</f>
        <v>0</v>
      </c>
      <c r="K1358" s="27">
        <f>경비!F4</f>
        <v>482</v>
      </c>
      <c r="L1358" s="28">
        <f>TRUNC(K1358*C1358,1)</f>
        <v>283.8</v>
      </c>
      <c r="M1358" s="86" t="s">
        <v>2856</v>
      </c>
      <c r="N1358" t="s">
        <v>2856</v>
      </c>
      <c r="P1358" t="s">
        <v>286</v>
      </c>
      <c r="Q1358" t="s">
        <v>2856</v>
      </c>
      <c r="R1358" t="s">
        <v>1205</v>
      </c>
      <c r="BI1358" s="34" t="str">
        <f>HYPERLINK("#경비!A4","GS0001 →")</f>
        <v>GS0001 →</v>
      </c>
    </row>
    <row r="1359" spans="1:61" ht="18.399999999999999" hidden="1" customHeight="1" x14ac:dyDescent="0.15">
      <c r="A1359" s="2" t="s">
        <v>2005</v>
      </c>
      <c r="B1359" s="87" t="s">
        <v>1143</v>
      </c>
      <c r="C1359" s="2">
        <v>0.41199999999999998</v>
      </c>
      <c r="D1359" s="2" t="s">
        <v>2287</v>
      </c>
      <c r="E1359" s="27">
        <f t="shared" si="291"/>
        <v>1538</v>
      </c>
      <c r="F1359" s="28">
        <f t="shared" si="290"/>
        <v>633.6</v>
      </c>
      <c r="G1359" s="27">
        <f>자재조서!E6</f>
        <v>1538</v>
      </c>
      <c r="H1359" s="28">
        <f>TRUNC(G1359*C1359,1)</f>
        <v>633.6</v>
      </c>
      <c r="I1359" s="27">
        <v>0</v>
      </c>
      <c r="J1359" s="28"/>
      <c r="K1359" s="27">
        <v>0</v>
      </c>
      <c r="L1359" s="28"/>
      <c r="M1359" s="86" t="s">
        <v>2856</v>
      </c>
      <c r="N1359" t="s">
        <v>1358</v>
      </c>
      <c r="P1359" t="s">
        <v>2428</v>
      </c>
      <c r="Q1359" t="s">
        <v>2856</v>
      </c>
      <c r="R1359" t="s">
        <v>2425</v>
      </c>
      <c r="BI1359" s="34" t="str">
        <f>HYPERLINK("#자재조서!A5","M-TP-35 →")</f>
        <v>M-TP-35 →</v>
      </c>
    </row>
    <row r="1360" spans="1:61" ht="18.399999999999999" hidden="1" customHeight="1" x14ac:dyDescent="0.15">
      <c r="A1360" s="2" t="s">
        <v>827</v>
      </c>
      <c r="B1360" s="87" t="s">
        <v>2666</v>
      </c>
      <c r="C1360" s="2">
        <v>0.17</v>
      </c>
      <c r="D1360" s="2" t="s">
        <v>2287</v>
      </c>
      <c r="E1360" s="27">
        <f t="shared" si="291"/>
        <v>4537</v>
      </c>
      <c r="F1360" s="28">
        <f t="shared" si="290"/>
        <v>771.2</v>
      </c>
      <c r="G1360" s="27">
        <f>자재조서!E5</f>
        <v>4537</v>
      </c>
      <c r="H1360" s="28">
        <f>TRUNC(G1360*C1360,1)</f>
        <v>771.2</v>
      </c>
      <c r="I1360" s="27">
        <v>0</v>
      </c>
      <c r="J1360" s="28"/>
      <c r="K1360" s="27">
        <v>0</v>
      </c>
      <c r="L1360" s="28"/>
      <c r="M1360" s="86" t="s">
        <v>2856</v>
      </c>
      <c r="N1360" t="s">
        <v>2856</v>
      </c>
      <c r="P1360" t="s">
        <v>1686</v>
      </c>
      <c r="Q1360" t="s">
        <v>2856</v>
      </c>
      <c r="R1360" t="s">
        <v>1363</v>
      </c>
      <c r="BI1360" s="34" t="str">
        <f>HYPERLINK("#자재조서!A4","M-TP-32 →")</f>
        <v>M-TP-32 →</v>
      </c>
    </row>
    <row r="1361" spans="1:61" ht="18.399999999999999" hidden="1" customHeight="1" x14ac:dyDescent="0.15">
      <c r="A1361" s="1"/>
      <c r="B1361" s="87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87"/>
    </row>
    <row r="1362" spans="1:61" ht="18.399999999999999" hidden="1" customHeight="1" x14ac:dyDescent="0.15">
      <c r="A1362" s="2" t="s">
        <v>690</v>
      </c>
      <c r="B1362" s="87" t="s">
        <v>1335</v>
      </c>
      <c r="C1362" s="2">
        <v>1</v>
      </c>
      <c r="D1362" s="2" t="s">
        <v>556</v>
      </c>
      <c r="E1362" s="184"/>
      <c r="F1362" s="29">
        <f t="shared" ref="F1362:F1369" si="292">H1362+J1362+L1362</f>
        <v>169335</v>
      </c>
      <c r="G1362" s="184"/>
      <c r="H1362" s="29">
        <f>TRUNC(H1363+H1364+H1365+H1366+H1367+H1368+H1369,0)</f>
        <v>2799</v>
      </c>
      <c r="I1362" s="184"/>
      <c r="J1362" s="29">
        <f>TRUNC(J1363+J1364+J1365+J1366+J1367+J1368+J1369,0)</f>
        <v>165972</v>
      </c>
      <c r="K1362" s="184"/>
      <c r="L1362" s="29">
        <f>TRUNC(L1363+L1364+L1365+L1366+L1367+L1368+L1369,0)</f>
        <v>564</v>
      </c>
      <c r="M1362" s="86" t="s">
        <v>2856</v>
      </c>
      <c r="N1362" t="s">
        <v>2856</v>
      </c>
      <c r="O1362" t="s">
        <v>801</v>
      </c>
    </row>
    <row r="1363" spans="1:61" ht="18.399999999999999" hidden="1" customHeight="1" x14ac:dyDescent="0.15">
      <c r="A1363" s="2" t="s">
        <v>2176</v>
      </c>
      <c r="B1363" s="87" t="s">
        <v>2549</v>
      </c>
      <c r="C1363" s="2">
        <v>0</v>
      </c>
      <c r="D1363" s="2" t="s">
        <v>2856</v>
      </c>
      <c r="E1363" s="27">
        <f t="shared" ref="E1363:E1369" si="293">G1363+I1363+K1363</f>
        <v>0</v>
      </c>
      <c r="F1363" s="28">
        <f t="shared" si="292"/>
        <v>0</v>
      </c>
      <c r="G1363" s="27">
        <f>경비!D3</f>
        <v>0</v>
      </c>
      <c r="H1363" s="28">
        <f>TRUNC(G1363*C1363,1)</f>
        <v>0</v>
      </c>
      <c r="I1363" s="27">
        <f>경비!E3</f>
        <v>0</v>
      </c>
      <c r="J1363" s="28">
        <f>TRUNC(I1363*C1363,1)</f>
        <v>0</v>
      </c>
      <c r="K1363" s="27">
        <f>경비!F3</f>
        <v>0</v>
      </c>
      <c r="L1363" s="28">
        <f>TRUNC(K1363*C1363,1)</f>
        <v>0</v>
      </c>
      <c r="M1363" s="86" t="s">
        <v>2856</v>
      </c>
      <c r="N1363" t="s">
        <v>2856</v>
      </c>
      <c r="P1363" t="s">
        <v>334</v>
      </c>
      <c r="Q1363" t="s">
        <v>2856</v>
      </c>
      <c r="R1363" t="s">
        <v>1832</v>
      </c>
      <c r="BI1363" s="34" t="str">
        <f>HYPERLINK("#경비!A3","G_N →")</f>
        <v>G_N →</v>
      </c>
    </row>
    <row r="1364" spans="1:61" ht="18.399999999999999" hidden="1" customHeight="1" x14ac:dyDescent="0.15">
      <c r="A1364" s="2" t="s">
        <v>888</v>
      </c>
      <c r="B1364" s="87" t="s">
        <v>2680</v>
      </c>
      <c r="C1364" s="2">
        <v>0.19</v>
      </c>
      <c r="D1364" s="2" t="s">
        <v>2652</v>
      </c>
      <c r="E1364" s="27">
        <f t="shared" si="293"/>
        <v>167081</v>
      </c>
      <c r="F1364" s="28">
        <f t="shared" si="292"/>
        <v>31745.3</v>
      </c>
      <c r="G1364" s="27">
        <v>0</v>
      </c>
      <c r="H1364" s="28"/>
      <c r="I1364" s="27">
        <f>노임!D15</f>
        <v>167081</v>
      </c>
      <c r="J1364" s="28">
        <f>TRUNC(I1364*C1364,1)</f>
        <v>31745.3</v>
      </c>
      <c r="K1364" s="27">
        <v>0</v>
      </c>
      <c r="L1364" s="28"/>
      <c r="M1364" s="86" t="s">
        <v>2856</v>
      </c>
      <c r="N1364" t="s">
        <v>821</v>
      </c>
      <c r="P1364" t="s">
        <v>2471</v>
      </c>
      <c r="Q1364" t="s">
        <v>2856</v>
      </c>
      <c r="R1364" t="s">
        <v>498</v>
      </c>
      <c r="BI1364" s="34" t="str">
        <f>HYPERLINK("#노임!A15","L085 →")</f>
        <v>L085 →</v>
      </c>
    </row>
    <row r="1365" spans="1:61" ht="18.399999999999999" hidden="1" customHeight="1" x14ac:dyDescent="0.15">
      <c r="A1365" s="2" t="s">
        <v>1254</v>
      </c>
      <c r="B1365" s="87" t="s">
        <v>414</v>
      </c>
      <c r="C1365" s="2">
        <v>0.14599999999999999</v>
      </c>
      <c r="D1365" s="2" t="s">
        <v>2652</v>
      </c>
      <c r="E1365" s="27">
        <f t="shared" si="293"/>
        <v>251041</v>
      </c>
      <c r="F1365" s="28">
        <f t="shared" si="292"/>
        <v>36651.9</v>
      </c>
      <c r="G1365" s="27">
        <v>0</v>
      </c>
      <c r="H1365" s="28"/>
      <c r="I1365" s="27">
        <f>노임!D13</f>
        <v>251041</v>
      </c>
      <c r="J1365" s="28">
        <f>TRUNC(I1365*C1365,1)</f>
        <v>36651.9</v>
      </c>
      <c r="K1365" s="27">
        <v>0</v>
      </c>
      <c r="L1365" s="28"/>
      <c r="M1365" s="86" t="s">
        <v>2856</v>
      </c>
      <c r="N1365" t="s">
        <v>1799</v>
      </c>
      <c r="P1365" t="s">
        <v>1741</v>
      </c>
      <c r="Q1365" t="s">
        <v>2856</v>
      </c>
      <c r="R1365" t="s">
        <v>1362</v>
      </c>
      <c r="BI1365" s="34" t="str">
        <f>HYPERLINK("#노임!A13","L051 →")</f>
        <v>L051 →</v>
      </c>
    </row>
    <row r="1366" spans="1:61" ht="18.399999999999999" hidden="1" customHeight="1" x14ac:dyDescent="0.15">
      <c r="A1366" s="2" t="s">
        <v>888</v>
      </c>
      <c r="B1366" s="87" t="s">
        <v>216</v>
      </c>
      <c r="C1366" s="2">
        <v>0.58399999999999996</v>
      </c>
      <c r="D1366" s="2" t="s">
        <v>2652</v>
      </c>
      <c r="E1366" s="27">
        <f t="shared" si="293"/>
        <v>167081</v>
      </c>
      <c r="F1366" s="28">
        <f t="shared" si="292"/>
        <v>97575.3</v>
      </c>
      <c r="G1366" s="27">
        <v>0</v>
      </c>
      <c r="H1366" s="28"/>
      <c r="I1366" s="27">
        <f>노임!D15</f>
        <v>167081</v>
      </c>
      <c r="J1366" s="28">
        <f>TRUNC(I1366*C1366,1)</f>
        <v>97575.3</v>
      </c>
      <c r="K1366" s="27">
        <v>0</v>
      </c>
      <c r="L1366" s="28"/>
      <c r="M1366" s="86" t="s">
        <v>2856</v>
      </c>
      <c r="N1366" t="s">
        <v>821</v>
      </c>
      <c r="P1366" t="s">
        <v>1036</v>
      </c>
      <c r="Q1366" t="s">
        <v>2856</v>
      </c>
      <c r="R1366" t="s">
        <v>498</v>
      </c>
      <c r="BI1366" s="34" t="str">
        <f>HYPERLINK("#노임!A15","L085 →")</f>
        <v>L085 →</v>
      </c>
    </row>
    <row r="1367" spans="1:61" ht="18.399999999999999" hidden="1" customHeight="1" x14ac:dyDescent="0.15">
      <c r="A1367" s="2" t="s">
        <v>1252</v>
      </c>
      <c r="B1367" s="87" t="s">
        <v>2317</v>
      </c>
      <c r="C1367" s="2">
        <v>1.1719999999999999</v>
      </c>
      <c r="D1367" s="2" t="s">
        <v>2377</v>
      </c>
      <c r="E1367" s="27">
        <f t="shared" si="293"/>
        <v>482</v>
      </c>
      <c r="F1367" s="28">
        <f t="shared" si="292"/>
        <v>564.9</v>
      </c>
      <c r="G1367" s="27">
        <f>경비!D4</f>
        <v>0</v>
      </c>
      <c r="H1367" s="28">
        <f>TRUNC(G1367*C1367,1)</f>
        <v>0</v>
      </c>
      <c r="I1367" s="27">
        <f>경비!E4</f>
        <v>0</v>
      </c>
      <c r="J1367" s="28">
        <f>TRUNC(I1367*C1367,1)</f>
        <v>0</v>
      </c>
      <c r="K1367" s="27">
        <f>경비!F4</f>
        <v>482</v>
      </c>
      <c r="L1367" s="28">
        <f>TRUNC(K1367*C1367,1)</f>
        <v>564.9</v>
      </c>
      <c r="M1367" s="86" t="s">
        <v>2856</v>
      </c>
      <c r="N1367" t="s">
        <v>2856</v>
      </c>
      <c r="P1367" t="s">
        <v>286</v>
      </c>
      <c r="Q1367" t="s">
        <v>2856</v>
      </c>
      <c r="R1367" t="s">
        <v>1205</v>
      </c>
      <c r="BI1367" s="34" t="str">
        <f>HYPERLINK("#경비!A4","GS0001 →")</f>
        <v>GS0001 →</v>
      </c>
    </row>
    <row r="1368" spans="1:61" ht="18.399999999999999" hidden="1" customHeight="1" x14ac:dyDescent="0.15">
      <c r="A1368" s="2" t="s">
        <v>2005</v>
      </c>
      <c r="B1368" s="87" t="s">
        <v>1143</v>
      </c>
      <c r="C1368" s="2">
        <v>0.82</v>
      </c>
      <c r="D1368" s="2" t="s">
        <v>2287</v>
      </c>
      <c r="E1368" s="27">
        <f t="shared" si="293"/>
        <v>1538</v>
      </c>
      <c r="F1368" s="28">
        <f t="shared" si="292"/>
        <v>1261.0999999999999</v>
      </c>
      <c r="G1368" s="27">
        <f>자재조서!E6</f>
        <v>1538</v>
      </c>
      <c r="H1368" s="28">
        <f>TRUNC(G1368*C1368,1)</f>
        <v>1261.0999999999999</v>
      </c>
      <c r="I1368" s="27">
        <v>0</v>
      </c>
      <c r="J1368" s="28"/>
      <c r="K1368" s="27">
        <v>0</v>
      </c>
      <c r="L1368" s="28"/>
      <c r="M1368" s="86" t="s">
        <v>2856</v>
      </c>
      <c r="N1368" t="s">
        <v>1358</v>
      </c>
      <c r="P1368" t="s">
        <v>2428</v>
      </c>
      <c r="Q1368" t="s">
        <v>2856</v>
      </c>
      <c r="R1368" t="s">
        <v>2425</v>
      </c>
      <c r="BI1368" s="34" t="str">
        <f>HYPERLINK("#자재조서!A5","M-TP-35 →")</f>
        <v>M-TP-35 →</v>
      </c>
    </row>
    <row r="1369" spans="1:61" ht="18.399999999999999" hidden="1" customHeight="1" x14ac:dyDescent="0.15">
      <c r="A1369" s="2" t="s">
        <v>827</v>
      </c>
      <c r="B1369" s="87" t="s">
        <v>2666</v>
      </c>
      <c r="C1369" s="2">
        <v>0.33900000000000002</v>
      </c>
      <c r="D1369" s="2" t="s">
        <v>2287</v>
      </c>
      <c r="E1369" s="27">
        <f t="shared" si="293"/>
        <v>4537</v>
      </c>
      <c r="F1369" s="28">
        <f t="shared" si="292"/>
        <v>1538</v>
      </c>
      <c r="G1369" s="27">
        <f>자재조서!E5</f>
        <v>4537</v>
      </c>
      <c r="H1369" s="28">
        <f>TRUNC(G1369*C1369,1)</f>
        <v>1538</v>
      </c>
      <c r="I1369" s="27">
        <v>0</v>
      </c>
      <c r="J1369" s="28"/>
      <c r="K1369" s="27">
        <v>0</v>
      </c>
      <c r="L1369" s="28"/>
      <c r="M1369" s="86" t="s">
        <v>2856</v>
      </c>
      <c r="N1369" t="s">
        <v>2856</v>
      </c>
      <c r="P1369" t="s">
        <v>1686</v>
      </c>
      <c r="Q1369" t="s">
        <v>2856</v>
      </c>
      <c r="R1369" t="s">
        <v>1363</v>
      </c>
      <c r="BI1369" s="34" t="str">
        <f>HYPERLINK("#자재조서!A4","M-TP-32 →")</f>
        <v>M-TP-32 →</v>
      </c>
    </row>
    <row r="1370" spans="1:61" ht="18.399999999999999" hidden="1" customHeight="1" x14ac:dyDescent="0.15">
      <c r="A1370" s="1"/>
      <c r="B1370" s="87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87"/>
    </row>
    <row r="1371" spans="1:61" ht="18.399999999999999" hidden="1" customHeight="1" x14ac:dyDescent="0.15">
      <c r="A1371" s="2" t="s">
        <v>1348</v>
      </c>
      <c r="B1371" s="87" t="s">
        <v>1702</v>
      </c>
      <c r="C1371" s="2">
        <v>1</v>
      </c>
      <c r="D1371" s="2" t="s">
        <v>556</v>
      </c>
      <c r="E1371" s="184"/>
      <c r="F1371" s="29">
        <f t="shared" ref="F1371:F1378" si="294">H1371+J1371+L1371</f>
        <v>48760</v>
      </c>
      <c r="G1371" s="184"/>
      <c r="H1371" s="29">
        <f>TRUNC(H1372+H1373+H1374+H1375+H1376+H1377+H1378,0)</f>
        <v>661</v>
      </c>
      <c r="I1371" s="184"/>
      <c r="J1371" s="29">
        <f>TRUNC(J1372+J1373+J1374+J1375+J1376+J1377+J1378,0)</f>
        <v>47966</v>
      </c>
      <c r="K1371" s="184"/>
      <c r="L1371" s="29">
        <f>TRUNC(L1372+L1373+L1374+L1375+L1376+L1377+L1378,0)</f>
        <v>133</v>
      </c>
      <c r="M1371" s="86" t="s">
        <v>2856</v>
      </c>
      <c r="N1371" t="s">
        <v>2856</v>
      </c>
      <c r="O1371" t="s">
        <v>2272</v>
      </c>
    </row>
    <row r="1372" spans="1:61" ht="18.399999999999999" hidden="1" customHeight="1" x14ac:dyDescent="0.15">
      <c r="A1372" s="2" t="s">
        <v>2176</v>
      </c>
      <c r="B1372" s="87" t="s">
        <v>2549</v>
      </c>
      <c r="C1372" s="2">
        <v>0</v>
      </c>
      <c r="D1372" s="2" t="s">
        <v>2856</v>
      </c>
      <c r="E1372" s="27">
        <f t="shared" ref="E1372:E1378" si="295">G1372+I1372+K1372</f>
        <v>0</v>
      </c>
      <c r="F1372" s="28">
        <f t="shared" si="294"/>
        <v>0</v>
      </c>
      <c r="G1372" s="27">
        <f>경비!D3</f>
        <v>0</v>
      </c>
      <c r="H1372" s="28">
        <f>TRUNC(G1372*C1372,1)</f>
        <v>0</v>
      </c>
      <c r="I1372" s="27">
        <f>경비!E3</f>
        <v>0</v>
      </c>
      <c r="J1372" s="28">
        <f>TRUNC(I1372*C1372,1)</f>
        <v>0</v>
      </c>
      <c r="K1372" s="27">
        <f>경비!F3</f>
        <v>0</v>
      </c>
      <c r="L1372" s="28">
        <f>TRUNC(K1372*C1372,1)</f>
        <v>0</v>
      </c>
      <c r="M1372" s="86" t="s">
        <v>2856</v>
      </c>
      <c r="N1372" t="s">
        <v>2856</v>
      </c>
      <c r="P1372" t="s">
        <v>334</v>
      </c>
      <c r="Q1372" t="s">
        <v>2856</v>
      </c>
      <c r="R1372" t="s">
        <v>1832</v>
      </c>
      <c r="BI1372" s="34" t="str">
        <f>HYPERLINK("#경비!A3","G_N →")</f>
        <v>G_N →</v>
      </c>
    </row>
    <row r="1373" spans="1:61" ht="18.399999999999999" hidden="1" customHeight="1" x14ac:dyDescent="0.15">
      <c r="A1373" s="2" t="s">
        <v>888</v>
      </c>
      <c r="B1373" s="87" t="s">
        <v>2680</v>
      </c>
      <c r="C1373" s="2">
        <v>0.1</v>
      </c>
      <c r="D1373" s="2" t="s">
        <v>2652</v>
      </c>
      <c r="E1373" s="27">
        <f t="shared" si="295"/>
        <v>167081</v>
      </c>
      <c r="F1373" s="28">
        <f t="shared" si="294"/>
        <v>16708.099999999999</v>
      </c>
      <c r="G1373" s="27">
        <v>0</v>
      </c>
      <c r="H1373" s="28"/>
      <c r="I1373" s="27">
        <f>노임!D15</f>
        <v>167081</v>
      </c>
      <c r="J1373" s="28">
        <f>TRUNC(I1373*C1373,1)</f>
        <v>16708.099999999999</v>
      </c>
      <c r="K1373" s="27">
        <v>0</v>
      </c>
      <c r="L1373" s="28"/>
      <c r="M1373" s="86" t="s">
        <v>2856</v>
      </c>
      <c r="N1373" t="s">
        <v>821</v>
      </c>
      <c r="P1373" t="s">
        <v>1741</v>
      </c>
      <c r="Q1373" t="s">
        <v>2856</v>
      </c>
      <c r="R1373" t="s">
        <v>498</v>
      </c>
      <c r="BI1373" s="34" t="str">
        <f>HYPERLINK("#노임!A15","L085 →")</f>
        <v>L085 →</v>
      </c>
    </row>
    <row r="1374" spans="1:61" ht="18.399999999999999" hidden="1" customHeight="1" x14ac:dyDescent="0.15">
      <c r="A1374" s="2" t="s">
        <v>1254</v>
      </c>
      <c r="B1374" s="87" t="s">
        <v>414</v>
      </c>
      <c r="C1374" s="2">
        <v>3.4000000000000002E-2</v>
      </c>
      <c r="D1374" s="2" t="s">
        <v>2652</v>
      </c>
      <c r="E1374" s="27">
        <f t="shared" si="295"/>
        <v>251041</v>
      </c>
      <c r="F1374" s="28">
        <f t="shared" si="294"/>
        <v>8535.2999999999993</v>
      </c>
      <c r="G1374" s="27">
        <v>0</v>
      </c>
      <c r="H1374" s="28"/>
      <c r="I1374" s="27">
        <f>노임!D13</f>
        <v>251041</v>
      </c>
      <c r="J1374" s="28">
        <f>TRUNC(I1374*C1374,1)</f>
        <v>8535.2999999999993</v>
      </c>
      <c r="K1374" s="27">
        <v>0</v>
      </c>
      <c r="L1374" s="28"/>
      <c r="M1374" s="86" t="s">
        <v>2856</v>
      </c>
      <c r="N1374" t="s">
        <v>1799</v>
      </c>
      <c r="P1374" t="s">
        <v>1036</v>
      </c>
      <c r="Q1374" t="s">
        <v>2856</v>
      </c>
      <c r="R1374" t="s">
        <v>1362</v>
      </c>
      <c r="BI1374" s="34" t="str">
        <f>HYPERLINK("#노임!A13","L051 →")</f>
        <v>L051 →</v>
      </c>
    </row>
    <row r="1375" spans="1:61" ht="18.399999999999999" hidden="1" customHeight="1" x14ac:dyDescent="0.15">
      <c r="A1375" s="2" t="s">
        <v>888</v>
      </c>
      <c r="B1375" s="87" t="s">
        <v>216</v>
      </c>
      <c r="C1375" s="2">
        <v>0.13600000000000001</v>
      </c>
      <c r="D1375" s="2" t="s">
        <v>2652</v>
      </c>
      <c r="E1375" s="27">
        <f t="shared" si="295"/>
        <v>167081</v>
      </c>
      <c r="F1375" s="28">
        <f t="shared" si="294"/>
        <v>22723</v>
      </c>
      <c r="G1375" s="27">
        <v>0</v>
      </c>
      <c r="H1375" s="28"/>
      <c r="I1375" s="27">
        <f>노임!D15</f>
        <v>167081</v>
      </c>
      <c r="J1375" s="28">
        <f>TRUNC(I1375*C1375,1)</f>
        <v>22723</v>
      </c>
      <c r="K1375" s="27">
        <v>0</v>
      </c>
      <c r="L1375" s="28"/>
      <c r="M1375" s="86" t="s">
        <v>2856</v>
      </c>
      <c r="N1375" t="s">
        <v>821</v>
      </c>
      <c r="P1375" t="s">
        <v>286</v>
      </c>
      <c r="Q1375" t="s">
        <v>2856</v>
      </c>
      <c r="R1375" t="s">
        <v>498</v>
      </c>
      <c r="BI1375" s="34" t="str">
        <f>HYPERLINK("#노임!A15","L085 →")</f>
        <v>L085 →</v>
      </c>
    </row>
    <row r="1376" spans="1:61" ht="18.399999999999999" hidden="1" customHeight="1" x14ac:dyDescent="0.15">
      <c r="A1376" s="2" t="s">
        <v>1252</v>
      </c>
      <c r="B1376" s="87" t="s">
        <v>2317</v>
      </c>
      <c r="C1376" s="2">
        <v>0.27800000000000002</v>
      </c>
      <c r="D1376" s="2" t="s">
        <v>2377</v>
      </c>
      <c r="E1376" s="27">
        <f t="shared" si="295"/>
        <v>482</v>
      </c>
      <c r="F1376" s="28">
        <f t="shared" si="294"/>
        <v>133.9</v>
      </c>
      <c r="G1376" s="27">
        <f>경비!D4</f>
        <v>0</v>
      </c>
      <c r="H1376" s="28">
        <f>TRUNC(G1376*C1376,1)</f>
        <v>0</v>
      </c>
      <c r="I1376" s="27">
        <f>경비!E4</f>
        <v>0</v>
      </c>
      <c r="J1376" s="28">
        <f>TRUNC(I1376*C1376,1)</f>
        <v>0</v>
      </c>
      <c r="K1376" s="27">
        <f>경비!F4</f>
        <v>482</v>
      </c>
      <c r="L1376" s="28">
        <f>TRUNC(K1376*C1376,1)</f>
        <v>133.9</v>
      </c>
      <c r="M1376" s="86" t="s">
        <v>2856</v>
      </c>
      <c r="N1376" t="s">
        <v>2856</v>
      </c>
      <c r="P1376" t="s">
        <v>2428</v>
      </c>
      <c r="Q1376" t="s">
        <v>2856</v>
      </c>
      <c r="R1376" t="s">
        <v>1205</v>
      </c>
      <c r="BI1376" s="34" t="str">
        <f>HYPERLINK("#경비!A4","GS0001 →")</f>
        <v>GS0001 →</v>
      </c>
    </row>
    <row r="1377" spans="1:61" ht="18.399999999999999" hidden="1" customHeight="1" x14ac:dyDescent="0.15">
      <c r="A1377" s="2" t="s">
        <v>2005</v>
      </c>
      <c r="B1377" s="87" t="s">
        <v>1143</v>
      </c>
      <c r="C1377" s="2">
        <v>0.19400000000000001</v>
      </c>
      <c r="D1377" s="2" t="s">
        <v>2287</v>
      </c>
      <c r="E1377" s="27">
        <f t="shared" si="295"/>
        <v>1538</v>
      </c>
      <c r="F1377" s="28">
        <f t="shared" si="294"/>
        <v>298.3</v>
      </c>
      <c r="G1377" s="27">
        <f>자재조서!E6</f>
        <v>1538</v>
      </c>
      <c r="H1377" s="28">
        <f>TRUNC(G1377*C1377,1)</f>
        <v>298.3</v>
      </c>
      <c r="I1377" s="27">
        <v>0</v>
      </c>
      <c r="J1377" s="28"/>
      <c r="K1377" s="27">
        <v>0</v>
      </c>
      <c r="L1377" s="28"/>
      <c r="M1377" s="86" t="s">
        <v>2856</v>
      </c>
      <c r="N1377" t="s">
        <v>1358</v>
      </c>
      <c r="P1377" t="s">
        <v>1686</v>
      </c>
      <c r="Q1377" t="s">
        <v>2856</v>
      </c>
      <c r="R1377" t="s">
        <v>2425</v>
      </c>
      <c r="BI1377" s="34" t="str">
        <f>HYPERLINK("#자재조서!A5","M-TP-35 →")</f>
        <v>M-TP-35 →</v>
      </c>
    </row>
    <row r="1378" spans="1:61" ht="18.399999999999999" hidden="1" customHeight="1" x14ac:dyDescent="0.15">
      <c r="A1378" s="2" t="s">
        <v>827</v>
      </c>
      <c r="B1378" s="87" t="s">
        <v>2666</v>
      </c>
      <c r="C1378" s="2">
        <v>0.08</v>
      </c>
      <c r="D1378" s="2" t="s">
        <v>2287</v>
      </c>
      <c r="E1378" s="27">
        <f t="shared" si="295"/>
        <v>4537</v>
      </c>
      <c r="F1378" s="28">
        <f t="shared" si="294"/>
        <v>362.9</v>
      </c>
      <c r="G1378" s="27">
        <f>자재조서!E5</f>
        <v>4537</v>
      </c>
      <c r="H1378" s="28">
        <f>TRUNC(G1378*C1378,1)</f>
        <v>362.9</v>
      </c>
      <c r="I1378" s="27">
        <v>0</v>
      </c>
      <c r="J1378" s="28"/>
      <c r="K1378" s="27">
        <v>0</v>
      </c>
      <c r="L1378" s="28"/>
      <c r="M1378" s="86" t="s">
        <v>2856</v>
      </c>
      <c r="N1378" t="s">
        <v>2856</v>
      </c>
      <c r="P1378" t="s">
        <v>983</v>
      </c>
      <c r="Q1378" t="s">
        <v>2856</v>
      </c>
      <c r="R1378" t="s">
        <v>1363</v>
      </c>
      <c r="BI1378" s="34" t="str">
        <f>HYPERLINK("#자재조서!A4","M-TP-32 →")</f>
        <v>M-TP-32 →</v>
      </c>
    </row>
    <row r="1379" spans="1:61" ht="18.399999999999999" hidden="1" customHeight="1" x14ac:dyDescent="0.15">
      <c r="A1379" s="1"/>
      <c r="B1379" s="87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87"/>
    </row>
    <row r="1380" spans="1:61" ht="18.399999999999999" hidden="1" customHeight="1" x14ac:dyDescent="0.15">
      <c r="A1380" s="2" t="s">
        <v>2621</v>
      </c>
      <c r="B1380" s="87" t="s">
        <v>1277</v>
      </c>
      <c r="C1380" s="2">
        <v>1</v>
      </c>
      <c r="D1380" s="2" t="s">
        <v>556</v>
      </c>
      <c r="E1380" s="184"/>
      <c r="F1380" s="29">
        <f t="shared" ref="F1380:F1387" si="296">H1380+J1380+L1380</f>
        <v>58903</v>
      </c>
      <c r="G1380" s="184"/>
      <c r="H1380" s="29">
        <f>TRUNC(H1381+H1382+H1383+H1384+H1385+H1386+H1387,0)</f>
        <v>825</v>
      </c>
      <c r="I1380" s="184"/>
      <c r="J1380" s="29">
        <f>TRUNC(J1381+J1382+J1383+J1384+J1385+J1386+J1387,0)</f>
        <v>57911</v>
      </c>
      <c r="K1380" s="184"/>
      <c r="L1380" s="29">
        <f>TRUNC(L1381+L1382+L1383+L1384+L1385+L1386+L1387,0)</f>
        <v>167</v>
      </c>
      <c r="M1380" s="86" t="s">
        <v>2856</v>
      </c>
      <c r="N1380" t="s">
        <v>2856</v>
      </c>
      <c r="O1380" t="s">
        <v>63</v>
      </c>
    </row>
    <row r="1381" spans="1:61" ht="18.399999999999999" hidden="1" customHeight="1" x14ac:dyDescent="0.15">
      <c r="A1381" s="2" t="s">
        <v>2176</v>
      </c>
      <c r="B1381" s="87" t="s">
        <v>2549</v>
      </c>
      <c r="C1381" s="2">
        <v>0</v>
      </c>
      <c r="D1381" s="2" t="s">
        <v>2856</v>
      </c>
      <c r="E1381" s="27">
        <f t="shared" ref="E1381:E1387" si="297">G1381+I1381+K1381</f>
        <v>0</v>
      </c>
      <c r="F1381" s="28">
        <f t="shared" si="296"/>
        <v>0</v>
      </c>
      <c r="G1381" s="27">
        <f>경비!D3</f>
        <v>0</v>
      </c>
      <c r="H1381" s="28">
        <f>TRUNC(G1381*C1381,1)</f>
        <v>0</v>
      </c>
      <c r="I1381" s="27">
        <f>경비!E3</f>
        <v>0</v>
      </c>
      <c r="J1381" s="28">
        <f>TRUNC(I1381*C1381,1)</f>
        <v>0</v>
      </c>
      <c r="K1381" s="27">
        <f>경비!F3</f>
        <v>0</v>
      </c>
      <c r="L1381" s="28">
        <f>TRUNC(K1381*C1381,1)</f>
        <v>0</v>
      </c>
      <c r="M1381" s="86" t="s">
        <v>2856</v>
      </c>
      <c r="N1381" t="s">
        <v>2856</v>
      </c>
      <c r="P1381" t="s">
        <v>334</v>
      </c>
      <c r="Q1381" t="s">
        <v>2856</v>
      </c>
      <c r="R1381" t="s">
        <v>1832</v>
      </c>
      <c r="BI1381" s="34" t="str">
        <f>HYPERLINK("#경비!A3","G_N →")</f>
        <v>G_N →</v>
      </c>
    </row>
    <row r="1382" spans="1:61" ht="18.399999999999999" hidden="1" customHeight="1" x14ac:dyDescent="0.15">
      <c r="A1382" s="2" t="s">
        <v>888</v>
      </c>
      <c r="B1382" s="87" t="s">
        <v>2680</v>
      </c>
      <c r="C1382" s="2">
        <v>0.11</v>
      </c>
      <c r="D1382" s="2" t="s">
        <v>2652</v>
      </c>
      <c r="E1382" s="27">
        <f t="shared" si="297"/>
        <v>167081</v>
      </c>
      <c r="F1382" s="28">
        <f t="shared" si="296"/>
        <v>18378.900000000001</v>
      </c>
      <c r="G1382" s="27">
        <v>0</v>
      </c>
      <c r="H1382" s="28"/>
      <c r="I1382" s="27">
        <f>노임!D15</f>
        <v>167081</v>
      </c>
      <c r="J1382" s="28">
        <f>TRUNC(I1382*C1382,1)</f>
        <v>18378.900000000001</v>
      </c>
      <c r="K1382" s="27">
        <v>0</v>
      </c>
      <c r="L1382" s="28"/>
      <c r="M1382" s="86" t="s">
        <v>2856</v>
      </c>
      <c r="N1382" t="s">
        <v>821</v>
      </c>
      <c r="P1382" t="s">
        <v>2471</v>
      </c>
      <c r="Q1382" t="s">
        <v>2856</v>
      </c>
      <c r="R1382" t="s">
        <v>498</v>
      </c>
      <c r="BI1382" s="34" t="str">
        <f>HYPERLINK("#노임!A15","L085 →")</f>
        <v>L085 →</v>
      </c>
    </row>
    <row r="1383" spans="1:61" ht="18.399999999999999" hidden="1" customHeight="1" x14ac:dyDescent="0.15">
      <c r="A1383" s="2" t="s">
        <v>1254</v>
      </c>
      <c r="B1383" s="87" t="s">
        <v>414</v>
      </c>
      <c r="C1383" s="2">
        <v>4.2999999999999997E-2</v>
      </c>
      <c r="D1383" s="2" t="s">
        <v>2652</v>
      </c>
      <c r="E1383" s="27">
        <f t="shared" si="297"/>
        <v>251041</v>
      </c>
      <c r="F1383" s="28">
        <f t="shared" si="296"/>
        <v>10794.7</v>
      </c>
      <c r="G1383" s="27">
        <v>0</v>
      </c>
      <c r="H1383" s="28"/>
      <c r="I1383" s="27">
        <f>노임!D13</f>
        <v>251041</v>
      </c>
      <c r="J1383" s="28">
        <f>TRUNC(I1383*C1383,1)</f>
        <v>10794.7</v>
      </c>
      <c r="K1383" s="27">
        <v>0</v>
      </c>
      <c r="L1383" s="28"/>
      <c r="M1383" s="86" t="s">
        <v>2856</v>
      </c>
      <c r="N1383" t="s">
        <v>1799</v>
      </c>
      <c r="P1383" t="s">
        <v>1741</v>
      </c>
      <c r="Q1383" t="s">
        <v>2856</v>
      </c>
      <c r="R1383" t="s">
        <v>1362</v>
      </c>
      <c r="BI1383" s="34" t="str">
        <f>HYPERLINK("#노임!A13","L051 →")</f>
        <v>L051 →</v>
      </c>
    </row>
    <row r="1384" spans="1:61" ht="18.399999999999999" hidden="1" customHeight="1" x14ac:dyDescent="0.15">
      <c r="A1384" s="2" t="s">
        <v>888</v>
      </c>
      <c r="B1384" s="87" t="s">
        <v>216</v>
      </c>
      <c r="C1384" s="2">
        <v>0.17199999999999999</v>
      </c>
      <c r="D1384" s="2" t="s">
        <v>2652</v>
      </c>
      <c r="E1384" s="27">
        <f t="shared" si="297"/>
        <v>167081</v>
      </c>
      <c r="F1384" s="28">
        <f t="shared" si="296"/>
        <v>28737.9</v>
      </c>
      <c r="G1384" s="27">
        <v>0</v>
      </c>
      <c r="H1384" s="28"/>
      <c r="I1384" s="27">
        <f>노임!D15</f>
        <v>167081</v>
      </c>
      <c r="J1384" s="28">
        <f>TRUNC(I1384*C1384,1)</f>
        <v>28737.9</v>
      </c>
      <c r="K1384" s="27">
        <v>0</v>
      </c>
      <c r="L1384" s="28"/>
      <c r="M1384" s="86" t="s">
        <v>2856</v>
      </c>
      <c r="N1384" t="s">
        <v>821</v>
      </c>
      <c r="P1384" t="s">
        <v>1036</v>
      </c>
      <c r="Q1384" t="s">
        <v>2856</v>
      </c>
      <c r="R1384" t="s">
        <v>498</v>
      </c>
      <c r="BI1384" s="34" t="str">
        <f>HYPERLINK("#노임!A15","L085 →")</f>
        <v>L085 →</v>
      </c>
    </row>
    <row r="1385" spans="1:61" ht="18.399999999999999" hidden="1" customHeight="1" x14ac:dyDescent="0.15">
      <c r="A1385" s="2" t="s">
        <v>1252</v>
      </c>
      <c r="B1385" s="87" t="s">
        <v>2317</v>
      </c>
      <c r="C1385" s="2">
        <v>0.34699999999999998</v>
      </c>
      <c r="D1385" s="2" t="s">
        <v>2377</v>
      </c>
      <c r="E1385" s="27">
        <f t="shared" si="297"/>
        <v>482</v>
      </c>
      <c r="F1385" s="28">
        <f t="shared" si="296"/>
        <v>167.2</v>
      </c>
      <c r="G1385" s="27">
        <f>경비!D4</f>
        <v>0</v>
      </c>
      <c r="H1385" s="28">
        <f>TRUNC(G1385*C1385,1)</f>
        <v>0</v>
      </c>
      <c r="I1385" s="27">
        <f>경비!E4</f>
        <v>0</v>
      </c>
      <c r="J1385" s="28">
        <f>TRUNC(I1385*C1385,1)</f>
        <v>0</v>
      </c>
      <c r="K1385" s="27">
        <f>경비!F4</f>
        <v>482</v>
      </c>
      <c r="L1385" s="28">
        <f>TRUNC(K1385*C1385,1)</f>
        <v>167.2</v>
      </c>
      <c r="M1385" s="86" t="s">
        <v>2856</v>
      </c>
      <c r="N1385" t="s">
        <v>2856</v>
      </c>
      <c r="P1385" t="s">
        <v>286</v>
      </c>
      <c r="Q1385" t="s">
        <v>2856</v>
      </c>
      <c r="R1385" t="s">
        <v>1205</v>
      </c>
      <c r="BI1385" s="34" t="str">
        <f>HYPERLINK("#경비!A4","GS0001 →")</f>
        <v>GS0001 →</v>
      </c>
    </row>
    <row r="1386" spans="1:61" ht="18.399999999999999" hidden="1" customHeight="1" x14ac:dyDescent="0.15">
      <c r="A1386" s="2" t="s">
        <v>2005</v>
      </c>
      <c r="B1386" s="87" t="s">
        <v>1143</v>
      </c>
      <c r="C1386" s="2">
        <v>0.24199999999999999</v>
      </c>
      <c r="D1386" s="2" t="s">
        <v>2287</v>
      </c>
      <c r="E1386" s="27">
        <f t="shared" si="297"/>
        <v>1538</v>
      </c>
      <c r="F1386" s="28">
        <f t="shared" si="296"/>
        <v>372.1</v>
      </c>
      <c r="G1386" s="27">
        <f>자재조서!E6</f>
        <v>1538</v>
      </c>
      <c r="H1386" s="28">
        <f>TRUNC(G1386*C1386,1)</f>
        <v>372.1</v>
      </c>
      <c r="I1386" s="27">
        <v>0</v>
      </c>
      <c r="J1386" s="28"/>
      <c r="K1386" s="27">
        <v>0</v>
      </c>
      <c r="L1386" s="28"/>
      <c r="M1386" s="86" t="s">
        <v>2856</v>
      </c>
      <c r="N1386" t="s">
        <v>1358</v>
      </c>
      <c r="P1386" t="s">
        <v>2428</v>
      </c>
      <c r="Q1386" t="s">
        <v>2856</v>
      </c>
      <c r="R1386" t="s">
        <v>2425</v>
      </c>
      <c r="BI1386" s="34" t="str">
        <f>HYPERLINK("#자재조서!A5","M-TP-35 →")</f>
        <v>M-TP-35 →</v>
      </c>
    </row>
    <row r="1387" spans="1:61" ht="18.399999999999999" hidden="1" customHeight="1" x14ac:dyDescent="0.15">
      <c r="A1387" s="2" t="s">
        <v>827</v>
      </c>
      <c r="B1387" s="87" t="s">
        <v>2666</v>
      </c>
      <c r="C1387" s="2">
        <v>0.1</v>
      </c>
      <c r="D1387" s="2" t="s">
        <v>2287</v>
      </c>
      <c r="E1387" s="27">
        <f t="shared" si="297"/>
        <v>4537</v>
      </c>
      <c r="F1387" s="28">
        <f t="shared" si="296"/>
        <v>453.7</v>
      </c>
      <c r="G1387" s="27">
        <f>자재조서!E5</f>
        <v>4537</v>
      </c>
      <c r="H1387" s="28">
        <f>TRUNC(G1387*C1387,1)</f>
        <v>453.7</v>
      </c>
      <c r="I1387" s="27">
        <v>0</v>
      </c>
      <c r="J1387" s="28"/>
      <c r="K1387" s="27">
        <v>0</v>
      </c>
      <c r="L1387" s="28"/>
      <c r="M1387" s="86" t="s">
        <v>2856</v>
      </c>
      <c r="N1387" t="s">
        <v>2856</v>
      </c>
      <c r="P1387" t="s">
        <v>1686</v>
      </c>
      <c r="Q1387" t="s">
        <v>2856</v>
      </c>
      <c r="R1387" t="s">
        <v>1363</v>
      </c>
      <c r="BI1387" s="34" t="str">
        <f>HYPERLINK("#자재조서!A4","M-TP-32 →")</f>
        <v>M-TP-32 →</v>
      </c>
    </row>
    <row r="1388" spans="1:61" ht="18.399999999999999" hidden="1" customHeight="1" x14ac:dyDescent="0.15">
      <c r="A1388" s="1"/>
      <c r="B1388" s="87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87"/>
    </row>
    <row r="1389" spans="1:61" ht="18.399999999999999" hidden="1" customHeight="1" x14ac:dyDescent="0.15">
      <c r="A1389" s="2" t="s">
        <v>1912</v>
      </c>
      <c r="B1389" s="87" t="s">
        <v>1583</v>
      </c>
      <c r="C1389" s="2">
        <v>1</v>
      </c>
      <c r="D1389" s="2" t="s">
        <v>556</v>
      </c>
      <c r="E1389" s="184"/>
      <c r="F1389" s="29">
        <f t="shared" ref="F1389:F1396" si="298">H1389+J1389+L1389</f>
        <v>35038</v>
      </c>
      <c r="G1389" s="184"/>
      <c r="H1389" s="29">
        <f>TRUNC(H1390+H1391+H1392+H1393+H1394+H1395+H1396,0)</f>
        <v>438</v>
      </c>
      <c r="I1389" s="184"/>
      <c r="J1389" s="29">
        <f>TRUNC(J1390+J1391+J1392+J1393+J1394+J1395+J1396,0)</f>
        <v>34511</v>
      </c>
      <c r="K1389" s="184"/>
      <c r="L1389" s="29">
        <f>TRUNC(L1390+L1391+L1392+L1393+L1394+L1395+L1396,0)</f>
        <v>89</v>
      </c>
      <c r="M1389" s="86" t="s">
        <v>2856</v>
      </c>
      <c r="N1389" t="s">
        <v>2856</v>
      </c>
      <c r="O1389" t="s">
        <v>761</v>
      </c>
    </row>
    <row r="1390" spans="1:61" ht="18.399999999999999" hidden="1" customHeight="1" x14ac:dyDescent="0.15">
      <c r="A1390" s="2" t="s">
        <v>2176</v>
      </c>
      <c r="B1390" s="87" t="s">
        <v>2549</v>
      </c>
      <c r="C1390" s="2">
        <v>0</v>
      </c>
      <c r="D1390" s="2" t="s">
        <v>2856</v>
      </c>
      <c r="E1390" s="27">
        <f t="shared" ref="E1390:E1396" si="299">G1390+I1390+K1390</f>
        <v>0</v>
      </c>
      <c r="F1390" s="28">
        <f t="shared" si="298"/>
        <v>0</v>
      </c>
      <c r="G1390" s="27">
        <f>경비!D3</f>
        <v>0</v>
      </c>
      <c r="H1390" s="28">
        <f>TRUNC(G1390*C1390,1)</f>
        <v>0</v>
      </c>
      <c r="I1390" s="27">
        <f>경비!E3</f>
        <v>0</v>
      </c>
      <c r="J1390" s="28">
        <f>TRUNC(I1390*C1390,1)</f>
        <v>0</v>
      </c>
      <c r="K1390" s="27">
        <f>경비!F3</f>
        <v>0</v>
      </c>
      <c r="L1390" s="28">
        <f>TRUNC(K1390*C1390,1)</f>
        <v>0</v>
      </c>
      <c r="M1390" s="86" t="s">
        <v>2856</v>
      </c>
      <c r="N1390" t="s">
        <v>2856</v>
      </c>
      <c r="P1390" t="s">
        <v>334</v>
      </c>
      <c r="Q1390" t="s">
        <v>2856</v>
      </c>
      <c r="R1390" t="s">
        <v>1832</v>
      </c>
      <c r="BI1390" s="34" t="str">
        <f>HYPERLINK("#경비!A3","G_N →")</f>
        <v>G_N →</v>
      </c>
    </row>
    <row r="1391" spans="1:61" ht="18.399999999999999" hidden="1" customHeight="1" x14ac:dyDescent="0.15">
      <c r="A1391" s="2" t="s">
        <v>888</v>
      </c>
      <c r="B1391" s="87" t="s">
        <v>2680</v>
      </c>
      <c r="C1391" s="2">
        <v>0.08</v>
      </c>
      <c r="D1391" s="2" t="s">
        <v>2652</v>
      </c>
      <c r="E1391" s="27">
        <f t="shared" si="299"/>
        <v>167081</v>
      </c>
      <c r="F1391" s="28">
        <f t="shared" si="298"/>
        <v>13366.4</v>
      </c>
      <c r="G1391" s="27">
        <v>0</v>
      </c>
      <c r="H1391" s="28"/>
      <c r="I1391" s="27">
        <f>노임!D15</f>
        <v>167081</v>
      </c>
      <c r="J1391" s="28">
        <f>TRUNC(I1391*C1391,1)</f>
        <v>13366.4</v>
      </c>
      <c r="K1391" s="27">
        <v>0</v>
      </c>
      <c r="L1391" s="28"/>
      <c r="M1391" s="86" t="s">
        <v>2856</v>
      </c>
      <c r="N1391" t="s">
        <v>821</v>
      </c>
      <c r="P1391" t="s">
        <v>1741</v>
      </c>
      <c r="Q1391" t="s">
        <v>2856</v>
      </c>
      <c r="R1391" t="s">
        <v>498</v>
      </c>
      <c r="BI1391" s="34" t="str">
        <f>HYPERLINK("#노임!A15","L085 →")</f>
        <v>L085 →</v>
      </c>
    </row>
    <row r="1392" spans="1:61" ht="18.399999999999999" hidden="1" customHeight="1" x14ac:dyDescent="0.15">
      <c r="A1392" s="2" t="s">
        <v>1254</v>
      </c>
      <c r="B1392" s="87" t="s">
        <v>414</v>
      </c>
      <c r="C1392" s="2">
        <v>2.3E-2</v>
      </c>
      <c r="D1392" s="2" t="s">
        <v>2652</v>
      </c>
      <c r="E1392" s="27">
        <f t="shared" si="299"/>
        <v>251041</v>
      </c>
      <c r="F1392" s="28">
        <f t="shared" si="298"/>
        <v>5773.9</v>
      </c>
      <c r="G1392" s="27">
        <v>0</v>
      </c>
      <c r="H1392" s="28"/>
      <c r="I1392" s="27">
        <f>노임!D13</f>
        <v>251041</v>
      </c>
      <c r="J1392" s="28">
        <f>TRUNC(I1392*C1392,1)</f>
        <v>5773.9</v>
      </c>
      <c r="K1392" s="27">
        <v>0</v>
      </c>
      <c r="L1392" s="28"/>
      <c r="M1392" s="86" t="s">
        <v>2856</v>
      </c>
      <c r="N1392" t="s">
        <v>1799</v>
      </c>
      <c r="P1392" t="s">
        <v>1036</v>
      </c>
      <c r="Q1392" t="s">
        <v>2856</v>
      </c>
      <c r="R1392" t="s">
        <v>1362</v>
      </c>
      <c r="BI1392" s="34" t="str">
        <f>HYPERLINK("#노임!A13","L051 →")</f>
        <v>L051 →</v>
      </c>
    </row>
    <row r="1393" spans="1:61" ht="18.399999999999999" hidden="1" customHeight="1" x14ac:dyDescent="0.15">
      <c r="A1393" s="2" t="s">
        <v>888</v>
      </c>
      <c r="B1393" s="87" t="s">
        <v>216</v>
      </c>
      <c r="C1393" s="2">
        <v>9.1999999999999998E-2</v>
      </c>
      <c r="D1393" s="2" t="s">
        <v>2652</v>
      </c>
      <c r="E1393" s="27">
        <f t="shared" si="299"/>
        <v>167081</v>
      </c>
      <c r="F1393" s="28">
        <f t="shared" si="298"/>
        <v>15371.4</v>
      </c>
      <c r="G1393" s="27">
        <v>0</v>
      </c>
      <c r="H1393" s="28"/>
      <c r="I1393" s="27">
        <f>노임!D15</f>
        <v>167081</v>
      </c>
      <c r="J1393" s="28">
        <f>TRUNC(I1393*C1393,1)</f>
        <v>15371.4</v>
      </c>
      <c r="K1393" s="27">
        <v>0</v>
      </c>
      <c r="L1393" s="28"/>
      <c r="M1393" s="86" t="s">
        <v>2856</v>
      </c>
      <c r="N1393" t="s">
        <v>821</v>
      </c>
      <c r="P1393" t="s">
        <v>286</v>
      </c>
      <c r="Q1393" t="s">
        <v>2856</v>
      </c>
      <c r="R1393" t="s">
        <v>498</v>
      </c>
      <c r="BI1393" s="34" t="str">
        <f>HYPERLINK("#노임!A15","L085 →")</f>
        <v>L085 →</v>
      </c>
    </row>
    <row r="1394" spans="1:61" ht="18.399999999999999" hidden="1" customHeight="1" x14ac:dyDescent="0.15">
      <c r="A1394" s="2" t="s">
        <v>1252</v>
      </c>
      <c r="B1394" s="87" t="s">
        <v>2317</v>
      </c>
      <c r="C1394" s="2">
        <v>0.185</v>
      </c>
      <c r="D1394" s="2" t="s">
        <v>2377</v>
      </c>
      <c r="E1394" s="27">
        <f t="shared" si="299"/>
        <v>482</v>
      </c>
      <c r="F1394" s="28">
        <f t="shared" si="298"/>
        <v>89.1</v>
      </c>
      <c r="G1394" s="27">
        <f>경비!D4</f>
        <v>0</v>
      </c>
      <c r="H1394" s="28">
        <f>TRUNC(G1394*C1394,1)</f>
        <v>0</v>
      </c>
      <c r="I1394" s="27">
        <f>경비!E4</f>
        <v>0</v>
      </c>
      <c r="J1394" s="28">
        <f>TRUNC(I1394*C1394,1)</f>
        <v>0</v>
      </c>
      <c r="K1394" s="27">
        <f>경비!F4</f>
        <v>482</v>
      </c>
      <c r="L1394" s="28">
        <f>TRUNC(K1394*C1394,1)</f>
        <v>89.1</v>
      </c>
      <c r="M1394" s="86" t="s">
        <v>2856</v>
      </c>
      <c r="N1394" t="s">
        <v>2856</v>
      </c>
      <c r="P1394" t="s">
        <v>2428</v>
      </c>
      <c r="Q1394" t="s">
        <v>2856</v>
      </c>
      <c r="R1394" t="s">
        <v>1205</v>
      </c>
      <c r="BI1394" s="34" t="str">
        <f>HYPERLINK("#경비!A4","GS0001 →")</f>
        <v>GS0001 →</v>
      </c>
    </row>
    <row r="1395" spans="1:61" ht="18.399999999999999" hidden="1" customHeight="1" x14ac:dyDescent="0.15">
      <c r="A1395" s="2" t="s">
        <v>2005</v>
      </c>
      <c r="B1395" s="87" t="s">
        <v>1143</v>
      </c>
      <c r="C1395" s="2">
        <v>0.129</v>
      </c>
      <c r="D1395" s="2" t="s">
        <v>2287</v>
      </c>
      <c r="E1395" s="27">
        <f t="shared" si="299"/>
        <v>1538</v>
      </c>
      <c r="F1395" s="28">
        <f t="shared" si="298"/>
        <v>198.4</v>
      </c>
      <c r="G1395" s="27">
        <f>자재조서!E6</f>
        <v>1538</v>
      </c>
      <c r="H1395" s="28">
        <f>TRUNC(G1395*C1395,1)</f>
        <v>198.4</v>
      </c>
      <c r="I1395" s="27">
        <v>0</v>
      </c>
      <c r="J1395" s="28"/>
      <c r="K1395" s="27">
        <v>0</v>
      </c>
      <c r="L1395" s="28"/>
      <c r="M1395" s="86" t="s">
        <v>2856</v>
      </c>
      <c r="N1395" t="s">
        <v>1358</v>
      </c>
      <c r="P1395" t="s">
        <v>1686</v>
      </c>
      <c r="Q1395" t="s">
        <v>2856</v>
      </c>
      <c r="R1395" t="s">
        <v>2425</v>
      </c>
      <c r="BI1395" s="34" t="str">
        <f>HYPERLINK("#자재조서!A5","M-TP-35 →")</f>
        <v>M-TP-35 →</v>
      </c>
    </row>
    <row r="1396" spans="1:61" ht="18.399999999999999" hidden="1" customHeight="1" x14ac:dyDescent="0.15">
      <c r="A1396" s="2" t="s">
        <v>827</v>
      </c>
      <c r="B1396" s="87" t="s">
        <v>2666</v>
      </c>
      <c r="C1396" s="2">
        <v>5.2999999999999999E-2</v>
      </c>
      <c r="D1396" s="2" t="s">
        <v>2287</v>
      </c>
      <c r="E1396" s="27">
        <f t="shared" si="299"/>
        <v>4537</v>
      </c>
      <c r="F1396" s="28">
        <f t="shared" si="298"/>
        <v>240.4</v>
      </c>
      <c r="G1396" s="27">
        <f>자재조서!E5</f>
        <v>4537</v>
      </c>
      <c r="H1396" s="28">
        <f>TRUNC(G1396*C1396,1)</f>
        <v>240.4</v>
      </c>
      <c r="I1396" s="27">
        <v>0</v>
      </c>
      <c r="J1396" s="28"/>
      <c r="K1396" s="27">
        <v>0</v>
      </c>
      <c r="L1396" s="28"/>
      <c r="M1396" s="86" t="s">
        <v>2856</v>
      </c>
      <c r="N1396" t="s">
        <v>2856</v>
      </c>
      <c r="P1396" t="s">
        <v>983</v>
      </c>
      <c r="Q1396" t="s">
        <v>2856</v>
      </c>
      <c r="R1396" t="s">
        <v>1363</v>
      </c>
      <c r="BI1396" s="34" t="str">
        <f>HYPERLINK("#자재조서!A4","M-TP-32 →")</f>
        <v>M-TP-32 →</v>
      </c>
    </row>
    <row r="1397" spans="1:61" ht="18.399999999999999" hidden="1" customHeight="1" x14ac:dyDescent="0.15">
      <c r="A1397" s="1"/>
      <c r="B1397" s="87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87"/>
    </row>
    <row r="1398" spans="1:61" ht="18.399999999999999" hidden="1" customHeight="1" x14ac:dyDescent="0.15">
      <c r="A1398" s="2" t="s">
        <v>1154</v>
      </c>
      <c r="B1398" s="87" t="s">
        <v>297</v>
      </c>
      <c r="C1398" s="2">
        <v>1</v>
      </c>
      <c r="D1398" s="2" t="s">
        <v>556</v>
      </c>
      <c r="E1398" s="184"/>
      <c r="F1398" s="29">
        <f t="shared" ref="F1398:F1405" si="300">H1398+J1398+L1398</f>
        <v>28462</v>
      </c>
      <c r="G1398" s="184"/>
      <c r="H1398" s="29">
        <f>TRUNC(H1399+H1400+H1401+H1402+H1403+H1404+H1405,0)</f>
        <v>321</v>
      </c>
      <c r="I1398" s="184"/>
      <c r="J1398" s="29">
        <f>TRUNC(J1399+J1400+J1401+J1402+J1403+J1404+J1405,0)</f>
        <v>28076</v>
      </c>
      <c r="K1398" s="184"/>
      <c r="L1398" s="29">
        <f>TRUNC(L1399+L1400+L1401+L1402+L1403+L1404+L1405,0)</f>
        <v>65</v>
      </c>
      <c r="M1398" s="86" t="s">
        <v>2856</v>
      </c>
      <c r="N1398" t="s">
        <v>2856</v>
      </c>
      <c r="O1398" t="s">
        <v>1464</v>
      </c>
    </row>
    <row r="1399" spans="1:61" ht="18.399999999999999" hidden="1" customHeight="1" x14ac:dyDescent="0.15">
      <c r="A1399" s="2" t="s">
        <v>2176</v>
      </c>
      <c r="B1399" s="87" t="s">
        <v>2549</v>
      </c>
      <c r="C1399" s="2">
        <v>0</v>
      </c>
      <c r="D1399" s="2" t="s">
        <v>2856</v>
      </c>
      <c r="E1399" s="27">
        <f t="shared" ref="E1399:E1405" si="301">G1399+I1399+K1399</f>
        <v>0</v>
      </c>
      <c r="F1399" s="28">
        <f t="shared" si="300"/>
        <v>0</v>
      </c>
      <c r="G1399" s="27">
        <f>경비!D3</f>
        <v>0</v>
      </c>
      <c r="H1399" s="28">
        <f>TRUNC(G1399*C1399,1)</f>
        <v>0</v>
      </c>
      <c r="I1399" s="27">
        <f>경비!E3</f>
        <v>0</v>
      </c>
      <c r="J1399" s="28">
        <f>TRUNC(I1399*C1399,1)</f>
        <v>0</v>
      </c>
      <c r="K1399" s="27">
        <f>경비!F3</f>
        <v>0</v>
      </c>
      <c r="L1399" s="28">
        <f>TRUNC(K1399*C1399,1)</f>
        <v>0</v>
      </c>
      <c r="M1399" s="86" t="s">
        <v>2856</v>
      </c>
      <c r="N1399" t="s">
        <v>2856</v>
      </c>
      <c r="P1399" t="s">
        <v>334</v>
      </c>
      <c r="Q1399" t="s">
        <v>2856</v>
      </c>
      <c r="R1399" t="s">
        <v>1832</v>
      </c>
      <c r="BI1399" s="34" t="str">
        <f>HYPERLINK("#경비!A3","G_N →")</f>
        <v>G_N →</v>
      </c>
    </row>
    <row r="1400" spans="1:61" ht="18.399999999999999" hidden="1" customHeight="1" x14ac:dyDescent="0.15">
      <c r="A1400" s="2" t="s">
        <v>888</v>
      </c>
      <c r="B1400" s="87" t="s">
        <v>2680</v>
      </c>
      <c r="C1400" s="2">
        <v>0.08</v>
      </c>
      <c r="D1400" s="2" t="s">
        <v>2652</v>
      </c>
      <c r="E1400" s="27">
        <f t="shared" si="301"/>
        <v>167081</v>
      </c>
      <c r="F1400" s="28">
        <f t="shared" si="300"/>
        <v>13366.4</v>
      </c>
      <c r="G1400" s="27">
        <v>0</v>
      </c>
      <c r="H1400" s="28"/>
      <c r="I1400" s="27">
        <f>노임!D15</f>
        <v>167081</v>
      </c>
      <c r="J1400" s="28">
        <f>TRUNC(I1400*C1400,1)</f>
        <v>13366.4</v>
      </c>
      <c r="K1400" s="27">
        <v>0</v>
      </c>
      <c r="L1400" s="28"/>
      <c r="M1400" s="86" t="s">
        <v>2856</v>
      </c>
      <c r="N1400" t="s">
        <v>821</v>
      </c>
      <c r="P1400" t="s">
        <v>2471</v>
      </c>
      <c r="Q1400" t="s">
        <v>2856</v>
      </c>
      <c r="R1400" t="s">
        <v>498</v>
      </c>
      <c r="BI1400" s="34" t="str">
        <f>HYPERLINK("#노임!A15","L085 →")</f>
        <v>L085 →</v>
      </c>
    </row>
    <row r="1401" spans="1:61" ht="18.399999999999999" hidden="1" customHeight="1" x14ac:dyDescent="0.15">
      <c r="A1401" s="2" t="s">
        <v>1254</v>
      </c>
      <c r="B1401" s="87" t="s">
        <v>414</v>
      </c>
      <c r="C1401" s="2">
        <v>1.6E-2</v>
      </c>
      <c r="D1401" s="2" t="s">
        <v>2652</v>
      </c>
      <c r="E1401" s="27">
        <f t="shared" si="301"/>
        <v>251041</v>
      </c>
      <c r="F1401" s="28">
        <f t="shared" si="300"/>
        <v>4016.6</v>
      </c>
      <c r="G1401" s="27">
        <v>0</v>
      </c>
      <c r="H1401" s="28"/>
      <c r="I1401" s="27">
        <f>노임!D13</f>
        <v>251041</v>
      </c>
      <c r="J1401" s="28">
        <f>TRUNC(I1401*C1401,1)</f>
        <v>4016.6</v>
      </c>
      <c r="K1401" s="27">
        <v>0</v>
      </c>
      <c r="L1401" s="28"/>
      <c r="M1401" s="86" t="s">
        <v>2856</v>
      </c>
      <c r="N1401" t="s">
        <v>1799</v>
      </c>
      <c r="P1401" t="s">
        <v>1741</v>
      </c>
      <c r="Q1401" t="s">
        <v>2856</v>
      </c>
      <c r="R1401" t="s">
        <v>1362</v>
      </c>
      <c r="BI1401" s="34" t="str">
        <f>HYPERLINK("#노임!A13","L051 →")</f>
        <v>L051 →</v>
      </c>
    </row>
    <row r="1402" spans="1:61" ht="18.399999999999999" hidden="1" customHeight="1" x14ac:dyDescent="0.15">
      <c r="A1402" s="2" t="s">
        <v>888</v>
      </c>
      <c r="B1402" s="87" t="s">
        <v>216</v>
      </c>
      <c r="C1402" s="2">
        <v>6.4000000000000001E-2</v>
      </c>
      <c r="D1402" s="2" t="s">
        <v>2652</v>
      </c>
      <c r="E1402" s="27">
        <f t="shared" si="301"/>
        <v>167081</v>
      </c>
      <c r="F1402" s="28">
        <f t="shared" si="300"/>
        <v>10693.1</v>
      </c>
      <c r="G1402" s="27">
        <v>0</v>
      </c>
      <c r="H1402" s="28"/>
      <c r="I1402" s="27">
        <f>노임!D15</f>
        <v>167081</v>
      </c>
      <c r="J1402" s="28">
        <f>TRUNC(I1402*C1402,1)</f>
        <v>10693.1</v>
      </c>
      <c r="K1402" s="27">
        <v>0</v>
      </c>
      <c r="L1402" s="28"/>
      <c r="M1402" s="86" t="s">
        <v>2856</v>
      </c>
      <c r="N1402" t="s">
        <v>821</v>
      </c>
      <c r="P1402" t="s">
        <v>1036</v>
      </c>
      <c r="Q1402" t="s">
        <v>2856</v>
      </c>
      <c r="R1402" t="s">
        <v>498</v>
      </c>
      <c r="BI1402" s="34" t="str">
        <f>HYPERLINK("#노임!A15","L085 →")</f>
        <v>L085 →</v>
      </c>
    </row>
    <row r="1403" spans="1:61" ht="18.399999999999999" hidden="1" customHeight="1" x14ac:dyDescent="0.15">
      <c r="A1403" s="2" t="s">
        <v>1252</v>
      </c>
      <c r="B1403" s="87" t="s">
        <v>2317</v>
      </c>
      <c r="C1403" s="2">
        <v>0.13500000000000001</v>
      </c>
      <c r="D1403" s="2" t="s">
        <v>2377</v>
      </c>
      <c r="E1403" s="27">
        <f t="shared" si="301"/>
        <v>482</v>
      </c>
      <c r="F1403" s="28">
        <f t="shared" si="300"/>
        <v>65</v>
      </c>
      <c r="G1403" s="27">
        <f>경비!D4</f>
        <v>0</v>
      </c>
      <c r="H1403" s="28">
        <f>TRUNC(G1403*C1403,1)</f>
        <v>0</v>
      </c>
      <c r="I1403" s="27">
        <f>경비!E4</f>
        <v>0</v>
      </c>
      <c r="J1403" s="28">
        <f>TRUNC(I1403*C1403,1)</f>
        <v>0</v>
      </c>
      <c r="K1403" s="27">
        <f>경비!F4</f>
        <v>482</v>
      </c>
      <c r="L1403" s="28">
        <f>TRUNC(K1403*C1403,1)</f>
        <v>65</v>
      </c>
      <c r="M1403" s="86" t="s">
        <v>2856</v>
      </c>
      <c r="N1403" t="s">
        <v>2856</v>
      </c>
      <c r="P1403" t="s">
        <v>286</v>
      </c>
      <c r="Q1403" t="s">
        <v>2856</v>
      </c>
      <c r="R1403" t="s">
        <v>1205</v>
      </c>
      <c r="BI1403" s="34" t="str">
        <f>HYPERLINK("#경비!A4","GS0001 →")</f>
        <v>GS0001 →</v>
      </c>
    </row>
    <row r="1404" spans="1:61" ht="18.399999999999999" hidden="1" customHeight="1" x14ac:dyDescent="0.15">
      <c r="A1404" s="2" t="s">
        <v>2005</v>
      </c>
      <c r="B1404" s="87" t="s">
        <v>1143</v>
      </c>
      <c r="C1404" s="2">
        <v>9.4E-2</v>
      </c>
      <c r="D1404" s="2" t="s">
        <v>2287</v>
      </c>
      <c r="E1404" s="27">
        <f t="shared" si="301"/>
        <v>1538</v>
      </c>
      <c r="F1404" s="28">
        <f t="shared" si="300"/>
        <v>144.5</v>
      </c>
      <c r="G1404" s="27">
        <f>자재조서!E6</f>
        <v>1538</v>
      </c>
      <c r="H1404" s="28">
        <f>TRUNC(G1404*C1404,1)</f>
        <v>144.5</v>
      </c>
      <c r="I1404" s="27">
        <v>0</v>
      </c>
      <c r="J1404" s="28"/>
      <c r="K1404" s="27">
        <v>0</v>
      </c>
      <c r="L1404" s="28"/>
      <c r="M1404" s="86" t="s">
        <v>2856</v>
      </c>
      <c r="N1404" t="s">
        <v>1358</v>
      </c>
      <c r="P1404" t="s">
        <v>2428</v>
      </c>
      <c r="Q1404" t="s">
        <v>2856</v>
      </c>
      <c r="R1404" t="s">
        <v>2425</v>
      </c>
      <c r="BI1404" s="34" t="str">
        <f>HYPERLINK("#자재조서!A5","M-TP-35 →")</f>
        <v>M-TP-35 →</v>
      </c>
    </row>
    <row r="1405" spans="1:61" ht="18.399999999999999" hidden="1" customHeight="1" x14ac:dyDescent="0.15">
      <c r="A1405" s="2" t="s">
        <v>827</v>
      </c>
      <c r="B1405" s="87" t="s">
        <v>2666</v>
      </c>
      <c r="C1405" s="2">
        <v>3.9E-2</v>
      </c>
      <c r="D1405" s="2" t="s">
        <v>2287</v>
      </c>
      <c r="E1405" s="27">
        <f t="shared" si="301"/>
        <v>4537</v>
      </c>
      <c r="F1405" s="28">
        <f t="shared" si="300"/>
        <v>176.9</v>
      </c>
      <c r="G1405" s="27">
        <f>자재조서!E5</f>
        <v>4537</v>
      </c>
      <c r="H1405" s="28">
        <f>TRUNC(G1405*C1405,1)</f>
        <v>176.9</v>
      </c>
      <c r="I1405" s="27">
        <v>0</v>
      </c>
      <c r="J1405" s="28"/>
      <c r="K1405" s="27">
        <v>0</v>
      </c>
      <c r="L1405" s="28"/>
      <c r="M1405" s="86" t="s">
        <v>2856</v>
      </c>
      <c r="N1405" t="s">
        <v>2856</v>
      </c>
      <c r="P1405" t="s">
        <v>1686</v>
      </c>
      <c r="Q1405" t="s">
        <v>2856</v>
      </c>
      <c r="R1405" t="s">
        <v>1363</v>
      </c>
      <c r="BI1405" s="34" t="str">
        <f>HYPERLINK("#자재조서!A4","M-TP-32 →")</f>
        <v>M-TP-32 →</v>
      </c>
    </row>
    <row r="1406" spans="1:61" ht="18.399999999999999" hidden="1" customHeight="1" x14ac:dyDescent="0.15">
      <c r="A1406" s="1"/>
      <c r="B1406" s="87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87"/>
    </row>
    <row r="1407" spans="1:61" ht="18.399999999999999" hidden="1" customHeight="1" x14ac:dyDescent="0.15">
      <c r="A1407" s="2" t="s">
        <v>350</v>
      </c>
      <c r="B1407" s="87" t="s">
        <v>137</v>
      </c>
      <c r="C1407" s="2">
        <v>1</v>
      </c>
      <c r="D1407" s="2" t="s">
        <v>556</v>
      </c>
      <c r="E1407" s="184"/>
      <c r="F1407" s="29">
        <f t="shared" ref="F1407:F1414" si="302">H1407+J1407+L1407</f>
        <v>22069</v>
      </c>
      <c r="G1407" s="184"/>
      <c r="H1407" s="29">
        <f>TRUNC(H1408+H1409+H1410+H1411+H1412+H1413+H1414,0)</f>
        <v>217</v>
      </c>
      <c r="I1407" s="184"/>
      <c r="J1407" s="29">
        <f>TRUNC(J1408+J1409+J1410+J1411+J1412+J1413+J1414,0)</f>
        <v>21808</v>
      </c>
      <c r="K1407" s="184"/>
      <c r="L1407" s="29">
        <f>TRUNC(L1408+L1409+L1410+L1411+L1412+L1413+L1414,0)</f>
        <v>44</v>
      </c>
      <c r="M1407" s="86" t="s">
        <v>2856</v>
      </c>
      <c r="N1407" t="s">
        <v>2856</v>
      </c>
      <c r="O1407" t="s">
        <v>2167</v>
      </c>
    </row>
    <row r="1408" spans="1:61" ht="18.399999999999999" hidden="1" customHeight="1" x14ac:dyDescent="0.15">
      <c r="A1408" s="2" t="s">
        <v>2176</v>
      </c>
      <c r="B1408" s="87" t="s">
        <v>2549</v>
      </c>
      <c r="C1408" s="2">
        <v>0</v>
      </c>
      <c r="D1408" s="2" t="s">
        <v>2856</v>
      </c>
      <c r="E1408" s="27">
        <f t="shared" ref="E1408:E1414" si="303">G1408+I1408+K1408</f>
        <v>0</v>
      </c>
      <c r="F1408" s="28">
        <f t="shared" si="302"/>
        <v>0</v>
      </c>
      <c r="G1408" s="27">
        <f>경비!D3</f>
        <v>0</v>
      </c>
      <c r="H1408" s="28">
        <f>TRUNC(G1408*C1408,1)</f>
        <v>0</v>
      </c>
      <c r="I1408" s="27">
        <f>경비!E3</f>
        <v>0</v>
      </c>
      <c r="J1408" s="28">
        <f>TRUNC(I1408*C1408,1)</f>
        <v>0</v>
      </c>
      <c r="K1408" s="27">
        <f>경비!F3</f>
        <v>0</v>
      </c>
      <c r="L1408" s="28">
        <f>TRUNC(K1408*C1408,1)</f>
        <v>0</v>
      </c>
      <c r="M1408" s="86" t="s">
        <v>2856</v>
      </c>
      <c r="N1408" t="s">
        <v>2856</v>
      </c>
      <c r="P1408" t="s">
        <v>334</v>
      </c>
      <c r="Q1408" t="s">
        <v>2856</v>
      </c>
      <c r="R1408" t="s">
        <v>1832</v>
      </c>
      <c r="BI1408" s="34" t="str">
        <f>HYPERLINK("#경비!A3","G_N →")</f>
        <v>G_N →</v>
      </c>
    </row>
    <row r="1409" spans="1:61" ht="18.399999999999999" hidden="1" customHeight="1" x14ac:dyDescent="0.15">
      <c r="A1409" s="2" t="s">
        <v>888</v>
      </c>
      <c r="B1409" s="87" t="s">
        <v>1735</v>
      </c>
      <c r="C1409" s="2">
        <v>7.0000000000000007E-2</v>
      </c>
      <c r="D1409" s="2" t="s">
        <v>2652</v>
      </c>
      <c r="E1409" s="27">
        <f t="shared" si="303"/>
        <v>167081</v>
      </c>
      <c r="F1409" s="28">
        <f t="shared" si="302"/>
        <v>11695.6</v>
      </c>
      <c r="G1409" s="27">
        <v>0</v>
      </c>
      <c r="H1409" s="28"/>
      <c r="I1409" s="27">
        <f>노임!D15</f>
        <v>167081</v>
      </c>
      <c r="J1409" s="28">
        <f>TRUNC(I1409*C1409,1)</f>
        <v>11695.6</v>
      </c>
      <c r="K1409" s="27">
        <v>0</v>
      </c>
      <c r="L1409" s="28"/>
      <c r="M1409" s="86" t="s">
        <v>2856</v>
      </c>
      <c r="N1409" t="s">
        <v>821</v>
      </c>
      <c r="P1409" t="s">
        <v>2471</v>
      </c>
      <c r="Q1409" t="s">
        <v>2856</v>
      </c>
      <c r="R1409" t="s">
        <v>498</v>
      </c>
      <c r="BI1409" s="34" t="str">
        <f>HYPERLINK("#노임!A15","L085 →")</f>
        <v>L085 →</v>
      </c>
    </row>
    <row r="1410" spans="1:61" ht="18.399999999999999" hidden="1" customHeight="1" x14ac:dyDescent="0.15">
      <c r="A1410" s="2" t="s">
        <v>1254</v>
      </c>
      <c r="B1410" s="87" t="s">
        <v>414</v>
      </c>
      <c r="C1410" s="2">
        <v>1.0999999999999999E-2</v>
      </c>
      <c r="D1410" s="2" t="s">
        <v>2652</v>
      </c>
      <c r="E1410" s="27">
        <f t="shared" si="303"/>
        <v>251041</v>
      </c>
      <c r="F1410" s="28">
        <f t="shared" si="302"/>
        <v>2761.4</v>
      </c>
      <c r="G1410" s="27">
        <v>0</v>
      </c>
      <c r="H1410" s="28"/>
      <c r="I1410" s="27">
        <f>노임!D13</f>
        <v>251041</v>
      </c>
      <c r="J1410" s="28">
        <f>TRUNC(I1410*C1410,1)</f>
        <v>2761.4</v>
      </c>
      <c r="K1410" s="27">
        <v>0</v>
      </c>
      <c r="L1410" s="28"/>
      <c r="M1410" s="86" t="s">
        <v>2856</v>
      </c>
      <c r="N1410" t="s">
        <v>1799</v>
      </c>
      <c r="P1410" t="s">
        <v>1741</v>
      </c>
      <c r="Q1410" t="s">
        <v>2856</v>
      </c>
      <c r="R1410" t="s">
        <v>1362</v>
      </c>
      <c r="BI1410" s="34" t="str">
        <f>HYPERLINK("#노임!A13","L051 →")</f>
        <v>L051 →</v>
      </c>
    </row>
    <row r="1411" spans="1:61" ht="18.399999999999999" hidden="1" customHeight="1" x14ac:dyDescent="0.15">
      <c r="A1411" s="2" t="s">
        <v>888</v>
      </c>
      <c r="B1411" s="87" t="s">
        <v>216</v>
      </c>
      <c r="C1411" s="2">
        <v>4.3999999999999997E-2</v>
      </c>
      <c r="D1411" s="2" t="s">
        <v>2652</v>
      </c>
      <c r="E1411" s="27">
        <f t="shared" si="303"/>
        <v>167081</v>
      </c>
      <c r="F1411" s="28">
        <f t="shared" si="302"/>
        <v>7351.5</v>
      </c>
      <c r="G1411" s="27">
        <v>0</v>
      </c>
      <c r="H1411" s="28"/>
      <c r="I1411" s="27">
        <f>노임!D15</f>
        <v>167081</v>
      </c>
      <c r="J1411" s="28">
        <f>TRUNC(I1411*C1411,1)</f>
        <v>7351.5</v>
      </c>
      <c r="K1411" s="27">
        <v>0</v>
      </c>
      <c r="L1411" s="28"/>
      <c r="M1411" s="86" t="s">
        <v>2856</v>
      </c>
      <c r="N1411" t="s">
        <v>821</v>
      </c>
      <c r="P1411" t="s">
        <v>1036</v>
      </c>
      <c r="Q1411" t="s">
        <v>2856</v>
      </c>
      <c r="R1411" t="s">
        <v>498</v>
      </c>
      <c r="BI1411" s="34" t="str">
        <f>HYPERLINK("#노임!A15","L085 →")</f>
        <v>L085 →</v>
      </c>
    </row>
    <row r="1412" spans="1:61" ht="18.399999999999999" hidden="1" customHeight="1" x14ac:dyDescent="0.15">
      <c r="A1412" s="2" t="s">
        <v>1252</v>
      </c>
      <c r="B1412" s="87" t="s">
        <v>2317</v>
      </c>
      <c r="C1412" s="2">
        <v>9.2999999999999999E-2</v>
      </c>
      <c r="D1412" s="2" t="s">
        <v>2377</v>
      </c>
      <c r="E1412" s="27">
        <f t="shared" si="303"/>
        <v>482</v>
      </c>
      <c r="F1412" s="28">
        <f t="shared" si="302"/>
        <v>44.8</v>
      </c>
      <c r="G1412" s="27">
        <f>경비!D4</f>
        <v>0</v>
      </c>
      <c r="H1412" s="28">
        <f>TRUNC(G1412*C1412,1)</f>
        <v>0</v>
      </c>
      <c r="I1412" s="27">
        <f>경비!E4</f>
        <v>0</v>
      </c>
      <c r="J1412" s="28">
        <f>TRUNC(I1412*C1412,1)</f>
        <v>0</v>
      </c>
      <c r="K1412" s="27">
        <f>경비!F4</f>
        <v>482</v>
      </c>
      <c r="L1412" s="28">
        <f>TRUNC(K1412*C1412,1)</f>
        <v>44.8</v>
      </c>
      <c r="M1412" s="86" t="s">
        <v>2856</v>
      </c>
      <c r="N1412" t="s">
        <v>2856</v>
      </c>
      <c r="P1412" t="s">
        <v>286</v>
      </c>
      <c r="Q1412" t="s">
        <v>2856</v>
      </c>
      <c r="R1412" t="s">
        <v>1205</v>
      </c>
      <c r="BI1412" s="34" t="str">
        <f>HYPERLINK("#경비!A4","GS0001 →")</f>
        <v>GS0001 →</v>
      </c>
    </row>
    <row r="1413" spans="1:61" ht="18.399999999999999" hidden="1" customHeight="1" x14ac:dyDescent="0.15">
      <c r="A1413" s="2" t="s">
        <v>2005</v>
      </c>
      <c r="B1413" s="87" t="s">
        <v>1143</v>
      </c>
      <c r="C1413" s="2">
        <v>6.5000000000000002E-2</v>
      </c>
      <c r="D1413" s="2" t="s">
        <v>2287</v>
      </c>
      <c r="E1413" s="27">
        <f t="shared" si="303"/>
        <v>1538</v>
      </c>
      <c r="F1413" s="28">
        <f t="shared" si="302"/>
        <v>99.9</v>
      </c>
      <c r="G1413" s="27">
        <f>자재조서!E6</f>
        <v>1538</v>
      </c>
      <c r="H1413" s="28">
        <f>TRUNC(G1413*C1413,1)</f>
        <v>99.9</v>
      </c>
      <c r="I1413" s="27">
        <v>0</v>
      </c>
      <c r="J1413" s="28"/>
      <c r="K1413" s="27">
        <v>0</v>
      </c>
      <c r="L1413" s="28"/>
      <c r="M1413" s="86" t="s">
        <v>2856</v>
      </c>
      <c r="N1413" t="s">
        <v>1358</v>
      </c>
      <c r="P1413" t="s">
        <v>2428</v>
      </c>
      <c r="Q1413" t="s">
        <v>2856</v>
      </c>
      <c r="R1413" t="s">
        <v>2425</v>
      </c>
      <c r="BI1413" s="34" t="str">
        <f>HYPERLINK("#자재조서!A5","M-TP-35 →")</f>
        <v>M-TP-35 →</v>
      </c>
    </row>
    <row r="1414" spans="1:61" ht="18.399999999999999" hidden="1" customHeight="1" x14ac:dyDescent="0.15">
      <c r="A1414" s="2" t="s">
        <v>827</v>
      </c>
      <c r="B1414" s="87" t="s">
        <v>2666</v>
      </c>
      <c r="C1414" s="2">
        <v>2.5999999999999999E-2</v>
      </c>
      <c r="D1414" s="2" t="s">
        <v>2287</v>
      </c>
      <c r="E1414" s="27">
        <f t="shared" si="303"/>
        <v>4537</v>
      </c>
      <c r="F1414" s="28">
        <f t="shared" si="302"/>
        <v>117.9</v>
      </c>
      <c r="G1414" s="27">
        <f>자재조서!E5</f>
        <v>4537</v>
      </c>
      <c r="H1414" s="28">
        <f>TRUNC(G1414*C1414,1)</f>
        <v>117.9</v>
      </c>
      <c r="I1414" s="27">
        <v>0</v>
      </c>
      <c r="J1414" s="28"/>
      <c r="K1414" s="27">
        <v>0</v>
      </c>
      <c r="L1414" s="28"/>
      <c r="M1414" s="86" t="s">
        <v>2856</v>
      </c>
      <c r="N1414" t="s">
        <v>2856</v>
      </c>
      <c r="P1414" t="s">
        <v>1686</v>
      </c>
      <c r="Q1414" t="s">
        <v>2856</v>
      </c>
      <c r="R1414" t="s">
        <v>1363</v>
      </c>
      <c r="BI1414" s="34" t="str">
        <f>HYPERLINK("#자재조서!A4","M-TP-32 →")</f>
        <v>M-TP-32 →</v>
      </c>
    </row>
    <row r="1415" spans="1:61" ht="18.399999999999999" hidden="1" customHeight="1" x14ac:dyDescent="0.15">
      <c r="A1415" s="1"/>
      <c r="B1415" s="87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87"/>
    </row>
    <row r="1416" spans="1:61" ht="18.399999999999999" hidden="1" customHeight="1" x14ac:dyDescent="0.15">
      <c r="A1416" s="2" t="s">
        <v>410</v>
      </c>
      <c r="B1416" s="87" t="s">
        <v>1467</v>
      </c>
      <c r="C1416" s="2">
        <v>1</v>
      </c>
      <c r="D1416" s="2" t="s">
        <v>556</v>
      </c>
      <c r="E1416" s="184"/>
      <c r="F1416" s="29">
        <f>H1416+J1416+L1416</f>
        <v>668</v>
      </c>
      <c r="G1416" s="184"/>
      <c r="H1416" s="29">
        <f>TRUNC(H1417+H1418,0)</f>
        <v>0</v>
      </c>
      <c r="I1416" s="184"/>
      <c r="J1416" s="29">
        <f>TRUNC(J1417+J1418,0)</f>
        <v>668</v>
      </c>
      <c r="K1416" s="184"/>
      <c r="L1416" s="29">
        <f>TRUNC(L1417+L1418,0)</f>
        <v>0</v>
      </c>
      <c r="M1416" s="86" t="s">
        <v>2856</v>
      </c>
      <c r="N1416" t="s">
        <v>2856</v>
      </c>
      <c r="O1416" t="s">
        <v>2548</v>
      </c>
    </row>
    <row r="1417" spans="1:61" ht="18.399999999999999" hidden="1" customHeight="1" x14ac:dyDescent="0.15">
      <c r="A1417" s="2" t="s">
        <v>2176</v>
      </c>
      <c r="B1417" s="87" t="s">
        <v>2293</v>
      </c>
      <c r="C1417" s="2">
        <v>0</v>
      </c>
      <c r="D1417" s="2" t="s">
        <v>2856</v>
      </c>
      <c r="E1417" s="27">
        <f>G1417+I1417+K1417</f>
        <v>0</v>
      </c>
      <c r="F1417" s="28">
        <f>H1417+J1417+L1417</f>
        <v>0</v>
      </c>
      <c r="G1417" s="27">
        <f>경비!D3</f>
        <v>0</v>
      </c>
      <c r="H1417" s="28">
        <f>TRUNC(G1417*C1417,1)</f>
        <v>0</v>
      </c>
      <c r="I1417" s="27">
        <f>경비!E3</f>
        <v>0</v>
      </c>
      <c r="J1417" s="28">
        <f>TRUNC(I1417*C1417,1)</f>
        <v>0</v>
      </c>
      <c r="K1417" s="27">
        <f>경비!F3</f>
        <v>0</v>
      </c>
      <c r="L1417" s="28">
        <f>TRUNC(K1417*C1417,1)</f>
        <v>0</v>
      </c>
      <c r="M1417" s="86" t="s">
        <v>2856</v>
      </c>
      <c r="N1417" t="s">
        <v>2856</v>
      </c>
      <c r="P1417" t="s">
        <v>334</v>
      </c>
      <c r="Q1417" t="s">
        <v>2856</v>
      </c>
      <c r="R1417" t="s">
        <v>1832</v>
      </c>
      <c r="BI1417" s="34" t="str">
        <f>HYPERLINK("#경비!A3","G_N →")</f>
        <v>G_N →</v>
      </c>
    </row>
    <row r="1418" spans="1:61" ht="18.399999999999999" hidden="1" customHeight="1" x14ac:dyDescent="0.15">
      <c r="A1418" s="2" t="s">
        <v>888</v>
      </c>
      <c r="B1418" s="87" t="s">
        <v>2680</v>
      </c>
      <c r="C1418" s="2">
        <v>4.0000000000000001E-3</v>
      </c>
      <c r="D1418" s="2" t="s">
        <v>2652</v>
      </c>
      <c r="E1418" s="27">
        <f>G1418+I1418+K1418</f>
        <v>167081</v>
      </c>
      <c r="F1418" s="28">
        <f>H1418+J1418+L1418</f>
        <v>668.3</v>
      </c>
      <c r="G1418" s="27">
        <v>0</v>
      </c>
      <c r="H1418" s="28"/>
      <c r="I1418" s="27">
        <f>노임!D15</f>
        <v>167081</v>
      </c>
      <c r="J1418" s="28">
        <f>TRUNC(I1418*C1418,1)</f>
        <v>668.3</v>
      </c>
      <c r="K1418" s="27">
        <v>0</v>
      </c>
      <c r="L1418" s="28"/>
      <c r="M1418" s="86" t="s">
        <v>2856</v>
      </c>
      <c r="N1418" t="s">
        <v>821</v>
      </c>
      <c r="P1418" t="s">
        <v>1741</v>
      </c>
      <c r="Q1418" t="s">
        <v>2856</v>
      </c>
      <c r="R1418" t="s">
        <v>498</v>
      </c>
      <c r="BI1418" s="34" t="str">
        <f>HYPERLINK("#노임!A15","L085 →")</f>
        <v>L085 →</v>
      </c>
    </row>
    <row r="1419" spans="1:61" ht="18.399999999999999" hidden="1" customHeight="1" x14ac:dyDescent="0.15">
      <c r="A1419" s="1"/>
      <c r="B1419" s="87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87"/>
    </row>
    <row r="1420" spans="1:61" ht="18.399999999999999" hidden="1" customHeight="1" x14ac:dyDescent="0.15">
      <c r="A1420" s="2" t="s">
        <v>790</v>
      </c>
      <c r="B1420" s="87" t="s">
        <v>1777</v>
      </c>
      <c r="C1420" s="2">
        <v>1</v>
      </c>
      <c r="D1420" s="2" t="s">
        <v>556</v>
      </c>
      <c r="E1420" s="184"/>
      <c r="F1420" s="29">
        <f t="shared" ref="F1420:F1430" si="304">H1420+J1420+L1420</f>
        <v>8005</v>
      </c>
      <c r="G1420" s="184"/>
      <c r="H1420" s="29">
        <f>TRUNC(H1421+H1423+H1424+H1425+H1426+H1427+H1430,0)</f>
        <v>57</v>
      </c>
      <c r="I1420" s="184"/>
      <c r="J1420" s="29">
        <f>TRUNC(J1421+J1423+J1424+J1425+J1426+J1427+J1430,0)</f>
        <v>7937</v>
      </c>
      <c r="K1420" s="184"/>
      <c r="L1420" s="29">
        <f>TRUNC(L1421+L1423+L1424+L1425+L1426+L1427+L1430,0)</f>
        <v>11</v>
      </c>
      <c r="M1420" s="86" t="s">
        <v>2856</v>
      </c>
      <c r="N1420" t="s">
        <v>2856</v>
      </c>
      <c r="O1420" t="s">
        <v>701</v>
      </c>
    </row>
    <row r="1421" spans="1:61" ht="18.399999999999999" hidden="1" customHeight="1" x14ac:dyDescent="0.15">
      <c r="A1421" s="2" t="s">
        <v>2176</v>
      </c>
      <c r="B1421" s="87" t="s">
        <v>2549</v>
      </c>
      <c r="C1421" s="2">
        <v>0</v>
      </c>
      <c r="D1421" s="2" t="s">
        <v>2856</v>
      </c>
      <c r="E1421" s="27">
        <f t="shared" ref="E1421:E1430" si="305">G1421+I1421+K1421</f>
        <v>0</v>
      </c>
      <c r="F1421" s="28">
        <f t="shared" si="304"/>
        <v>0</v>
      </c>
      <c r="G1421" s="27">
        <f>경비!D3</f>
        <v>0</v>
      </c>
      <c r="H1421" s="28">
        <f>TRUNC(G1421*C1421,1)</f>
        <v>0</v>
      </c>
      <c r="I1421" s="27">
        <f>경비!E3</f>
        <v>0</v>
      </c>
      <c r="J1421" s="28">
        <f>TRUNC(I1421*C1421,1)</f>
        <v>0</v>
      </c>
      <c r="K1421" s="27">
        <f>경비!F3</f>
        <v>0</v>
      </c>
      <c r="L1421" s="28">
        <f>TRUNC(K1421*C1421,1)</f>
        <v>0</v>
      </c>
      <c r="M1421" s="86" t="s">
        <v>2856</v>
      </c>
      <c r="N1421" t="s">
        <v>2856</v>
      </c>
      <c r="P1421" t="s">
        <v>334</v>
      </c>
      <c r="Q1421" t="s">
        <v>2856</v>
      </c>
      <c r="R1421" t="s">
        <v>1832</v>
      </c>
      <c r="BI1421" s="34" t="str">
        <f>HYPERLINK("#경비!A3","G_N →")</f>
        <v>G_N →</v>
      </c>
    </row>
    <row r="1422" spans="1:61" ht="18.399999999999999" hidden="1" customHeight="1" x14ac:dyDescent="0.15">
      <c r="A1422" s="2" t="s">
        <v>3019</v>
      </c>
      <c r="B1422" s="87" t="s">
        <v>2856</v>
      </c>
      <c r="C1422" s="2"/>
      <c r="D1422" s="2" t="s">
        <v>2856</v>
      </c>
      <c r="E1422" s="27">
        <f t="shared" si="305"/>
        <v>0</v>
      </c>
      <c r="F1422" s="28">
        <f t="shared" si="304"/>
        <v>1322</v>
      </c>
      <c r="G1422" s="1"/>
      <c r="H1422" s="28">
        <f>TRUNC(H1423+H1424+H1425+H1426+H1427,0)</f>
        <v>57</v>
      </c>
      <c r="I1422" s="1"/>
      <c r="J1422" s="28">
        <f>TRUNC(J1423+J1424+J1425+J1426+J1427,0)</f>
        <v>1254</v>
      </c>
      <c r="K1422" s="1"/>
      <c r="L1422" s="28">
        <f>TRUNC(L1423+L1424+L1425+L1426+L1427,0)</f>
        <v>11</v>
      </c>
      <c r="M1422" s="86" t="s">
        <v>2856</v>
      </c>
      <c r="N1422" t="s">
        <v>2856</v>
      </c>
      <c r="P1422" t="s">
        <v>2471</v>
      </c>
      <c r="Q1422" t="s">
        <v>2856</v>
      </c>
      <c r="R1422" t="s">
        <v>2856</v>
      </c>
    </row>
    <row r="1423" spans="1:61" ht="18.399999999999999" hidden="1" customHeight="1" x14ac:dyDescent="0.15">
      <c r="A1423" s="2" t="s">
        <v>3020</v>
      </c>
      <c r="B1423" s="87" t="s">
        <v>2856</v>
      </c>
      <c r="C1423" s="2">
        <v>3.0000000000000001E-3</v>
      </c>
      <c r="D1423" s="2" t="s">
        <v>2652</v>
      </c>
      <c r="E1423" s="27">
        <f t="shared" si="305"/>
        <v>251041</v>
      </c>
      <c r="F1423" s="28">
        <f t="shared" si="304"/>
        <v>753.1</v>
      </c>
      <c r="G1423" s="27">
        <v>0</v>
      </c>
      <c r="H1423" s="28"/>
      <c r="I1423" s="27">
        <f>노임!D13</f>
        <v>251041</v>
      </c>
      <c r="J1423" s="28">
        <f>TRUNC(I1423*C1423,1)</f>
        <v>753.1</v>
      </c>
      <c r="K1423" s="27">
        <v>0</v>
      </c>
      <c r="L1423" s="28"/>
      <c r="M1423" s="86" t="s">
        <v>2856</v>
      </c>
      <c r="N1423" t="s">
        <v>2856</v>
      </c>
      <c r="P1423" t="s">
        <v>1741</v>
      </c>
      <c r="Q1423" t="s">
        <v>2856</v>
      </c>
      <c r="R1423" t="s">
        <v>1362</v>
      </c>
      <c r="BI1423" s="34" t="str">
        <f>HYPERLINK("#노임!A13","L051 →")</f>
        <v>L051 →</v>
      </c>
    </row>
    <row r="1424" spans="1:61" ht="18.399999999999999" hidden="1" customHeight="1" x14ac:dyDescent="0.15">
      <c r="A1424" s="2" t="s">
        <v>3021</v>
      </c>
      <c r="B1424" s="87" t="s">
        <v>2856</v>
      </c>
      <c r="C1424" s="2">
        <v>3.0000000000000001E-3</v>
      </c>
      <c r="D1424" s="2" t="s">
        <v>2652</v>
      </c>
      <c r="E1424" s="27">
        <f t="shared" si="305"/>
        <v>167081</v>
      </c>
      <c r="F1424" s="28">
        <f t="shared" si="304"/>
        <v>501.2</v>
      </c>
      <c r="G1424" s="27">
        <v>0</v>
      </c>
      <c r="H1424" s="28"/>
      <c r="I1424" s="27">
        <f>노임!D15</f>
        <v>167081</v>
      </c>
      <c r="J1424" s="28">
        <f>TRUNC(I1424*C1424,1)</f>
        <v>501.2</v>
      </c>
      <c r="K1424" s="27">
        <v>0</v>
      </c>
      <c r="L1424" s="28"/>
      <c r="M1424" s="86" t="s">
        <v>2856</v>
      </c>
      <c r="N1424" t="s">
        <v>2856</v>
      </c>
      <c r="P1424" t="s">
        <v>1036</v>
      </c>
      <c r="Q1424" t="s">
        <v>2856</v>
      </c>
      <c r="R1424" t="s">
        <v>498</v>
      </c>
      <c r="BI1424" s="34" t="str">
        <f>HYPERLINK("#노임!A15","L085 →")</f>
        <v>L085 →</v>
      </c>
    </row>
    <row r="1425" spans="1:61" ht="18.399999999999999" hidden="1" customHeight="1" x14ac:dyDescent="0.15">
      <c r="A1425" s="2" t="s">
        <v>3022</v>
      </c>
      <c r="B1425" s="87" t="s">
        <v>2317</v>
      </c>
      <c r="C1425" s="2">
        <v>2.3E-2</v>
      </c>
      <c r="D1425" s="2" t="s">
        <v>2377</v>
      </c>
      <c r="E1425" s="27">
        <f t="shared" si="305"/>
        <v>482</v>
      </c>
      <c r="F1425" s="28">
        <f t="shared" si="304"/>
        <v>11</v>
      </c>
      <c r="G1425" s="27">
        <f>경비!D4</f>
        <v>0</v>
      </c>
      <c r="H1425" s="28">
        <f>TRUNC(G1425*C1425,1)</f>
        <v>0</v>
      </c>
      <c r="I1425" s="27">
        <f>경비!E4</f>
        <v>0</v>
      </c>
      <c r="J1425" s="28">
        <f>TRUNC(I1425*C1425,1)</f>
        <v>0</v>
      </c>
      <c r="K1425" s="27">
        <f>경비!F4</f>
        <v>482</v>
      </c>
      <c r="L1425" s="28">
        <f>TRUNC(K1425*C1425,1)</f>
        <v>11</v>
      </c>
      <c r="M1425" s="86" t="s">
        <v>2856</v>
      </c>
      <c r="N1425" t="s">
        <v>2856</v>
      </c>
      <c r="P1425" t="s">
        <v>2428</v>
      </c>
      <c r="Q1425" t="s">
        <v>2856</v>
      </c>
      <c r="R1425" t="s">
        <v>1205</v>
      </c>
      <c r="BI1425" s="34" t="str">
        <f>HYPERLINK("#경비!A4","GS0001 →")</f>
        <v>GS0001 →</v>
      </c>
    </row>
    <row r="1426" spans="1:61" ht="18.399999999999999" hidden="1" customHeight="1" x14ac:dyDescent="0.15">
      <c r="A1426" s="2" t="s">
        <v>3023</v>
      </c>
      <c r="B1426" s="87" t="s">
        <v>1143</v>
      </c>
      <c r="C1426" s="2">
        <v>1.7000000000000001E-2</v>
      </c>
      <c r="D1426" s="2" t="s">
        <v>2287</v>
      </c>
      <c r="E1426" s="27">
        <f t="shared" si="305"/>
        <v>1538</v>
      </c>
      <c r="F1426" s="28">
        <f t="shared" si="304"/>
        <v>26.1</v>
      </c>
      <c r="G1426" s="27">
        <f>자재조서!E6</f>
        <v>1538</v>
      </c>
      <c r="H1426" s="28">
        <f>TRUNC(G1426*C1426,1)</f>
        <v>26.1</v>
      </c>
      <c r="I1426" s="27">
        <v>0</v>
      </c>
      <c r="J1426" s="28"/>
      <c r="K1426" s="27">
        <v>0</v>
      </c>
      <c r="L1426" s="28"/>
      <c r="M1426" s="86" t="s">
        <v>2856</v>
      </c>
      <c r="N1426" t="s">
        <v>1358</v>
      </c>
      <c r="P1426" t="s">
        <v>2738</v>
      </c>
      <c r="Q1426" t="s">
        <v>2856</v>
      </c>
      <c r="R1426" t="s">
        <v>2425</v>
      </c>
      <c r="BI1426" s="34" t="str">
        <f>HYPERLINK("#자재조서!A5","M-TP-35 →")</f>
        <v>M-TP-35 →</v>
      </c>
    </row>
    <row r="1427" spans="1:61" ht="18.399999999999999" hidden="1" customHeight="1" x14ac:dyDescent="0.15">
      <c r="A1427" s="2" t="s">
        <v>3024</v>
      </c>
      <c r="B1427" s="87" t="s">
        <v>2666</v>
      </c>
      <c r="C1427" s="2">
        <v>7.0000000000000001E-3</v>
      </c>
      <c r="D1427" s="2" t="s">
        <v>2287</v>
      </c>
      <c r="E1427" s="27">
        <f t="shared" si="305"/>
        <v>4537</v>
      </c>
      <c r="F1427" s="28">
        <f t="shared" si="304"/>
        <v>31.7</v>
      </c>
      <c r="G1427" s="27">
        <f>자재조서!E5</f>
        <v>4537</v>
      </c>
      <c r="H1427" s="28">
        <f>TRUNC(G1427*C1427,1)</f>
        <v>31.7</v>
      </c>
      <c r="I1427" s="27">
        <v>0</v>
      </c>
      <c r="J1427" s="28"/>
      <c r="K1427" s="27">
        <v>0</v>
      </c>
      <c r="L1427" s="28"/>
      <c r="M1427" s="86" t="s">
        <v>2856</v>
      </c>
      <c r="N1427" t="s">
        <v>2856</v>
      </c>
      <c r="P1427" t="s">
        <v>2152</v>
      </c>
      <c r="Q1427" t="s">
        <v>2856</v>
      </c>
      <c r="R1427" t="s">
        <v>1363</v>
      </c>
      <c r="BI1427" s="34" t="str">
        <f>HYPERLINK("#자재조서!A4","M-TP-32 →")</f>
        <v>M-TP-32 →</v>
      </c>
    </row>
    <row r="1428" spans="1:61" ht="18.399999999999999" hidden="1" customHeight="1" x14ac:dyDescent="0.15">
      <c r="A1428" s="2" t="s">
        <v>1164</v>
      </c>
      <c r="B1428" s="87" t="s">
        <v>2856</v>
      </c>
      <c r="C1428" s="2"/>
      <c r="D1428" s="2" t="s">
        <v>2856</v>
      </c>
      <c r="E1428" s="27">
        <f t="shared" si="305"/>
        <v>0</v>
      </c>
      <c r="F1428" s="28">
        <f t="shared" si="304"/>
        <v>0</v>
      </c>
      <c r="G1428" s="1"/>
      <c r="H1428" s="28">
        <v>0</v>
      </c>
      <c r="I1428" s="1"/>
      <c r="J1428" s="28">
        <v>0</v>
      </c>
      <c r="K1428" s="1"/>
      <c r="L1428" s="28">
        <v>0</v>
      </c>
      <c r="M1428" s="86" t="s">
        <v>2856</v>
      </c>
      <c r="N1428" t="s">
        <v>2856</v>
      </c>
      <c r="P1428" t="s">
        <v>976</v>
      </c>
      <c r="Q1428" t="s">
        <v>2856</v>
      </c>
      <c r="R1428" t="s">
        <v>2856</v>
      </c>
    </row>
    <row r="1429" spans="1:61" ht="18.399999999999999" hidden="1" customHeight="1" x14ac:dyDescent="0.15">
      <c r="A1429" s="2" t="s">
        <v>3025</v>
      </c>
      <c r="B1429" s="87" t="s">
        <v>692</v>
      </c>
      <c r="C1429" s="2"/>
      <c r="D1429" s="2" t="s">
        <v>2856</v>
      </c>
      <c r="E1429" s="27">
        <f t="shared" si="305"/>
        <v>0</v>
      </c>
      <c r="F1429" s="28">
        <f t="shared" si="304"/>
        <v>6683</v>
      </c>
      <c r="G1429" s="1"/>
      <c r="H1429" s="28">
        <f>TRUNC(H1430,0)</f>
        <v>0</v>
      </c>
      <c r="I1429" s="1"/>
      <c r="J1429" s="28">
        <f>TRUNC(J1430,0)</f>
        <v>6683</v>
      </c>
      <c r="K1429" s="1"/>
      <c r="L1429" s="28">
        <f>TRUNC(L1430,0)</f>
        <v>0</v>
      </c>
      <c r="M1429" s="86" t="s">
        <v>2856</v>
      </c>
      <c r="N1429" t="s">
        <v>2856</v>
      </c>
      <c r="P1429" t="s">
        <v>1686</v>
      </c>
      <c r="Q1429" t="s">
        <v>2856</v>
      </c>
      <c r="R1429" t="s">
        <v>2856</v>
      </c>
    </row>
    <row r="1430" spans="1:61" ht="18.399999999999999" hidden="1" customHeight="1" x14ac:dyDescent="0.15">
      <c r="A1430" s="2" t="s">
        <v>3021</v>
      </c>
      <c r="B1430" s="87" t="s">
        <v>2856</v>
      </c>
      <c r="C1430" s="2">
        <v>0.04</v>
      </c>
      <c r="D1430" s="2" t="s">
        <v>2652</v>
      </c>
      <c r="E1430" s="27">
        <f t="shared" si="305"/>
        <v>167081</v>
      </c>
      <c r="F1430" s="28">
        <f t="shared" si="304"/>
        <v>6683.2</v>
      </c>
      <c r="G1430" s="27">
        <v>0</v>
      </c>
      <c r="H1430" s="28"/>
      <c r="I1430" s="27">
        <f>노임!D15</f>
        <v>167081</v>
      </c>
      <c r="J1430" s="28">
        <f>TRUNC(I1430*C1430,1)</f>
        <v>6683.2</v>
      </c>
      <c r="K1430" s="27">
        <v>0</v>
      </c>
      <c r="L1430" s="28"/>
      <c r="M1430" s="86" t="s">
        <v>2856</v>
      </c>
      <c r="N1430" t="s">
        <v>2856</v>
      </c>
      <c r="P1430" t="s">
        <v>248</v>
      </c>
      <c r="Q1430" t="s">
        <v>2856</v>
      </c>
      <c r="R1430" t="s">
        <v>498</v>
      </c>
      <c r="BI1430" s="34" t="str">
        <f>HYPERLINK("#노임!A15","L085 →")</f>
        <v>L085 →</v>
      </c>
    </row>
    <row r="1431" spans="1:61" ht="18.399999999999999" hidden="1" customHeight="1" x14ac:dyDescent="0.15">
      <c r="A1431" s="1"/>
      <c r="B1431" s="87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87"/>
    </row>
    <row r="1432" spans="1:61" ht="18.399999999999999" hidden="1" customHeight="1" x14ac:dyDescent="0.15">
      <c r="A1432" s="2" t="s">
        <v>1041</v>
      </c>
      <c r="B1432" s="87" t="s">
        <v>1848</v>
      </c>
      <c r="C1432" s="2">
        <v>1</v>
      </c>
      <c r="D1432" s="2" t="s">
        <v>556</v>
      </c>
      <c r="E1432" s="184"/>
      <c r="F1432" s="29">
        <f t="shared" ref="F1432:F1439" si="306">H1432+J1432+L1432</f>
        <v>1606660</v>
      </c>
      <c r="G1432" s="184"/>
      <c r="H1432" s="29">
        <f>TRUNC(H1433+H1434+H1435+H1436+H1437+H1438+H1439,0)</f>
        <v>31283</v>
      </c>
      <c r="I1432" s="184"/>
      <c r="J1432" s="29">
        <f>TRUNC(J1433+J1434+J1435+J1436+J1437+J1438+J1439,0)</f>
        <v>1569074</v>
      </c>
      <c r="K1432" s="184"/>
      <c r="L1432" s="29">
        <f>TRUNC(L1433+L1434+L1435+L1436+L1437+L1438+L1439,0)</f>
        <v>6303</v>
      </c>
      <c r="M1432" s="86" t="s">
        <v>2856</v>
      </c>
      <c r="N1432" t="s">
        <v>2856</v>
      </c>
      <c r="O1432" t="s">
        <v>550</v>
      </c>
    </row>
    <row r="1433" spans="1:61" ht="18.399999999999999" hidden="1" customHeight="1" x14ac:dyDescent="0.15">
      <c r="A1433" s="2" t="s">
        <v>2176</v>
      </c>
      <c r="B1433" s="87" t="s">
        <v>2549</v>
      </c>
      <c r="C1433" s="2">
        <v>0</v>
      </c>
      <c r="D1433" s="2" t="s">
        <v>2856</v>
      </c>
      <c r="E1433" s="27">
        <f t="shared" ref="E1433:E1439" si="307">G1433+I1433+K1433</f>
        <v>0</v>
      </c>
      <c r="F1433" s="28">
        <f t="shared" si="306"/>
        <v>0</v>
      </c>
      <c r="G1433" s="27">
        <f>경비!D3</f>
        <v>0</v>
      </c>
      <c r="H1433" s="28">
        <f>TRUNC(G1433*C1433,1)</f>
        <v>0</v>
      </c>
      <c r="I1433" s="27">
        <f>경비!E3</f>
        <v>0</v>
      </c>
      <c r="J1433" s="28">
        <f>TRUNC(I1433*C1433,1)</f>
        <v>0</v>
      </c>
      <c r="K1433" s="27">
        <f>경비!F3</f>
        <v>0</v>
      </c>
      <c r="L1433" s="28">
        <f>TRUNC(K1433*C1433,1)</f>
        <v>0</v>
      </c>
      <c r="M1433" s="86" t="s">
        <v>2856</v>
      </c>
      <c r="N1433" t="s">
        <v>2856</v>
      </c>
      <c r="P1433" t="s">
        <v>334</v>
      </c>
      <c r="Q1433" t="s">
        <v>2856</v>
      </c>
      <c r="R1433" t="s">
        <v>1832</v>
      </c>
      <c r="BI1433" s="34" t="str">
        <f>HYPERLINK("#경비!A3","G_N →")</f>
        <v>G_N →</v>
      </c>
    </row>
    <row r="1434" spans="1:61" ht="18.399999999999999" hidden="1" customHeight="1" x14ac:dyDescent="0.15">
      <c r="A1434" s="2" t="s">
        <v>888</v>
      </c>
      <c r="B1434" s="87" t="s">
        <v>2680</v>
      </c>
      <c r="C1434" s="2">
        <v>0.4</v>
      </c>
      <c r="D1434" s="2" t="s">
        <v>2652</v>
      </c>
      <c r="E1434" s="27">
        <f t="shared" si="307"/>
        <v>167081</v>
      </c>
      <c r="F1434" s="28">
        <f t="shared" si="306"/>
        <v>66832.399999999994</v>
      </c>
      <c r="G1434" s="27">
        <v>0</v>
      </c>
      <c r="H1434" s="28"/>
      <c r="I1434" s="27">
        <f>노임!D15</f>
        <v>167081</v>
      </c>
      <c r="J1434" s="28">
        <f>TRUNC(I1434*C1434,1)</f>
        <v>66832.399999999994</v>
      </c>
      <c r="K1434" s="27">
        <v>0</v>
      </c>
      <c r="L1434" s="28"/>
      <c r="M1434" s="86" t="s">
        <v>2856</v>
      </c>
      <c r="N1434" t="s">
        <v>821</v>
      </c>
      <c r="P1434" t="s">
        <v>2471</v>
      </c>
      <c r="Q1434" t="s">
        <v>2856</v>
      </c>
      <c r="R1434" t="s">
        <v>498</v>
      </c>
      <c r="BI1434" s="34" t="str">
        <f>HYPERLINK("#노임!A15","L085 →")</f>
        <v>L085 →</v>
      </c>
    </row>
    <row r="1435" spans="1:61" ht="18.399999999999999" hidden="1" customHeight="1" x14ac:dyDescent="0.15">
      <c r="A1435" s="2" t="s">
        <v>1254</v>
      </c>
      <c r="B1435" s="87" t="s">
        <v>414</v>
      </c>
      <c r="C1435" s="2">
        <v>1.6339999999999999</v>
      </c>
      <c r="D1435" s="2" t="s">
        <v>2652</v>
      </c>
      <c r="E1435" s="27">
        <f t="shared" si="307"/>
        <v>251041</v>
      </c>
      <c r="F1435" s="28">
        <f t="shared" si="306"/>
        <v>410200.9</v>
      </c>
      <c r="G1435" s="27">
        <v>0</v>
      </c>
      <c r="H1435" s="28"/>
      <c r="I1435" s="27">
        <f>노임!D13</f>
        <v>251041</v>
      </c>
      <c r="J1435" s="28">
        <f>TRUNC(I1435*C1435,1)</f>
        <v>410200.9</v>
      </c>
      <c r="K1435" s="27">
        <v>0</v>
      </c>
      <c r="L1435" s="28"/>
      <c r="M1435" s="86" t="s">
        <v>2856</v>
      </c>
      <c r="N1435" t="s">
        <v>1799</v>
      </c>
      <c r="P1435" t="s">
        <v>1741</v>
      </c>
      <c r="Q1435" t="s">
        <v>2856</v>
      </c>
      <c r="R1435" t="s">
        <v>1362</v>
      </c>
      <c r="BI1435" s="34" t="str">
        <f>HYPERLINK("#노임!A13","L051 →")</f>
        <v>L051 →</v>
      </c>
    </row>
    <row r="1436" spans="1:61" ht="18.399999999999999" hidden="1" customHeight="1" x14ac:dyDescent="0.15">
      <c r="A1436" s="2" t="s">
        <v>888</v>
      </c>
      <c r="B1436" s="87" t="s">
        <v>216</v>
      </c>
      <c r="C1436" s="2">
        <v>6.5359999999999996</v>
      </c>
      <c r="D1436" s="2" t="s">
        <v>2652</v>
      </c>
      <c r="E1436" s="27">
        <f t="shared" si="307"/>
        <v>167081</v>
      </c>
      <c r="F1436" s="28">
        <f t="shared" si="306"/>
        <v>1092041.3999999999</v>
      </c>
      <c r="G1436" s="27">
        <v>0</v>
      </c>
      <c r="H1436" s="28"/>
      <c r="I1436" s="27">
        <f>노임!D15</f>
        <v>167081</v>
      </c>
      <c r="J1436" s="28">
        <f>TRUNC(I1436*C1436,1)</f>
        <v>1092041.3999999999</v>
      </c>
      <c r="K1436" s="27">
        <v>0</v>
      </c>
      <c r="L1436" s="28"/>
      <c r="M1436" s="86" t="s">
        <v>2856</v>
      </c>
      <c r="N1436" t="s">
        <v>821</v>
      </c>
      <c r="P1436" t="s">
        <v>1036</v>
      </c>
      <c r="Q1436" t="s">
        <v>2856</v>
      </c>
      <c r="R1436" t="s">
        <v>498</v>
      </c>
      <c r="BI1436" s="34" t="str">
        <f>HYPERLINK("#노임!A15","L085 →")</f>
        <v>L085 →</v>
      </c>
    </row>
    <row r="1437" spans="1:61" ht="18.399999999999999" hidden="1" customHeight="1" x14ac:dyDescent="0.15">
      <c r="A1437" s="2" t="s">
        <v>1252</v>
      </c>
      <c r="B1437" s="87" t="s">
        <v>2317</v>
      </c>
      <c r="C1437" s="2">
        <v>13.077999999999999</v>
      </c>
      <c r="D1437" s="2" t="s">
        <v>2377</v>
      </c>
      <c r="E1437" s="27">
        <f t="shared" si="307"/>
        <v>482</v>
      </c>
      <c r="F1437" s="28">
        <f t="shared" si="306"/>
        <v>6303.5</v>
      </c>
      <c r="G1437" s="27">
        <f>경비!D4</f>
        <v>0</v>
      </c>
      <c r="H1437" s="28">
        <f>TRUNC(G1437*C1437,1)</f>
        <v>0</v>
      </c>
      <c r="I1437" s="27">
        <f>경비!E4</f>
        <v>0</v>
      </c>
      <c r="J1437" s="28">
        <f>TRUNC(I1437*C1437,1)</f>
        <v>0</v>
      </c>
      <c r="K1437" s="27">
        <f>경비!F4</f>
        <v>482</v>
      </c>
      <c r="L1437" s="28">
        <f>TRUNC(K1437*C1437,1)</f>
        <v>6303.5</v>
      </c>
      <c r="M1437" s="86" t="s">
        <v>2856</v>
      </c>
      <c r="N1437" t="s">
        <v>2856</v>
      </c>
      <c r="P1437" t="s">
        <v>286</v>
      </c>
      <c r="Q1437" t="s">
        <v>2856</v>
      </c>
      <c r="R1437" t="s">
        <v>1205</v>
      </c>
      <c r="BI1437" s="34" t="str">
        <f>HYPERLINK("#경비!A4","GS0001 →")</f>
        <v>GS0001 →</v>
      </c>
    </row>
    <row r="1438" spans="1:61" ht="18.399999999999999" hidden="1" customHeight="1" x14ac:dyDescent="0.15">
      <c r="A1438" s="2" t="s">
        <v>2005</v>
      </c>
      <c r="B1438" s="87" t="s">
        <v>1143</v>
      </c>
      <c r="C1438" s="2">
        <v>9.1539999999999999</v>
      </c>
      <c r="D1438" s="2" t="s">
        <v>2287</v>
      </c>
      <c r="E1438" s="27">
        <f t="shared" si="307"/>
        <v>1538</v>
      </c>
      <c r="F1438" s="28">
        <f t="shared" si="306"/>
        <v>14078.8</v>
      </c>
      <c r="G1438" s="27">
        <f>자재조서!E6</f>
        <v>1538</v>
      </c>
      <c r="H1438" s="28">
        <f>TRUNC(G1438*C1438,1)</f>
        <v>14078.8</v>
      </c>
      <c r="I1438" s="27">
        <v>0</v>
      </c>
      <c r="J1438" s="28"/>
      <c r="K1438" s="27">
        <v>0</v>
      </c>
      <c r="L1438" s="28"/>
      <c r="M1438" s="86" t="s">
        <v>2856</v>
      </c>
      <c r="N1438" t="s">
        <v>1358</v>
      </c>
      <c r="P1438" t="s">
        <v>2428</v>
      </c>
      <c r="Q1438" t="s">
        <v>2856</v>
      </c>
      <c r="R1438" t="s">
        <v>2425</v>
      </c>
      <c r="BI1438" s="34" t="str">
        <f>HYPERLINK("#자재조서!A5","M-TP-35 →")</f>
        <v>M-TP-35 →</v>
      </c>
    </row>
    <row r="1439" spans="1:61" ht="18.399999999999999" hidden="1" customHeight="1" x14ac:dyDescent="0.15">
      <c r="A1439" s="2" t="s">
        <v>827</v>
      </c>
      <c r="B1439" s="87" t="s">
        <v>2666</v>
      </c>
      <c r="C1439" s="2">
        <v>3.7919999999999998</v>
      </c>
      <c r="D1439" s="2" t="s">
        <v>2287</v>
      </c>
      <c r="E1439" s="27">
        <f t="shared" si="307"/>
        <v>4537</v>
      </c>
      <c r="F1439" s="28">
        <f t="shared" si="306"/>
        <v>17204.3</v>
      </c>
      <c r="G1439" s="27">
        <f>자재조서!E5</f>
        <v>4537</v>
      </c>
      <c r="H1439" s="28">
        <f>TRUNC(G1439*C1439,1)</f>
        <v>17204.3</v>
      </c>
      <c r="I1439" s="27">
        <v>0</v>
      </c>
      <c r="J1439" s="28"/>
      <c r="K1439" s="27">
        <v>0</v>
      </c>
      <c r="L1439" s="28"/>
      <c r="M1439" s="86" t="s">
        <v>2856</v>
      </c>
      <c r="N1439" t="s">
        <v>2856</v>
      </c>
      <c r="P1439" t="s">
        <v>1686</v>
      </c>
      <c r="Q1439" t="s">
        <v>2856</v>
      </c>
      <c r="R1439" t="s">
        <v>1363</v>
      </c>
      <c r="BI1439" s="34" t="str">
        <f>HYPERLINK("#자재조서!A4","M-TP-32 →")</f>
        <v>M-TP-32 →</v>
      </c>
    </row>
    <row r="1440" spans="1:61" ht="18.399999999999999" hidden="1" customHeight="1" x14ac:dyDescent="0.15">
      <c r="A1440" s="1"/>
      <c r="B1440" s="87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87"/>
    </row>
    <row r="1441" spans="1:61" ht="18.399999999999999" hidden="1" customHeight="1" x14ac:dyDescent="0.15">
      <c r="A1441" s="2" t="s">
        <v>324</v>
      </c>
      <c r="B1441" s="87" t="s">
        <v>730</v>
      </c>
      <c r="C1441" s="2">
        <v>1</v>
      </c>
      <c r="D1441" s="2" t="s">
        <v>556</v>
      </c>
      <c r="E1441" s="184"/>
      <c r="F1441" s="29">
        <f t="shared" ref="F1441:F1448" si="308">H1441+J1441+L1441</f>
        <v>188194</v>
      </c>
      <c r="G1441" s="184"/>
      <c r="H1441" s="29">
        <f>TRUNC(H1442+H1443+H1444+H1445+H1446+H1447+H1448,0)</f>
        <v>3192</v>
      </c>
      <c r="I1441" s="184"/>
      <c r="J1441" s="29">
        <f>TRUNC(J1442+J1443+J1444+J1445+J1446+J1447+J1448,0)</f>
        <v>184359</v>
      </c>
      <c r="K1441" s="184"/>
      <c r="L1441" s="29">
        <f>TRUNC(L1442+L1443+L1444+L1445+L1446+L1447+L1448,0)</f>
        <v>643</v>
      </c>
      <c r="M1441" s="86" t="s">
        <v>2856</v>
      </c>
      <c r="N1441" t="s">
        <v>2856</v>
      </c>
      <c r="O1441" t="s">
        <v>2229</v>
      </c>
    </row>
    <row r="1442" spans="1:61" ht="18.399999999999999" hidden="1" customHeight="1" x14ac:dyDescent="0.15">
      <c r="A1442" s="2" t="s">
        <v>2176</v>
      </c>
      <c r="B1442" s="87" t="s">
        <v>2549</v>
      </c>
      <c r="C1442" s="2">
        <v>0</v>
      </c>
      <c r="D1442" s="2" t="s">
        <v>2856</v>
      </c>
      <c r="E1442" s="27">
        <f t="shared" ref="E1442:E1448" si="309">G1442+I1442+K1442</f>
        <v>0</v>
      </c>
      <c r="F1442" s="28">
        <f t="shared" si="308"/>
        <v>0</v>
      </c>
      <c r="G1442" s="27">
        <f>경비!D3</f>
        <v>0</v>
      </c>
      <c r="H1442" s="28">
        <f>TRUNC(G1442*C1442,1)</f>
        <v>0</v>
      </c>
      <c r="I1442" s="27">
        <f>경비!E3</f>
        <v>0</v>
      </c>
      <c r="J1442" s="28">
        <f>TRUNC(I1442*C1442,1)</f>
        <v>0</v>
      </c>
      <c r="K1442" s="27">
        <f>경비!F3</f>
        <v>0</v>
      </c>
      <c r="L1442" s="28">
        <f>TRUNC(K1442*C1442,1)</f>
        <v>0</v>
      </c>
      <c r="M1442" s="86" t="s">
        <v>2856</v>
      </c>
      <c r="N1442" t="s">
        <v>2856</v>
      </c>
      <c r="P1442" t="s">
        <v>334</v>
      </c>
      <c r="Q1442" t="s">
        <v>2856</v>
      </c>
      <c r="R1442" t="s">
        <v>1832</v>
      </c>
      <c r="BI1442" s="34" t="str">
        <f>HYPERLINK("#경비!A3","G_N →")</f>
        <v>G_N →</v>
      </c>
    </row>
    <row r="1443" spans="1:61" ht="18.399999999999999" hidden="1" customHeight="1" x14ac:dyDescent="0.15">
      <c r="A1443" s="2" t="s">
        <v>888</v>
      </c>
      <c r="B1443" s="87" t="s">
        <v>2680</v>
      </c>
      <c r="C1443" s="2">
        <v>0.19</v>
      </c>
      <c r="D1443" s="2" t="s">
        <v>2652</v>
      </c>
      <c r="E1443" s="27">
        <f t="shared" si="309"/>
        <v>167081</v>
      </c>
      <c r="F1443" s="28">
        <f t="shared" si="308"/>
        <v>31745.3</v>
      </c>
      <c r="G1443" s="27">
        <v>0</v>
      </c>
      <c r="H1443" s="28"/>
      <c r="I1443" s="27">
        <f>노임!D15</f>
        <v>167081</v>
      </c>
      <c r="J1443" s="28">
        <f>TRUNC(I1443*C1443,1)</f>
        <v>31745.3</v>
      </c>
      <c r="K1443" s="27">
        <v>0</v>
      </c>
      <c r="L1443" s="28"/>
      <c r="M1443" s="86" t="s">
        <v>2856</v>
      </c>
      <c r="N1443" t="s">
        <v>821</v>
      </c>
      <c r="P1443" t="s">
        <v>2471</v>
      </c>
      <c r="Q1443" t="s">
        <v>2856</v>
      </c>
      <c r="R1443" t="s">
        <v>498</v>
      </c>
      <c r="BI1443" s="34" t="str">
        <f>HYPERLINK("#노임!A15","L085 →")</f>
        <v>L085 →</v>
      </c>
    </row>
    <row r="1444" spans="1:61" ht="18.399999999999999" hidden="1" customHeight="1" x14ac:dyDescent="0.15">
      <c r="A1444" s="2" t="s">
        <v>1254</v>
      </c>
      <c r="B1444" s="87" t="s">
        <v>414</v>
      </c>
      <c r="C1444" s="2">
        <v>0.16600000000000001</v>
      </c>
      <c r="D1444" s="2" t="s">
        <v>2652</v>
      </c>
      <c r="E1444" s="27">
        <f t="shared" si="309"/>
        <v>251041</v>
      </c>
      <c r="F1444" s="28">
        <f t="shared" si="308"/>
        <v>41672.800000000003</v>
      </c>
      <c r="G1444" s="27">
        <v>0</v>
      </c>
      <c r="H1444" s="28"/>
      <c r="I1444" s="27">
        <f>노임!D13</f>
        <v>251041</v>
      </c>
      <c r="J1444" s="28">
        <f>TRUNC(I1444*C1444,1)</f>
        <v>41672.800000000003</v>
      </c>
      <c r="K1444" s="27">
        <v>0</v>
      </c>
      <c r="L1444" s="28"/>
      <c r="M1444" s="86" t="s">
        <v>2856</v>
      </c>
      <c r="N1444" t="s">
        <v>1799</v>
      </c>
      <c r="P1444" t="s">
        <v>1741</v>
      </c>
      <c r="Q1444" t="s">
        <v>2856</v>
      </c>
      <c r="R1444" t="s">
        <v>1362</v>
      </c>
      <c r="BI1444" s="34" t="str">
        <f>HYPERLINK("#노임!A13","L051 →")</f>
        <v>L051 →</v>
      </c>
    </row>
    <row r="1445" spans="1:61" ht="18.399999999999999" hidden="1" customHeight="1" x14ac:dyDescent="0.15">
      <c r="A1445" s="2" t="s">
        <v>888</v>
      </c>
      <c r="B1445" s="87" t="s">
        <v>216</v>
      </c>
      <c r="C1445" s="2">
        <v>0.66400000000000003</v>
      </c>
      <c r="D1445" s="2" t="s">
        <v>2652</v>
      </c>
      <c r="E1445" s="27">
        <f t="shared" si="309"/>
        <v>167081</v>
      </c>
      <c r="F1445" s="28">
        <f t="shared" si="308"/>
        <v>110941.7</v>
      </c>
      <c r="G1445" s="27">
        <v>0</v>
      </c>
      <c r="H1445" s="28"/>
      <c r="I1445" s="27">
        <f>노임!D15</f>
        <v>167081</v>
      </c>
      <c r="J1445" s="28">
        <f>TRUNC(I1445*C1445,1)</f>
        <v>110941.7</v>
      </c>
      <c r="K1445" s="27">
        <v>0</v>
      </c>
      <c r="L1445" s="28"/>
      <c r="M1445" s="86" t="s">
        <v>2856</v>
      </c>
      <c r="N1445" t="s">
        <v>821</v>
      </c>
      <c r="P1445" t="s">
        <v>1036</v>
      </c>
      <c r="Q1445" t="s">
        <v>2856</v>
      </c>
      <c r="R1445" t="s">
        <v>498</v>
      </c>
      <c r="BI1445" s="34" t="str">
        <f>HYPERLINK("#노임!A15","L085 →")</f>
        <v>L085 →</v>
      </c>
    </row>
    <row r="1446" spans="1:61" ht="18.399999999999999" hidden="1" customHeight="1" x14ac:dyDescent="0.15">
      <c r="A1446" s="2" t="s">
        <v>1252</v>
      </c>
      <c r="B1446" s="87" t="s">
        <v>2317</v>
      </c>
      <c r="C1446" s="2">
        <v>1.335</v>
      </c>
      <c r="D1446" s="2" t="s">
        <v>2377</v>
      </c>
      <c r="E1446" s="27">
        <f t="shared" si="309"/>
        <v>482</v>
      </c>
      <c r="F1446" s="28">
        <f t="shared" si="308"/>
        <v>643.4</v>
      </c>
      <c r="G1446" s="27">
        <f>경비!D4</f>
        <v>0</v>
      </c>
      <c r="H1446" s="28">
        <f>TRUNC(G1446*C1446,1)</f>
        <v>0</v>
      </c>
      <c r="I1446" s="27">
        <f>경비!E4</f>
        <v>0</v>
      </c>
      <c r="J1446" s="28">
        <f>TRUNC(I1446*C1446,1)</f>
        <v>0</v>
      </c>
      <c r="K1446" s="27">
        <f>경비!F4</f>
        <v>482</v>
      </c>
      <c r="L1446" s="28">
        <f>TRUNC(K1446*C1446,1)</f>
        <v>643.4</v>
      </c>
      <c r="M1446" s="86" t="s">
        <v>2856</v>
      </c>
      <c r="N1446" t="s">
        <v>2856</v>
      </c>
      <c r="P1446" t="s">
        <v>286</v>
      </c>
      <c r="Q1446" t="s">
        <v>2856</v>
      </c>
      <c r="R1446" t="s">
        <v>1205</v>
      </c>
      <c r="BI1446" s="34" t="str">
        <f>HYPERLINK("#경비!A4","GS0001 →")</f>
        <v>GS0001 →</v>
      </c>
    </row>
    <row r="1447" spans="1:61" ht="18.399999999999999" hidden="1" customHeight="1" x14ac:dyDescent="0.15">
      <c r="A1447" s="2" t="s">
        <v>2005</v>
      </c>
      <c r="B1447" s="87" t="s">
        <v>1143</v>
      </c>
      <c r="C1447" s="2">
        <v>0.93400000000000005</v>
      </c>
      <c r="D1447" s="2" t="s">
        <v>2287</v>
      </c>
      <c r="E1447" s="27">
        <f t="shared" si="309"/>
        <v>1538</v>
      </c>
      <c r="F1447" s="28">
        <f t="shared" si="308"/>
        <v>1436.4</v>
      </c>
      <c r="G1447" s="27">
        <f>자재조서!E6</f>
        <v>1538</v>
      </c>
      <c r="H1447" s="28">
        <f>TRUNC(G1447*C1447,1)</f>
        <v>1436.4</v>
      </c>
      <c r="I1447" s="27">
        <v>0</v>
      </c>
      <c r="J1447" s="28"/>
      <c r="K1447" s="27">
        <v>0</v>
      </c>
      <c r="L1447" s="28"/>
      <c r="M1447" s="86" t="s">
        <v>2856</v>
      </c>
      <c r="N1447" t="s">
        <v>1358</v>
      </c>
      <c r="P1447" t="s">
        <v>2428</v>
      </c>
      <c r="Q1447" t="s">
        <v>2856</v>
      </c>
      <c r="R1447" t="s">
        <v>2425</v>
      </c>
      <c r="BI1447" s="34" t="str">
        <f>HYPERLINK("#자재조서!A5","M-TP-35 →")</f>
        <v>M-TP-35 →</v>
      </c>
    </row>
    <row r="1448" spans="1:61" ht="18.399999999999999" hidden="1" customHeight="1" x14ac:dyDescent="0.15">
      <c r="A1448" s="2" t="s">
        <v>827</v>
      </c>
      <c r="B1448" s="87" t="s">
        <v>2666</v>
      </c>
      <c r="C1448" s="2">
        <v>0.38700000000000001</v>
      </c>
      <c r="D1448" s="2" t="s">
        <v>2287</v>
      </c>
      <c r="E1448" s="27">
        <f t="shared" si="309"/>
        <v>4537</v>
      </c>
      <c r="F1448" s="28">
        <f t="shared" si="308"/>
        <v>1755.8</v>
      </c>
      <c r="G1448" s="27">
        <f>자재조서!E5</f>
        <v>4537</v>
      </c>
      <c r="H1448" s="28">
        <f>TRUNC(G1448*C1448,1)</f>
        <v>1755.8</v>
      </c>
      <c r="I1448" s="27">
        <v>0</v>
      </c>
      <c r="J1448" s="28"/>
      <c r="K1448" s="27">
        <v>0</v>
      </c>
      <c r="L1448" s="28"/>
      <c r="M1448" s="86" t="s">
        <v>2856</v>
      </c>
      <c r="N1448" t="s">
        <v>2856</v>
      </c>
      <c r="P1448" t="s">
        <v>1686</v>
      </c>
      <c r="Q1448" t="s">
        <v>2856</v>
      </c>
      <c r="R1448" t="s">
        <v>1363</v>
      </c>
      <c r="BI1448" s="34" t="str">
        <f>HYPERLINK("#자재조서!A4","M-TP-32 →")</f>
        <v>M-TP-32 →</v>
      </c>
    </row>
    <row r="1449" spans="1:61" ht="18.399999999999999" hidden="1" customHeight="1" x14ac:dyDescent="0.15">
      <c r="A1449" s="1"/>
      <c r="B1449" s="87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87"/>
    </row>
    <row r="1450" spans="1:61" ht="18.399999999999999" hidden="1" customHeight="1" x14ac:dyDescent="0.15">
      <c r="A1450" s="2" t="s">
        <v>2402</v>
      </c>
      <c r="B1450" s="87" t="s">
        <v>1925</v>
      </c>
      <c r="C1450" s="2">
        <v>1</v>
      </c>
      <c r="D1450" s="2" t="s">
        <v>556</v>
      </c>
      <c r="E1450" s="184"/>
      <c r="F1450" s="29">
        <f t="shared" ref="F1450:F1457" si="310">H1450+J1450+L1450</f>
        <v>334850</v>
      </c>
      <c r="G1450" s="184"/>
      <c r="H1450" s="29">
        <f>TRUNC(H1451+H1452+H1453+H1454+H1455+H1456+H1457,0)</f>
        <v>5957</v>
      </c>
      <c r="I1450" s="184"/>
      <c r="J1450" s="29">
        <f>TRUNC(J1451+J1452+J1453+J1454+J1455+J1456+J1457,0)</f>
        <v>327692</v>
      </c>
      <c r="K1450" s="184"/>
      <c r="L1450" s="29">
        <f>TRUNC(L1451+L1452+L1453+L1454+L1455+L1456+L1457,0)</f>
        <v>1201</v>
      </c>
      <c r="M1450" s="86" t="s">
        <v>2856</v>
      </c>
      <c r="N1450" t="s">
        <v>2856</v>
      </c>
      <c r="O1450" t="s">
        <v>1332</v>
      </c>
    </row>
    <row r="1451" spans="1:61" ht="18.399999999999999" hidden="1" customHeight="1" x14ac:dyDescent="0.15">
      <c r="A1451" s="2" t="s">
        <v>2176</v>
      </c>
      <c r="B1451" s="87" t="s">
        <v>2549</v>
      </c>
      <c r="C1451" s="2">
        <v>0</v>
      </c>
      <c r="D1451" s="2" t="s">
        <v>2856</v>
      </c>
      <c r="E1451" s="27">
        <f t="shared" ref="E1451:E1457" si="311">G1451+I1451+K1451</f>
        <v>0</v>
      </c>
      <c r="F1451" s="28">
        <f t="shared" si="310"/>
        <v>0</v>
      </c>
      <c r="G1451" s="27">
        <f>경비!D3</f>
        <v>0</v>
      </c>
      <c r="H1451" s="28">
        <f>TRUNC(G1451*C1451,1)</f>
        <v>0</v>
      </c>
      <c r="I1451" s="27">
        <f>경비!E3</f>
        <v>0</v>
      </c>
      <c r="J1451" s="28">
        <f>TRUNC(I1451*C1451,1)</f>
        <v>0</v>
      </c>
      <c r="K1451" s="27">
        <f>경비!F3</f>
        <v>0</v>
      </c>
      <c r="L1451" s="28">
        <f>TRUNC(K1451*C1451,1)</f>
        <v>0</v>
      </c>
      <c r="M1451" s="86" t="s">
        <v>2856</v>
      </c>
      <c r="N1451" t="s">
        <v>2856</v>
      </c>
      <c r="P1451" t="s">
        <v>334</v>
      </c>
      <c r="Q1451" t="s">
        <v>2856</v>
      </c>
      <c r="R1451" t="s">
        <v>1832</v>
      </c>
      <c r="BI1451" s="34" t="str">
        <f>HYPERLINK("#경비!A3","G_N →")</f>
        <v>G_N →</v>
      </c>
    </row>
    <row r="1452" spans="1:61" ht="18.399999999999999" hidden="1" customHeight="1" x14ac:dyDescent="0.15">
      <c r="A1452" s="2" t="s">
        <v>888</v>
      </c>
      <c r="B1452" s="87" t="s">
        <v>2680</v>
      </c>
      <c r="C1452" s="2">
        <v>0.25</v>
      </c>
      <c r="D1452" s="2" t="s">
        <v>2652</v>
      </c>
      <c r="E1452" s="27">
        <f t="shared" si="311"/>
        <v>167081</v>
      </c>
      <c r="F1452" s="28">
        <f t="shared" si="310"/>
        <v>41770.199999999997</v>
      </c>
      <c r="G1452" s="27">
        <v>0</v>
      </c>
      <c r="H1452" s="28"/>
      <c r="I1452" s="27">
        <f>노임!D15</f>
        <v>167081</v>
      </c>
      <c r="J1452" s="28">
        <f>TRUNC(I1452*C1452,1)</f>
        <v>41770.199999999997</v>
      </c>
      <c r="K1452" s="27">
        <v>0</v>
      </c>
      <c r="L1452" s="28"/>
      <c r="M1452" s="86" t="s">
        <v>2856</v>
      </c>
      <c r="N1452" t="s">
        <v>821</v>
      </c>
      <c r="P1452" t="s">
        <v>2471</v>
      </c>
      <c r="Q1452" t="s">
        <v>2856</v>
      </c>
      <c r="R1452" t="s">
        <v>498</v>
      </c>
      <c r="BI1452" s="34" t="str">
        <f>HYPERLINK("#노임!A15","L085 →")</f>
        <v>L085 →</v>
      </c>
    </row>
    <row r="1453" spans="1:61" ht="18.399999999999999" hidden="1" customHeight="1" x14ac:dyDescent="0.15">
      <c r="A1453" s="2" t="s">
        <v>1254</v>
      </c>
      <c r="B1453" s="87" t="s">
        <v>414</v>
      </c>
      <c r="C1453" s="2">
        <v>0.311</v>
      </c>
      <c r="D1453" s="2" t="s">
        <v>2652</v>
      </c>
      <c r="E1453" s="27">
        <f t="shared" si="311"/>
        <v>251041</v>
      </c>
      <c r="F1453" s="28">
        <f t="shared" si="310"/>
        <v>78073.7</v>
      </c>
      <c r="G1453" s="27">
        <v>0</v>
      </c>
      <c r="H1453" s="28"/>
      <c r="I1453" s="27">
        <f>노임!D13</f>
        <v>251041</v>
      </c>
      <c r="J1453" s="28">
        <f>TRUNC(I1453*C1453,1)</f>
        <v>78073.7</v>
      </c>
      <c r="K1453" s="27">
        <v>0</v>
      </c>
      <c r="L1453" s="28"/>
      <c r="M1453" s="86" t="s">
        <v>2856</v>
      </c>
      <c r="N1453" t="s">
        <v>1799</v>
      </c>
      <c r="P1453" t="s">
        <v>1741</v>
      </c>
      <c r="Q1453" t="s">
        <v>2856</v>
      </c>
      <c r="R1453" t="s">
        <v>1362</v>
      </c>
      <c r="BI1453" s="34" t="str">
        <f>HYPERLINK("#노임!A13","L051 →")</f>
        <v>L051 →</v>
      </c>
    </row>
    <row r="1454" spans="1:61" ht="18.399999999999999" hidden="1" customHeight="1" x14ac:dyDescent="0.15">
      <c r="A1454" s="2" t="s">
        <v>888</v>
      </c>
      <c r="B1454" s="87" t="s">
        <v>216</v>
      </c>
      <c r="C1454" s="2">
        <v>1.244</v>
      </c>
      <c r="D1454" s="2" t="s">
        <v>2652</v>
      </c>
      <c r="E1454" s="27">
        <f t="shared" si="311"/>
        <v>167081</v>
      </c>
      <c r="F1454" s="28">
        <f t="shared" si="310"/>
        <v>207848.7</v>
      </c>
      <c r="G1454" s="27">
        <v>0</v>
      </c>
      <c r="H1454" s="28"/>
      <c r="I1454" s="27">
        <f>노임!D15</f>
        <v>167081</v>
      </c>
      <c r="J1454" s="28">
        <f>TRUNC(I1454*C1454,1)</f>
        <v>207848.7</v>
      </c>
      <c r="K1454" s="27">
        <v>0</v>
      </c>
      <c r="L1454" s="28"/>
      <c r="M1454" s="86" t="s">
        <v>2856</v>
      </c>
      <c r="N1454" t="s">
        <v>821</v>
      </c>
      <c r="P1454" t="s">
        <v>1036</v>
      </c>
      <c r="Q1454" t="s">
        <v>2856</v>
      </c>
      <c r="R1454" t="s">
        <v>498</v>
      </c>
      <c r="BI1454" s="34" t="str">
        <f>HYPERLINK("#노임!A15","L085 →")</f>
        <v>L085 →</v>
      </c>
    </row>
    <row r="1455" spans="1:61" ht="18.399999999999999" hidden="1" customHeight="1" x14ac:dyDescent="0.15">
      <c r="A1455" s="2" t="s">
        <v>1252</v>
      </c>
      <c r="B1455" s="87" t="s">
        <v>2317</v>
      </c>
      <c r="C1455" s="2">
        <v>2.492</v>
      </c>
      <c r="D1455" s="2" t="s">
        <v>2377</v>
      </c>
      <c r="E1455" s="27">
        <f t="shared" si="311"/>
        <v>482</v>
      </c>
      <c r="F1455" s="28">
        <f t="shared" si="310"/>
        <v>1201.0999999999999</v>
      </c>
      <c r="G1455" s="27">
        <f>경비!D4</f>
        <v>0</v>
      </c>
      <c r="H1455" s="28">
        <f>TRUNC(G1455*C1455,1)</f>
        <v>0</v>
      </c>
      <c r="I1455" s="27">
        <f>경비!E4</f>
        <v>0</v>
      </c>
      <c r="J1455" s="28">
        <f>TRUNC(I1455*C1455,1)</f>
        <v>0</v>
      </c>
      <c r="K1455" s="27">
        <f>경비!F4</f>
        <v>482</v>
      </c>
      <c r="L1455" s="28">
        <f>TRUNC(K1455*C1455,1)</f>
        <v>1201.0999999999999</v>
      </c>
      <c r="M1455" s="86" t="s">
        <v>2856</v>
      </c>
      <c r="N1455" t="s">
        <v>2856</v>
      </c>
      <c r="P1455" t="s">
        <v>286</v>
      </c>
      <c r="Q1455" t="s">
        <v>2856</v>
      </c>
      <c r="R1455" t="s">
        <v>1205</v>
      </c>
      <c r="BI1455" s="34" t="str">
        <f>HYPERLINK("#경비!A4","GS0001 →")</f>
        <v>GS0001 →</v>
      </c>
    </row>
    <row r="1456" spans="1:61" ht="18.399999999999999" hidden="1" customHeight="1" x14ac:dyDescent="0.15">
      <c r="A1456" s="2" t="s">
        <v>2005</v>
      </c>
      <c r="B1456" s="87" t="s">
        <v>1143</v>
      </c>
      <c r="C1456" s="2">
        <v>1.744</v>
      </c>
      <c r="D1456" s="2" t="s">
        <v>2287</v>
      </c>
      <c r="E1456" s="27">
        <f t="shared" si="311"/>
        <v>1538</v>
      </c>
      <c r="F1456" s="28">
        <f t="shared" si="310"/>
        <v>2682.2</v>
      </c>
      <c r="G1456" s="27">
        <f>자재조서!E6</f>
        <v>1538</v>
      </c>
      <c r="H1456" s="28">
        <f>TRUNC(G1456*C1456,1)</f>
        <v>2682.2</v>
      </c>
      <c r="I1456" s="27">
        <v>0</v>
      </c>
      <c r="J1456" s="28"/>
      <c r="K1456" s="27">
        <v>0</v>
      </c>
      <c r="L1456" s="28"/>
      <c r="M1456" s="86" t="s">
        <v>2856</v>
      </c>
      <c r="N1456" t="s">
        <v>1358</v>
      </c>
      <c r="P1456" t="s">
        <v>2428</v>
      </c>
      <c r="Q1456" t="s">
        <v>2856</v>
      </c>
      <c r="R1456" t="s">
        <v>2425</v>
      </c>
      <c r="BI1456" s="34" t="str">
        <f>HYPERLINK("#자재조서!A5","M-TP-35 →")</f>
        <v>M-TP-35 →</v>
      </c>
    </row>
    <row r="1457" spans="1:61" ht="18.399999999999999" hidden="1" customHeight="1" x14ac:dyDescent="0.15">
      <c r="A1457" s="2" t="s">
        <v>827</v>
      </c>
      <c r="B1457" s="87" t="s">
        <v>2666</v>
      </c>
      <c r="C1457" s="2">
        <v>0.72199999999999998</v>
      </c>
      <c r="D1457" s="2" t="s">
        <v>2287</v>
      </c>
      <c r="E1457" s="27">
        <f t="shared" si="311"/>
        <v>4537</v>
      </c>
      <c r="F1457" s="28">
        <f t="shared" si="310"/>
        <v>3275.7</v>
      </c>
      <c r="G1457" s="27">
        <f>자재조서!E5</f>
        <v>4537</v>
      </c>
      <c r="H1457" s="28">
        <f>TRUNC(G1457*C1457,1)</f>
        <v>3275.7</v>
      </c>
      <c r="I1457" s="27">
        <v>0</v>
      </c>
      <c r="J1457" s="28"/>
      <c r="K1457" s="27">
        <v>0</v>
      </c>
      <c r="L1457" s="28"/>
      <c r="M1457" s="86" t="s">
        <v>2856</v>
      </c>
      <c r="N1457" t="s">
        <v>2856</v>
      </c>
      <c r="P1457" t="s">
        <v>1686</v>
      </c>
      <c r="Q1457" t="s">
        <v>2856</v>
      </c>
      <c r="R1457" t="s">
        <v>1363</v>
      </c>
      <c r="BI1457" s="34" t="str">
        <f>HYPERLINK("#자재조서!A4","M-TP-32 →")</f>
        <v>M-TP-32 →</v>
      </c>
    </row>
    <row r="1458" spans="1:61" ht="18.399999999999999" hidden="1" customHeight="1" x14ac:dyDescent="0.15">
      <c r="A1458" s="1"/>
      <c r="B1458" s="87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87"/>
    </row>
    <row r="1459" spans="1:61" ht="18.399999999999999" hidden="1" customHeight="1" x14ac:dyDescent="0.15">
      <c r="A1459" s="2" t="s">
        <v>1626</v>
      </c>
      <c r="B1459" s="87" t="s">
        <v>1618</v>
      </c>
      <c r="C1459" s="2">
        <v>1</v>
      </c>
      <c r="D1459" s="2" t="s">
        <v>556</v>
      </c>
      <c r="E1459" s="184"/>
      <c r="F1459" s="29">
        <f t="shared" ref="F1459:F1466" si="312">H1459+J1459+L1459</f>
        <v>119090</v>
      </c>
      <c r="G1459" s="184"/>
      <c r="H1459" s="29">
        <f>TRUNC(H1460+H1461+H1462+H1463+H1464+H1465+H1466,0)</f>
        <v>1881</v>
      </c>
      <c r="I1459" s="184"/>
      <c r="J1459" s="29">
        <f>TRUNC(J1460+J1461+J1462+J1463+J1464+J1465+J1466,0)</f>
        <v>116830</v>
      </c>
      <c r="K1459" s="184"/>
      <c r="L1459" s="29">
        <f>TRUNC(L1460+L1461+L1462+L1463+L1464+L1465+L1466,0)</f>
        <v>379</v>
      </c>
      <c r="M1459" s="86" t="s">
        <v>2856</v>
      </c>
      <c r="N1459" t="s">
        <v>2856</v>
      </c>
      <c r="O1459" t="s">
        <v>1508</v>
      </c>
    </row>
    <row r="1460" spans="1:61" ht="18.399999999999999" hidden="1" customHeight="1" x14ac:dyDescent="0.15">
      <c r="A1460" s="2" t="s">
        <v>2176</v>
      </c>
      <c r="B1460" s="87" t="s">
        <v>2549</v>
      </c>
      <c r="C1460" s="2">
        <v>0</v>
      </c>
      <c r="D1460" s="2" t="s">
        <v>2856</v>
      </c>
      <c r="E1460" s="27">
        <f t="shared" ref="E1460:E1466" si="313">G1460+I1460+K1460</f>
        <v>0</v>
      </c>
      <c r="F1460" s="28">
        <f t="shared" si="312"/>
        <v>0</v>
      </c>
      <c r="G1460" s="27">
        <f>경비!D3</f>
        <v>0</v>
      </c>
      <c r="H1460" s="28">
        <f>TRUNC(G1460*C1460,1)</f>
        <v>0</v>
      </c>
      <c r="I1460" s="27">
        <f>경비!E3</f>
        <v>0</v>
      </c>
      <c r="J1460" s="28">
        <f>TRUNC(I1460*C1460,1)</f>
        <v>0</v>
      </c>
      <c r="K1460" s="27">
        <f>경비!F3</f>
        <v>0</v>
      </c>
      <c r="L1460" s="28">
        <f>TRUNC(K1460*C1460,1)</f>
        <v>0</v>
      </c>
      <c r="M1460" s="86" t="s">
        <v>2856</v>
      </c>
      <c r="N1460" t="s">
        <v>2856</v>
      </c>
      <c r="P1460" t="s">
        <v>334</v>
      </c>
      <c r="Q1460" t="s">
        <v>2856</v>
      </c>
      <c r="R1460" t="s">
        <v>1832</v>
      </c>
      <c r="BI1460" s="34" t="str">
        <f>HYPERLINK("#경비!A3","G_N →")</f>
        <v>G_N →</v>
      </c>
    </row>
    <row r="1461" spans="1:61" ht="18.399999999999999" hidden="1" customHeight="1" x14ac:dyDescent="0.15">
      <c r="A1461" s="2" t="s">
        <v>888</v>
      </c>
      <c r="B1461" s="87" t="s">
        <v>2680</v>
      </c>
      <c r="C1461" s="2">
        <v>0.16</v>
      </c>
      <c r="D1461" s="2" t="s">
        <v>2652</v>
      </c>
      <c r="E1461" s="27">
        <f t="shared" si="313"/>
        <v>167081</v>
      </c>
      <c r="F1461" s="28">
        <f t="shared" si="312"/>
        <v>26732.9</v>
      </c>
      <c r="G1461" s="27">
        <v>0</v>
      </c>
      <c r="H1461" s="28"/>
      <c r="I1461" s="27">
        <f>노임!D15</f>
        <v>167081</v>
      </c>
      <c r="J1461" s="28">
        <f>TRUNC(I1461*C1461,1)</f>
        <v>26732.9</v>
      </c>
      <c r="K1461" s="27">
        <v>0</v>
      </c>
      <c r="L1461" s="28"/>
      <c r="M1461" s="86" t="s">
        <v>2856</v>
      </c>
      <c r="N1461" t="s">
        <v>821</v>
      </c>
      <c r="P1461" t="s">
        <v>2471</v>
      </c>
      <c r="Q1461" t="s">
        <v>2856</v>
      </c>
      <c r="R1461" t="s">
        <v>498</v>
      </c>
      <c r="BI1461" s="34" t="str">
        <f>HYPERLINK("#노임!A15","L085 →")</f>
        <v>L085 →</v>
      </c>
    </row>
    <row r="1462" spans="1:61" ht="18.399999999999999" hidden="1" customHeight="1" x14ac:dyDescent="0.15">
      <c r="A1462" s="2" t="s">
        <v>1254</v>
      </c>
      <c r="B1462" s="87" t="s">
        <v>414</v>
      </c>
      <c r="C1462" s="2">
        <v>9.8000000000000004E-2</v>
      </c>
      <c r="D1462" s="2" t="s">
        <v>2652</v>
      </c>
      <c r="E1462" s="27">
        <f t="shared" si="313"/>
        <v>251041</v>
      </c>
      <c r="F1462" s="28">
        <f t="shared" si="312"/>
        <v>24602</v>
      </c>
      <c r="G1462" s="27">
        <v>0</v>
      </c>
      <c r="H1462" s="28"/>
      <c r="I1462" s="27">
        <f>노임!D13</f>
        <v>251041</v>
      </c>
      <c r="J1462" s="28">
        <f>TRUNC(I1462*C1462,1)</f>
        <v>24602</v>
      </c>
      <c r="K1462" s="27">
        <v>0</v>
      </c>
      <c r="L1462" s="28"/>
      <c r="M1462" s="86" t="s">
        <v>2856</v>
      </c>
      <c r="N1462" t="s">
        <v>1799</v>
      </c>
      <c r="P1462" t="s">
        <v>1741</v>
      </c>
      <c r="Q1462" t="s">
        <v>2856</v>
      </c>
      <c r="R1462" t="s">
        <v>1362</v>
      </c>
      <c r="BI1462" s="34" t="str">
        <f>HYPERLINK("#노임!A13","L051 →")</f>
        <v>L051 →</v>
      </c>
    </row>
    <row r="1463" spans="1:61" ht="18.399999999999999" hidden="1" customHeight="1" x14ac:dyDescent="0.15">
      <c r="A1463" s="2" t="s">
        <v>888</v>
      </c>
      <c r="B1463" s="87" t="s">
        <v>216</v>
      </c>
      <c r="C1463" s="2">
        <v>0.39200000000000002</v>
      </c>
      <c r="D1463" s="2" t="s">
        <v>2652</v>
      </c>
      <c r="E1463" s="27">
        <f t="shared" si="313"/>
        <v>167081</v>
      </c>
      <c r="F1463" s="28">
        <f t="shared" si="312"/>
        <v>65495.7</v>
      </c>
      <c r="G1463" s="27">
        <v>0</v>
      </c>
      <c r="H1463" s="28"/>
      <c r="I1463" s="27">
        <f>노임!D15</f>
        <v>167081</v>
      </c>
      <c r="J1463" s="28">
        <f>TRUNC(I1463*C1463,1)</f>
        <v>65495.7</v>
      </c>
      <c r="K1463" s="27">
        <v>0</v>
      </c>
      <c r="L1463" s="28"/>
      <c r="M1463" s="86" t="s">
        <v>2856</v>
      </c>
      <c r="N1463" t="s">
        <v>821</v>
      </c>
      <c r="P1463" t="s">
        <v>1036</v>
      </c>
      <c r="Q1463" t="s">
        <v>2856</v>
      </c>
      <c r="R1463" t="s">
        <v>498</v>
      </c>
      <c r="BI1463" s="34" t="str">
        <f>HYPERLINK("#노임!A15","L085 →")</f>
        <v>L085 →</v>
      </c>
    </row>
    <row r="1464" spans="1:61" ht="18.399999999999999" hidden="1" customHeight="1" x14ac:dyDescent="0.15">
      <c r="A1464" s="2" t="s">
        <v>1252</v>
      </c>
      <c r="B1464" s="87" t="s">
        <v>2317</v>
      </c>
      <c r="C1464" s="2">
        <v>0.78800000000000003</v>
      </c>
      <c r="D1464" s="2" t="s">
        <v>2377</v>
      </c>
      <c r="E1464" s="27">
        <f t="shared" si="313"/>
        <v>482</v>
      </c>
      <c r="F1464" s="28">
        <f t="shared" si="312"/>
        <v>379.8</v>
      </c>
      <c r="G1464" s="27">
        <f>경비!D4</f>
        <v>0</v>
      </c>
      <c r="H1464" s="28">
        <f>TRUNC(G1464*C1464,1)</f>
        <v>0</v>
      </c>
      <c r="I1464" s="27">
        <f>경비!E4</f>
        <v>0</v>
      </c>
      <c r="J1464" s="28">
        <f>TRUNC(I1464*C1464,1)</f>
        <v>0</v>
      </c>
      <c r="K1464" s="27">
        <f>경비!F4</f>
        <v>482</v>
      </c>
      <c r="L1464" s="28">
        <f>TRUNC(K1464*C1464,1)</f>
        <v>379.8</v>
      </c>
      <c r="M1464" s="86" t="s">
        <v>2856</v>
      </c>
      <c r="N1464" t="s">
        <v>2856</v>
      </c>
      <c r="P1464" t="s">
        <v>286</v>
      </c>
      <c r="Q1464" t="s">
        <v>2856</v>
      </c>
      <c r="R1464" t="s">
        <v>1205</v>
      </c>
      <c r="BI1464" s="34" t="str">
        <f>HYPERLINK("#경비!A4","GS0001 →")</f>
        <v>GS0001 →</v>
      </c>
    </row>
    <row r="1465" spans="1:61" ht="18.399999999999999" hidden="1" customHeight="1" x14ac:dyDescent="0.15">
      <c r="A1465" s="2" t="s">
        <v>2005</v>
      </c>
      <c r="B1465" s="87" t="s">
        <v>1143</v>
      </c>
      <c r="C1465" s="2">
        <v>0.55100000000000005</v>
      </c>
      <c r="D1465" s="2" t="s">
        <v>2287</v>
      </c>
      <c r="E1465" s="27">
        <f t="shared" si="313"/>
        <v>1538</v>
      </c>
      <c r="F1465" s="28">
        <f t="shared" si="312"/>
        <v>847.4</v>
      </c>
      <c r="G1465" s="27">
        <f>자재조서!E6</f>
        <v>1538</v>
      </c>
      <c r="H1465" s="28">
        <f>TRUNC(G1465*C1465,1)</f>
        <v>847.4</v>
      </c>
      <c r="I1465" s="27">
        <v>0</v>
      </c>
      <c r="J1465" s="28"/>
      <c r="K1465" s="27">
        <v>0</v>
      </c>
      <c r="L1465" s="28"/>
      <c r="M1465" s="86" t="s">
        <v>2856</v>
      </c>
      <c r="N1465" t="s">
        <v>1358</v>
      </c>
      <c r="P1465" t="s">
        <v>2428</v>
      </c>
      <c r="Q1465" t="s">
        <v>2856</v>
      </c>
      <c r="R1465" t="s">
        <v>2425</v>
      </c>
      <c r="BI1465" s="34" t="str">
        <f>HYPERLINK("#자재조서!A5","M-TP-35 →")</f>
        <v>M-TP-35 →</v>
      </c>
    </row>
    <row r="1466" spans="1:61" ht="18.399999999999999" hidden="1" customHeight="1" x14ac:dyDescent="0.15">
      <c r="A1466" s="2" t="s">
        <v>827</v>
      </c>
      <c r="B1466" s="87" t="s">
        <v>2666</v>
      </c>
      <c r="C1466" s="2">
        <v>0.22800000000000001</v>
      </c>
      <c r="D1466" s="2" t="s">
        <v>2287</v>
      </c>
      <c r="E1466" s="27">
        <f t="shared" si="313"/>
        <v>4537</v>
      </c>
      <c r="F1466" s="28">
        <f t="shared" si="312"/>
        <v>1034.4000000000001</v>
      </c>
      <c r="G1466" s="27">
        <f>자재조서!E5</f>
        <v>4537</v>
      </c>
      <c r="H1466" s="28">
        <f>TRUNC(G1466*C1466,1)</f>
        <v>1034.4000000000001</v>
      </c>
      <c r="I1466" s="27">
        <v>0</v>
      </c>
      <c r="J1466" s="28"/>
      <c r="K1466" s="27">
        <v>0</v>
      </c>
      <c r="L1466" s="28"/>
      <c r="M1466" s="86" t="s">
        <v>2856</v>
      </c>
      <c r="N1466" t="s">
        <v>2856</v>
      </c>
      <c r="P1466" t="s">
        <v>1686</v>
      </c>
      <c r="Q1466" t="s">
        <v>2856</v>
      </c>
      <c r="R1466" t="s">
        <v>1363</v>
      </c>
      <c r="BI1466" s="34" t="str">
        <f>HYPERLINK("#자재조서!A4","M-TP-32 →")</f>
        <v>M-TP-32 →</v>
      </c>
    </row>
    <row r="1467" spans="1:61" ht="18.399999999999999" hidden="1" customHeight="1" x14ac:dyDescent="0.15">
      <c r="A1467" s="1"/>
      <c r="B1467" s="87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87"/>
    </row>
    <row r="1468" spans="1:61" ht="18.399999999999999" hidden="1" customHeight="1" x14ac:dyDescent="0.15">
      <c r="A1468" s="2" t="s">
        <v>133</v>
      </c>
      <c r="B1468" s="87" t="s">
        <v>2192</v>
      </c>
      <c r="C1468" s="2">
        <v>1</v>
      </c>
      <c r="D1468" s="2" t="s">
        <v>556</v>
      </c>
      <c r="E1468" s="184"/>
      <c r="F1468" s="29">
        <f>H1468+J1468+L1468</f>
        <v>598895</v>
      </c>
      <c r="G1468" s="184"/>
      <c r="H1468" s="29">
        <f>TRUNC(H1469+H1470,0)</f>
        <v>50057</v>
      </c>
      <c r="I1468" s="184"/>
      <c r="J1468" s="29">
        <f>TRUNC(J1469+J1470,0)</f>
        <v>443066</v>
      </c>
      <c r="K1468" s="184"/>
      <c r="L1468" s="29">
        <f>TRUNC(L1469+L1470,0)</f>
        <v>105772</v>
      </c>
      <c r="M1468" s="86" t="s">
        <v>2856</v>
      </c>
      <c r="N1468" t="s">
        <v>2856</v>
      </c>
      <c r="O1468" t="s">
        <v>2141</v>
      </c>
    </row>
    <row r="1469" spans="1:61" ht="18.399999999999999" hidden="1" customHeight="1" x14ac:dyDescent="0.15">
      <c r="A1469" s="2" t="s">
        <v>284</v>
      </c>
      <c r="B1469" s="87" t="s">
        <v>2757</v>
      </c>
      <c r="C1469" s="2">
        <v>1</v>
      </c>
      <c r="D1469" s="2" t="s">
        <v>556</v>
      </c>
      <c r="E1469" s="27">
        <f>G1469+I1469+K1469</f>
        <v>336879</v>
      </c>
      <c r="F1469" s="28">
        <f>H1469+J1469+L1469</f>
        <v>336879</v>
      </c>
      <c r="G1469" s="27">
        <f>일위대가목록!F265</f>
        <v>28157</v>
      </c>
      <c r="H1469" s="28">
        <f>TRUNC(G1469*C1469,1)</f>
        <v>28157</v>
      </c>
      <c r="I1469" s="27">
        <f>일위대가목록!H265</f>
        <v>249225</v>
      </c>
      <c r="J1469" s="28">
        <f>TRUNC(I1469*C1469,1)</f>
        <v>249225</v>
      </c>
      <c r="K1469" s="27">
        <f>일위대가목록!J265</f>
        <v>59497</v>
      </c>
      <c r="L1469" s="28">
        <f>TRUNC(K1469*C1469,1)</f>
        <v>59497</v>
      </c>
      <c r="M1469" s="86" t="s">
        <v>2856</v>
      </c>
      <c r="N1469" t="s">
        <v>2856</v>
      </c>
      <c r="P1469" t="s">
        <v>334</v>
      </c>
      <c r="Q1469" t="s">
        <v>2856</v>
      </c>
      <c r="R1469" t="s">
        <v>558</v>
      </c>
      <c r="T1469" t="s">
        <v>1778</v>
      </c>
      <c r="BI1469" s="34" t="str">
        <f>HYPERLINK("#일위대가목록!A260","NT0822 →")</f>
        <v>NT0822 →</v>
      </c>
    </row>
    <row r="1470" spans="1:61" ht="18.399999999999999" hidden="1" customHeight="1" x14ac:dyDescent="0.15">
      <c r="A1470" s="2" t="s">
        <v>2173</v>
      </c>
      <c r="B1470" s="87" t="s">
        <v>328</v>
      </c>
      <c r="C1470" s="2">
        <v>1</v>
      </c>
      <c r="D1470" s="2" t="s">
        <v>556</v>
      </c>
      <c r="E1470" s="27">
        <f>G1470+I1470+K1470</f>
        <v>262016</v>
      </c>
      <c r="F1470" s="28">
        <f>H1470+J1470+L1470</f>
        <v>262016</v>
      </c>
      <c r="G1470" s="27">
        <f>일위대가목록!F229</f>
        <v>21900</v>
      </c>
      <c r="H1470" s="28">
        <f>TRUNC(G1470*C1470,1)</f>
        <v>21900</v>
      </c>
      <c r="I1470" s="27">
        <f>일위대가목록!H229</f>
        <v>193841</v>
      </c>
      <c r="J1470" s="28">
        <f>TRUNC(I1470*C1470,1)</f>
        <v>193841</v>
      </c>
      <c r="K1470" s="27">
        <f>일위대가목록!J229</f>
        <v>46275</v>
      </c>
      <c r="L1470" s="28">
        <f>TRUNC(K1470*C1470,1)</f>
        <v>46275</v>
      </c>
      <c r="M1470" s="86" t="s">
        <v>2856</v>
      </c>
      <c r="N1470" t="s">
        <v>2856</v>
      </c>
      <c r="P1470" t="s">
        <v>1036</v>
      </c>
      <c r="Q1470" t="s">
        <v>2856</v>
      </c>
      <c r="R1470" t="s">
        <v>1162</v>
      </c>
      <c r="T1470" t="s">
        <v>1778</v>
      </c>
      <c r="BI1470" s="34" t="str">
        <f>HYPERLINK("#일위대가목록!A224","NT0770 →")</f>
        <v>NT0770 →</v>
      </c>
    </row>
    <row r="1471" spans="1:61" ht="18.399999999999999" hidden="1" customHeight="1" x14ac:dyDescent="0.15">
      <c r="A1471" s="1"/>
      <c r="B1471" s="87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87"/>
    </row>
    <row r="1472" spans="1:61" ht="18.399999999999999" hidden="1" customHeight="1" x14ac:dyDescent="0.15">
      <c r="A1472" s="2" t="s">
        <v>1370</v>
      </c>
      <c r="B1472" s="87" t="s">
        <v>2526</v>
      </c>
      <c r="C1472" s="2">
        <v>1</v>
      </c>
      <c r="D1472" s="2" t="s">
        <v>556</v>
      </c>
      <c r="E1472" s="184"/>
      <c r="F1472" s="29">
        <f>H1472+J1472+L1472</f>
        <v>1170507</v>
      </c>
      <c r="G1472" s="184"/>
      <c r="H1472" s="29">
        <f>TRUNC(H1473+H1474,0)</f>
        <v>104695</v>
      </c>
      <c r="I1472" s="184"/>
      <c r="J1472" s="29">
        <f>TRUNC(J1473+J1474,0)</f>
        <v>785059</v>
      </c>
      <c r="K1472" s="184"/>
      <c r="L1472" s="29">
        <f>TRUNC(L1473+L1474,0)</f>
        <v>280753</v>
      </c>
      <c r="M1472" s="86" t="s">
        <v>2856</v>
      </c>
      <c r="N1472" t="s">
        <v>2856</v>
      </c>
      <c r="O1472" t="s">
        <v>2845</v>
      </c>
    </row>
    <row r="1473" spans="1:61" ht="18.399999999999999" hidden="1" customHeight="1" x14ac:dyDescent="0.15">
      <c r="A1473" s="2" t="s">
        <v>284</v>
      </c>
      <c r="B1473" s="87" t="s">
        <v>910</v>
      </c>
      <c r="C1473" s="2">
        <v>1</v>
      </c>
      <c r="D1473" s="2" t="s">
        <v>556</v>
      </c>
      <c r="E1473" s="27">
        <f>G1473+I1473+K1473</f>
        <v>650282</v>
      </c>
      <c r="F1473" s="28">
        <f>H1473+J1473+L1473</f>
        <v>650282</v>
      </c>
      <c r="G1473" s="27">
        <f>일위대가목록!F266</f>
        <v>58164</v>
      </c>
      <c r="H1473" s="28">
        <f>TRUNC(G1473*C1473,1)</f>
        <v>58164</v>
      </c>
      <c r="I1473" s="27">
        <f>일위대가목록!H266</f>
        <v>436144</v>
      </c>
      <c r="J1473" s="28">
        <f>TRUNC(I1473*C1473,1)</f>
        <v>436144</v>
      </c>
      <c r="K1473" s="27">
        <f>일위대가목록!J266</f>
        <v>155974</v>
      </c>
      <c r="L1473" s="28">
        <f>TRUNC(K1473*C1473,1)</f>
        <v>155974</v>
      </c>
      <c r="M1473" s="86" t="s">
        <v>2856</v>
      </c>
      <c r="N1473" t="s">
        <v>2856</v>
      </c>
      <c r="P1473" t="s">
        <v>334</v>
      </c>
      <c r="Q1473" t="s">
        <v>2856</v>
      </c>
      <c r="R1473" t="s">
        <v>67</v>
      </c>
      <c r="T1473" t="s">
        <v>1778</v>
      </c>
      <c r="BI1473" s="34" t="str">
        <f>HYPERLINK("#일위대가목록!A261","NT0824 →")</f>
        <v>NT0824 →</v>
      </c>
    </row>
    <row r="1474" spans="1:61" ht="18.399999999999999" hidden="1" customHeight="1" x14ac:dyDescent="0.15">
      <c r="A1474" s="2" t="s">
        <v>2173</v>
      </c>
      <c r="B1474" s="87" t="s">
        <v>1064</v>
      </c>
      <c r="C1474" s="2">
        <v>1</v>
      </c>
      <c r="D1474" s="2" t="s">
        <v>556</v>
      </c>
      <c r="E1474" s="27">
        <f>G1474+I1474+K1474</f>
        <v>520225</v>
      </c>
      <c r="F1474" s="28">
        <f>H1474+J1474+L1474</f>
        <v>520225</v>
      </c>
      <c r="G1474" s="27">
        <f>일위대가목록!F267</f>
        <v>46531</v>
      </c>
      <c r="H1474" s="28">
        <f>TRUNC(G1474*C1474,1)</f>
        <v>46531</v>
      </c>
      <c r="I1474" s="27">
        <f>일위대가목록!H267</f>
        <v>348915</v>
      </c>
      <c r="J1474" s="28">
        <f>TRUNC(I1474*C1474,1)</f>
        <v>348915</v>
      </c>
      <c r="K1474" s="27">
        <f>일위대가목록!J267</f>
        <v>124779</v>
      </c>
      <c r="L1474" s="28">
        <f>TRUNC(K1474*C1474,1)</f>
        <v>124779</v>
      </c>
      <c r="M1474" s="86" t="s">
        <v>2856</v>
      </c>
      <c r="N1474" t="s">
        <v>2856</v>
      </c>
      <c r="P1474" t="s">
        <v>1036</v>
      </c>
      <c r="Q1474" t="s">
        <v>2856</v>
      </c>
      <c r="R1474" t="s">
        <v>2463</v>
      </c>
      <c r="T1474" t="s">
        <v>1778</v>
      </c>
      <c r="BI1474" s="34" t="str">
        <f>HYPERLINK("#일위대가목록!A262","NT0810 →")</f>
        <v>NT0810 →</v>
      </c>
    </row>
    <row r="1475" spans="1:61" ht="18.399999999999999" hidden="1" customHeight="1" x14ac:dyDescent="0.15">
      <c r="A1475" s="1"/>
      <c r="B1475" s="87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87"/>
    </row>
    <row r="1476" spans="1:61" ht="18.399999999999999" hidden="1" customHeight="1" x14ac:dyDescent="0.15">
      <c r="A1476" s="2" t="s">
        <v>1803</v>
      </c>
      <c r="B1476" s="87" t="s">
        <v>581</v>
      </c>
      <c r="C1476" s="2">
        <v>1</v>
      </c>
      <c r="D1476" s="2" t="s">
        <v>556</v>
      </c>
      <c r="E1476" s="184"/>
      <c r="F1476" s="29">
        <f>H1476+J1476+L1476</f>
        <v>822785</v>
      </c>
      <c r="G1476" s="184"/>
      <c r="H1476" s="29">
        <f>TRUNC(H1477+H1478,0)</f>
        <v>69565</v>
      </c>
      <c r="I1476" s="184"/>
      <c r="J1476" s="29">
        <f>TRUNC(J1477+J1478,0)</f>
        <v>598140</v>
      </c>
      <c r="K1476" s="184"/>
      <c r="L1476" s="29">
        <f>TRUNC(L1477+L1478,0)</f>
        <v>155080</v>
      </c>
      <c r="M1476" s="86" t="s">
        <v>2856</v>
      </c>
      <c r="N1476" t="s">
        <v>2856</v>
      </c>
      <c r="O1476" t="s">
        <v>1268</v>
      </c>
    </row>
    <row r="1477" spans="1:61" ht="18.399999999999999" hidden="1" customHeight="1" x14ac:dyDescent="0.15">
      <c r="A1477" s="2" t="s">
        <v>284</v>
      </c>
      <c r="B1477" s="87" t="s">
        <v>552</v>
      </c>
      <c r="C1477" s="2">
        <v>1</v>
      </c>
      <c r="D1477" s="2" t="s">
        <v>556</v>
      </c>
      <c r="E1477" s="27">
        <f>G1477+I1477+K1477</f>
        <v>471631</v>
      </c>
      <c r="F1477" s="28">
        <f>H1477+J1477+L1477</f>
        <v>471631</v>
      </c>
      <c r="G1477" s="27">
        <f>일위대가목록!F268</f>
        <v>39420</v>
      </c>
      <c r="H1477" s="28">
        <f>TRUNC(G1477*C1477,1)</f>
        <v>39420</v>
      </c>
      <c r="I1477" s="27">
        <f>일위대가목록!H268</f>
        <v>348915</v>
      </c>
      <c r="J1477" s="28">
        <f>TRUNC(I1477*C1477,1)</f>
        <v>348915</v>
      </c>
      <c r="K1477" s="27">
        <f>일위대가목록!J268</f>
        <v>83296</v>
      </c>
      <c r="L1477" s="28">
        <f>TRUNC(K1477*C1477,1)</f>
        <v>83296</v>
      </c>
      <c r="M1477" s="86" t="s">
        <v>2856</v>
      </c>
      <c r="N1477" t="s">
        <v>2856</v>
      </c>
      <c r="P1477" t="s">
        <v>334</v>
      </c>
      <c r="Q1477" t="s">
        <v>2856</v>
      </c>
      <c r="R1477" t="s">
        <v>1842</v>
      </c>
      <c r="T1477" t="s">
        <v>1778</v>
      </c>
      <c r="BI1477" s="34" t="str">
        <f>HYPERLINK("#일위대가목록!A263","NT0823 →")</f>
        <v>NT0823 →</v>
      </c>
    </row>
    <row r="1478" spans="1:61" ht="18.399999999999999" hidden="1" customHeight="1" x14ac:dyDescent="0.15">
      <c r="A1478" s="2" t="s">
        <v>2173</v>
      </c>
      <c r="B1478" s="87" t="s">
        <v>426</v>
      </c>
      <c r="C1478" s="2">
        <v>1</v>
      </c>
      <c r="D1478" s="2" t="s">
        <v>556</v>
      </c>
      <c r="E1478" s="27">
        <f>G1478+I1478+K1478</f>
        <v>351154</v>
      </c>
      <c r="F1478" s="28">
        <f>H1478+J1478+L1478</f>
        <v>351154</v>
      </c>
      <c r="G1478" s="27">
        <f>일위대가목록!F227</f>
        <v>30145</v>
      </c>
      <c r="H1478" s="28">
        <f>TRUNC(G1478*C1478,1)</f>
        <v>30145</v>
      </c>
      <c r="I1478" s="27">
        <f>일위대가목록!H227</f>
        <v>249225</v>
      </c>
      <c r="J1478" s="28">
        <f>TRUNC(I1478*C1478,1)</f>
        <v>249225</v>
      </c>
      <c r="K1478" s="27">
        <f>일위대가목록!J227</f>
        <v>71784</v>
      </c>
      <c r="L1478" s="28">
        <f>TRUNC(K1478*C1478,1)</f>
        <v>71784</v>
      </c>
      <c r="M1478" s="86" t="s">
        <v>2856</v>
      </c>
      <c r="N1478" t="s">
        <v>2856</v>
      </c>
      <c r="P1478" t="s">
        <v>286</v>
      </c>
      <c r="Q1478" t="s">
        <v>2856</v>
      </c>
      <c r="R1478" t="s">
        <v>1750</v>
      </c>
      <c r="T1478" t="s">
        <v>1778</v>
      </c>
      <c r="BI1478" s="34" t="str">
        <f>HYPERLINK("#일위대가목록!A222","NT0800 →")</f>
        <v>NT0800 →</v>
      </c>
    </row>
    <row r="1479" spans="1:61" ht="18.399999999999999" hidden="1" customHeight="1" x14ac:dyDescent="0.15">
      <c r="A1479" s="1"/>
      <c r="B1479" s="87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87"/>
    </row>
    <row r="1480" spans="1:61" ht="18.399999999999999" hidden="1" customHeight="1" x14ac:dyDescent="0.15">
      <c r="A1480" s="2" t="s">
        <v>2400</v>
      </c>
      <c r="B1480" s="87" t="s">
        <v>2572</v>
      </c>
      <c r="C1480" s="2">
        <v>1</v>
      </c>
      <c r="D1480" s="2" t="s">
        <v>556</v>
      </c>
      <c r="E1480" s="184"/>
      <c r="F1480" s="29">
        <f>H1480+J1480+L1480</f>
        <v>195123</v>
      </c>
      <c r="G1480" s="184"/>
      <c r="H1480" s="29">
        <f>TRUNC(H1481+H1482,0)</f>
        <v>16853</v>
      </c>
      <c r="I1480" s="184"/>
      <c r="J1480" s="29">
        <f>TRUNC(J1481+J1482,0)</f>
        <v>161829</v>
      </c>
      <c r="K1480" s="184"/>
      <c r="L1480" s="29">
        <f>TRUNC(L1481+L1482,0)</f>
        <v>16441</v>
      </c>
      <c r="M1480" s="86" t="s">
        <v>2856</v>
      </c>
      <c r="N1480" t="s">
        <v>2856</v>
      </c>
      <c r="O1480" t="s">
        <v>2611</v>
      </c>
    </row>
    <row r="1481" spans="1:61" ht="18.399999999999999" hidden="1" customHeight="1" x14ac:dyDescent="0.15">
      <c r="A1481" s="2" t="s">
        <v>284</v>
      </c>
      <c r="B1481" s="87" t="s">
        <v>2184</v>
      </c>
      <c r="C1481" s="2">
        <v>1</v>
      </c>
      <c r="D1481" s="2" t="s">
        <v>556</v>
      </c>
      <c r="E1481" s="27">
        <f>G1481+I1481+K1481</f>
        <v>103659</v>
      </c>
      <c r="F1481" s="28">
        <f>H1481+J1481+L1481</f>
        <v>103659</v>
      </c>
      <c r="G1481" s="27">
        <f>일위대가목록!F269</f>
        <v>8953</v>
      </c>
      <c r="H1481" s="28">
        <f>TRUNC(G1481*C1481,1)</f>
        <v>8953</v>
      </c>
      <c r="I1481" s="27">
        <f>일위대가목록!H269</f>
        <v>85972</v>
      </c>
      <c r="J1481" s="28">
        <f>TRUNC(I1481*C1481,1)</f>
        <v>85972</v>
      </c>
      <c r="K1481" s="27">
        <f>일위대가목록!J269</f>
        <v>8734</v>
      </c>
      <c r="L1481" s="28">
        <f>TRUNC(K1481*C1481,1)</f>
        <v>8734</v>
      </c>
      <c r="M1481" s="86" t="s">
        <v>2856</v>
      </c>
      <c r="N1481" t="s">
        <v>2856</v>
      </c>
      <c r="P1481" t="s">
        <v>334</v>
      </c>
      <c r="Q1481" t="s">
        <v>2856</v>
      </c>
      <c r="R1481" t="s">
        <v>343</v>
      </c>
      <c r="T1481" t="s">
        <v>1778</v>
      </c>
      <c r="BI1481" s="34" t="str">
        <f>HYPERLINK("#일위대가목록!A264","NT0820 →")</f>
        <v>NT0820 →</v>
      </c>
    </row>
    <row r="1482" spans="1:61" ht="18.399999999999999" hidden="1" customHeight="1" x14ac:dyDescent="0.15">
      <c r="A1482" s="2" t="s">
        <v>2173</v>
      </c>
      <c r="B1482" s="87" t="s">
        <v>2254</v>
      </c>
      <c r="C1482" s="2">
        <v>1</v>
      </c>
      <c r="D1482" s="2" t="s">
        <v>556</v>
      </c>
      <c r="E1482" s="27">
        <f>G1482+I1482+K1482</f>
        <v>91464</v>
      </c>
      <c r="F1482" s="28">
        <f>H1482+J1482+L1482</f>
        <v>91464</v>
      </c>
      <c r="G1482" s="27">
        <f>일위대가목록!F228</f>
        <v>7900</v>
      </c>
      <c r="H1482" s="28">
        <f>TRUNC(G1482*C1482,1)</f>
        <v>7900</v>
      </c>
      <c r="I1482" s="27">
        <f>일위대가목록!H228</f>
        <v>75857</v>
      </c>
      <c r="J1482" s="28">
        <f>TRUNC(I1482*C1482,1)</f>
        <v>75857</v>
      </c>
      <c r="K1482" s="27">
        <f>일위대가목록!J228</f>
        <v>7707</v>
      </c>
      <c r="L1482" s="28">
        <f>TRUNC(K1482*C1482,1)</f>
        <v>7707</v>
      </c>
      <c r="M1482" s="86" t="s">
        <v>2856</v>
      </c>
      <c r="N1482" t="s">
        <v>2856</v>
      </c>
      <c r="P1482" t="s">
        <v>1036</v>
      </c>
      <c r="Q1482" t="s">
        <v>2856</v>
      </c>
      <c r="R1482" t="s">
        <v>2569</v>
      </c>
      <c r="T1482" t="s">
        <v>1778</v>
      </c>
      <c r="BI1482" s="34" t="str">
        <f>HYPERLINK("#일위대가목록!A223","NT0750 →")</f>
        <v>NT0750 →</v>
      </c>
    </row>
    <row r="1483" spans="1:61" ht="18.399999999999999" hidden="1" customHeight="1" x14ac:dyDescent="0.15">
      <c r="A1483" s="1"/>
      <c r="B1483" s="87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87"/>
    </row>
    <row r="1484" spans="1:61" ht="18.399999999999999" hidden="1" customHeight="1" x14ac:dyDescent="0.15">
      <c r="A1484" s="2" t="s">
        <v>356</v>
      </c>
      <c r="B1484" s="87" t="s">
        <v>2568</v>
      </c>
      <c r="C1484" s="2">
        <v>1</v>
      </c>
      <c r="D1484" s="2" t="s">
        <v>556</v>
      </c>
      <c r="E1484" s="184"/>
      <c r="F1484" s="29">
        <f>H1484+J1484+L1484</f>
        <v>285065</v>
      </c>
      <c r="G1484" s="184"/>
      <c r="H1484" s="29">
        <f>TRUNC(H1485+H1486,0)</f>
        <v>24622</v>
      </c>
      <c r="I1484" s="184"/>
      <c r="J1484" s="29">
        <f>TRUNC(J1485+J1486,0)</f>
        <v>236423</v>
      </c>
      <c r="K1484" s="184"/>
      <c r="L1484" s="29">
        <f>TRUNC(L1485+L1486,0)</f>
        <v>24020</v>
      </c>
      <c r="M1484" s="86" t="s">
        <v>2856</v>
      </c>
      <c r="N1484" t="s">
        <v>2856</v>
      </c>
      <c r="O1484" t="s">
        <v>520</v>
      </c>
    </row>
    <row r="1485" spans="1:61" ht="18.399999999999999" hidden="1" customHeight="1" x14ac:dyDescent="0.15">
      <c r="A1485" s="2" t="s">
        <v>284</v>
      </c>
      <c r="B1485" s="87" t="s">
        <v>517</v>
      </c>
      <c r="C1485" s="2">
        <v>1</v>
      </c>
      <c r="D1485" s="2" t="s">
        <v>556</v>
      </c>
      <c r="E1485" s="27">
        <f>G1485+I1485+K1485</f>
        <v>155490</v>
      </c>
      <c r="F1485" s="28">
        <f>H1485+J1485+L1485</f>
        <v>155490</v>
      </c>
      <c r="G1485" s="27">
        <f>일위대가목록!F270</f>
        <v>13430</v>
      </c>
      <c r="H1485" s="28">
        <f>TRUNC(G1485*C1485,1)</f>
        <v>13430</v>
      </c>
      <c r="I1485" s="27">
        <f>일위대가목록!H270</f>
        <v>128958</v>
      </c>
      <c r="J1485" s="28">
        <f>TRUNC(I1485*C1485,1)</f>
        <v>128958</v>
      </c>
      <c r="K1485" s="27">
        <f>일위대가목록!J270</f>
        <v>13102</v>
      </c>
      <c r="L1485" s="28">
        <f>TRUNC(K1485*C1485,1)</f>
        <v>13102</v>
      </c>
      <c r="M1485" s="86" t="s">
        <v>2856</v>
      </c>
      <c r="N1485" t="s">
        <v>2856</v>
      </c>
      <c r="P1485" t="s">
        <v>334</v>
      </c>
      <c r="Q1485" t="s">
        <v>2856</v>
      </c>
      <c r="R1485" t="s">
        <v>1526</v>
      </c>
      <c r="T1485" t="s">
        <v>1778</v>
      </c>
      <c r="BI1485" s="34" t="str">
        <f>HYPERLINK("#일위대가목록!A265","NT0821 →")</f>
        <v>NT0821 →</v>
      </c>
    </row>
    <row r="1486" spans="1:61" ht="18.399999999999999" hidden="1" customHeight="1" x14ac:dyDescent="0.15">
      <c r="A1486" s="2" t="s">
        <v>2173</v>
      </c>
      <c r="B1486" s="87" t="s">
        <v>1266</v>
      </c>
      <c r="C1486" s="2">
        <v>1</v>
      </c>
      <c r="D1486" s="2" t="s">
        <v>556</v>
      </c>
      <c r="E1486" s="27">
        <f>G1486+I1486+K1486</f>
        <v>129575</v>
      </c>
      <c r="F1486" s="28">
        <f>H1486+J1486+L1486</f>
        <v>129575</v>
      </c>
      <c r="G1486" s="27">
        <f>일위대가목록!F225</f>
        <v>11192</v>
      </c>
      <c r="H1486" s="28">
        <f>TRUNC(G1486*C1486,1)</f>
        <v>11192</v>
      </c>
      <c r="I1486" s="27">
        <f>일위대가목록!H225</f>
        <v>107465</v>
      </c>
      <c r="J1486" s="28">
        <f>TRUNC(I1486*C1486,1)</f>
        <v>107465</v>
      </c>
      <c r="K1486" s="27">
        <f>일위대가목록!J225</f>
        <v>10918</v>
      </c>
      <c r="L1486" s="28">
        <f>TRUNC(K1486*C1486,1)</f>
        <v>10918</v>
      </c>
      <c r="M1486" s="86" t="s">
        <v>2856</v>
      </c>
      <c r="N1486" t="s">
        <v>2856</v>
      </c>
      <c r="P1486" t="s">
        <v>1036</v>
      </c>
      <c r="Q1486" t="s">
        <v>2856</v>
      </c>
      <c r="R1486" t="s">
        <v>1740</v>
      </c>
      <c r="T1486" t="s">
        <v>1778</v>
      </c>
      <c r="BI1486" s="34" t="str">
        <f>HYPERLINK("#일위대가목록!A220","NT0763 →")</f>
        <v>NT0763 →</v>
      </c>
    </row>
    <row r="1487" spans="1:61" ht="18.399999999999999" hidden="1" customHeight="1" x14ac:dyDescent="0.15">
      <c r="A1487" s="1"/>
      <c r="B1487" s="87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87"/>
    </row>
    <row r="1488" spans="1:61" ht="18.399999999999999" hidden="1" customHeight="1" x14ac:dyDescent="0.15">
      <c r="A1488" s="2" t="s">
        <v>994</v>
      </c>
      <c r="B1488" s="87" t="s">
        <v>1301</v>
      </c>
      <c r="C1488" s="2">
        <v>1</v>
      </c>
      <c r="D1488" s="2" t="s">
        <v>556</v>
      </c>
      <c r="E1488" s="184"/>
      <c r="F1488" s="29">
        <f>H1488+J1488+L1488</f>
        <v>1702511</v>
      </c>
      <c r="G1488" s="184"/>
      <c r="H1488" s="29">
        <f>TRUNC(H1489+H1490,0)</f>
        <v>182560</v>
      </c>
      <c r="I1488" s="184"/>
      <c r="J1488" s="29">
        <f>TRUNC(J1489+J1490,0)</f>
        <v>1017669</v>
      </c>
      <c r="K1488" s="184"/>
      <c r="L1488" s="29">
        <f>TRUNC(L1489+L1490,0)</f>
        <v>502282</v>
      </c>
      <c r="M1488" s="86" t="s">
        <v>2856</v>
      </c>
      <c r="N1488" t="s">
        <v>2856</v>
      </c>
      <c r="O1488" t="s">
        <v>2037</v>
      </c>
    </row>
    <row r="1489" spans="1:61" ht="18.399999999999999" hidden="1" customHeight="1" x14ac:dyDescent="0.15">
      <c r="A1489" s="2" t="s">
        <v>284</v>
      </c>
      <c r="B1489" s="87" t="s">
        <v>2292</v>
      </c>
      <c r="C1489" s="2">
        <v>1</v>
      </c>
      <c r="D1489" s="2" t="s">
        <v>556</v>
      </c>
      <c r="E1489" s="27">
        <f>G1489+I1489+K1489</f>
        <v>972863</v>
      </c>
      <c r="F1489" s="28">
        <f>H1489+J1489+L1489</f>
        <v>972863</v>
      </c>
      <c r="G1489" s="27">
        <f>일위대가목록!F271</f>
        <v>104320</v>
      </c>
      <c r="H1489" s="28">
        <f>TRUNC(G1489*C1489,1)</f>
        <v>104320</v>
      </c>
      <c r="I1489" s="27">
        <f>일위대가목록!H271</f>
        <v>581525</v>
      </c>
      <c r="J1489" s="28">
        <f>TRUNC(I1489*C1489,1)</f>
        <v>581525</v>
      </c>
      <c r="K1489" s="27">
        <f>일위대가목록!J271</f>
        <v>287018</v>
      </c>
      <c r="L1489" s="28">
        <f>TRUNC(K1489*C1489,1)</f>
        <v>287018</v>
      </c>
      <c r="M1489" s="86" t="s">
        <v>2856</v>
      </c>
      <c r="N1489" t="s">
        <v>2856</v>
      </c>
      <c r="P1489" t="s">
        <v>334</v>
      </c>
      <c r="Q1489" t="s">
        <v>2856</v>
      </c>
      <c r="R1489" t="s">
        <v>1607</v>
      </c>
      <c r="T1489" t="s">
        <v>1778</v>
      </c>
      <c r="BI1489" s="34" t="str">
        <f>HYPERLINK("#일위대가목록!A266","NT0825 →")</f>
        <v>NT0825 →</v>
      </c>
    </row>
    <row r="1490" spans="1:61" ht="18.399999999999999" hidden="1" customHeight="1" x14ac:dyDescent="0.15">
      <c r="A1490" s="2" t="s">
        <v>2173</v>
      </c>
      <c r="B1490" s="87" t="s">
        <v>950</v>
      </c>
      <c r="C1490" s="2">
        <v>1</v>
      </c>
      <c r="D1490" s="2" t="s">
        <v>556</v>
      </c>
      <c r="E1490" s="27">
        <f>G1490+I1490+K1490</f>
        <v>729648</v>
      </c>
      <c r="F1490" s="28">
        <f>H1490+J1490+L1490</f>
        <v>729648</v>
      </c>
      <c r="G1490" s="27">
        <f>일위대가목록!F272</f>
        <v>78240</v>
      </c>
      <c r="H1490" s="28">
        <f>TRUNC(G1490*C1490,1)</f>
        <v>78240</v>
      </c>
      <c r="I1490" s="27">
        <f>일위대가목록!H272</f>
        <v>436144</v>
      </c>
      <c r="J1490" s="28">
        <f>TRUNC(I1490*C1490,1)</f>
        <v>436144</v>
      </c>
      <c r="K1490" s="27">
        <f>일위대가목록!J272</f>
        <v>215264</v>
      </c>
      <c r="L1490" s="28">
        <f>TRUNC(K1490*C1490,1)</f>
        <v>215264</v>
      </c>
      <c r="M1490" s="86" t="s">
        <v>2856</v>
      </c>
      <c r="N1490" t="s">
        <v>2856</v>
      </c>
      <c r="P1490" t="s">
        <v>1036</v>
      </c>
      <c r="Q1490" t="s">
        <v>2856</v>
      </c>
      <c r="R1490" t="s">
        <v>1148</v>
      </c>
      <c r="T1490" t="s">
        <v>1778</v>
      </c>
      <c r="BI1490" s="34" t="str">
        <f>HYPERLINK("#일위대가목록!A267","NT0813 →")</f>
        <v>NT0813 →</v>
      </c>
    </row>
    <row r="1491" spans="1:61" ht="18.399999999999999" hidden="1" customHeight="1" x14ac:dyDescent="0.15">
      <c r="A1491" s="1"/>
      <c r="B1491" s="87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87"/>
    </row>
    <row r="1492" spans="1:61" ht="18.399999999999999" hidden="1" customHeight="1" x14ac:dyDescent="0.15">
      <c r="A1492" s="2" t="s">
        <v>1497</v>
      </c>
      <c r="B1492" s="87" t="s">
        <v>1635</v>
      </c>
      <c r="C1492" s="2">
        <v>1</v>
      </c>
      <c r="D1492" s="2" t="s">
        <v>556</v>
      </c>
      <c r="E1492" s="184"/>
      <c r="F1492" s="29">
        <f>H1492+J1492+L1492</f>
        <v>153659</v>
      </c>
      <c r="G1492" s="184"/>
      <c r="H1492" s="29">
        <f>TRUNC(H1493+H1494,0)</f>
        <v>13272</v>
      </c>
      <c r="I1492" s="184"/>
      <c r="J1492" s="29">
        <f>TRUNC(J1493+J1494,0)</f>
        <v>127440</v>
      </c>
      <c r="K1492" s="184"/>
      <c r="L1492" s="29">
        <f>TRUNC(L1493+L1494,0)</f>
        <v>12947</v>
      </c>
      <c r="M1492" s="86" t="s">
        <v>2856</v>
      </c>
      <c r="N1492" t="s">
        <v>2856</v>
      </c>
      <c r="O1492" t="s">
        <v>2486</v>
      </c>
    </row>
    <row r="1493" spans="1:61" ht="18.399999999999999" hidden="1" customHeight="1" x14ac:dyDescent="0.15">
      <c r="A1493" s="2" t="s">
        <v>284</v>
      </c>
      <c r="B1493" s="87" t="s">
        <v>1995</v>
      </c>
      <c r="C1493" s="2">
        <v>1</v>
      </c>
      <c r="D1493" s="2" t="s">
        <v>556</v>
      </c>
      <c r="E1493" s="27">
        <f>G1493+I1493+K1493</f>
        <v>62195</v>
      </c>
      <c r="F1493" s="28">
        <f>H1493+J1493+L1493</f>
        <v>62195</v>
      </c>
      <c r="G1493" s="27">
        <f>일위대가목록!F273</f>
        <v>5372</v>
      </c>
      <c r="H1493" s="28">
        <f>TRUNC(G1493*C1493,1)</f>
        <v>5372</v>
      </c>
      <c r="I1493" s="27">
        <f>일위대가목록!H273</f>
        <v>51583</v>
      </c>
      <c r="J1493" s="28">
        <f>TRUNC(I1493*C1493,1)</f>
        <v>51583</v>
      </c>
      <c r="K1493" s="27">
        <f>일위대가목록!J273</f>
        <v>5240</v>
      </c>
      <c r="L1493" s="28">
        <f>TRUNC(K1493*C1493,1)</f>
        <v>5240</v>
      </c>
      <c r="M1493" s="86" t="s">
        <v>2856</v>
      </c>
      <c r="N1493" t="s">
        <v>2856</v>
      </c>
      <c r="P1493" t="s">
        <v>334</v>
      </c>
      <c r="Q1493" t="s">
        <v>2856</v>
      </c>
      <c r="R1493" t="s">
        <v>1347</v>
      </c>
      <c r="T1493" t="s">
        <v>1778</v>
      </c>
      <c r="BI1493" s="34" t="str">
        <f>HYPERLINK("#일위대가목록!A268","NT0819 →")</f>
        <v>NT0819 →</v>
      </c>
    </row>
    <row r="1494" spans="1:61" ht="18.399999999999999" hidden="1" customHeight="1" x14ac:dyDescent="0.15">
      <c r="A1494" s="2" t="s">
        <v>2173</v>
      </c>
      <c r="B1494" s="87" t="s">
        <v>2254</v>
      </c>
      <c r="C1494" s="2">
        <v>1</v>
      </c>
      <c r="D1494" s="2" t="s">
        <v>556</v>
      </c>
      <c r="E1494" s="27">
        <f>G1494+I1494+K1494</f>
        <v>91464</v>
      </c>
      <c r="F1494" s="28">
        <f>H1494+J1494+L1494</f>
        <v>91464</v>
      </c>
      <c r="G1494" s="27">
        <f>일위대가목록!F228</f>
        <v>7900</v>
      </c>
      <c r="H1494" s="28">
        <f>TRUNC(G1494*C1494,1)</f>
        <v>7900</v>
      </c>
      <c r="I1494" s="27">
        <f>일위대가목록!H228</f>
        <v>75857</v>
      </c>
      <c r="J1494" s="28">
        <f>TRUNC(I1494*C1494,1)</f>
        <v>75857</v>
      </c>
      <c r="K1494" s="27">
        <f>일위대가목록!J228</f>
        <v>7707</v>
      </c>
      <c r="L1494" s="28">
        <f>TRUNC(K1494*C1494,1)</f>
        <v>7707</v>
      </c>
      <c r="M1494" s="86" t="s">
        <v>2856</v>
      </c>
      <c r="N1494" t="s">
        <v>2856</v>
      </c>
      <c r="P1494" t="s">
        <v>1036</v>
      </c>
      <c r="Q1494" t="s">
        <v>2856</v>
      </c>
      <c r="R1494" t="s">
        <v>2569</v>
      </c>
      <c r="T1494" t="s">
        <v>1778</v>
      </c>
      <c r="BI1494" s="34" t="str">
        <f>HYPERLINK("#일위대가목록!A223","NT0750 →")</f>
        <v>NT0750 →</v>
      </c>
    </row>
    <row r="1495" spans="1:61" ht="18.399999999999999" hidden="1" customHeight="1" x14ac:dyDescent="0.15">
      <c r="A1495" s="1"/>
      <c r="B1495" s="87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87"/>
    </row>
    <row r="1496" spans="1:61" ht="18.399999999999999" hidden="1" customHeight="1" x14ac:dyDescent="0.15">
      <c r="A1496" s="2" t="s">
        <v>2683</v>
      </c>
      <c r="B1496" s="87" t="s">
        <v>2520</v>
      </c>
      <c r="C1496" s="2">
        <v>1</v>
      </c>
      <c r="D1496" s="2" t="s">
        <v>556</v>
      </c>
      <c r="E1496" s="184"/>
      <c r="F1496" s="29">
        <f>H1496+J1496+L1496</f>
        <v>233234</v>
      </c>
      <c r="G1496" s="184"/>
      <c r="H1496" s="29">
        <f>TRUNC(H1497+H1498,0)</f>
        <v>20145</v>
      </c>
      <c r="I1496" s="184"/>
      <c r="J1496" s="29">
        <f>TRUNC(J1497+J1498,0)</f>
        <v>193437</v>
      </c>
      <c r="K1496" s="184"/>
      <c r="L1496" s="29">
        <f>TRUNC(L1497+L1498,0)</f>
        <v>19652</v>
      </c>
      <c r="M1496" s="86" t="s">
        <v>2856</v>
      </c>
      <c r="N1496" t="s">
        <v>2856</v>
      </c>
      <c r="O1496" t="s">
        <v>2163</v>
      </c>
    </row>
    <row r="1497" spans="1:61" ht="18.399999999999999" hidden="1" customHeight="1" x14ac:dyDescent="0.15">
      <c r="A1497" s="2" t="s">
        <v>284</v>
      </c>
      <c r="B1497" s="87" t="s">
        <v>2184</v>
      </c>
      <c r="C1497" s="2">
        <v>1</v>
      </c>
      <c r="D1497" s="2" t="s">
        <v>556</v>
      </c>
      <c r="E1497" s="27">
        <f>G1497+I1497+K1497</f>
        <v>103659</v>
      </c>
      <c r="F1497" s="28">
        <f>H1497+J1497+L1497</f>
        <v>103659</v>
      </c>
      <c r="G1497" s="27">
        <f>일위대가목록!F269</f>
        <v>8953</v>
      </c>
      <c r="H1497" s="28">
        <f>TRUNC(G1497*C1497,1)</f>
        <v>8953</v>
      </c>
      <c r="I1497" s="27">
        <f>일위대가목록!H269</f>
        <v>85972</v>
      </c>
      <c r="J1497" s="28">
        <f>TRUNC(I1497*C1497,1)</f>
        <v>85972</v>
      </c>
      <c r="K1497" s="27">
        <f>일위대가목록!J269</f>
        <v>8734</v>
      </c>
      <c r="L1497" s="28">
        <f>TRUNC(K1497*C1497,1)</f>
        <v>8734</v>
      </c>
      <c r="M1497" s="86" t="s">
        <v>2856</v>
      </c>
      <c r="N1497" t="s">
        <v>2856</v>
      </c>
      <c r="P1497" t="s">
        <v>334</v>
      </c>
      <c r="Q1497" t="s">
        <v>2856</v>
      </c>
      <c r="R1497" t="s">
        <v>343</v>
      </c>
      <c r="T1497" t="s">
        <v>1778</v>
      </c>
      <c r="BI1497" s="34" t="str">
        <f>HYPERLINK("#일위대가목록!A264","NT0820 →")</f>
        <v>NT0820 →</v>
      </c>
    </row>
    <row r="1498" spans="1:61" ht="18.399999999999999" hidden="1" customHeight="1" x14ac:dyDescent="0.15">
      <c r="A1498" s="2" t="s">
        <v>2173</v>
      </c>
      <c r="B1498" s="87" t="s">
        <v>1266</v>
      </c>
      <c r="C1498" s="2">
        <v>1</v>
      </c>
      <c r="D1498" s="2" t="s">
        <v>556</v>
      </c>
      <c r="E1498" s="27">
        <f>G1498+I1498+K1498</f>
        <v>129575</v>
      </c>
      <c r="F1498" s="28">
        <f>H1498+J1498+L1498</f>
        <v>129575</v>
      </c>
      <c r="G1498" s="27">
        <f>일위대가목록!F225</f>
        <v>11192</v>
      </c>
      <c r="H1498" s="28">
        <f>TRUNC(G1498*C1498,1)</f>
        <v>11192</v>
      </c>
      <c r="I1498" s="27">
        <f>일위대가목록!H225</f>
        <v>107465</v>
      </c>
      <c r="J1498" s="28">
        <f>TRUNC(I1498*C1498,1)</f>
        <v>107465</v>
      </c>
      <c r="K1498" s="27">
        <f>일위대가목록!J225</f>
        <v>10918</v>
      </c>
      <c r="L1498" s="28">
        <f>TRUNC(K1498*C1498,1)</f>
        <v>10918</v>
      </c>
      <c r="M1498" s="86" t="s">
        <v>2856</v>
      </c>
      <c r="N1498" t="s">
        <v>2856</v>
      </c>
      <c r="P1498" t="s">
        <v>1036</v>
      </c>
      <c r="Q1498" t="s">
        <v>2856</v>
      </c>
      <c r="R1498" t="s">
        <v>1740</v>
      </c>
      <c r="T1498" t="s">
        <v>1778</v>
      </c>
      <c r="BI1498" s="34" t="str">
        <f>HYPERLINK("#일위대가목록!A220","NT0763 →")</f>
        <v>NT0763 →</v>
      </c>
    </row>
    <row r="1499" spans="1:61" ht="18.399999999999999" hidden="1" customHeight="1" x14ac:dyDescent="0.15">
      <c r="A1499" s="1"/>
      <c r="B1499" s="87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87"/>
    </row>
    <row r="1500" spans="1:61" ht="18.399999999999999" hidden="1" customHeight="1" x14ac:dyDescent="0.15">
      <c r="A1500" s="2" t="s">
        <v>1191</v>
      </c>
      <c r="B1500" s="87" t="s">
        <v>1266</v>
      </c>
      <c r="C1500" s="2">
        <v>1</v>
      </c>
      <c r="D1500" s="2" t="s">
        <v>556</v>
      </c>
      <c r="E1500" s="184"/>
      <c r="F1500" s="29">
        <f t="shared" ref="F1500:F1505" si="314">H1500+J1500+L1500</f>
        <v>129575</v>
      </c>
      <c r="G1500" s="184"/>
      <c r="H1500" s="29">
        <f>TRUNC(H1501+H1505,0)</f>
        <v>11192</v>
      </c>
      <c r="I1500" s="184"/>
      <c r="J1500" s="29">
        <f>TRUNC(J1501+J1505,0)</f>
        <v>107465</v>
      </c>
      <c r="K1500" s="184"/>
      <c r="L1500" s="29">
        <f>TRUNC(L1501+L1505,0)</f>
        <v>10918</v>
      </c>
      <c r="M1500" s="86" t="s">
        <v>2856</v>
      </c>
      <c r="N1500" t="s">
        <v>2856</v>
      </c>
      <c r="O1500" t="s">
        <v>1740</v>
      </c>
    </row>
    <row r="1501" spans="1:61" ht="18.399999999999999" hidden="1" customHeight="1" x14ac:dyDescent="0.15">
      <c r="A1501" s="2" t="s">
        <v>365</v>
      </c>
      <c r="B1501" s="87" t="s">
        <v>1813</v>
      </c>
      <c r="C1501" s="2">
        <v>0</v>
      </c>
      <c r="D1501" s="2" t="s">
        <v>2856</v>
      </c>
      <c r="E1501" s="27">
        <f>G1501+I1501+K1501</f>
        <v>0</v>
      </c>
      <c r="F1501" s="28">
        <f t="shared" si="314"/>
        <v>0</v>
      </c>
      <c r="G1501" s="27">
        <f>경비!D3</f>
        <v>0</v>
      </c>
      <c r="H1501" s="28">
        <f>TRUNC(G1501*C1501,1)</f>
        <v>0</v>
      </c>
      <c r="I1501" s="27">
        <f>경비!E3</f>
        <v>0</v>
      </c>
      <c r="J1501" s="28">
        <f>TRUNC(I1501*C1501,1)</f>
        <v>0</v>
      </c>
      <c r="K1501" s="27">
        <f>경비!F3</f>
        <v>0</v>
      </c>
      <c r="L1501" s="28">
        <f>TRUNC(K1501*C1501,1)</f>
        <v>0</v>
      </c>
      <c r="M1501" s="86" t="s">
        <v>2856</v>
      </c>
      <c r="N1501" t="s">
        <v>2856</v>
      </c>
      <c r="P1501" t="s">
        <v>334</v>
      </c>
      <c r="Q1501" t="s">
        <v>2856</v>
      </c>
      <c r="R1501" t="s">
        <v>1832</v>
      </c>
      <c r="BI1501" s="34" t="str">
        <f>HYPERLINK("#경비!A3","G_N →")</f>
        <v>G_N →</v>
      </c>
    </row>
    <row r="1502" spans="1:61" ht="18.399999999999999" hidden="1" customHeight="1" x14ac:dyDescent="0.15">
      <c r="A1502" s="2" t="s">
        <v>899</v>
      </c>
      <c r="B1502" s="87" t="s">
        <v>2856</v>
      </c>
      <c r="C1502" s="2">
        <v>3</v>
      </c>
      <c r="D1502" s="2" t="s">
        <v>2652</v>
      </c>
      <c r="E1502" s="27">
        <f>G1502+I1502+K1502</f>
        <v>222504</v>
      </c>
      <c r="F1502" s="28">
        <f t="shared" si="314"/>
        <v>667512</v>
      </c>
      <c r="G1502" s="27">
        <v>0</v>
      </c>
      <c r="H1502" s="28"/>
      <c r="I1502" s="27">
        <f>노임!D12</f>
        <v>222504</v>
      </c>
      <c r="J1502" s="28">
        <f>TRUNC(I1502*C1502,1)</f>
        <v>667512</v>
      </c>
      <c r="K1502" s="27">
        <v>0</v>
      </c>
      <c r="L1502" s="28"/>
      <c r="M1502" s="86" t="s">
        <v>2856</v>
      </c>
      <c r="N1502" t="s">
        <v>2823</v>
      </c>
      <c r="P1502" t="s">
        <v>2471</v>
      </c>
      <c r="Q1502" t="s">
        <v>1839</v>
      </c>
      <c r="R1502" t="s">
        <v>2638</v>
      </c>
      <c r="BI1502" s="34" t="str">
        <f>HYPERLINK("#노임!A12","L050 →")</f>
        <v>L050 →</v>
      </c>
    </row>
    <row r="1503" spans="1:61" ht="18.399999999999999" hidden="1" customHeight="1" x14ac:dyDescent="0.15">
      <c r="A1503" s="2" t="s">
        <v>888</v>
      </c>
      <c r="B1503" s="87" t="s">
        <v>2856</v>
      </c>
      <c r="C1503" s="2">
        <v>1</v>
      </c>
      <c r="D1503" s="2" t="s">
        <v>2652</v>
      </c>
      <c r="E1503" s="27">
        <f>G1503+I1503+K1503</f>
        <v>167081</v>
      </c>
      <c r="F1503" s="28">
        <f t="shared" si="314"/>
        <v>167081</v>
      </c>
      <c r="G1503" s="27">
        <v>0</v>
      </c>
      <c r="H1503" s="28"/>
      <c r="I1503" s="27">
        <f>노임!D15</f>
        <v>167081</v>
      </c>
      <c r="J1503" s="28">
        <f>TRUNC(I1503*C1503,1)</f>
        <v>167081</v>
      </c>
      <c r="K1503" s="27">
        <v>0</v>
      </c>
      <c r="L1503" s="28"/>
      <c r="M1503" s="86" t="s">
        <v>2856</v>
      </c>
      <c r="N1503" t="s">
        <v>821</v>
      </c>
      <c r="P1503" t="s">
        <v>1741</v>
      </c>
      <c r="Q1503" t="s">
        <v>1839</v>
      </c>
      <c r="R1503" t="s">
        <v>498</v>
      </c>
      <c r="BI1503" s="34" t="str">
        <f>HYPERLINK("#노임!A15","L085 →")</f>
        <v>L085 →</v>
      </c>
    </row>
    <row r="1504" spans="1:61" ht="18.399999999999999" hidden="1" customHeight="1" x14ac:dyDescent="0.15">
      <c r="A1504" s="2" t="s">
        <v>1613</v>
      </c>
      <c r="B1504" s="87" t="s">
        <v>2462</v>
      </c>
      <c r="C1504" s="2">
        <v>8</v>
      </c>
      <c r="D1504" s="2" t="s">
        <v>2377</v>
      </c>
      <c r="E1504" s="27">
        <f>G1504+I1504+K1504</f>
        <v>90040</v>
      </c>
      <c r="F1504" s="28">
        <f t="shared" si="314"/>
        <v>720320</v>
      </c>
      <c r="G1504" s="27">
        <f>중기사용료목록!E3</f>
        <v>16788</v>
      </c>
      <c r="H1504" s="28">
        <f>TRUNC(G1504*C1504,1)</f>
        <v>134304</v>
      </c>
      <c r="I1504" s="27">
        <f>중기사용료목록!F3</f>
        <v>56874</v>
      </c>
      <c r="J1504" s="28">
        <f>TRUNC(I1504*C1504,1)</f>
        <v>454992</v>
      </c>
      <c r="K1504" s="27">
        <f>중기사용료목록!G3</f>
        <v>16378</v>
      </c>
      <c r="L1504" s="28">
        <f>TRUNC(K1504*C1504,1)</f>
        <v>131024</v>
      </c>
      <c r="M1504" s="86" t="s">
        <v>2856</v>
      </c>
      <c r="N1504" t="s">
        <v>2856</v>
      </c>
      <c r="P1504" t="s">
        <v>1036</v>
      </c>
      <c r="Q1504" t="s">
        <v>1839</v>
      </c>
      <c r="R1504" t="s">
        <v>1823</v>
      </c>
      <c r="AA1504" s="42" t="s">
        <v>2127</v>
      </c>
      <c r="AB1504" s="8">
        <f>('일위대가_호표(신규)'!H1502+'일위대가_호표(신규)'!H1503+'일위대가_호표(신규)'!H1504)/12</f>
        <v>11192</v>
      </c>
      <c r="AC1504" s="42" t="s">
        <v>2369</v>
      </c>
      <c r="AD1504" s="7">
        <f>$AB1504</f>
        <v>11192</v>
      </c>
      <c r="BI1504" s="34" t="str">
        <f>HYPERLINK("#중기사용료목록!A3","E0002010040 →")</f>
        <v>E0002010040 →</v>
      </c>
    </row>
    <row r="1505" spans="1:61" ht="18.399999999999999" hidden="1" customHeight="1" x14ac:dyDescent="0.15">
      <c r="A1505" s="2" t="s">
        <v>1932</v>
      </c>
      <c r="B1505" s="87" t="s">
        <v>2856</v>
      </c>
      <c r="C1505" s="2">
        <v>1</v>
      </c>
      <c r="D1505" s="2" t="s">
        <v>2303</v>
      </c>
      <c r="E1505" s="27">
        <f>G1505+I1505+K1505</f>
        <v>0</v>
      </c>
      <c r="F1505" s="28">
        <f t="shared" si="314"/>
        <v>129576</v>
      </c>
      <c r="G1505" s="1"/>
      <c r="H1505" s="28">
        <f>TRUNC(((H1502+H1503+H1504)/12),1)</f>
        <v>11192</v>
      </c>
      <c r="I1505" s="1"/>
      <c r="J1505" s="28">
        <f>TRUNC(((J1502+J1503+J1504)/12),1)</f>
        <v>107465.4</v>
      </c>
      <c r="K1505" s="1"/>
      <c r="L1505" s="28">
        <f>TRUNC(((L1502+L1503+L1504)/12),1)</f>
        <v>10918.6</v>
      </c>
      <c r="M1505" s="86" t="s">
        <v>2856</v>
      </c>
      <c r="N1505" t="s">
        <v>2856</v>
      </c>
      <c r="P1505" t="s">
        <v>286</v>
      </c>
      <c r="Q1505" t="s">
        <v>2856</v>
      </c>
      <c r="R1505" t="s">
        <v>2405</v>
      </c>
      <c r="X1505" t="s">
        <v>1354</v>
      </c>
      <c r="AA1505" s="42" t="s">
        <v>298</v>
      </c>
      <c r="AB1505" s="8">
        <f>('일위대가_호표(신규)'!J1502+'일위대가_호표(신규)'!J1503+'일위대가_호표(신규)'!J1504)/12</f>
        <v>107465.41666666667</v>
      </c>
      <c r="AC1505" s="42" t="s">
        <v>1123</v>
      </c>
      <c r="AD1505" s="7">
        <f>$AB1505</f>
        <v>107465.41666666667</v>
      </c>
    </row>
    <row r="1506" spans="1:61" ht="18.399999999999999" hidden="1" customHeight="1" x14ac:dyDescent="0.15">
      <c r="A1506" s="1"/>
      <c r="B1506" s="87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87"/>
      <c r="AA1506" s="42" t="s">
        <v>917</v>
      </c>
      <c r="AB1506" s="8">
        <f>('일위대가_호표(신규)'!L1502+'일위대가_호표(신규)'!L1503+'일위대가_호표(신규)'!L1504)/12</f>
        <v>10918.666666666666</v>
      </c>
      <c r="AC1506" s="42" t="s">
        <v>1546</v>
      </c>
      <c r="AD1506" s="7">
        <f>$AB1506</f>
        <v>10918.666666666666</v>
      </c>
    </row>
    <row r="1507" spans="1:61" ht="18.399999999999999" hidden="1" customHeight="1" x14ac:dyDescent="0.15">
      <c r="A1507" s="2" t="s">
        <v>2851</v>
      </c>
      <c r="B1507" s="87" t="s">
        <v>243</v>
      </c>
      <c r="C1507" s="2">
        <v>1</v>
      </c>
      <c r="D1507" s="2" t="s">
        <v>556</v>
      </c>
      <c r="E1507" s="184"/>
      <c r="F1507" s="29">
        <f>H1507+J1507+L1507</f>
        <v>81611</v>
      </c>
      <c r="G1507" s="184"/>
      <c r="H1507" s="29">
        <f>TRUNC(H1508+H1511,0)</f>
        <v>0</v>
      </c>
      <c r="I1507" s="184"/>
      <c r="J1507" s="29">
        <f>TRUNC(J1508+J1511,0)</f>
        <v>81611</v>
      </c>
      <c r="K1507" s="184"/>
      <c r="L1507" s="29">
        <f>TRUNC(L1508+L1511,0)</f>
        <v>0</v>
      </c>
      <c r="M1507" s="86" t="s">
        <v>2856</v>
      </c>
      <c r="N1507" t="s">
        <v>2856</v>
      </c>
      <c r="O1507" t="s">
        <v>1833</v>
      </c>
    </row>
    <row r="1508" spans="1:61" ht="18.399999999999999" hidden="1" customHeight="1" x14ac:dyDescent="0.15">
      <c r="A1508" s="2" t="s">
        <v>365</v>
      </c>
      <c r="B1508" s="87" t="s">
        <v>1813</v>
      </c>
      <c r="C1508" s="2">
        <v>0</v>
      </c>
      <c r="D1508" s="2" t="s">
        <v>2856</v>
      </c>
      <c r="E1508" s="27">
        <f>G1508+I1508+K1508</f>
        <v>0</v>
      </c>
      <c r="F1508" s="28">
        <f>H1508+J1508+L1508</f>
        <v>0</v>
      </c>
      <c r="G1508" s="27">
        <f>경비!D3</f>
        <v>0</v>
      </c>
      <c r="H1508" s="28">
        <f>TRUNC(G1508*C1508,1)</f>
        <v>0</v>
      </c>
      <c r="I1508" s="27">
        <f>경비!E3</f>
        <v>0</v>
      </c>
      <c r="J1508" s="28">
        <f>TRUNC(I1508*C1508,1)</f>
        <v>0</v>
      </c>
      <c r="K1508" s="27">
        <f>경비!F3</f>
        <v>0</v>
      </c>
      <c r="L1508" s="28">
        <f>TRUNC(K1508*C1508,1)</f>
        <v>0</v>
      </c>
      <c r="M1508" s="86" t="s">
        <v>2856</v>
      </c>
      <c r="N1508" t="s">
        <v>2856</v>
      </c>
      <c r="P1508" t="s">
        <v>334</v>
      </c>
      <c r="Q1508" t="s">
        <v>2856</v>
      </c>
      <c r="R1508" t="s">
        <v>1832</v>
      </c>
      <c r="BI1508" s="34" t="str">
        <f>HYPERLINK("#경비!A3","G_N →")</f>
        <v>G_N →</v>
      </c>
    </row>
    <row r="1509" spans="1:61" ht="18.399999999999999" hidden="1" customHeight="1" x14ac:dyDescent="0.15">
      <c r="A1509" s="2" t="s">
        <v>899</v>
      </c>
      <c r="B1509" s="87" t="s">
        <v>2856</v>
      </c>
      <c r="C1509" s="2">
        <v>4</v>
      </c>
      <c r="D1509" s="2" t="s">
        <v>2652</v>
      </c>
      <c r="E1509" s="27">
        <f>G1509+I1509+K1509</f>
        <v>222504</v>
      </c>
      <c r="F1509" s="28">
        <f>H1509+J1509+L1509</f>
        <v>890016</v>
      </c>
      <c r="G1509" s="27">
        <v>0</v>
      </c>
      <c r="H1509" s="28"/>
      <c r="I1509" s="27">
        <f>노임!D12</f>
        <v>222504</v>
      </c>
      <c r="J1509" s="28">
        <f>TRUNC(I1509*C1509,1)</f>
        <v>890016</v>
      </c>
      <c r="K1509" s="27">
        <v>0</v>
      </c>
      <c r="L1509" s="28"/>
      <c r="M1509" s="86" t="s">
        <v>2856</v>
      </c>
      <c r="N1509" t="s">
        <v>2823</v>
      </c>
      <c r="P1509" t="s">
        <v>2471</v>
      </c>
      <c r="Q1509" t="s">
        <v>1839</v>
      </c>
      <c r="R1509" t="s">
        <v>2638</v>
      </c>
      <c r="BI1509" s="34" t="str">
        <f>HYPERLINK("#노임!A12","L050 →")</f>
        <v>L050 →</v>
      </c>
    </row>
    <row r="1510" spans="1:61" ht="18.399999999999999" hidden="1" customHeight="1" x14ac:dyDescent="0.15">
      <c r="A1510" s="2" t="s">
        <v>888</v>
      </c>
      <c r="B1510" s="87" t="s">
        <v>2856</v>
      </c>
      <c r="C1510" s="2">
        <v>2</v>
      </c>
      <c r="D1510" s="2" t="s">
        <v>2652</v>
      </c>
      <c r="E1510" s="27">
        <f>G1510+I1510+K1510</f>
        <v>167081</v>
      </c>
      <c r="F1510" s="28">
        <f>H1510+J1510+L1510</f>
        <v>334162</v>
      </c>
      <c r="G1510" s="27">
        <v>0</v>
      </c>
      <c r="H1510" s="28"/>
      <c r="I1510" s="27">
        <f>노임!D15</f>
        <v>167081</v>
      </c>
      <c r="J1510" s="28">
        <f>TRUNC(I1510*C1510,1)</f>
        <v>334162</v>
      </c>
      <c r="K1510" s="27">
        <v>0</v>
      </c>
      <c r="L1510" s="28"/>
      <c r="M1510" s="86" t="s">
        <v>2856</v>
      </c>
      <c r="N1510" t="s">
        <v>821</v>
      </c>
      <c r="P1510" t="s">
        <v>1741</v>
      </c>
      <c r="Q1510" t="s">
        <v>1839</v>
      </c>
      <c r="R1510" t="s">
        <v>498</v>
      </c>
      <c r="AA1510" s="42" t="s">
        <v>2127</v>
      </c>
      <c r="AB1510" s="8">
        <f>('일위대가_호표(신규)'!H1509+'일위대가_호표(신규)'!H1510)/15</f>
        <v>0</v>
      </c>
      <c r="AC1510" s="42" t="s">
        <v>2369</v>
      </c>
      <c r="AD1510" s="7">
        <f>$AB1510</f>
        <v>0</v>
      </c>
      <c r="BI1510" s="34" t="str">
        <f>HYPERLINK("#노임!A15","L085 →")</f>
        <v>L085 →</v>
      </c>
    </row>
    <row r="1511" spans="1:61" ht="18.399999999999999" hidden="1" customHeight="1" x14ac:dyDescent="0.15">
      <c r="A1511" s="2" t="s">
        <v>265</v>
      </c>
      <c r="B1511" s="87" t="s">
        <v>2856</v>
      </c>
      <c r="C1511" s="2">
        <v>1</v>
      </c>
      <c r="D1511" s="2" t="s">
        <v>2303</v>
      </c>
      <c r="E1511" s="27">
        <f>G1511+I1511+K1511</f>
        <v>0</v>
      </c>
      <c r="F1511" s="28">
        <f>H1511+J1511+L1511</f>
        <v>81611.8</v>
      </c>
      <c r="G1511" s="1"/>
      <c r="H1511" s="28">
        <f>TRUNC(((H1509+H1510)/15),1)</f>
        <v>0</v>
      </c>
      <c r="I1511" s="1"/>
      <c r="J1511" s="28">
        <f>TRUNC(((J1509+J1510)/15),1)</f>
        <v>81611.8</v>
      </c>
      <c r="K1511" s="1"/>
      <c r="L1511" s="28">
        <f>TRUNC(((L1509+L1510)/15),1)</f>
        <v>0</v>
      </c>
      <c r="M1511" s="86" t="s">
        <v>2856</v>
      </c>
      <c r="N1511" t="s">
        <v>2856</v>
      </c>
      <c r="P1511" t="s">
        <v>1036</v>
      </c>
      <c r="Q1511" t="s">
        <v>2856</v>
      </c>
      <c r="R1511" t="s">
        <v>2405</v>
      </c>
      <c r="X1511" t="s">
        <v>1192</v>
      </c>
      <c r="AA1511" s="42" t="s">
        <v>298</v>
      </c>
      <c r="AB1511" s="8">
        <f>('일위대가_호표(신규)'!J1509+'일위대가_호표(신규)'!J1510)/15</f>
        <v>81611.866666666669</v>
      </c>
      <c r="AC1511" s="42" t="s">
        <v>1123</v>
      </c>
      <c r="AD1511" s="7">
        <f>$AB1511</f>
        <v>81611.866666666669</v>
      </c>
    </row>
    <row r="1512" spans="1:61" ht="18.399999999999999" hidden="1" customHeight="1" x14ac:dyDescent="0.15">
      <c r="A1512" s="1"/>
      <c r="B1512" s="87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87"/>
      <c r="AA1512" s="42" t="s">
        <v>917</v>
      </c>
      <c r="AB1512" s="8">
        <f>('일위대가_호표(신규)'!L1509+'일위대가_호표(신규)'!L1510)/15</f>
        <v>0</v>
      </c>
      <c r="AC1512" s="42" t="s">
        <v>1546</v>
      </c>
      <c r="AD1512" s="7">
        <f>$AB1512</f>
        <v>0</v>
      </c>
    </row>
    <row r="1513" spans="1:61" ht="18.399999999999999" hidden="1" customHeight="1" x14ac:dyDescent="0.15">
      <c r="A1513" s="2" t="s">
        <v>2408</v>
      </c>
      <c r="B1513" s="87" t="s">
        <v>426</v>
      </c>
      <c r="C1513" s="2">
        <v>1</v>
      </c>
      <c r="D1513" s="2" t="s">
        <v>556</v>
      </c>
      <c r="E1513" s="184"/>
      <c r="F1513" s="29">
        <f t="shared" ref="F1513:F1519" si="315">H1513+J1513+L1513</f>
        <v>351154</v>
      </c>
      <c r="G1513" s="184"/>
      <c r="H1513" s="29">
        <f>TRUNC(H1514+H1519,0)</f>
        <v>30145</v>
      </c>
      <c r="I1513" s="184"/>
      <c r="J1513" s="29">
        <f>TRUNC(J1514+J1519,0)</f>
        <v>249225</v>
      </c>
      <c r="K1513" s="184"/>
      <c r="L1513" s="29">
        <f>TRUNC(L1514+L1519,0)</f>
        <v>71784</v>
      </c>
      <c r="M1513" s="86" t="s">
        <v>2856</v>
      </c>
      <c r="N1513" t="s">
        <v>2856</v>
      </c>
      <c r="O1513" t="s">
        <v>1750</v>
      </c>
    </row>
    <row r="1514" spans="1:61" ht="18.399999999999999" hidden="1" customHeight="1" x14ac:dyDescent="0.15">
      <c r="A1514" s="2" t="s">
        <v>365</v>
      </c>
      <c r="B1514" s="87" t="s">
        <v>1813</v>
      </c>
      <c r="C1514" s="2">
        <v>0</v>
      </c>
      <c r="D1514" s="2" t="s">
        <v>2856</v>
      </c>
      <c r="E1514" s="27">
        <f t="shared" ref="E1514:E1519" si="316">G1514+I1514+K1514</f>
        <v>0</v>
      </c>
      <c r="F1514" s="28">
        <f t="shared" si="315"/>
        <v>0</v>
      </c>
      <c r="G1514" s="27">
        <f>경비!D3</f>
        <v>0</v>
      </c>
      <c r="H1514" s="28">
        <f>TRUNC(G1514*C1514,1)</f>
        <v>0</v>
      </c>
      <c r="I1514" s="27">
        <f>경비!E3</f>
        <v>0</v>
      </c>
      <c r="J1514" s="28">
        <f>TRUNC(I1514*C1514,1)</f>
        <v>0</v>
      </c>
      <c r="K1514" s="27">
        <f>경비!F3</f>
        <v>0</v>
      </c>
      <c r="L1514" s="28">
        <f>TRUNC(K1514*C1514,1)</f>
        <v>0</v>
      </c>
      <c r="M1514" s="86" t="s">
        <v>2856</v>
      </c>
      <c r="N1514" t="s">
        <v>2856</v>
      </c>
      <c r="P1514" t="s">
        <v>334</v>
      </c>
      <c r="Q1514" t="s">
        <v>2856</v>
      </c>
      <c r="R1514" t="s">
        <v>1832</v>
      </c>
      <c r="BI1514" s="34" t="str">
        <f>HYPERLINK("#경비!A3","G_N →")</f>
        <v>G_N →</v>
      </c>
    </row>
    <row r="1515" spans="1:61" ht="18.399999999999999" hidden="1" customHeight="1" x14ac:dyDescent="0.15">
      <c r="A1515" s="2" t="s">
        <v>899</v>
      </c>
      <c r="B1515" s="87" t="s">
        <v>2856</v>
      </c>
      <c r="C1515" s="2">
        <v>3</v>
      </c>
      <c r="D1515" s="2" t="s">
        <v>2652</v>
      </c>
      <c r="E1515" s="27">
        <f t="shared" si="316"/>
        <v>222504</v>
      </c>
      <c r="F1515" s="28">
        <f t="shared" si="315"/>
        <v>667512</v>
      </c>
      <c r="G1515" s="27">
        <v>0</v>
      </c>
      <c r="H1515" s="28"/>
      <c r="I1515" s="27">
        <f>노임!D12</f>
        <v>222504</v>
      </c>
      <c r="J1515" s="28">
        <f>TRUNC(I1515*C1515,1)</f>
        <v>667512</v>
      </c>
      <c r="K1515" s="27">
        <v>0</v>
      </c>
      <c r="L1515" s="28"/>
      <c r="M1515" s="86" t="s">
        <v>2856</v>
      </c>
      <c r="N1515" t="s">
        <v>2823</v>
      </c>
      <c r="P1515" t="s">
        <v>2471</v>
      </c>
      <c r="Q1515" t="s">
        <v>1839</v>
      </c>
      <c r="R1515" t="s">
        <v>2638</v>
      </c>
      <c r="BI1515" s="34" t="str">
        <f>HYPERLINK("#노임!A12","L050 →")</f>
        <v>L050 →</v>
      </c>
    </row>
    <row r="1516" spans="1:61" ht="18.399999999999999" hidden="1" customHeight="1" x14ac:dyDescent="0.15">
      <c r="A1516" s="2" t="s">
        <v>888</v>
      </c>
      <c r="B1516" s="87" t="s">
        <v>2856</v>
      </c>
      <c r="C1516" s="2">
        <v>1</v>
      </c>
      <c r="D1516" s="2" t="s">
        <v>2652</v>
      </c>
      <c r="E1516" s="27">
        <f t="shared" si="316"/>
        <v>167081</v>
      </c>
      <c r="F1516" s="28">
        <f t="shared" si="315"/>
        <v>167081</v>
      </c>
      <c r="G1516" s="27">
        <v>0</v>
      </c>
      <c r="H1516" s="28"/>
      <c r="I1516" s="27">
        <f>노임!D15</f>
        <v>167081</v>
      </c>
      <c r="J1516" s="28">
        <f>TRUNC(I1516*C1516,1)</f>
        <v>167081</v>
      </c>
      <c r="K1516" s="27">
        <v>0</v>
      </c>
      <c r="L1516" s="28"/>
      <c r="M1516" s="86" t="s">
        <v>2856</v>
      </c>
      <c r="N1516" t="s">
        <v>821</v>
      </c>
      <c r="P1516" t="s">
        <v>1741</v>
      </c>
      <c r="Q1516" t="s">
        <v>1839</v>
      </c>
      <c r="R1516" t="s">
        <v>498</v>
      </c>
      <c r="BI1516" s="34" t="str">
        <f>HYPERLINK("#노임!A15","L085 →")</f>
        <v>L085 →</v>
      </c>
    </row>
    <row r="1517" spans="1:61" ht="18.399999999999999" hidden="1" customHeight="1" x14ac:dyDescent="0.15">
      <c r="A1517" s="2" t="s">
        <v>1613</v>
      </c>
      <c r="B1517" s="87" t="s">
        <v>986</v>
      </c>
      <c r="C1517" s="2">
        <v>8</v>
      </c>
      <c r="D1517" s="2" t="s">
        <v>2377</v>
      </c>
      <c r="E1517" s="27">
        <f t="shared" si="316"/>
        <v>96128</v>
      </c>
      <c r="F1517" s="28">
        <f t="shared" si="315"/>
        <v>769024</v>
      </c>
      <c r="G1517" s="27">
        <f>중기사용료목록!E4</f>
        <v>17297</v>
      </c>
      <c r="H1517" s="28">
        <f>TRUNC(G1517*C1517,1)</f>
        <v>138376</v>
      </c>
      <c r="I1517" s="27">
        <f>중기사용료목록!F4</f>
        <v>56874</v>
      </c>
      <c r="J1517" s="28">
        <f>TRUNC(I1517*C1517,1)</f>
        <v>454992</v>
      </c>
      <c r="K1517" s="27">
        <f>중기사용료목록!G4</f>
        <v>21957</v>
      </c>
      <c r="L1517" s="28">
        <f>TRUNC(K1517*C1517,1)</f>
        <v>175656</v>
      </c>
      <c r="M1517" s="86" t="s">
        <v>2856</v>
      </c>
      <c r="N1517" t="s">
        <v>2856</v>
      </c>
      <c r="P1517" t="s">
        <v>1036</v>
      </c>
      <c r="Q1517" t="s">
        <v>1839</v>
      </c>
      <c r="R1517" t="s">
        <v>361</v>
      </c>
      <c r="BI1517" s="34" t="str">
        <f>HYPERLINK("#중기사용료목록!A4","E0002010060 →")</f>
        <v>E0002010060 →</v>
      </c>
    </row>
    <row r="1518" spans="1:61" ht="18.399999999999999" hidden="1" customHeight="1" x14ac:dyDescent="0.15">
      <c r="A1518" s="2" t="s">
        <v>1394</v>
      </c>
      <c r="B1518" s="87" t="s">
        <v>1928</v>
      </c>
      <c r="C1518" s="2">
        <v>8</v>
      </c>
      <c r="D1518" s="2" t="s">
        <v>2377</v>
      </c>
      <c r="E1518" s="27">
        <f t="shared" si="316"/>
        <v>106808</v>
      </c>
      <c r="F1518" s="28">
        <f t="shared" si="315"/>
        <v>854464</v>
      </c>
      <c r="G1518" s="27">
        <f>중기사용료목록!E9</f>
        <v>9080</v>
      </c>
      <c r="H1518" s="28">
        <f>TRUNC(G1518*C1518,1)</f>
        <v>72640</v>
      </c>
      <c r="I1518" s="27">
        <f>중기사용료목록!F9</f>
        <v>56874</v>
      </c>
      <c r="J1518" s="28">
        <f>TRUNC(I1518*C1518,1)</f>
        <v>454992</v>
      </c>
      <c r="K1518" s="27">
        <f>중기사용료목록!G9</f>
        <v>40854</v>
      </c>
      <c r="L1518" s="28">
        <f>TRUNC(K1518*C1518,1)</f>
        <v>326832</v>
      </c>
      <c r="M1518" s="86" t="s">
        <v>2856</v>
      </c>
      <c r="N1518" t="s">
        <v>2856</v>
      </c>
      <c r="P1518" t="s">
        <v>286</v>
      </c>
      <c r="Q1518" t="s">
        <v>1839</v>
      </c>
      <c r="R1518" t="s">
        <v>2787</v>
      </c>
      <c r="AA1518" s="42" t="s">
        <v>2127</v>
      </c>
      <c r="AB1518" s="8">
        <f>('일위대가_호표(신규)'!H1515+'일위대가_호표(신규)'!H1516+'일위대가_호표(신규)'!H1517+'일위대가_호표(신규)'!H1518)/7</f>
        <v>30145.142857142859</v>
      </c>
      <c r="AC1518" s="42" t="s">
        <v>2369</v>
      </c>
      <c r="AD1518" s="7">
        <f>$AB1518</f>
        <v>30145.142857142859</v>
      </c>
      <c r="BI1518" s="34" t="str">
        <f>HYPERLINK("#중기사용료목록!A9","E0021040015 →")</f>
        <v>E0021040015 →</v>
      </c>
    </row>
    <row r="1519" spans="1:61" ht="18.399999999999999" hidden="1" customHeight="1" x14ac:dyDescent="0.15">
      <c r="A1519" s="2" t="s">
        <v>1655</v>
      </c>
      <c r="B1519" s="87" t="s">
        <v>2856</v>
      </c>
      <c r="C1519" s="2">
        <v>1</v>
      </c>
      <c r="D1519" s="2" t="s">
        <v>2303</v>
      </c>
      <c r="E1519" s="27">
        <f t="shared" si="316"/>
        <v>0</v>
      </c>
      <c r="F1519" s="28">
        <f t="shared" si="315"/>
        <v>351154.3</v>
      </c>
      <c r="G1519" s="1"/>
      <c r="H1519" s="28">
        <f>TRUNC(((H1515+H1516+H1517+H1518)/7),1)</f>
        <v>30145.1</v>
      </c>
      <c r="I1519" s="1"/>
      <c r="J1519" s="28">
        <f>TRUNC(((J1515+J1516+J1517+J1518)/7),1)</f>
        <v>249225.2</v>
      </c>
      <c r="K1519" s="1"/>
      <c r="L1519" s="28">
        <f>TRUNC(((L1515+L1516+L1517+L1518)/7),1)</f>
        <v>71784</v>
      </c>
      <c r="M1519" s="86" t="s">
        <v>2856</v>
      </c>
      <c r="N1519" t="s">
        <v>2856</v>
      </c>
      <c r="P1519" t="s">
        <v>2428</v>
      </c>
      <c r="Q1519" t="s">
        <v>2856</v>
      </c>
      <c r="R1519" t="s">
        <v>2405</v>
      </c>
      <c r="X1519" t="s">
        <v>183</v>
      </c>
      <c r="AA1519" s="42" t="s">
        <v>298</v>
      </c>
      <c r="AB1519" s="8">
        <f>('일위대가_호표(신규)'!J1515+'일위대가_호표(신규)'!J1516+'일위대가_호표(신규)'!J1517+'일위대가_호표(신규)'!J1518)/7</f>
        <v>249225.28571428571</v>
      </c>
      <c r="AC1519" s="42" t="s">
        <v>1123</v>
      </c>
      <c r="AD1519" s="7">
        <f>$AB1519</f>
        <v>249225.28571428571</v>
      </c>
    </row>
    <row r="1520" spans="1:61" ht="18.399999999999999" hidden="1" customHeight="1" x14ac:dyDescent="0.15">
      <c r="A1520" s="1"/>
      <c r="B1520" s="87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87"/>
      <c r="AA1520" s="42" t="s">
        <v>917</v>
      </c>
      <c r="AB1520" s="8">
        <f>('일위대가_호표(신규)'!L1515+'일위대가_호표(신규)'!L1516+'일위대가_호표(신규)'!L1517+'일위대가_호표(신규)'!L1518)/7</f>
        <v>71784</v>
      </c>
      <c r="AC1520" s="42" t="s">
        <v>1546</v>
      </c>
      <c r="AD1520" s="7">
        <f>$AB1520</f>
        <v>71784</v>
      </c>
    </row>
    <row r="1521" spans="1:61" ht="18.399999999999999" hidden="1" customHeight="1" x14ac:dyDescent="0.15">
      <c r="A1521" s="2" t="s">
        <v>891</v>
      </c>
      <c r="B1521" s="87" t="s">
        <v>2254</v>
      </c>
      <c r="C1521" s="2">
        <v>1</v>
      </c>
      <c r="D1521" s="2" t="s">
        <v>556</v>
      </c>
      <c r="E1521" s="184"/>
      <c r="F1521" s="29">
        <f t="shared" ref="F1521:F1526" si="317">H1521+J1521+L1521</f>
        <v>91464</v>
      </c>
      <c r="G1521" s="184"/>
      <c r="H1521" s="29">
        <f>TRUNC(H1522+H1526,0)</f>
        <v>7900</v>
      </c>
      <c r="I1521" s="184"/>
      <c r="J1521" s="29">
        <f>TRUNC(J1522+J1526,0)</f>
        <v>75857</v>
      </c>
      <c r="K1521" s="184"/>
      <c r="L1521" s="29">
        <f>TRUNC(L1522+L1526,0)</f>
        <v>7707</v>
      </c>
      <c r="M1521" s="86" t="s">
        <v>2856</v>
      </c>
      <c r="N1521" t="s">
        <v>2856</v>
      </c>
      <c r="O1521" t="s">
        <v>2569</v>
      </c>
    </row>
    <row r="1522" spans="1:61" ht="18.399999999999999" hidden="1" customHeight="1" x14ac:dyDescent="0.15">
      <c r="A1522" s="2" t="s">
        <v>365</v>
      </c>
      <c r="B1522" s="87" t="s">
        <v>1813</v>
      </c>
      <c r="C1522" s="2">
        <v>0</v>
      </c>
      <c r="D1522" s="2" t="s">
        <v>2856</v>
      </c>
      <c r="E1522" s="27">
        <f>G1522+I1522+K1522</f>
        <v>0</v>
      </c>
      <c r="F1522" s="28">
        <f t="shared" si="317"/>
        <v>0</v>
      </c>
      <c r="G1522" s="27">
        <f>경비!D3</f>
        <v>0</v>
      </c>
      <c r="H1522" s="28">
        <f>TRUNC(G1522*C1522,1)</f>
        <v>0</v>
      </c>
      <c r="I1522" s="27">
        <f>경비!E3</f>
        <v>0</v>
      </c>
      <c r="J1522" s="28">
        <f>TRUNC(I1522*C1522,1)</f>
        <v>0</v>
      </c>
      <c r="K1522" s="27">
        <f>경비!F3</f>
        <v>0</v>
      </c>
      <c r="L1522" s="28">
        <f>TRUNC(K1522*C1522,1)</f>
        <v>0</v>
      </c>
      <c r="M1522" s="86" t="s">
        <v>2856</v>
      </c>
      <c r="N1522" t="s">
        <v>2856</v>
      </c>
      <c r="P1522" t="s">
        <v>334</v>
      </c>
      <c r="Q1522" t="s">
        <v>2856</v>
      </c>
      <c r="R1522" t="s">
        <v>1832</v>
      </c>
      <c r="BI1522" s="34" t="str">
        <f>HYPERLINK("#경비!A3","G_N →")</f>
        <v>G_N →</v>
      </c>
    </row>
    <row r="1523" spans="1:61" ht="18.399999999999999" hidden="1" customHeight="1" x14ac:dyDescent="0.15">
      <c r="A1523" s="2" t="s">
        <v>899</v>
      </c>
      <c r="B1523" s="87" t="s">
        <v>2856</v>
      </c>
      <c r="C1523" s="2">
        <v>3</v>
      </c>
      <c r="D1523" s="2" t="s">
        <v>2652</v>
      </c>
      <c r="E1523" s="27">
        <f>G1523+I1523+K1523</f>
        <v>222504</v>
      </c>
      <c r="F1523" s="28">
        <f t="shared" si="317"/>
        <v>667512</v>
      </c>
      <c r="G1523" s="27">
        <v>0</v>
      </c>
      <c r="H1523" s="28"/>
      <c r="I1523" s="27">
        <f>노임!D12</f>
        <v>222504</v>
      </c>
      <c r="J1523" s="28">
        <f>TRUNC(I1523*C1523,1)</f>
        <v>667512</v>
      </c>
      <c r="K1523" s="27">
        <v>0</v>
      </c>
      <c r="L1523" s="28"/>
      <c r="M1523" s="86" t="s">
        <v>2856</v>
      </c>
      <c r="N1523" t="s">
        <v>2823</v>
      </c>
      <c r="P1523" t="s">
        <v>2471</v>
      </c>
      <c r="Q1523" t="s">
        <v>1839</v>
      </c>
      <c r="R1523" t="s">
        <v>2638</v>
      </c>
      <c r="BI1523" s="34" t="str">
        <f>HYPERLINK("#노임!A12","L050 →")</f>
        <v>L050 →</v>
      </c>
    </row>
    <row r="1524" spans="1:61" ht="18.399999999999999" hidden="1" customHeight="1" x14ac:dyDescent="0.15">
      <c r="A1524" s="2" t="s">
        <v>888</v>
      </c>
      <c r="B1524" s="87" t="s">
        <v>2856</v>
      </c>
      <c r="C1524" s="2">
        <v>1</v>
      </c>
      <c r="D1524" s="2" t="s">
        <v>2652</v>
      </c>
      <c r="E1524" s="27">
        <f>G1524+I1524+K1524</f>
        <v>167081</v>
      </c>
      <c r="F1524" s="28">
        <f t="shared" si="317"/>
        <v>167081</v>
      </c>
      <c r="G1524" s="27">
        <v>0</v>
      </c>
      <c r="H1524" s="28"/>
      <c r="I1524" s="27">
        <f>노임!D15</f>
        <v>167081</v>
      </c>
      <c r="J1524" s="28">
        <f>TRUNC(I1524*C1524,1)</f>
        <v>167081</v>
      </c>
      <c r="K1524" s="27">
        <v>0</v>
      </c>
      <c r="L1524" s="28"/>
      <c r="M1524" s="86" t="s">
        <v>2856</v>
      </c>
      <c r="N1524" t="s">
        <v>821</v>
      </c>
      <c r="P1524" t="s">
        <v>1741</v>
      </c>
      <c r="Q1524" t="s">
        <v>1839</v>
      </c>
      <c r="R1524" t="s">
        <v>498</v>
      </c>
      <c r="BI1524" s="34" t="str">
        <f>HYPERLINK("#노임!A15","L085 →")</f>
        <v>L085 →</v>
      </c>
    </row>
    <row r="1525" spans="1:61" ht="18.399999999999999" hidden="1" customHeight="1" x14ac:dyDescent="0.15">
      <c r="A1525" s="2" t="s">
        <v>1613</v>
      </c>
      <c r="B1525" s="87" t="s">
        <v>2462</v>
      </c>
      <c r="C1525" s="2">
        <v>8</v>
      </c>
      <c r="D1525" s="2" t="s">
        <v>2377</v>
      </c>
      <c r="E1525" s="27">
        <f>G1525+I1525+K1525</f>
        <v>90040</v>
      </c>
      <c r="F1525" s="28">
        <f t="shared" si="317"/>
        <v>720320</v>
      </c>
      <c r="G1525" s="27">
        <f>중기사용료목록!E3</f>
        <v>16788</v>
      </c>
      <c r="H1525" s="28">
        <f>TRUNC(G1525*C1525,1)</f>
        <v>134304</v>
      </c>
      <c r="I1525" s="27">
        <f>중기사용료목록!F3</f>
        <v>56874</v>
      </c>
      <c r="J1525" s="28">
        <f>TRUNC(I1525*C1525,1)</f>
        <v>454992</v>
      </c>
      <c r="K1525" s="27">
        <f>중기사용료목록!G3</f>
        <v>16378</v>
      </c>
      <c r="L1525" s="28">
        <f>TRUNC(K1525*C1525,1)</f>
        <v>131024</v>
      </c>
      <c r="M1525" s="86" t="s">
        <v>2856</v>
      </c>
      <c r="N1525" t="s">
        <v>2856</v>
      </c>
      <c r="P1525" t="s">
        <v>1036</v>
      </c>
      <c r="Q1525" t="s">
        <v>1839</v>
      </c>
      <c r="R1525" t="s">
        <v>1823</v>
      </c>
      <c r="AA1525" s="42" t="s">
        <v>2127</v>
      </c>
      <c r="AB1525" s="8">
        <f>('일위대가_호표(신규)'!H1523+'일위대가_호표(신규)'!H1524+'일위대가_호표(신규)'!H1525)/17</f>
        <v>7900.2352941176468</v>
      </c>
      <c r="AC1525" s="42" t="s">
        <v>2369</v>
      </c>
      <c r="AD1525" s="7">
        <f>$AB1525</f>
        <v>7900.2352941176468</v>
      </c>
      <c r="BI1525" s="34" t="str">
        <f>HYPERLINK("#중기사용료목록!A3","E0002010040 →")</f>
        <v>E0002010040 →</v>
      </c>
    </row>
    <row r="1526" spans="1:61" ht="18.399999999999999" hidden="1" customHeight="1" x14ac:dyDescent="0.15">
      <c r="A1526" s="2" t="s">
        <v>1738</v>
      </c>
      <c r="B1526" s="87" t="s">
        <v>2856</v>
      </c>
      <c r="C1526" s="2">
        <v>1</v>
      </c>
      <c r="D1526" s="2" t="s">
        <v>2303</v>
      </c>
      <c r="E1526" s="27">
        <f>G1526+I1526+K1526</f>
        <v>0</v>
      </c>
      <c r="F1526" s="28">
        <f t="shared" si="317"/>
        <v>91465.299999999988</v>
      </c>
      <c r="G1526" s="1"/>
      <c r="H1526" s="28">
        <f>TRUNC(((H1523+H1524+H1525)/17),1)</f>
        <v>7900.2</v>
      </c>
      <c r="I1526" s="1"/>
      <c r="J1526" s="28">
        <f>TRUNC(((J1523+J1524+J1525)/17),1)</f>
        <v>75857.899999999994</v>
      </c>
      <c r="K1526" s="1"/>
      <c r="L1526" s="28">
        <f>TRUNC(((L1523+L1524+L1525)/17),1)</f>
        <v>7707.2</v>
      </c>
      <c r="M1526" s="86" t="s">
        <v>2856</v>
      </c>
      <c r="N1526" t="s">
        <v>2856</v>
      </c>
      <c r="P1526" t="s">
        <v>286</v>
      </c>
      <c r="Q1526" t="s">
        <v>2856</v>
      </c>
      <c r="R1526" t="s">
        <v>2405</v>
      </c>
      <c r="X1526" t="s">
        <v>1845</v>
      </c>
      <c r="AA1526" s="42" t="s">
        <v>298</v>
      </c>
      <c r="AB1526" s="8">
        <f>('일위대가_호표(신규)'!J1523+'일위대가_호표(신규)'!J1524+'일위대가_호표(신규)'!J1525)/17</f>
        <v>75857.941176470587</v>
      </c>
      <c r="AC1526" s="42" t="s">
        <v>1123</v>
      </c>
      <c r="AD1526" s="7">
        <f>$AB1526</f>
        <v>75857.941176470587</v>
      </c>
    </row>
    <row r="1527" spans="1:61" ht="18.399999999999999" hidden="1" customHeight="1" x14ac:dyDescent="0.15">
      <c r="A1527" s="1"/>
      <c r="B1527" s="87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87"/>
      <c r="AA1527" s="42" t="s">
        <v>917</v>
      </c>
      <c r="AB1527" s="8">
        <f>('일위대가_호표(신규)'!L1523+'일위대가_호표(신규)'!L1524+'일위대가_호표(신규)'!L1525)/17</f>
        <v>7707.2941176470586</v>
      </c>
      <c r="AC1527" s="42" t="s">
        <v>1546</v>
      </c>
      <c r="AD1527" s="7">
        <f>$AB1527</f>
        <v>7707.2941176470586</v>
      </c>
    </row>
    <row r="1528" spans="1:61" ht="18.399999999999999" hidden="1" customHeight="1" x14ac:dyDescent="0.15">
      <c r="A1528" s="2" t="s">
        <v>2053</v>
      </c>
      <c r="B1528" s="87" t="s">
        <v>328</v>
      </c>
      <c r="C1528" s="2">
        <v>1</v>
      </c>
      <c r="D1528" s="2" t="s">
        <v>556</v>
      </c>
      <c r="E1528" s="184"/>
      <c r="F1528" s="29">
        <f t="shared" ref="F1528:F1533" si="318">H1528+J1528+L1528</f>
        <v>262016</v>
      </c>
      <c r="G1528" s="184"/>
      <c r="H1528" s="29">
        <f>TRUNC(H1533,0)</f>
        <v>21900</v>
      </c>
      <c r="I1528" s="184"/>
      <c r="J1528" s="29">
        <f>TRUNC(J1533,0)</f>
        <v>193841</v>
      </c>
      <c r="K1528" s="184"/>
      <c r="L1528" s="29">
        <f>TRUNC(L1533,0)</f>
        <v>46275</v>
      </c>
      <c r="M1528" s="86" t="s">
        <v>2856</v>
      </c>
      <c r="N1528" t="s">
        <v>2856</v>
      </c>
      <c r="O1528" t="s">
        <v>1162</v>
      </c>
    </row>
    <row r="1529" spans="1:61" ht="18.399999999999999" hidden="1" customHeight="1" x14ac:dyDescent="0.15">
      <c r="A1529" s="2" t="s">
        <v>899</v>
      </c>
      <c r="B1529" s="87" t="s">
        <v>2856</v>
      </c>
      <c r="C1529" s="2">
        <v>3</v>
      </c>
      <c r="D1529" s="2" t="s">
        <v>2652</v>
      </c>
      <c r="E1529" s="27">
        <f>G1529+I1529+K1529</f>
        <v>222504</v>
      </c>
      <c r="F1529" s="28">
        <f t="shared" si="318"/>
        <v>667512</v>
      </c>
      <c r="G1529" s="27">
        <v>0</v>
      </c>
      <c r="H1529" s="28"/>
      <c r="I1529" s="27">
        <f>노임!D12</f>
        <v>222504</v>
      </c>
      <c r="J1529" s="28">
        <f>TRUNC(I1529*C1529,1)</f>
        <v>667512</v>
      </c>
      <c r="K1529" s="27">
        <v>0</v>
      </c>
      <c r="L1529" s="28"/>
      <c r="M1529" s="86" t="s">
        <v>2856</v>
      </c>
      <c r="N1529" t="s">
        <v>2823</v>
      </c>
      <c r="P1529" t="s">
        <v>2471</v>
      </c>
      <c r="Q1529" t="s">
        <v>1839</v>
      </c>
      <c r="R1529" t="s">
        <v>2638</v>
      </c>
      <c r="BI1529" s="34" t="str">
        <f>HYPERLINK("#노임!A12","L050 →")</f>
        <v>L050 →</v>
      </c>
    </row>
    <row r="1530" spans="1:61" ht="18.399999999999999" hidden="1" customHeight="1" x14ac:dyDescent="0.15">
      <c r="A1530" s="2" t="s">
        <v>888</v>
      </c>
      <c r="B1530" s="87" t="s">
        <v>2856</v>
      </c>
      <c r="C1530" s="2">
        <v>1</v>
      </c>
      <c r="D1530" s="2" t="s">
        <v>2652</v>
      </c>
      <c r="E1530" s="27">
        <f>G1530+I1530+K1530</f>
        <v>167081</v>
      </c>
      <c r="F1530" s="28">
        <f t="shared" si="318"/>
        <v>167081</v>
      </c>
      <c r="G1530" s="27">
        <v>0</v>
      </c>
      <c r="H1530" s="28"/>
      <c r="I1530" s="27">
        <f>노임!D15</f>
        <v>167081</v>
      </c>
      <c r="J1530" s="28">
        <f>TRUNC(I1530*C1530,1)</f>
        <v>167081</v>
      </c>
      <c r="K1530" s="27">
        <v>0</v>
      </c>
      <c r="L1530" s="28"/>
      <c r="M1530" s="86" t="s">
        <v>2856</v>
      </c>
      <c r="N1530" t="s">
        <v>821</v>
      </c>
      <c r="P1530" t="s">
        <v>1741</v>
      </c>
      <c r="Q1530" t="s">
        <v>1839</v>
      </c>
      <c r="R1530" t="s">
        <v>498</v>
      </c>
      <c r="BI1530" s="34" t="str">
        <f>HYPERLINK("#노임!A15","L085 →")</f>
        <v>L085 →</v>
      </c>
    </row>
    <row r="1531" spans="1:61" ht="18.399999999999999" hidden="1" customHeight="1" x14ac:dyDescent="0.15">
      <c r="A1531" s="2" t="s">
        <v>1613</v>
      </c>
      <c r="B1531" s="87" t="s">
        <v>986</v>
      </c>
      <c r="C1531" s="2">
        <v>8</v>
      </c>
      <c r="D1531" s="2" t="s">
        <v>2377</v>
      </c>
      <c r="E1531" s="27">
        <f>G1531+I1531+K1531</f>
        <v>96128</v>
      </c>
      <c r="F1531" s="28">
        <f t="shared" si="318"/>
        <v>769024</v>
      </c>
      <c r="G1531" s="27">
        <f>중기사용료목록!E4</f>
        <v>17297</v>
      </c>
      <c r="H1531" s="28">
        <f>TRUNC(G1531*C1531,1)</f>
        <v>138376</v>
      </c>
      <c r="I1531" s="27">
        <f>중기사용료목록!F4</f>
        <v>56874</v>
      </c>
      <c r="J1531" s="28">
        <f>TRUNC(I1531*C1531,1)</f>
        <v>454992</v>
      </c>
      <c r="K1531" s="27">
        <f>중기사용료목록!G4</f>
        <v>21957</v>
      </c>
      <c r="L1531" s="28">
        <f>TRUNC(K1531*C1531,1)</f>
        <v>175656</v>
      </c>
      <c r="M1531" s="86" t="s">
        <v>2856</v>
      </c>
      <c r="N1531" t="s">
        <v>2856</v>
      </c>
      <c r="P1531" t="s">
        <v>1036</v>
      </c>
      <c r="Q1531" t="s">
        <v>1839</v>
      </c>
      <c r="R1531" t="s">
        <v>361</v>
      </c>
      <c r="BI1531" s="34" t="str">
        <f>HYPERLINK("#중기사용료목록!A4","E0002010060 →")</f>
        <v>E0002010060 →</v>
      </c>
    </row>
    <row r="1532" spans="1:61" ht="18.399999999999999" hidden="1" customHeight="1" x14ac:dyDescent="0.15">
      <c r="A1532" s="2" t="s">
        <v>1394</v>
      </c>
      <c r="B1532" s="87" t="s">
        <v>2467</v>
      </c>
      <c r="C1532" s="2">
        <v>8</v>
      </c>
      <c r="D1532" s="2" t="s">
        <v>2377</v>
      </c>
      <c r="E1532" s="27">
        <f>G1532+I1532+K1532</f>
        <v>94318</v>
      </c>
      <c r="F1532" s="28">
        <f t="shared" si="318"/>
        <v>754544</v>
      </c>
      <c r="G1532" s="27">
        <f>중기사용료목록!E8</f>
        <v>7341</v>
      </c>
      <c r="H1532" s="28">
        <f>TRUNC(G1532*C1532,1)</f>
        <v>58728</v>
      </c>
      <c r="I1532" s="27">
        <f>중기사용료목록!F8</f>
        <v>56874</v>
      </c>
      <c r="J1532" s="28">
        <f>TRUNC(I1532*C1532,1)</f>
        <v>454992</v>
      </c>
      <c r="K1532" s="27">
        <f>중기사용료목록!G8</f>
        <v>30103</v>
      </c>
      <c r="L1532" s="28">
        <f>TRUNC(K1532*C1532,1)</f>
        <v>240824</v>
      </c>
      <c r="M1532" s="86" t="s">
        <v>2856</v>
      </c>
      <c r="N1532" t="s">
        <v>2856</v>
      </c>
      <c r="P1532" t="s">
        <v>2374</v>
      </c>
      <c r="Q1532" t="s">
        <v>1839</v>
      </c>
      <c r="R1532" t="s">
        <v>1324</v>
      </c>
      <c r="AA1532" s="42" t="s">
        <v>2127</v>
      </c>
      <c r="AB1532" s="8">
        <f>('일위대가_호표(신규)'!H1529+'일위대가_호표(신규)'!H1530+'일위대가_호표(신규)'!H1531+'일위대가_호표(신규)'!H1532)/9</f>
        <v>21900.444444444445</v>
      </c>
      <c r="AC1532" s="42" t="s">
        <v>2369</v>
      </c>
      <c r="AD1532" s="7">
        <f>$AB1532</f>
        <v>21900.444444444445</v>
      </c>
      <c r="BI1532" s="34" t="str">
        <f>HYPERLINK("#중기사용료목록!A8","E0021040010 →")</f>
        <v>E0021040010 →</v>
      </c>
    </row>
    <row r="1533" spans="1:61" ht="18.399999999999999" hidden="1" customHeight="1" x14ac:dyDescent="0.15">
      <c r="A1533" s="2" t="s">
        <v>1861</v>
      </c>
      <c r="B1533" s="87" t="s">
        <v>2856</v>
      </c>
      <c r="C1533" s="2">
        <v>1</v>
      </c>
      <c r="D1533" s="2" t="s">
        <v>2303</v>
      </c>
      <c r="E1533" s="27">
        <f>G1533+I1533+K1533</f>
        <v>0</v>
      </c>
      <c r="F1533" s="28">
        <f t="shared" si="318"/>
        <v>262017.69999999998</v>
      </c>
      <c r="G1533" s="1"/>
      <c r="H1533" s="28">
        <f>TRUNC(((H1529+H1530+H1531+H1532)/9),1)</f>
        <v>21900.400000000001</v>
      </c>
      <c r="I1533" s="1"/>
      <c r="J1533" s="28">
        <f>TRUNC(((J1529+J1530+J1531+J1532)/9),1)</f>
        <v>193841.8</v>
      </c>
      <c r="K1533" s="1"/>
      <c r="L1533" s="28">
        <f>TRUNC(((L1529+L1530+L1531+L1532)/9),1)</f>
        <v>46275.5</v>
      </c>
      <c r="M1533" s="86" t="s">
        <v>2856</v>
      </c>
      <c r="N1533" t="s">
        <v>2856</v>
      </c>
      <c r="P1533" t="s">
        <v>286</v>
      </c>
      <c r="Q1533" t="s">
        <v>2856</v>
      </c>
      <c r="R1533" t="s">
        <v>2405</v>
      </c>
      <c r="X1533" t="s">
        <v>2175</v>
      </c>
      <c r="AA1533" s="42" t="s">
        <v>298</v>
      </c>
      <c r="AB1533" s="8">
        <f>('일위대가_호표(신규)'!J1529+'일위대가_호표(신규)'!J1530+'일위대가_호표(신규)'!J1531+'일위대가_호표(신규)'!J1532)/9</f>
        <v>193841.88888888888</v>
      </c>
      <c r="AC1533" s="42" t="s">
        <v>1123</v>
      </c>
      <c r="AD1533" s="7">
        <f>$AB1533</f>
        <v>193841.88888888888</v>
      </c>
    </row>
    <row r="1534" spans="1:61" ht="18.399999999999999" hidden="1" customHeight="1" x14ac:dyDescent="0.15">
      <c r="A1534" s="1"/>
      <c r="B1534" s="87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87"/>
      <c r="AA1534" s="42" t="s">
        <v>917</v>
      </c>
      <c r="AB1534" s="8">
        <f>('일위대가_호표(신규)'!L1529+'일위대가_호표(신규)'!L1530+'일위대가_호표(신규)'!L1531+'일위대가_호표(신규)'!L1532)/9</f>
        <v>46275.555555555555</v>
      </c>
      <c r="AC1534" s="42" t="s">
        <v>1546</v>
      </c>
      <c r="AD1534" s="7">
        <f>$AB1534</f>
        <v>46275.555555555555</v>
      </c>
    </row>
    <row r="1535" spans="1:61" ht="18.399999999999999" hidden="1" customHeight="1" x14ac:dyDescent="0.15">
      <c r="A1535" s="2" t="s">
        <v>1317</v>
      </c>
      <c r="B1535" s="87" t="s">
        <v>2283</v>
      </c>
      <c r="C1535" s="2">
        <v>1</v>
      </c>
      <c r="D1535" s="2" t="s">
        <v>556</v>
      </c>
      <c r="E1535" s="184"/>
      <c r="F1535" s="29">
        <f>H1535+J1535+L1535</f>
        <v>4172</v>
      </c>
      <c r="G1535" s="184"/>
      <c r="H1535" s="29">
        <f>TRUNC(H1538,0)</f>
        <v>0</v>
      </c>
      <c r="I1535" s="184"/>
      <c r="J1535" s="29">
        <f>TRUNC(J1538,0)</f>
        <v>4172</v>
      </c>
      <c r="K1535" s="184"/>
      <c r="L1535" s="29">
        <f>TRUNC(L1538,0)</f>
        <v>0</v>
      </c>
      <c r="M1535" s="86" t="s">
        <v>2856</v>
      </c>
      <c r="N1535" t="s">
        <v>2856</v>
      </c>
      <c r="O1535" t="s">
        <v>1186</v>
      </c>
    </row>
    <row r="1536" spans="1:61" ht="18.399999999999999" hidden="1" customHeight="1" x14ac:dyDescent="0.15">
      <c r="A1536" s="2" t="s">
        <v>899</v>
      </c>
      <c r="B1536" s="87" t="s">
        <v>2856</v>
      </c>
      <c r="C1536" s="2">
        <v>3</v>
      </c>
      <c r="D1536" s="2" t="s">
        <v>2652</v>
      </c>
      <c r="E1536" s="27">
        <f>G1536+I1536+K1536</f>
        <v>222504</v>
      </c>
      <c r="F1536" s="28">
        <f>H1536+J1536+L1536</f>
        <v>667512</v>
      </c>
      <c r="G1536" s="27">
        <v>0</v>
      </c>
      <c r="H1536" s="28"/>
      <c r="I1536" s="27">
        <f>노임!D12</f>
        <v>222504</v>
      </c>
      <c r="J1536" s="28">
        <f>TRUNC(I1536*C1536,1)</f>
        <v>667512</v>
      </c>
      <c r="K1536" s="27">
        <v>0</v>
      </c>
      <c r="L1536" s="28"/>
      <c r="M1536" s="86" t="s">
        <v>2856</v>
      </c>
      <c r="N1536" t="s">
        <v>2823</v>
      </c>
      <c r="P1536" t="s">
        <v>2471</v>
      </c>
      <c r="Q1536" t="s">
        <v>1839</v>
      </c>
      <c r="R1536" t="s">
        <v>2638</v>
      </c>
      <c r="BI1536" s="34" t="str">
        <f>HYPERLINK("#노임!A12","L050 →")</f>
        <v>L050 →</v>
      </c>
    </row>
    <row r="1537" spans="1:61" ht="18.399999999999999" hidden="1" customHeight="1" x14ac:dyDescent="0.15">
      <c r="A1537" s="2" t="s">
        <v>888</v>
      </c>
      <c r="B1537" s="87" t="s">
        <v>2856</v>
      </c>
      <c r="C1537" s="2">
        <v>1</v>
      </c>
      <c r="D1537" s="2" t="s">
        <v>2652</v>
      </c>
      <c r="E1537" s="27">
        <f>G1537+I1537+K1537</f>
        <v>167081</v>
      </c>
      <c r="F1537" s="28">
        <f>H1537+J1537+L1537</f>
        <v>167081</v>
      </c>
      <c r="G1537" s="27">
        <v>0</v>
      </c>
      <c r="H1537" s="28"/>
      <c r="I1537" s="27">
        <f>노임!D15</f>
        <v>167081</v>
      </c>
      <c r="J1537" s="28">
        <f>TRUNC(I1537*C1537,1)</f>
        <v>167081</v>
      </c>
      <c r="K1537" s="27">
        <v>0</v>
      </c>
      <c r="L1537" s="28"/>
      <c r="M1537" s="86" t="s">
        <v>2856</v>
      </c>
      <c r="N1537" t="s">
        <v>821</v>
      </c>
      <c r="P1537" t="s">
        <v>1741</v>
      </c>
      <c r="Q1537" t="s">
        <v>1839</v>
      </c>
      <c r="R1537" t="s">
        <v>498</v>
      </c>
      <c r="AA1537" s="42" t="s">
        <v>2127</v>
      </c>
      <c r="AB1537" s="8">
        <f>('일위대가_호표(신규)'!H1536+'일위대가_호표(신규)'!H1537)/200</f>
        <v>0</v>
      </c>
      <c r="AC1537" s="42" t="s">
        <v>2369</v>
      </c>
      <c r="AD1537" s="7">
        <f>$AB1537</f>
        <v>0</v>
      </c>
      <c r="BI1537" s="34" t="str">
        <f>HYPERLINK("#노임!A15","L085 →")</f>
        <v>L085 →</v>
      </c>
    </row>
    <row r="1538" spans="1:61" ht="18.399999999999999" hidden="1" customHeight="1" x14ac:dyDescent="0.15">
      <c r="A1538" s="2" t="s">
        <v>1602</v>
      </c>
      <c r="B1538" s="87" t="s">
        <v>2856</v>
      </c>
      <c r="C1538" s="2">
        <v>1</v>
      </c>
      <c r="D1538" s="2" t="s">
        <v>2303</v>
      </c>
      <c r="E1538" s="27">
        <f>G1538+I1538+K1538</f>
        <v>0</v>
      </c>
      <c r="F1538" s="28">
        <f>H1538+J1538+L1538</f>
        <v>4172.8999999999996</v>
      </c>
      <c r="G1538" s="1"/>
      <c r="H1538" s="28">
        <f>TRUNC(((H1536+H1537)/200),1)</f>
        <v>0</v>
      </c>
      <c r="I1538" s="1"/>
      <c r="J1538" s="28">
        <f>TRUNC(((J1536+J1537)/200),1)</f>
        <v>4172.8999999999996</v>
      </c>
      <c r="K1538" s="1"/>
      <c r="L1538" s="28">
        <f>TRUNC(((L1536+L1537)/200),1)</f>
        <v>0</v>
      </c>
      <c r="M1538" s="86" t="s">
        <v>2856</v>
      </c>
      <c r="N1538" t="s">
        <v>2856</v>
      </c>
      <c r="P1538" t="s">
        <v>1036</v>
      </c>
      <c r="Q1538" t="s">
        <v>2856</v>
      </c>
      <c r="R1538" t="s">
        <v>2405</v>
      </c>
      <c r="X1538" t="s">
        <v>2545</v>
      </c>
      <c r="AA1538" s="42" t="s">
        <v>298</v>
      </c>
      <c r="AB1538" s="8">
        <f>('일위대가_호표(신규)'!J1536+'일위대가_호표(신규)'!J1537)/200</f>
        <v>4172.9650000000001</v>
      </c>
      <c r="AC1538" s="42" t="s">
        <v>1123</v>
      </c>
      <c r="AD1538" s="7">
        <f>$AB1538</f>
        <v>4172.9650000000001</v>
      </c>
    </row>
    <row r="1539" spans="1:61" ht="18.399999999999999" hidden="1" customHeight="1" x14ac:dyDescent="0.15">
      <c r="A1539" s="1"/>
      <c r="B1539" s="87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87"/>
      <c r="AA1539" s="42" t="s">
        <v>917</v>
      </c>
      <c r="AB1539" s="8">
        <f>('일위대가_호표(신규)'!L1536+'일위대가_호표(신규)'!L1537)/200</f>
        <v>0</v>
      </c>
      <c r="AC1539" s="42" t="s">
        <v>1546</v>
      </c>
      <c r="AD1539" s="7">
        <f>$AB1539</f>
        <v>0</v>
      </c>
    </row>
    <row r="1540" spans="1:61" ht="18.399999999999999" hidden="1" customHeight="1" x14ac:dyDescent="0.15">
      <c r="A1540" s="2" t="s">
        <v>1465</v>
      </c>
      <c r="B1540" s="87" t="s">
        <v>2494</v>
      </c>
      <c r="C1540" s="2">
        <v>1</v>
      </c>
      <c r="D1540" s="2" t="s">
        <v>556</v>
      </c>
      <c r="E1540" s="184"/>
      <c r="F1540" s="29">
        <f>H1540+J1540+L1540</f>
        <v>2781</v>
      </c>
      <c r="G1540" s="184"/>
      <c r="H1540" s="29">
        <f>TRUNC(H1543,0)</f>
        <v>0</v>
      </c>
      <c r="I1540" s="184"/>
      <c r="J1540" s="29">
        <f>TRUNC(J1543,0)</f>
        <v>2781</v>
      </c>
      <c r="K1540" s="184"/>
      <c r="L1540" s="29">
        <f>TRUNC(L1543,0)</f>
        <v>0</v>
      </c>
      <c r="M1540" s="86" t="s">
        <v>2856</v>
      </c>
      <c r="N1540" t="s">
        <v>2856</v>
      </c>
      <c r="O1540" t="s">
        <v>436</v>
      </c>
    </row>
    <row r="1541" spans="1:61" ht="18.399999999999999" hidden="1" customHeight="1" x14ac:dyDescent="0.15">
      <c r="A1541" s="2" t="s">
        <v>899</v>
      </c>
      <c r="B1541" s="87" t="s">
        <v>2856</v>
      </c>
      <c r="C1541" s="2">
        <v>3</v>
      </c>
      <c r="D1541" s="2" t="s">
        <v>2652</v>
      </c>
      <c r="E1541" s="27">
        <f>G1541+I1541+K1541</f>
        <v>222504</v>
      </c>
      <c r="F1541" s="28">
        <f>H1541+J1541+L1541</f>
        <v>667512</v>
      </c>
      <c r="G1541" s="27">
        <v>0</v>
      </c>
      <c r="H1541" s="28"/>
      <c r="I1541" s="27">
        <f>노임!D12</f>
        <v>222504</v>
      </c>
      <c r="J1541" s="28">
        <f>TRUNC(I1541*C1541,1)</f>
        <v>667512</v>
      </c>
      <c r="K1541" s="27">
        <v>0</v>
      </c>
      <c r="L1541" s="28"/>
      <c r="M1541" s="86" t="s">
        <v>2856</v>
      </c>
      <c r="N1541" t="s">
        <v>2823</v>
      </c>
      <c r="P1541" t="s">
        <v>2471</v>
      </c>
      <c r="Q1541" t="s">
        <v>1839</v>
      </c>
      <c r="R1541" t="s">
        <v>2638</v>
      </c>
      <c r="BI1541" s="34" t="str">
        <f>HYPERLINK("#노임!A12","L050 →")</f>
        <v>L050 →</v>
      </c>
    </row>
    <row r="1542" spans="1:61" ht="18.399999999999999" hidden="1" customHeight="1" x14ac:dyDescent="0.15">
      <c r="A1542" s="2" t="s">
        <v>888</v>
      </c>
      <c r="B1542" s="87" t="s">
        <v>2856</v>
      </c>
      <c r="C1542" s="2">
        <v>1</v>
      </c>
      <c r="D1542" s="2" t="s">
        <v>2652</v>
      </c>
      <c r="E1542" s="27">
        <f>G1542+I1542+K1542</f>
        <v>167081</v>
      </c>
      <c r="F1542" s="28">
        <f>H1542+J1542+L1542</f>
        <v>167081</v>
      </c>
      <c r="G1542" s="27">
        <v>0</v>
      </c>
      <c r="H1542" s="28"/>
      <c r="I1542" s="27">
        <f>노임!D15</f>
        <v>167081</v>
      </c>
      <c r="J1542" s="28">
        <f>TRUNC(I1542*C1542,1)</f>
        <v>167081</v>
      </c>
      <c r="K1542" s="27">
        <v>0</v>
      </c>
      <c r="L1542" s="28"/>
      <c r="M1542" s="86" t="s">
        <v>2856</v>
      </c>
      <c r="N1542" t="s">
        <v>821</v>
      </c>
      <c r="P1542" t="s">
        <v>1741</v>
      </c>
      <c r="Q1542" t="s">
        <v>1839</v>
      </c>
      <c r="R1542" t="s">
        <v>498</v>
      </c>
      <c r="AA1542" s="42" t="s">
        <v>2127</v>
      </c>
      <c r="AB1542" s="8">
        <f>('일위대가_호표(신규)'!H1541+'일위대가_호표(신규)'!H1542)/300</f>
        <v>0</v>
      </c>
      <c r="AC1542" s="42" t="s">
        <v>2369</v>
      </c>
      <c r="AD1542" s="7">
        <f>$AB1542</f>
        <v>0</v>
      </c>
      <c r="BI1542" s="34" t="str">
        <f>HYPERLINK("#노임!A15","L085 →")</f>
        <v>L085 →</v>
      </c>
    </row>
    <row r="1543" spans="1:61" ht="18.399999999999999" hidden="1" customHeight="1" x14ac:dyDescent="0.15">
      <c r="A1543" s="2" t="s">
        <v>152</v>
      </c>
      <c r="B1543" s="87" t="s">
        <v>2856</v>
      </c>
      <c r="C1543" s="2">
        <v>1</v>
      </c>
      <c r="D1543" s="2" t="s">
        <v>2303</v>
      </c>
      <c r="E1543" s="27">
        <f>G1543+I1543+K1543</f>
        <v>0</v>
      </c>
      <c r="F1543" s="28">
        <f>H1543+J1543+L1543</f>
        <v>2781.9</v>
      </c>
      <c r="G1543" s="1"/>
      <c r="H1543" s="28">
        <f>TRUNC(((H1541+H1542)/300),1)</f>
        <v>0</v>
      </c>
      <c r="I1543" s="1"/>
      <c r="J1543" s="28">
        <f>TRUNC(((J1541+J1542)/300),1)</f>
        <v>2781.9</v>
      </c>
      <c r="K1543" s="1"/>
      <c r="L1543" s="28">
        <f>TRUNC(((L1541+L1542)/300),1)</f>
        <v>0</v>
      </c>
      <c r="M1543" s="86" t="s">
        <v>2856</v>
      </c>
      <c r="N1543" t="s">
        <v>2856</v>
      </c>
      <c r="P1543" t="s">
        <v>1036</v>
      </c>
      <c r="Q1543" t="s">
        <v>2856</v>
      </c>
      <c r="R1543" t="s">
        <v>2405</v>
      </c>
      <c r="X1543" t="s">
        <v>2814</v>
      </c>
      <c r="AA1543" s="42" t="s">
        <v>298</v>
      </c>
      <c r="AB1543" s="8">
        <f>('일위대가_호표(신규)'!J1541+'일위대가_호표(신규)'!J1542)/300</f>
        <v>2781.9766666666665</v>
      </c>
      <c r="AC1543" s="42" t="s">
        <v>1123</v>
      </c>
      <c r="AD1543" s="7">
        <f>$AB1543</f>
        <v>2781.9766666666665</v>
      </c>
    </row>
    <row r="1544" spans="1:61" ht="18.399999999999999" hidden="1" customHeight="1" x14ac:dyDescent="0.15">
      <c r="A1544" s="1"/>
      <c r="B1544" s="87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87"/>
      <c r="AA1544" s="42" t="s">
        <v>917</v>
      </c>
      <c r="AB1544" s="8">
        <f>('일위대가_호표(신규)'!L1541+'일위대가_호표(신규)'!L1542)/300</f>
        <v>0</v>
      </c>
      <c r="AC1544" s="42" t="s">
        <v>1546</v>
      </c>
      <c r="AD1544" s="7">
        <f>$AB1544</f>
        <v>0</v>
      </c>
    </row>
    <row r="1545" spans="1:61" ht="18.399999999999999" hidden="1" customHeight="1" x14ac:dyDescent="0.15">
      <c r="A1545" s="2" t="s">
        <v>2749</v>
      </c>
      <c r="B1545" s="87" t="s">
        <v>2148</v>
      </c>
      <c r="C1545" s="2">
        <v>1</v>
      </c>
      <c r="D1545" s="2" t="s">
        <v>556</v>
      </c>
      <c r="E1545" s="184"/>
      <c r="F1545" s="29">
        <f>H1545+J1545+L1545</f>
        <v>5961</v>
      </c>
      <c r="G1545" s="184"/>
      <c r="H1545" s="29">
        <f>TRUNC(H1546+H1549,0)</f>
        <v>0</v>
      </c>
      <c r="I1545" s="184"/>
      <c r="J1545" s="29">
        <f>TRUNC(J1546+J1549,0)</f>
        <v>5961</v>
      </c>
      <c r="K1545" s="184"/>
      <c r="L1545" s="29">
        <f>TRUNC(L1546+L1549,0)</f>
        <v>0</v>
      </c>
      <c r="M1545" s="86" t="s">
        <v>2856</v>
      </c>
      <c r="N1545" t="s">
        <v>2856</v>
      </c>
      <c r="O1545" t="s">
        <v>1943</v>
      </c>
    </row>
    <row r="1546" spans="1:61" ht="18.399999999999999" hidden="1" customHeight="1" x14ac:dyDescent="0.15">
      <c r="A1546" s="2" t="s">
        <v>365</v>
      </c>
      <c r="B1546" s="87" t="s">
        <v>1746</v>
      </c>
      <c r="C1546" s="2">
        <v>0</v>
      </c>
      <c r="D1546" s="2" t="s">
        <v>2856</v>
      </c>
      <c r="E1546" s="27">
        <f>G1546+I1546+K1546</f>
        <v>0</v>
      </c>
      <c r="F1546" s="28">
        <f>H1546+J1546+L1546</f>
        <v>0</v>
      </c>
      <c r="G1546" s="27">
        <f>경비!D3</f>
        <v>0</v>
      </c>
      <c r="H1546" s="28">
        <f>TRUNC(G1546*C1546,1)</f>
        <v>0</v>
      </c>
      <c r="I1546" s="27">
        <f>경비!E3</f>
        <v>0</v>
      </c>
      <c r="J1546" s="28">
        <f>TRUNC(I1546*C1546,1)</f>
        <v>0</v>
      </c>
      <c r="K1546" s="27">
        <f>경비!F3</f>
        <v>0</v>
      </c>
      <c r="L1546" s="28">
        <f>TRUNC(K1546*C1546,1)</f>
        <v>0</v>
      </c>
      <c r="M1546" s="86" t="s">
        <v>2856</v>
      </c>
      <c r="N1546" t="s">
        <v>2856</v>
      </c>
      <c r="P1546" t="s">
        <v>334</v>
      </c>
      <c r="Q1546" t="s">
        <v>2856</v>
      </c>
      <c r="R1546" t="s">
        <v>1832</v>
      </c>
      <c r="BI1546" s="34" t="str">
        <f>HYPERLINK("#경비!A3","G_N →")</f>
        <v>G_N →</v>
      </c>
    </row>
    <row r="1547" spans="1:61" ht="18.399999999999999" hidden="1" customHeight="1" x14ac:dyDescent="0.15">
      <c r="A1547" s="2" t="s">
        <v>899</v>
      </c>
      <c r="B1547" s="87" t="s">
        <v>2856</v>
      </c>
      <c r="C1547" s="2">
        <v>3</v>
      </c>
      <c r="D1547" s="2" t="s">
        <v>2652</v>
      </c>
      <c r="E1547" s="27">
        <f>G1547+I1547+K1547</f>
        <v>222504</v>
      </c>
      <c r="F1547" s="28">
        <f>H1547+J1547+L1547</f>
        <v>667512</v>
      </c>
      <c r="G1547" s="27">
        <v>0</v>
      </c>
      <c r="H1547" s="28"/>
      <c r="I1547" s="27">
        <f>노임!D12</f>
        <v>222504</v>
      </c>
      <c r="J1547" s="28">
        <f>TRUNC(I1547*C1547,1)</f>
        <v>667512</v>
      </c>
      <c r="K1547" s="27">
        <v>0</v>
      </c>
      <c r="L1547" s="28"/>
      <c r="M1547" s="86" t="s">
        <v>2856</v>
      </c>
      <c r="N1547" t="s">
        <v>2823</v>
      </c>
      <c r="P1547" t="s">
        <v>2471</v>
      </c>
      <c r="Q1547" t="s">
        <v>1839</v>
      </c>
      <c r="R1547" t="s">
        <v>2638</v>
      </c>
      <c r="BI1547" s="34" t="str">
        <f>HYPERLINK("#노임!A12","L050 →")</f>
        <v>L050 →</v>
      </c>
    </row>
    <row r="1548" spans="1:61" ht="18.399999999999999" hidden="1" customHeight="1" x14ac:dyDescent="0.15">
      <c r="A1548" s="2" t="s">
        <v>888</v>
      </c>
      <c r="B1548" s="87" t="s">
        <v>2856</v>
      </c>
      <c r="C1548" s="2">
        <v>1</v>
      </c>
      <c r="D1548" s="2" t="s">
        <v>2652</v>
      </c>
      <c r="E1548" s="27">
        <f>G1548+I1548+K1548</f>
        <v>167081</v>
      </c>
      <c r="F1548" s="28">
        <f>H1548+J1548+L1548</f>
        <v>167081</v>
      </c>
      <c r="G1548" s="27">
        <v>0</v>
      </c>
      <c r="H1548" s="28"/>
      <c r="I1548" s="27">
        <f>노임!D15</f>
        <v>167081</v>
      </c>
      <c r="J1548" s="28">
        <f>TRUNC(I1548*C1548,1)</f>
        <v>167081</v>
      </c>
      <c r="K1548" s="27">
        <v>0</v>
      </c>
      <c r="L1548" s="28"/>
      <c r="M1548" s="86" t="s">
        <v>2856</v>
      </c>
      <c r="N1548" t="s">
        <v>821</v>
      </c>
      <c r="P1548" t="s">
        <v>1741</v>
      </c>
      <c r="Q1548" t="s">
        <v>1839</v>
      </c>
      <c r="R1548" t="s">
        <v>498</v>
      </c>
      <c r="AA1548" s="42" t="s">
        <v>2127</v>
      </c>
      <c r="AB1548" s="8">
        <f>('일위대가_호표(신규)'!H1547+'일위대가_호표(신규)'!H1548)/140</f>
        <v>0</v>
      </c>
      <c r="AC1548" s="42" t="s">
        <v>2369</v>
      </c>
      <c r="AD1548" s="7">
        <f>$AB1548</f>
        <v>0</v>
      </c>
      <c r="BI1548" s="34" t="str">
        <f>HYPERLINK("#노임!A15","L085 →")</f>
        <v>L085 →</v>
      </c>
    </row>
    <row r="1549" spans="1:61" ht="18.399999999999999" hidden="1" customHeight="1" x14ac:dyDescent="0.15">
      <c r="A1549" s="2" t="s">
        <v>1138</v>
      </c>
      <c r="B1549" s="87" t="s">
        <v>2856</v>
      </c>
      <c r="C1549" s="2">
        <v>1</v>
      </c>
      <c r="D1549" s="2" t="s">
        <v>2303</v>
      </c>
      <c r="E1549" s="27">
        <f>G1549+I1549+K1549</f>
        <v>0</v>
      </c>
      <c r="F1549" s="28">
        <f>H1549+J1549+L1549</f>
        <v>5961.3</v>
      </c>
      <c r="G1549" s="1"/>
      <c r="H1549" s="28">
        <f>TRUNC(((H1547+H1548)/140),1)</f>
        <v>0</v>
      </c>
      <c r="I1549" s="1"/>
      <c r="J1549" s="28">
        <f>TRUNC(((J1547+J1548)/140),1)</f>
        <v>5961.3</v>
      </c>
      <c r="K1549" s="1"/>
      <c r="L1549" s="28">
        <f>TRUNC(((L1547+L1548)/140),1)</f>
        <v>0</v>
      </c>
      <c r="M1549" s="86" t="s">
        <v>2856</v>
      </c>
      <c r="N1549" t="s">
        <v>2856</v>
      </c>
      <c r="P1549" t="s">
        <v>1036</v>
      </c>
      <c r="Q1549" t="s">
        <v>2856</v>
      </c>
      <c r="R1549" t="s">
        <v>2405</v>
      </c>
      <c r="X1549" t="s">
        <v>2744</v>
      </c>
      <c r="AA1549" s="42" t="s">
        <v>298</v>
      </c>
      <c r="AB1549" s="8">
        <f>('일위대가_호표(신규)'!J1547+'일위대가_호표(신규)'!J1548)/140</f>
        <v>5961.3785714285714</v>
      </c>
      <c r="AC1549" s="42" t="s">
        <v>1123</v>
      </c>
      <c r="AD1549" s="7">
        <f>$AB1549</f>
        <v>5961.3785714285714</v>
      </c>
    </row>
    <row r="1550" spans="1:61" ht="18.399999999999999" hidden="1" customHeight="1" x14ac:dyDescent="0.15">
      <c r="A1550" s="1"/>
      <c r="B1550" s="87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87"/>
      <c r="AA1550" s="42" t="s">
        <v>917</v>
      </c>
      <c r="AB1550" s="8">
        <f>('일위대가_호표(신규)'!L1547+'일위대가_호표(신규)'!L1548)/140</f>
        <v>0</v>
      </c>
      <c r="AC1550" s="42" t="s">
        <v>1546</v>
      </c>
      <c r="AD1550" s="7">
        <f>$AB1550</f>
        <v>0</v>
      </c>
    </row>
    <row r="1551" spans="1:61" ht="18.399999999999999" hidden="1" customHeight="1" x14ac:dyDescent="0.15">
      <c r="A1551" s="2" t="s">
        <v>1872</v>
      </c>
      <c r="B1551" s="87" t="s">
        <v>1641</v>
      </c>
      <c r="C1551" s="2">
        <v>1</v>
      </c>
      <c r="D1551" s="2" t="s">
        <v>203</v>
      </c>
      <c r="E1551" s="184"/>
      <c r="F1551" s="29">
        <f>H1551+J1551+L1551</f>
        <v>309</v>
      </c>
      <c r="G1551" s="184"/>
      <c r="H1551" s="29">
        <f>TRUNC(H1552+H1555,0)</f>
        <v>0</v>
      </c>
      <c r="I1551" s="184"/>
      <c r="J1551" s="29">
        <f>TRUNC(J1552+J1555,0)</f>
        <v>309</v>
      </c>
      <c r="K1551" s="184"/>
      <c r="L1551" s="29">
        <f>TRUNC(L1552+L1555,0)</f>
        <v>0</v>
      </c>
      <c r="M1551" s="86" t="s">
        <v>2856</v>
      </c>
      <c r="N1551" t="s">
        <v>2856</v>
      </c>
      <c r="O1551" t="s">
        <v>475</v>
      </c>
    </row>
    <row r="1552" spans="1:61" ht="18.399999999999999" hidden="1" customHeight="1" x14ac:dyDescent="0.15">
      <c r="A1552" s="2" t="s">
        <v>365</v>
      </c>
      <c r="B1552" s="87" t="s">
        <v>1544</v>
      </c>
      <c r="C1552" s="2">
        <v>0</v>
      </c>
      <c r="D1552" s="2" t="s">
        <v>2856</v>
      </c>
      <c r="E1552" s="27">
        <f>G1552+I1552+K1552</f>
        <v>0</v>
      </c>
      <c r="F1552" s="28">
        <f>H1552+J1552+L1552</f>
        <v>0</v>
      </c>
      <c r="G1552" s="27">
        <f>경비!D3</f>
        <v>0</v>
      </c>
      <c r="H1552" s="28">
        <f>TRUNC(G1552*C1552,1)</f>
        <v>0</v>
      </c>
      <c r="I1552" s="27">
        <f>경비!E3</f>
        <v>0</v>
      </c>
      <c r="J1552" s="28">
        <f>TRUNC(I1552*C1552,1)</f>
        <v>0</v>
      </c>
      <c r="K1552" s="27">
        <f>경비!F3</f>
        <v>0</v>
      </c>
      <c r="L1552" s="28">
        <f>TRUNC(K1552*C1552,1)</f>
        <v>0</v>
      </c>
      <c r="M1552" s="86" t="s">
        <v>2856</v>
      </c>
      <c r="N1552" t="s">
        <v>2856</v>
      </c>
      <c r="P1552" t="s">
        <v>334</v>
      </c>
      <c r="Q1552" t="s">
        <v>2856</v>
      </c>
      <c r="R1552" t="s">
        <v>1832</v>
      </c>
      <c r="BI1552" s="34" t="str">
        <f>HYPERLINK("#경비!A3","G_N →")</f>
        <v>G_N →</v>
      </c>
    </row>
    <row r="1553" spans="1:64" ht="18.399999999999999" hidden="1" customHeight="1" x14ac:dyDescent="0.15">
      <c r="A1553" s="2" t="s">
        <v>899</v>
      </c>
      <c r="B1553" s="87" t="s">
        <v>2856</v>
      </c>
      <c r="C1553" s="2">
        <v>3</v>
      </c>
      <c r="D1553" s="2" t="s">
        <v>2652</v>
      </c>
      <c r="E1553" s="27">
        <f>G1553+I1553+K1553</f>
        <v>222504</v>
      </c>
      <c r="F1553" s="28">
        <f>H1553+J1553+L1553</f>
        <v>667512</v>
      </c>
      <c r="G1553" s="27">
        <v>0</v>
      </c>
      <c r="H1553" s="28"/>
      <c r="I1553" s="27">
        <f>노임!D12</f>
        <v>222504</v>
      </c>
      <c r="J1553" s="28">
        <f>TRUNC(I1553*C1553,1)</f>
        <v>667512</v>
      </c>
      <c r="K1553" s="27">
        <v>0</v>
      </c>
      <c r="L1553" s="28"/>
      <c r="M1553" s="86" t="s">
        <v>2856</v>
      </c>
      <c r="N1553" t="s">
        <v>2823</v>
      </c>
      <c r="P1553" t="s">
        <v>2471</v>
      </c>
      <c r="Q1553" t="s">
        <v>1839</v>
      </c>
      <c r="R1553" t="s">
        <v>2638</v>
      </c>
      <c r="BI1553" s="34" t="str">
        <f>HYPERLINK("#노임!A12","L050 →")</f>
        <v>L050 →</v>
      </c>
    </row>
    <row r="1554" spans="1:64" ht="18.399999999999999" hidden="1" customHeight="1" x14ac:dyDescent="0.15">
      <c r="A1554" s="2" t="s">
        <v>888</v>
      </c>
      <c r="B1554" s="87" t="s">
        <v>2856</v>
      </c>
      <c r="C1554" s="2">
        <v>1</v>
      </c>
      <c r="D1554" s="2" t="s">
        <v>2652</v>
      </c>
      <c r="E1554" s="27">
        <f>G1554+I1554+K1554</f>
        <v>167081</v>
      </c>
      <c r="F1554" s="28">
        <f>H1554+J1554+L1554</f>
        <v>167081</v>
      </c>
      <c r="G1554" s="27">
        <v>0</v>
      </c>
      <c r="H1554" s="28"/>
      <c r="I1554" s="27">
        <f>노임!D15</f>
        <v>167081</v>
      </c>
      <c r="J1554" s="28">
        <f>TRUNC(I1554*C1554,1)</f>
        <v>167081</v>
      </c>
      <c r="K1554" s="27">
        <v>0</v>
      </c>
      <c r="L1554" s="28"/>
      <c r="M1554" s="86" t="s">
        <v>2856</v>
      </c>
      <c r="N1554" t="s">
        <v>821</v>
      </c>
      <c r="P1554" t="s">
        <v>1741</v>
      </c>
      <c r="Q1554" t="s">
        <v>1839</v>
      </c>
      <c r="R1554" t="s">
        <v>498</v>
      </c>
      <c r="AA1554" s="42" t="s">
        <v>2127</v>
      </c>
      <c r="AB1554" s="8">
        <f>('일위대가_호표(신규)'!H1553+'일위대가_호표(신규)'!H1554)/2700</f>
        <v>0</v>
      </c>
      <c r="AC1554" s="42" t="s">
        <v>2369</v>
      </c>
      <c r="AD1554" s="7">
        <f>$AB1554</f>
        <v>0</v>
      </c>
      <c r="BI1554" s="34" t="str">
        <f>HYPERLINK("#노임!A15","L085 →")</f>
        <v>L085 →</v>
      </c>
    </row>
    <row r="1555" spans="1:64" ht="18.399999999999999" hidden="1" customHeight="1" x14ac:dyDescent="0.15">
      <c r="A1555" s="2" t="s">
        <v>2783</v>
      </c>
      <c r="B1555" s="87" t="s">
        <v>2856</v>
      </c>
      <c r="C1555" s="2">
        <v>1</v>
      </c>
      <c r="D1555" s="2" t="s">
        <v>2303</v>
      </c>
      <c r="E1555" s="27">
        <f>G1555+I1555+K1555</f>
        <v>0</v>
      </c>
      <c r="F1555" s="28">
        <f>H1555+J1555+L1555</f>
        <v>309.10000000000002</v>
      </c>
      <c r="G1555" s="1"/>
      <c r="H1555" s="28">
        <f>TRUNC(((H1553+H1554)/2700),1)</f>
        <v>0</v>
      </c>
      <c r="I1555" s="1"/>
      <c r="J1555" s="28">
        <f>TRUNC(((J1553+J1554)/2700),1)</f>
        <v>309.10000000000002</v>
      </c>
      <c r="K1555" s="1"/>
      <c r="L1555" s="28">
        <f>TRUNC(((L1553+L1554)/2700),1)</f>
        <v>0</v>
      </c>
      <c r="M1555" s="86" t="s">
        <v>2856</v>
      </c>
      <c r="N1555" t="s">
        <v>2856</v>
      </c>
      <c r="P1555" t="s">
        <v>1036</v>
      </c>
      <c r="Q1555" t="s">
        <v>2856</v>
      </c>
      <c r="R1555" t="s">
        <v>2405</v>
      </c>
      <c r="X1555" t="s">
        <v>916</v>
      </c>
      <c r="AA1555" s="42" t="s">
        <v>298</v>
      </c>
      <c r="AB1555" s="8">
        <f>('일위대가_호표(신규)'!J1553+'일위대가_호표(신규)'!J1554)/2700</f>
        <v>309.10851851851851</v>
      </c>
      <c r="AC1555" s="42" t="s">
        <v>1123</v>
      </c>
      <c r="AD1555" s="7">
        <f>$AB1555</f>
        <v>309.10851851851851</v>
      </c>
    </row>
    <row r="1556" spans="1:64" ht="18.399999999999999" hidden="1" customHeight="1" x14ac:dyDescent="0.15">
      <c r="A1556" s="1"/>
      <c r="B1556" s="87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87"/>
      <c r="AA1556" s="42" t="s">
        <v>917</v>
      </c>
      <c r="AB1556" s="8">
        <f>('일위대가_호표(신규)'!L1553+'일위대가_호표(신규)'!L1554)/2700</f>
        <v>0</v>
      </c>
      <c r="AC1556" s="42" t="s">
        <v>1546</v>
      </c>
      <c r="AD1556" s="7">
        <f>$AB1556</f>
        <v>0</v>
      </c>
    </row>
    <row r="1557" spans="1:64" ht="18.399999999999999" hidden="1" customHeight="1" x14ac:dyDescent="0.15">
      <c r="A1557" s="2" t="s">
        <v>2102</v>
      </c>
      <c r="B1557" s="87" t="s">
        <v>1970</v>
      </c>
      <c r="C1557" s="2">
        <v>1</v>
      </c>
      <c r="D1557" s="2" t="s">
        <v>1202</v>
      </c>
      <c r="E1557" s="184"/>
      <c r="F1557" s="29">
        <f>H1557+J1557+L1557</f>
        <v>5938</v>
      </c>
      <c r="G1557" s="184"/>
      <c r="H1557" s="29">
        <f>TRUNC(H1558+H1561,0)</f>
        <v>0</v>
      </c>
      <c r="I1557" s="184"/>
      <c r="J1557" s="29">
        <f>TRUNC(J1558+J1561,0)</f>
        <v>5938</v>
      </c>
      <c r="K1557" s="184"/>
      <c r="L1557" s="29">
        <f>TRUNC(L1558+L1561,0)</f>
        <v>0</v>
      </c>
      <c r="M1557" s="86" t="s">
        <v>2856</v>
      </c>
      <c r="N1557" t="s">
        <v>2856</v>
      </c>
      <c r="O1557" t="s">
        <v>2525</v>
      </c>
    </row>
    <row r="1558" spans="1:64" ht="18.399999999999999" hidden="1" customHeight="1" x14ac:dyDescent="0.15">
      <c r="A1558" s="2" t="s">
        <v>365</v>
      </c>
      <c r="B1558" s="87" t="s">
        <v>739</v>
      </c>
      <c r="C1558" s="2">
        <v>0</v>
      </c>
      <c r="D1558" s="2" t="s">
        <v>2856</v>
      </c>
      <c r="E1558" s="27">
        <f>G1558+I1558+K1558</f>
        <v>0</v>
      </c>
      <c r="F1558" s="28">
        <f>H1558+J1558+L1558</f>
        <v>0</v>
      </c>
      <c r="G1558" s="27">
        <f>경비!D3</f>
        <v>0</v>
      </c>
      <c r="H1558" s="28">
        <f>TRUNC(G1558*C1558,1)</f>
        <v>0</v>
      </c>
      <c r="I1558" s="27">
        <f>경비!E3</f>
        <v>0</v>
      </c>
      <c r="J1558" s="28">
        <f>TRUNC(I1558*C1558,1)</f>
        <v>0</v>
      </c>
      <c r="K1558" s="27">
        <f>경비!F3</f>
        <v>0</v>
      </c>
      <c r="L1558" s="28">
        <f>TRUNC(K1558*C1558,1)</f>
        <v>0</v>
      </c>
      <c r="M1558" s="86" t="s">
        <v>2856</v>
      </c>
      <c r="N1558" t="s">
        <v>2856</v>
      </c>
      <c r="P1558" t="s">
        <v>334</v>
      </c>
      <c r="Q1558" t="s">
        <v>2856</v>
      </c>
      <c r="R1558" t="s">
        <v>1832</v>
      </c>
      <c r="BI1558" s="34" t="str">
        <f>HYPERLINK("#경비!A3","G_N →")</f>
        <v>G_N →</v>
      </c>
    </row>
    <row r="1559" spans="1:64" ht="18.399999999999999" hidden="1" customHeight="1" x14ac:dyDescent="0.15">
      <c r="A1559" s="2" t="s">
        <v>899</v>
      </c>
      <c r="B1559" s="87" t="s">
        <v>2856</v>
      </c>
      <c r="C1559" s="2">
        <v>1</v>
      </c>
      <c r="D1559" s="2" t="s">
        <v>2652</v>
      </c>
      <c r="E1559" s="27">
        <f>G1559+I1559+K1559</f>
        <v>222504</v>
      </c>
      <c r="F1559" s="28">
        <f>H1559+J1559+L1559</f>
        <v>222504</v>
      </c>
      <c r="G1559" s="27">
        <v>0</v>
      </c>
      <c r="H1559" s="28"/>
      <c r="I1559" s="27">
        <f>노임!D12</f>
        <v>222504</v>
      </c>
      <c r="J1559" s="28">
        <f>TRUNC(I1559*C1559,1)</f>
        <v>222504</v>
      </c>
      <c r="K1559" s="27">
        <v>0</v>
      </c>
      <c r="L1559" s="28"/>
      <c r="M1559" s="86" t="s">
        <v>2856</v>
      </c>
      <c r="N1559" t="s">
        <v>2856</v>
      </c>
      <c r="P1559" t="s">
        <v>2471</v>
      </c>
      <c r="Q1559" t="s">
        <v>1839</v>
      </c>
      <c r="R1559" t="s">
        <v>2638</v>
      </c>
      <c r="BI1559" s="34" t="str">
        <f>HYPERLINK("#노임!A12","L050 →")</f>
        <v>L050 →</v>
      </c>
    </row>
    <row r="1560" spans="1:64" ht="18.399999999999999" hidden="1" customHeight="1" x14ac:dyDescent="0.15">
      <c r="A1560" s="2" t="s">
        <v>888</v>
      </c>
      <c r="B1560" s="87" t="s">
        <v>2856</v>
      </c>
      <c r="C1560" s="2">
        <v>4</v>
      </c>
      <c r="D1560" s="2" t="s">
        <v>2652</v>
      </c>
      <c r="E1560" s="27">
        <f>G1560+I1560+K1560</f>
        <v>167081</v>
      </c>
      <c r="F1560" s="28">
        <f>H1560+J1560+L1560</f>
        <v>668324</v>
      </c>
      <c r="G1560" s="27">
        <v>0</v>
      </c>
      <c r="H1560" s="28"/>
      <c r="I1560" s="27">
        <f>노임!D15</f>
        <v>167081</v>
      </c>
      <c r="J1560" s="28">
        <f>TRUNC(I1560*C1560,1)</f>
        <v>668324</v>
      </c>
      <c r="K1560" s="27">
        <v>0</v>
      </c>
      <c r="L1560" s="28"/>
      <c r="M1560" s="86" t="s">
        <v>2856</v>
      </c>
      <c r="N1560" t="s">
        <v>821</v>
      </c>
      <c r="P1560" t="s">
        <v>1741</v>
      </c>
      <c r="Q1560" t="s">
        <v>1839</v>
      </c>
      <c r="R1560" t="s">
        <v>498</v>
      </c>
      <c r="AA1560" s="42" t="s">
        <v>2127</v>
      </c>
      <c r="AB1560" s="8">
        <f>('일위대가_호표(신규)'!H1559+'일위대가_호표(신규)'!H1560)/150</f>
        <v>0</v>
      </c>
      <c r="AC1560" s="42" t="s">
        <v>2369</v>
      </c>
      <c r="AD1560" s="7">
        <f>$AB1560</f>
        <v>0</v>
      </c>
      <c r="BI1560" s="34" t="str">
        <f>HYPERLINK("#노임!A15","L085 →")</f>
        <v>L085 →</v>
      </c>
    </row>
    <row r="1561" spans="1:64" ht="18.399999999999999" hidden="1" customHeight="1" x14ac:dyDescent="0.15">
      <c r="A1561" s="2" t="s">
        <v>1850</v>
      </c>
      <c r="B1561" s="87" t="s">
        <v>2856</v>
      </c>
      <c r="C1561" s="2">
        <v>1</v>
      </c>
      <c r="D1561" s="2" t="s">
        <v>2303</v>
      </c>
      <c r="E1561" s="27">
        <f>G1561+I1561+K1561</f>
        <v>0</v>
      </c>
      <c r="F1561" s="28">
        <f>H1561+J1561+L1561</f>
        <v>5938.8</v>
      </c>
      <c r="G1561" s="1"/>
      <c r="H1561" s="28">
        <f>TRUNC(((H1559+H1560)/150),1)</f>
        <v>0</v>
      </c>
      <c r="I1561" s="1"/>
      <c r="J1561" s="28">
        <f>TRUNC(((J1559+J1560)/150),1)</f>
        <v>5938.8</v>
      </c>
      <c r="K1561" s="1"/>
      <c r="L1561" s="28">
        <f>TRUNC(((L1559+L1560)/150),1)</f>
        <v>0</v>
      </c>
      <c r="M1561" s="86" t="s">
        <v>2856</v>
      </c>
      <c r="N1561" t="s">
        <v>2856</v>
      </c>
      <c r="P1561" t="s">
        <v>1036</v>
      </c>
      <c r="Q1561" t="s">
        <v>2856</v>
      </c>
      <c r="R1561" t="s">
        <v>2405</v>
      </c>
      <c r="X1561" t="s">
        <v>1715</v>
      </c>
      <c r="AA1561" s="42" t="s">
        <v>298</v>
      </c>
      <c r="AB1561" s="8">
        <f>('일위대가_호표(신규)'!J1559+'일위대가_호표(신규)'!J1560)/150</f>
        <v>5938.8533333333335</v>
      </c>
      <c r="AC1561" s="42" t="s">
        <v>1123</v>
      </c>
      <c r="AD1561" s="7">
        <f>$AB1561</f>
        <v>5938.8533333333335</v>
      </c>
    </row>
    <row r="1562" spans="1:64" ht="18.399999999999999" hidden="1" customHeight="1" x14ac:dyDescent="0.15">
      <c r="A1562" s="1"/>
      <c r="B1562" s="87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87"/>
      <c r="AA1562" s="42" t="s">
        <v>917</v>
      </c>
      <c r="AB1562" s="8">
        <f>('일위대가_호표(신규)'!L1559+'일위대가_호표(신규)'!L1560)/150</f>
        <v>0</v>
      </c>
      <c r="AC1562" s="42" t="s">
        <v>1546</v>
      </c>
      <c r="AD1562" s="7">
        <f>$AB1562</f>
        <v>0</v>
      </c>
      <c r="BL1562">
        <f>205440+19186.4</f>
        <v>224626.4</v>
      </c>
    </row>
    <row r="1563" spans="1:64" ht="18.399999999999999" hidden="1" customHeight="1" x14ac:dyDescent="0.15">
      <c r="A1563" s="2" t="s">
        <v>2841</v>
      </c>
      <c r="B1563" s="87" t="s">
        <v>1255</v>
      </c>
      <c r="C1563" s="2">
        <v>1</v>
      </c>
      <c r="D1563" s="2" t="s">
        <v>2825</v>
      </c>
      <c r="E1563" s="184"/>
      <c r="F1563" s="29">
        <f t="shared" ref="F1563:F1568" si="319">H1563+J1563+L1563</f>
        <v>55166</v>
      </c>
      <c r="G1563" s="184"/>
      <c r="H1563" s="29">
        <f>TRUNC(H1568,0)</f>
        <v>2538</v>
      </c>
      <c r="I1563" s="184"/>
      <c r="J1563" s="29">
        <f>TRUNC(J1568,0)</f>
        <v>22449</v>
      </c>
      <c r="K1563" s="184"/>
      <c r="L1563" s="29">
        <f>TRUNC(L1568,0)</f>
        <v>30179</v>
      </c>
      <c r="M1563" s="86" t="s">
        <v>2856</v>
      </c>
      <c r="N1563" t="s">
        <v>2856</v>
      </c>
      <c r="O1563" t="s">
        <v>668</v>
      </c>
      <c r="BL1563" s="58">
        <f>BL1562/63</f>
        <v>3565.4984126984127</v>
      </c>
    </row>
    <row r="1564" spans="1:64" ht="18.399999999999999" hidden="1" customHeight="1" x14ac:dyDescent="0.15">
      <c r="A1564" s="2" t="s">
        <v>1462</v>
      </c>
      <c r="B1564" s="87" t="s">
        <v>2856</v>
      </c>
      <c r="C1564" s="2">
        <v>3</v>
      </c>
      <c r="D1564" s="2" t="s">
        <v>2652</v>
      </c>
      <c r="E1564" s="27">
        <f>G1564+I1564+K1564</f>
        <v>264080</v>
      </c>
      <c r="F1564" s="28">
        <f t="shared" si="319"/>
        <v>792240</v>
      </c>
      <c r="G1564" s="27">
        <v>0</v>
      </c>
      <c r="H1564" s="28"/>
      <c r="I1564" s="27">
        <f>노임!D8</f>
        <v>264080</v>
      </c>
      <c r="J1564" s="28">
        <f>TRUNC(I1564*C1564,1)</f>
        <v>792240</v>
      </c>
      <c r="K1564" s="27">
        <v>0</v>
      </c>
      <c r="L1564" s="28"/>
      <c r="M1564" s="86" t="s">
        <v>2856</v>
      </c>
      <c r="N1564" t="s">
        <v>2472</v>
      </c>
      <c r="P1564" t="s">
        <v>334</v>
      </c>
      <c r="Q1564" t="s">
        <v>1839</v>
      </c>
      <c r="R1564" t="s">
        <v>1828</v>
      </c>
      <c r="BI1564" s="34" t="str">
        <f>HYPERLINK("#노임!A8","L025 →")</f>
        <v>L025 →</v>
      </c>
    </row>
    <row r="1565" spans="1:64" ht="18.399999999999999" hidden="1" customHeight="1" x14ac:dyDescent="0.15">
      <c r="A1565" s="2" t="s">
        <v>888</v>
      </c>
      <c r="B1565" s="87" t="s">
        <v>2856</v>
      </c>
      <c r="C1565" s="2">
        <v>1</v>
      </c>
      <c r="D1565" s="2" t="s">
        <v>2652</v>
      </c>
      <c r="E1565" s="27">
        <f>G1565+I1565+K1565</f>
        <v>167081</v>
      </c>
      <c r="F1565" s="28">
        <f t="shared" si="319"/>
        <v>167081</v>
      </c>
      <c r="G1565" s="27">
        <v>0</v>
      </c>
      <c r="H1565" s="28"/>
      <c r="I1565" s="27">
        <f>노임!D15</f>
        <v>167081</v>
      </c>
      <c r="J1565" s="28">
        <f>TRUNC(I1565*C1565,1)</f>
        <v>167081</v>
      </c>
      <c r="K1565" s="27">
        <v>0</v>
      </c>
      <c r="L1565" s="28"/>
      <c r="M1565" s="86" t="s">
        <v>2856</v>
      </c>
      <c r="N1565" t="s">
        <v>821</v>
      </c>
      <c r="P1565" t="s">
        <v>2471</v>
      </c>
      <c r="Q1565" t="s">
        <v>1839</v>
      </c>
      <c r="R1565" t="s">
        <v>498</v>
      </c>
      <c r="BI1565" s="34" t="str">
        <f>HYPERLINK("#노임!A15","L085 →")</f>
        <v>L085 →</v>
      </c>
    </row>
    <row r="1566" spans="1:64" ht="18.399999999999999" hidden="1" customHeight="1" x14ac:dyDescent="0.15">
      <c r="A1566" s="2" t="s">
        <v>0</v>
      </c>
      <c r="B1566" s="87" t="s">
        <v>986</v>
      </c>
      <c r="C1566" s="2">
        <v>8</v>
      </c>
      <c r="D1566" s="2" t="s">
        <v>2377</v>
      </c>
      <c r="E1566" s="27">
        <f>G1566+I1566+K1566</f>
        <v>102547</v>
      </c>
      <c r="F1566" s="28">
        <f t="shared" si="319"/>
        <v>820376</v>
      </c>
      <c r="G1566" s="27">
        <f>중기사용료목록!E5</f>
        <v>19993</v>
      </c>
      <c r="H1566" s="28">
        <f>TRUNC(G1566*C1566,1)</f>
        <v>159944</v>
      </c>
      <c r="I1566" s="27">
        <f>중기사용료목록!F5</f>
        <v>56874</v>
      </c>
      <c r="J1566" s="28">
        <f>TRUNC(I1566*C1566,1)</f>
        <v>454992</v>
      </c>
      <c r="K1566" s="27">
        <f>중기사용료목록!G5</f>
        <v>25680</v>
      </c>
      <c r="L1566" s="28">
        <f>TRUNC(K1566*C1566,1)</f>
        <v>205440</v>
      </c>
      <c r="M1566" s="86" t="s">
        <v>2856</v>
      </c>
      <c r="N1566" t="s">
        <v>2856</v>
      </c>
      <c r="P1566" t="s">
        <v>1741</v>
      </c>
      <c r="Q1566" t="s">
        <v>1839</v>
      </c>
      <c r="R1566" t="s">
        <v>1476</v>
      </c>
      <c r="AA1566" s="42" t="s">
        <v>917</v>
      </c>
      <c r="AB1566" s="8">
        <f>('일위대가_호표(신규)'!J1564+'일위대가_호표(신규)'!J1565)*2/100</f>
        <v>19186.419999999998</v>
      </c>
      <c r="AC1566" s="42" t="s">
        <v>1546</v>
      </c>
      <c r="AD1566" s="7">
        <f>$AB1566</f>
        <v>19186.419999999998</v>
      </c>
      <c r="BI1566" s="34" t="str">
        <f>HYPERLINK("#중기사용료목록!A5","E0002110060 →")</f>
        <v>E0002110060 →</v>
      </c>
    </row>
    <row r="1567" spans="1:64" ht="18.399999999999999" hidden="1" customHeight="1" x14ac:dyDescent="0.15">
      <c r="A1567" s="2" t="s">
        <v>1232</v>
      </c>
      <c r="B1567" s="87" t="s">
        <v>1493</v>
      </c>
      <c r="C1567" s="2">
        <v>2</v>
      </c>
      <c r="D1567" s="2" t="s">
        <v>588</v>
      </c>
      <c r="E1567" s="27">
        <f>G1567+I1567+K1567</f>
        <v>0</v>
      </c>
      <c r="F1567" s="28">
        <f t="shared" si="319"/>
        <v>19186.400000000001</v>
      </c>
      <c r="G1567" s="1"/>
      <c r="H1567" s="28">
        <v>0</v>
      </c>
      <c r="I1567" s="1"/>
      <c r="J1567" s="28">
        <v>0</v>
      </c>
      <c r="K1567" s="1"/>
      <c r="L1567" s="28">
        <f>TRUNC(((J1564+J1565)*2/100),1)</f>
        <v>19186.400000000001</v>
      </c>
      <c r="M1567" s="86" t="s">
        <v>2856</v>
      </c>
      <c r="N1567" t="s">
        <v>2856</v>
      </c>
      <c r="P1567" t="s">
        <v>1036</v>
      </c>
      <c r="Q1567" t="s">
        <v>1839</v>
      </c>
      <c r="R1567" t="s">
        <v>2405</v>
      </c>
      <c r="X1567" t="s">
        <v>1228</v>
      </c>
      <c r="AA1567" s="42" t="s">
        <v>2127</v>
      </c>
      <c r="AB1567" s="8">
        <f>('일위대가_호표(신규)'!H1564+'일위대가_호표(신규)'!H1565+'일위대가_호표(신규)'!H1566+('일위대가_호표(신규)'!H1567*전역변수!C6))/63</f>
        <v>2538.7936507936506</v>
      </c>
      <c r="AC1567" s="42" t="s">
        <v>2369</v>
      </c>
      <c r="AD1567" s="7">
        <f>$AB1567</f>
        <v>2538.7936507936506</v>
      </c>
    </row>
    <row r="1568" spans="1:64" ht="18.399999999999999" hidden="1" customHeight="1" x14ac:dyDescent="0.15">
      <c r="A1568" s="2" t="s">
        <v>1500</v>
      </c>
      <c r="B1568" s="87" t="s">
        <v>2856</v>
      </c>
      <c r="C1568" s="2">
        <v>1</v>
      </c>
      <c r="D1568" s="2" t="s">
        <v>2303</v>
      </c>
      <c r="E1568" s="27">
        <f>G1568+I1568+K1568</f>
        <v>0</v>
      </c>
      <c r="F1568" s="28">
        <f t="shared" si="319"/>
        <v>55167.199999999997</v>
      </c>
      <c r="G1568" s="1"/>
      <c r="H1568" s="28">
        <f>TRUNC(((H1564+H1565+H1566+(H1567*전역변수!C6))/63),1)</f>
        <v>2538.6999999999998</v>
      </c>
      <c r="I1568" s="1"/>
      <c r="J1568" s="28">
        <f>TRUNC(((J1564+J1565+J1566+(J1567*전역변수!C6))/63),1)</f>
        <v>22449.4</v>
      </c>
      <c r="K1568" s="1"/>
      <c r="L1568" s="28">
        <f>TRUNC(((L1564+L1565+L1566+(L1567*전역변수!C6))/63),1)</f>
        <v>30179.1</v>
      </c>
      <c r="M1568" s="86" t="s">
        <v>2856</v>
      </c>
      <c r="N1568" t="s">
        <v>2856</v>
      </c>
      <c r="P1568" t="s">
        <v>286</v>
      </c>
      <c r="Q1568" t="s">
        <v>2856</v>
      </c>
      <c r="R1568" t="s">
        <v>2405</v>
      </c>
      <c r="X1568" t="s">
        <v>1844</v>
      </c>
      <c r="AA1568" s="42" t="s">
        <v>298</v>
      </c>
      <c r="AB1568" s="8">
        <f>('일위대가_호표(신규)'!J1564+'일위대가_호표(신규)'!J1565+'일위대가_호표(신규)'!J1566+('일위대가_호표(신규)'!J1567*전역변수!C6))/63</f>
        <v>22449.4126984127</v>
      </c>
      <c r="AC1568" s="42" t="s">
        <v>1123</v>
      </c>
      <c r="AD1568" s="7">
        <f>$AB1568</f>
        <v>22449.4126984127</v>
      </c>
    </row>
    <row r="1569" spans="1:61" ht="18.399999999999999" hidden="1" customHeight="1" x14ac:dyDescent="0.15">
      <c r="A1569" s="1"/>
      <c r="B1569" s="87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87"/>
      <c r="AA1569" s="42" t="s">
        <v>917</v>
      </c>
      <c r="AB1569" s="8">
        <f>('일위대가_호표(신규)'!L1564+'일위대가_호표(신규)'!L1565+'일위대가_호표(신규)'!L1566+('일위대가_호표(신규)'!L1567*전역변수!C6))/63</f>
        <v>30179.167034920636</v>
      </c>
      <c r="AC1569" s="42" t="s">
        <v>1546</v>
      </c>
      <c r="AD1569" s="7">
        <f>$AB1569</f>
        <v>30179.167034920636</v>
      </c>
    </row>
    <row r="1570" spans="1:61" ht="18.399999999999999" hidden="1" customHeight="1" x14ac:dyDescent="0.15">
      <c r="A1570" s="2" t="s">
        <v>369</v>
      </c>
      <c r="B1570" s="87" t="s">
        <v>610</v>
      </c>
      <c r="C1570" s="2">
        <v>1</v>
      </c>
      <c r="D1570" s="2" t="s">
        <v>1202</v>
      </c>
      <c r="E1570" s="184"/>
      <c r="F1570" s="29">
        <f t="shared" ref="F1570:F1575" si="320">H1570+J1570+L1570</f>
        <v>45715</v>
      </c>
      <c r="G1570" s="184"/>
      <c r="H1570" s="29">
        <f>TRUNC(H1571+H1572+H1573+H1574+H1575,0)</f>
        <v>11180</v>
      </c>
      <c r="I1570" s="184"/>
      <c r="J1570" s="29">
        <f>TRUNC(J1571+J1572+J1573+J1574+J1575,0)</f>
        <v>34194</v>
      </c>
      <c r="K1570" s="184"/>
      <c r="L1570" s="29">
        <f>TRUNC(L1571+L1572+L1573+L1574+L1575,0)</f>
        <v>341</v>
      </c>
      <c r="M1570" s="86" t="s">
        <v>2856</v>
      </c>
      <c r="N1570" t="s">
        <v>2856</v>
      </c>
      <c r="O1570" t="s">
        <v>1998</v>
      </c>
    </row>
    <row r="1571" spans="1:61" ht="18.399999999999999" hidden="1" customHeight="1" x14ac:dyDescent="0.15">
      <c r="A1571" s="2" t="s">
        <v>832</v>
      </c>
      <c r="B1571" s="87" t="s">
        <v>1322</v>
      </c>
      <c r="C1571" s="2">
        <v>0.32700000000000001</v>
      </c>
      <c r="D1571" s="2" t="s">
        <v>2303</v>
      </c>
      <c r="E1571" s="27">
        <f>G1571+I1571+K1571</f>
        <v>30804</v>
      </c>
      <c r="F1571" s="28">
        <f t="shared" si="320"/>
        <v>10072.9</v>
      </c>
      <c r="G1571" s="27">
        <f>일위대가목록!F274</f>
        <v>30804</v>
      </c>
      <c r="H1571" s="28">
        <f>TRUNC(G1571*C1571,1)</f>
        <v>10072.9</v>
      </c>
      <c r="I1571" s="27">
        <f>일위대가목록!H274</f>
        <v>0</v>
      </c>
      <c r="J1571" s="28">
        <f>TRUNC(I1571*C1571,1)</f>
        <v>0</v>
      </c>
      <c r="K1571" s="27">
        <f>일위대가목록!J274</f>
        <v>0</v>
      </c>
      <c r="L1571" s="28">
        <f>TRUNC(K1571*C1571,1)</f>
        <v>0</v>
      </c>
      <c r="M1571" s="86" t="s">
        <v>2856</v>
      </c>
      <c r="N1571" t="s">
        <v>2856</v>
      </c>
      <c r="P1571" t="s">
        <v>334</v>
      </c>
      <c r="Q1571" t="s">
        <v>2856</v>
      </c>
      <c r="R1571" t="s">
        <v>2058</v>
      </c>
      <c r="T1571" t="s">
        <v>1778</v>
      </c>
      <c r="AA1571" s="42" t="s">
        <v>2127</v>
      </c>
      <c r="AB1571" s="8">
        <f>'일위대가_호표(신규)'!H1571*0.11</f>
        <v>1108.019</v>
      </c>
      <c r="AC1571" s="42" t="s">
        <v>2369</v>
      </c>
      <c r="AD1571" s="7">
        <f>$AB1571</f>
        <v>1108.019</v>
      </c>
      <c r="BI1571" s="34" t="str">
        <f>HYPERLINK("#일위대가목록!A269","N1110 →")</f>
        <v>N1110 →</v>
      </c>
    </row>
    <row r="1572" spans="1:61" ht="18.399999999999999" hidden="1" customHeight="1" x14ac:dyDescent="0.15">
      <c r="A1572" s="2" t="s">
        <v>2179</v>
      </c>
      <c r="B1572" s="87" t="s">
        <v>1035</v>
      </c>
      <c r="C1572" s="2">
        <v>11</v>
      </c>
      <c r="D1572" s="2" t="s">
        <v>588</v>
      </c>
      <c r="E1572" s="27">
        <f>G1572+I1572+K1572</f>
        <v>0</v>
      </c>
      <c r="F1572" s="28">
        <f t="shared" si="320"/>
        <v>1108</v>
      </c>
      <c r="G1572" s="1"/>
      <c r="H1572" s="28">
        <f>TRUNC((H1571*0.11),1)</f>
        <v>1108</v>
      </c>
      <c r="I1572" s="1"/>
      <c r="J1572" s="28">
        <v>0</v>
      </c>
      <c r="K1572" s="1"/>
      <c r="L1572" s="28">
        <v>0</v>
      </c>
      <c r="M1572" s="86" t="s">
        <v>2856</v>
      </c>
      <c r="N1572" t="s">
        <v>2856</v>
      </c>
      <c r="P1572" t="s">
        <v>2471</v>
      </c>
      <c r="Q1572" t="s">
        <v>2856</v>
      </c>
      <c r="R1572" t="s">
        <v>2405</v>
      </c>
      <c r="X1572" t="s">
        <v>2188</v>
      </c>
    </row>
    <row r="1573" spans="1:61" ht="18.399999999999999" hidden="1" customHeight="1" x14ac:dyDescent="0.15">
      <c r="A1573" s="2" t="s">
        <v>81</v>
      </c>
      <c r="B1573" s="87" t="s">
        <v>2856</v>
      </c>
      <c r="C1573" s="2">
        <v>0.1</v>
      </c>
      <c r="D1573" s="2" t="s">
        <v>2652</v>
      </c>
      <c r="E1573" s="27">
        <f>G1573+I1573+K1573</f>
        <v>275108</v>
      </c>
      <c r="F1573" s="28">
        <f t="shared" si="320"/>
        <v>27510.799999999999</v>
      </c>
      <c r="G1573" s="27">
        <v>0</v>
      </c>
      <c r="H1573" s="28"/>
      <c r="I1573" s="27">
        <f>노임!D4</f>
        <v>275108</v>
      </c>
      <c r="J1573" s="28">
        <f>TRUNC(I1573*C1573,1)</f>
        <v>27510.799999999999</v>
      </c>
      <c r="K1573" s="27">
        <v>0</v>
      </c>
      <c r="L1573" s="28"/>
      <c r="M1573" s="86" t="s">
        <v>2856</v>
      </c>
      <c r="N1573" t="s">
        <v>1593</v>
      </c>
      <c r="P1573" t="s">
        <v>1741</v>
      </c>
      <c r="Q1573" t="s">
        <v>2856</v>
      </c>
      <c r="R1573" t="s">
        <v>1964</v>
      </c>
      <c r="BI1573" s="34" t="str">
        <f>HYPERLINK("#노임!A4","L004 →")</f>
        <v>L004 →</v>
      </c>
    </row>
    <row r="1574" spans="1:61" ht="18.399999999999999" hidden="1" customHeight="1" x14ac:dyDescent="0.15">
      <c r="A1574" s="2" t="s">
        <v>888</v>
      </c>
      <c r="B1574" s="87" t="s">
        <v>2856</v>
      </c>
      <c r="C1574" s="2">
        <v>0.04</v>
      </c>
      <c r="D1574" s="2" t="s">
        <v>2652</v>
      </c>
      <c r="E1574" s="27">
        <f>G1574+I1574+K1574</f>
        <v>167081</v>
      </c>
      <c r="F1574" s="28">
        <f t="shared" si="320"/>
        <v>6683.2</v>
      </c>
      <c r="G1574" s="27">
        <v>0</v>
      </c>
      <c r="H1574" s="28"/>
      <c r="I1574" s="27">
        <f>노임!D15</f>
        <v>167081</v>
      </c>
      <c r="J1574" s="28">
        <f>TRUNC(I1574*C1574,1)</f>
        <v>6683.2</v>
      </c>
      <c r="K1574" s="27">
        <v>0</v>
      </c>
      <c r="L1574" s="28"/>
      <c r="M1574" s="86" t="s">
        <v>2856</v>
      </c>
      <c r="N1574" t="s">
        <v>821</v>
      </c>
      <c r="P1574" t="s">
        <v>1036</v>
      </c>
      <c r="Q1574" t="s">
        <v>2856</v>
      </c>
      <c r="R1574" t="s">
        <v>498</v>
      </c>
      <c r="AA1574" s="42" t="s">
        <v>917</v>
      </c>
      <c r="AB1574" s="8">
        <f>('일위대가_호표(신규)'!J1573+'일위대가_호표(신규)'!J1574)*0.01</f>
        <v>341.94</v>
      </c>
      <c r="AC1574" s="42" t="s">
        <v>1546</v>
      </c>
      <c r="AD1574" s="7">
        <f>$AB1574</f>
        <v>341.94</v>
      </c>
      <c r="BI1574" s="34" t="str">
        <f>HYPERLINK("#노임!A15","L085 →")</f>
        <v>L085 →</v>
      </c>
    </row>
    <row r="1575" spans="1:61" ht="18.399999999999999" hidden="1" customHeight="1" x14ac:dyDescent="0.15">
      <c r="A1575" s="2" t="s">
        <v>2380</v>
      </c>
      <c r="B1575" s="87" t="s">
        <v>454</v>
      </c>
      <c r="C1575" s="2">
        <v>1</v>
      </c>
      <c r="D1575" s="2" t="s">
        <v>588</v>
      </c>
      <c r="E1575" s="27">
        <f>G1575+I1575+K1575</f>
        <v>0</v>
      </c>
      <c r="F1575" s="28">
        <f t="shared" si="320"/>
        <v>341.9</v>
      </c>
      <c r="G1575" s="1"/>
      <c r="H1575" s="28">
        <v>0</v>
      </c>
      <c r="I1575" s="1"/>
      <c r="J1575" s="28">
        <v>0</v>
      </c>
      <c r="K1575" s="1"/>
      <c r="L1575" s="28">
        <f>TRUNC(((J1573+J1574)*0.01),1)</f>
        <v>341.9</v>
      </c>
      <c r="M1575" s="86" t="s">
        <v>2856</v>
      </c>
      <c r="N1575" t="s">
        <v>2856</v>
      </c>
      <c r="P1575" t="s">
        <v>286</v>
      </c>
      <c r="Q1575" t="s">
        <v>2856</v>
      </c>
      <c r="R1575" t="s">
        <v>2405</v>
      </c>
      <c r="X1575" t="s">
        <v>27</v>
      </c>
    </row>
    <row r="1576" spans="1:61" ht="18.399999999999999" hidden="1" customHeight="1" x14ac:dyDescent="0.15">
      <c r="A1576" s="1"/>
      <c r="B1576" s="87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87"/>
    </row>
    <row r="1577" spans="1:61" ht="18.399999999999999" hidden="1" customHeight="1" x14ac:dyDescent="0.15">
      <c r="A1577" s="2" t="s">
        <v>1264</v>
      </c>
      <c r="B1577" s="87" t="s">
        <v>2856</v>
      </c>
      <c r="C1577" s="2">
        <v>1</v>
      </c>
      <c r="D1577" s="2" t="s">
        <v>2825</v>
      </c>
      <c r="E1577" s="184"/>
      <c r="F1577" s="29">
        <f>H1577+J1577+L1577</f>
        <v>208934</v>
      </c>
      <c r="G1577" s="184"/>
      <c r="H1577" s="29">
        <f>TRUNC(H1578+H1579+H1580,0)</f>
        <v>137090</v>
      </c>
      <c r="I1577" s="184"/>
      <c r="J1577" s="29">
        <f>TRUNC(J1578+J1579+J1580,0)</f>
        <v>71844</v>
      </c>
      <c r="K1577" s="184"/>
      <c r="L1577" s="29">
        <f>TRUNC(L1578+L1579+L1580,0)</f>
        <v>0</v>
      </c>
      <c r="M1577" s="86" t="s">
        <v>2856</v>
      </c>
      <c r="N1577" t="s">
        <v>2856</v>
      </c>
      <c r="O1577" t="s">
        <v>918</v>
      </c>
    </row>
    <row r="1578" spans="1:61" ht="18.399999999999999" hidden="1" customHeight="1" x14ac:dyDescent="0.15">
      <c r="A1578" s="2" t="s">
        <v>1463</v>
      </c>
      <c r="B1578" s="87" t="s">
        <v>1449</v>
      </c>
      <c r="C1578" s="2">
        <v>510</v>
      </c>
      <c r="D1578" s="2" t="s">
        <v>1674</v>
      </c>
      <c r="E1578" s="27">
        <f>G1578+I1578+K1578</f>
        <v>189</v>
      </c>
      <c r="F1578" s="28">
        <f>H1578+J1578+L1578</f>
        <v>96390</v>
      </c>
      <c r="G1578" s="27">
        <f>자재조서!E90</f>
        <v>189</v>
      </c>
      <c r="H1578" s="28">
        <f>TRUNC(G1578*C1578,1)</f>
        <v>96390</v>
      </c>
      <c r="I1578" s="27">
        <v>0</v>
      </c>
      <c r="J1578" s="28"/>
      <c r="K1578" s="27">
        <v>0</v>
      </c>
      <c r="L1578" s="28"/>
      <c r="M1578" s="86" t="s">
        <v>2856</v>
      </c>
      <c r="N1578" t="s">
        <v>2856</v>
      </c>
      <c r="P1578" t="s">
        <v>334</v>
      </c>
      <c r="Q1578" t="s">
        <v>2856</v>
      </c>
      <c r="R1578" t="s">
        <v>887</v>
      </c>
      <c r="BI1578" s="34" t="str">
        <f>HYPERLINK("#자재조서!A87","MB002 →")</f>
        <v>MB002 →</v>
      </c>
    </row>
    <row r="1579" spans="1:61" ht="18.399999999999999" hidden="1" customHeight="1" x14ac:dyDescent="0.15">
      <c r="A1579" s="2" t="s">
        <v>440</v>
      </c>
      <c r="B1579" s="87" t="s">
        <v>1763</v>
      </c>
      <c r="C1579" s="2">
        <v>1.1000000000000001</v>
      </c>
      <c r="D1579" s="2" t="s">
        <v>2825</v>
      </c>
      <c r="E1579" s="27">
        <f>G1579+I1579+K1579</f>
        <v>37000</v>
      </c>
      <c r="F1579" s="28">
        <f>H1579+J1579+L1579</f>
        <v>40700</v>
      </c>
      <c r="G1579" s="27">
        <f>자재조서!E86</f>
        <v>37000</v>
      </c>
      <c r="H1579" s="28">
        <f>TRUNC(G1579*C1579,1)</f>
        <v>40700</v>
      </c>
      <c r="I1579" s="27">
        <v>0</v>
      </c>
      <c r="J1579" s="28"/>
      <c r="K1579" s="27">
        <v>0</v>
      </c>
      <c r="L1579" s="28"/>
      <c r="M1579" s="86" t="s">
        <v>2856</v>
      </c>
      <c r="N1579" t="s">
        <v>2856</v>
      </c>
      <c r="P1579" t="s">
        <v>2471</v>
      </c>
      <c r="Q1579" t="s">
        <v>2856</v>
      </c>
      <c r="R1579" t="s">
        <v>2805</v>
      </c>
      <c r="BI1579" s="34" t="str">
        <f>HYPERLINK("#자재조서!A83","MB-4530 →")</f>
        <v>MB-4530 →</v>
      </c>
    </row>
    <row r="1580" spans="1:61" ht="18.399999999999999" hidden="1" customHeight="1" x14ac:dyDescent="0.15">
      <c r="A1580" s="2" t="s">
        <v>888</v>
      </c>
      <c r="B1580" s="87" t="s">
        <v>1487</v>
      </c>
      <c r="C1580" s="2">
        <v>0.43</v>
      </c>
      <c r="D1580" s="2" t="s">
        <v>2652</v>
      </c>
      <c r="E1580" s="27">
        <f>G1580+I1580+K1580</f>
        <v>167081</v>
      </c>
      <c r="F1580" s="28">
        <f>H1580+J1580+L1580</f>
        <v>71844.800000000003</v>
      </c>
      <c r="G1580" s="27">
        <v>0</v>
      </c>
      <c r="H1580" s="28"/>
      <c r="I1580" s="27">
        <f>노임!D15</f>
        <v>167081</v>
      </c>
      <c r="J1580" s="28">
        <f>TRUNC(I1580*C1580,1)</f>
        <v>71844.800000000003</v>
      </c>
      <c r="K1580" s="27">
        <v>0</v>
      </c>
      <c r="L1580" s="28"/>
      <c r="M1580" s="86" t="s">
        <v>2856</v>
      </c>
      <c r="N1580" t="s">
        <v>821</v>
      </c>
      <c r="P1580" t="s">
        <v>1741</v>
      </c>
      <c r="Q1580" t="s">
        <v>2856</v>
      </c>
      <c r="R1580" t="s">
        <v>498</v>
      </c>
      <c r="BI1580" s="34" t="str">
        <f>HYPERLINK("#노임!A15","L085 →")</f>
        <v>L085 →</v>
      </c>
    </row>
    <row r="1581" spans="1:61" ht="18.399999999999999" hidden="1" customHeight="1" x14ac:dyDescent="0.15">
      <c r="A1581" s="1"/>
      <c r="B1581" s="87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87"/>
    </row>
    <row r="1582" spans="1:61" ht="18.399999999999999" customHeight="1" x14ac:dyDescent="0.15">
      <c r="A1582" s="69" t="s">
        <v>3249</v>
      </c>
      <c r="B1582" s="174" t="s">
        <v>2856</v>
      </c>
      <c r="C1582" s="69">
        <v>1</v>
      </c>
      <c r="D1582" s="69" t="s">
        <v>978</v>
      </c>
      <c r="E1582" s="185"/>
      <c r="F1582" s="70">
        <f t="shared" ref="F1582:F1587" si="321">H1582+J1582+L1582</f>
        <v>136025</v>
      </c>
      <c r="G1582" s="185"/>
      <c r="H1582" s="70">
        <f>TRUNC(H1586,0)</f>
        <v>10644</v>
      </c>
      <c r="I1582" s="185"/>
      <c r="J1582" s="70">
        <f>TRUNC(J1586,0)</f>
        <v>111869</v>
      </c>
      <c r="K1582" s="185"/>
      <c r="L1582" s="70">
        <f>TRUNC(L1586,0)</f>
        <v>13512</v>
      </c>
      <c r="M1582" s="181" t="s">
        <v>2856</v>
      </c>
      <c r="N1582" t="s">
        <v>2856</v>
      </c>
      <c r="O1582" t="s">
        <v>2735</v>
      </c>
    </row>
    <row r="1583" spans="1:61" ht="18.399999999999999" customHeight="1" x14ac:dyDescent="0.15">
      <c r="A1583" s="2" t="s">
        <v>899</v>
      </c>
      <c r="B1583" s="87" t="s">
        <v>2856</v>
      </c>
      <c r="C1583" s="2">
        <v>1</v>
      </c>
      <c r="D1583" s="2" t="s">
        <v>2652</v>
      </c>
      <c r="E1583" s="27">
        <f>G1583+I1583+K1583</f>
        <v>222504</v>
      </c>
      <c r="F1583" s="28">
        <f t="shared" si="321"/>
        <v>222504</v>
      </c>
      <c r="G1583" s="27">
        <v>0</v>
      </c>
      <c r="H1583" s="28"/>
      <c r="I1583" s="27">
        <f>노임!D12</f>
        <v>222504</v>
      </c>
      <c r="J1583" s="28">
        <f>TRUNC(I1583*C1583,1)</f>
        <v>222504</v>
      </c>
      <c r="K1583" s="27">
        <v>0</v>
      </c>
      <c r="L1583" s="28"/>
      <c r="M1583" s="86" t="s">
        <v>2856</v>
      </c>
      <c r="N1583" t="s">
        <v>2823</v>
      </c>
      <c r="P1583" t="s">
        <v>334</v>
      </c>
      <c r="Q1583" t="s">
        <v>1839</v>
      </c>
      <c r="R1583" t="s">
        <v>2638</v>
      </c>
      <c r="BI1583" s="34" t="str">
        <f>HYPERLINK("#노임!A12","L050 →")</f>
        <v>L050 →</v>
      </c>
    </row>
    <row r="1584" spans="1:61" ht="18.399999999999999" customHeight="1" x14ac:dyDescent="0.15">
      <c r="A1584" s="2" t="s">
        <v>522</v>
      </c>
      <c r="B1584" s="87" t="s">
        <v>2856</v>
      </c>
      <c r="C1584" s="2">
        <v>3</v>
      </c>
      <c r="D1584" s="2" t="s">
        <v>2652</v>
      </c>
      <c r="E1584" s="27">
        <f>G1584+I1584+K1584</f>
        <v>258935</v>
      </c>
      <c r="F1584" s="28">
        <f t="shared" si="321"/>
        <v>776805</v>
      </c>
      <c r="G1584" s="27">
        <v>0</v>
      </c>
      <c r="H1584" s="28"/>
      <c r="I1584" s="27">
        <f>노임!D7</f>
        <v>258935</v>
      </c>
      <c r="J1584" s="28">
        <f>TRUNC(I1584*C1584,1)</f>
        <v>776805</v>
      </c>
      <c r="K1584" s="27">
        <v>0</v>
      </c>
      <c r="L1584" s="28"/>
      <c r="M1584" s="86" t="s">
        <v>2856</v>
      </c>
      <c r="N1584" t="s">
        <v>2856</v>
      </c>
      <c r="P1584" t="s">
        <v>2471</v>
      </c>
      <c r="Q1584" t="s">
        <v>1839</v>
      </c>
      <c r="R1584" t="s">
        <v>926</v>
      </c>
      <c r="BI1584" s="34" t="str">
        <f>HYPERLINK("#노임!A7","L013 →")</f>
        <v>L013 →</v>
      </c>
    </row>
    <row r="1585" spans="1:61" ht="18.399999999999999" customHeight="1" x14ac:dyDescent="0.15">
      <c r="A1585" s="2" t="s">
        <v>1613</v>
      </c>
      <c r="B1585" s="87" t="s">
        <v>2509</v>
      </c>
      <c r="C1585" s="2">
        <v>8</v>
      </c>
      <c r="D1585" s="2" t="s">
        <v>2377</v>
      </c>
      <c r="E1585" s="27">
        <f>G1585+I1585+K1585</f>
        <v>96128</v>
      </c>
      <c r="F1585" s="28">
        <f t="shared" si="321"/>
        <v>769024</v>
      </c>
      <c r="G1585" s="27">
        <f>중기사용료목록!E4</f>
        <v>17297</v>
      </c>
      <c r="H1585" s="28">
        <f>TRUNC(G1585*C1585,1)</f>
        <v>138376</v>
      </c>
      <c r="I1585" s="27">
        <f>중기사용료목록!F4</f>
        <v>56874</v>
      </c>
      <c r="J1585" s="28">
        <f>TRUNC(I1585*C1585,1)</f>
        <v>454992</v>
      </c>
      <c r="K1585" s="27">
        <f>중기사용료목록!G4</f>
        <v>21957</v>
      </c>
      <c r="L1585" s="28">
        <f>TRUNC(K1585*C1585,1)</f>
        <v>175656</v>
      </c>
      <c r="M1585" s="86" t="s">
        <v>2856</v>
      </c>
      <c r="N1585" t="s">
        <v>2856</v>
      </c>
      <c r="P1585" t="s">
        <v>1741</v>
      </c>
      <c r="Q1585" t="s">
        <v>1839</v>
      </c>
      <c r="R1585" t="s">
        <v>361</v>
      </c>
      <c r="AA1585" s="42" t="s">
        <v>2127</v>
      </c>
      <c r="AB1585" s="8">
        <f>('일위대가_호표(신규)'!H1583+'일위대가_호표(신규)'!H1584+'일위대가_호표(신규)'!H1585)/13</f>
        <v>10644.307692307691</v>
      </c>
      <c r="AC1585" s="42" t="s">
        <v>2369</v>
      </c>
      <c r="AD1585" s="7">
        <f>$AB1585</f>
        <v>10644.307692307691</v>
      </c>
      <c r="BI1585" s="34" t="str">
        <f>HYPERLINK("#중기사용료목록!A4","E0002010060 →")</f>
        <v>E0002010060 →</v>
      </c>
    </row>
    <row r="1586" spans="1:61" ht="18.399999999999999" customHeight="1" x14ac:dyDescent="0.15">
      <c r="A1586" s="2" t="s">
        <v>2025</v>
      </c>
      <c r="B1586" s="87" t="s">
        <v>2856</v>
      </c>
      <c r="C1586" s="2"/>
      <c r="D1586" s="2" t="s">
        <v>2856</v>
      </c>
      <c r="E1586" s="27">
        <f>G1586+I1586+K1586</f>
        <v>0</v>
      </c>
      <c r="F1586" s="28">
        <f t="shared" si="321"/>
        <v>136025.60000000001</v>
      </c>
      <c r="G1586" s="1"/>
      <c r="H1586" s="28">
        <f>TRUNC(((H1583+H1584+H1585)/13),1)</f>
        <v>10644.3</v>
      </c>
      <c r="I1586" s="1"/>
      <c r="J1586" s="28">
        <f>TRUNC(((J1583+J1584+J1585)/13),1)</f>
        <v>111869.3</v>
      </c>
      <c r="K1586" s="1"/>
      <c r="L1586" s="28">
        <f>TRUNC(((L1583+L1584+L1585)/13),1)</f>
        <v>13512</v>
      </c>
      <c r="M1586" s="86" t="s">
        <v>2856</v>
      </c>
      <c r="N1586" t="s">
        <v>2856</v>
      </c>
      <c r="P1586" t="s">
        <v>1036</v>
      </c>
      <c r="Q1586" t="s">
        <v>2856</v>
      </c>
      <c r="R1586" t="s">
        <v>2405</v>
      </c>
      <c r="X1586" t="s">
        <v>951</v>
      </c>
      <c r="AA1586" s="42" t="s">
        <v>298</v>
      </c>
      <c r="AB1586" s="8">
        <f>('일위대가_호표(신규)'!J1583+'일위대가_호표(신규)'!J1584+'일위대가_호표(신규)'!J1585)/13</f>
        <v>111869.30769230769</v>
      </c>
      <c r="AC1586" s="42" t="s">
        <v>1123</v>
      </c>
      <c r="AD1586" s="7">
        <f>$AB1586</f>
        <v>111869.30769230769</v>
      </c>
    </row>
    <row r="1587" spans="1:61" ht="18.399999999999999" customHeight="1" x14ac:dyDescent="0.15">
      <c r="A1587" s="66" t="s">
        <v>3046</v>
      </c>
      <c r="B1587" s="175" t="s">
        <v>3245</v>
      </c>
      <c r="C1587" s="63"/>
      <c r="D1587" s="63"/>
      <c r="E1587" s="64"/>
      <c r="F1587" s="65">
        <f t="shared" si="321"/>
        <v>118742</v>
      </c>
      <c r="G1587" s="66"/>
      <c r="H1587" s="65">
        <f>TRUNC(H1586*B1587)</f>
        <v>9291</v>
      </c>
      <c r="I1587" s="66"/>
      <c r="J1587" s="65">
        <f>TRUNC(J1586*B1587)</f>
        <v>97656</v>
      </c>
      <c r="K1587" s="66"/>
      <c r="L1587" s="65">
        <f>TRUNC((L1586*B1587))</f>
        <v>11795</v>
      </c>
      <c r="M1587" s="186"/>
      <c r="AA1587" s="42"/>
      <c r="AB1587" s="8"/>
      <c r="AC1587" s="42"/>
      <c r="AD1587" s="7"/>
    </row>
    <row r="1588" spans="1:61" ht="18.399999999999999" customHeight="1" x14ac:dyDescent="0.15">
      <c r="A1588" s="1"/>
      <c r="B1588" s="87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87"/>
      <c r="AA1588" s="42" t="s">
        <v>917</v>
      </c>
      <c r="AB1588" s="8">
        <f>('일위대가_호표(신규)'!L1583+'일위대가_호표(신규)'!L1584+'일위대가_호표(신규)'!L1585)/13</f>
        <v>13512</v>
      </c>
      <c r="AC1588" s="42" t="s">
        <v>1546</v>
      </c>
      <c r="AD1588" s="7">
        <f>$AB1588</f>
        <v>13512</v>
      </c>
    </row>
    <row r="1589" spans="1:61" ht="18.399999999999999" hidden="1" customHeight="1" x14ac:dyDescent="0.15">
      <c r="A1589" s="2" t="s">
        <v>925</v>
      </c>
      <c r="B1589" s="87" t="s">
        <v>2010</v>
      </c>
      <c r="C1589" s="2">
        <v>1</v>
      </c>
      <c r="D1589" s="2" t="s">
        <v>2825</v>
      </c>
      <c r="E1589" s="184"/>
      <c r="F1589" s="29">
        <f t="shared" ref="F1589:F1595" si="322">H1589+J1589+L1589</f>
        <v>14311</v>
      </c>
      <c r="G1589" s="184"/>
      <c r="H1589" s="29">
        <f>TRUNC(H1595,0)</f>
        <v>1554</v>
      </c>
      <c r="I1589" s="184"/>
      <c r="J1589" s="29">
        <f>TRUNC(J1595,0)</f>
        <v>11235</v>
      </c>
      <c r="K1589" s="184"/>
      <c r="L1589" s="29">
        <f>TRUNC(L1595,0)</f>
        <v>1522</v>
      </c>
      <c r="M1589" s="86" t="s">
        <v>2856</v>
      </c>
      <c r="N1589" t="s">
        <v>2856</v>
      </c>
      <c r="O1589" t="s">
        <v>782</v>
      </c>
    </row>
    <row r="1590" spans="1:61" ht="18.399999999999999" hidden="1" customHeight="1" x14ac:dyDescent="0.15">
      <c r="A1590" s="2" t="s">
        <v>2646</v>
      </c>
      <c r="B1590" s="87" t="s">
        <v>2856</v>
      </c>
      <c r="C1590" s="2">
        <v>2</v>
      </c>
      <c r="D1590" s="2" t="s">
        <v>2652</v>
      </c>
      <c r="E1590" s="27">
        <f t="shared" ref="E1590:E1595" si="323">G1590+I1590+K1590</f>
        <v>211355</v>
      </c>
      <c r="F1590" s="28">
        <f t="shared" si="322"/>
        <v>422710</v>
      </c>
      <c r="G1590" s="27">
        <v>0</v>
      </c>
      <c r="H1590" s="28"/>
      <c r="I1590" s="27">
        <f>노임!D11</f>
        <v>211355</v>
      </c>
      <c r="J1590" s="28">
        <f>TRUNC(I1590*C1590,1)</f>
        <v>422710</v>
      </c>
      <c r="K1590" s="27">
        <v>0</v>
      </c>
      <c r="L1590" s="28"/>
      <c r="M1590" s="86" t="s">
        <v>2856</v>
      </c>
      <c r="N1590" t="s">
        <v>711</v>
      </c>
      <c r="P1590" t="s">
        <v>2471</v>
      </c>
      <c r="Q1590" t="s">
        <v>1839</v>
      </c>
      <c r="R1590" t="s">
        <v>1433</v>
      </c>
      <c r="BI1590" s="34" t="str">
        <f>HYPERLINK("#노임!A11","L042 →")</f>
        <v>L042 →</v>
      </c>
    </row>
    <row r="1591" spans="1:61" ht="18.399999999999999" hidden="1" customHeight="1" x14ac:dyDescent="0.15">
      <c r="A1591" s="2" t="s">
        <v>888</v>
      </c>
      <c r="B1591" s="87" t="s">
        <v>2856</v>
      </c>
      <c r="C1591" s="2">
        <v>2</v>
      </c>
      <c r="D1591" s="2" t="s">
        <v>2652</v>
      </c>
      <c r="E1591" s="27">
        <f t="shared" si="323"/>
        <v>167081</v>
      </c>
      <c r="F1591" s="28">
        <f t="shared" si="322"/>
        <v>334162</v>
      </c>
      <c r="G1591" s="27">
        <v>0</v>
      </c>
      <c r="H1591" s="28"/>
      <c r="I1591" s="27">
        <f>노임!D15</f>
        <v>167081</v>
      </c>
      <c r="J1591" s="28">
        <f>TRUNC(I1591*C1591,1)</f>
        <v>334162</v>
      </c>
      <c r="K1591" s="27">
        <v>0</v>
      </c>
      <c r="L1591" s="28"/>
      <c r="M1591" s="86" t="s">
        <v>2856</v>
      </c>
      <c r="N1591" t="s">
        <v>821</v>
      </c>
      <c r="P1591" t="s">
        <v>1741</v>
      </c>
      <c r="Q1591" t="s">
        <v>1839</v>
      </c>
      <c r="R1591" t="s">
        <v>498</v>
      </c>
      <c r="BI1591" s="34" t="str">
        <f>HYPERLINK("#노임!A15","L085 →")</f>
        <v>L085 →</v>
      </c>
    </row>
    <row r="1592" spans="1:61" ht="18.399999999999999" hidden="1" customHeight="1" x14ac:dyDescent="0.15">
      <c r="A1592" s="2" t="s">
        <v>1613</v>
      </c>
      <c r="B1592" s="87" t="s">
        <v>986</v>
      </c>
      <c r="C1592" s="2">
        <v>8</v>
      </c>
      <c r="D1592" s="2" t="s">
        <v>2377</v>
      </c>
      <c r="E1592" s="27">
        <f t="shared" si="323"/>
        <v>96128</v>
      </c>
      <c r="F1592" s="28">
        <f t="shared" si="322"/>
        <v>769024</v>
      </c>
      <c r="G1592" s="27">
        <f>중기사용료목록!E4</f>
        <v>17297</v>
      </c>
      <c r="H1592" s="28">
        <f>TRUNC(G1592*C1592,1)</f>
        <v>138376</v>
      </c>
      <c r="I1592" s="27">
        <f>중기사용료목록!F4</f>
        <v>56874</v>
      </c>
      <c r="J1592" s="28">
        <f>TRUNC(I1592*C1592,1)</f>
        <v>454992</v>
      </c>
      <c r="K1592" s="27">
        <f>중기사용료목록!G4</f>
        <v>21957</v>
      </c>
      <c r="L1592" s="28">
        <f>TRUNC(K1592*C1592,1)</f>
        <v>175656</v>
      </c>
      <c r="M1592" s="86" t="s">
        <v>2856</v>
      </c>
      <c r="N1592" t="s">
        <v>2856</v>
      </c>
      <c r="P1592" t="s">
        <v>1036</v>
      </c>
      <c r="Q1592" t="s">
        <v>1839</v>
      </c>
      <c r="R1592" t="s">
        <v>361</v>
      </c>
      <c r="BI1592" s="34" t="str">
        <f>HYPERLINK("#중기사용료목록!A4","E0002010060 →")</f>
        <v>E0002010060 →</v>
      </c>
    </row>
    <row r="1593" spans="1:61" ht="18.399999999999999" hidden="1" customHeight="1" x14ac:dyDescent="0.15">
      <c r="A1593" s="2" t="s">
        <v>2495</v>
      </c>
      <c r="B1593" s="87" t="s">
        <v>919</v>
      </c>
      <c r="C1593" s="2">
        <v>8</v>
      </c>
      <c r="D1593" s="2" t="s">
        <v>2377</v>
      </c>
      <c r="E1593" s="27">
        <f t="shared" si="323"/>
        <v>40104</v>
      </c>
      <c r="F1593" s="28">
        <f t="shared" si="322"/>
        <v>320832</v>
      </c>
      <c r="G1593" s="27">
        <f>중기사용료목록!E6</f>
        <v>3455</v>
      </c>
      <c r="H1593" s="28">
        <f>TRUNC(G1593*C1593,1)</f>
        <v>27640</v>
      </c>
      <c r="I1593" s="27">
        <f>중기사용료목록!F6</f>
        <v>34803</v>
      </c>
      <c r="J1593" s="28">
        <f>TRUNC(I1593*C1593,1)</f>
        <v>278424</v>
      </c>
      <c r="K1593" s="27">
        <f>중기사용료목록!G6</f>
        <v>1846</v>
      </c>
      <c r="L1593" s="28">
        <f>TRUNC(K1593*C1593,1)</f>
        <v>14768</v>
      </c>
      <c r="M1593" s="86" t="s">
        <v>2856</v>
      </c>
      <c r="N1593" t="s">
        <v>2856</v>
      </c>
      <c r="P1593" t="s">
        <v>286</v>
      </c>
      <c r="Q1593" t="s">
        <v>1839</v>
      </c>
      <c r="R1593" t="s">
        <v>2669</v>
      </c>
      <c r="BI1593" s="34" t="str">
        <f>HYPERLINK("#중기사용료목록!A6","E0013050007 →")</f>
        <v>E0013050007 →</v>
      </c>
    </row>
    <row r="1594" spans="1:61" ht="18.399999999999999" hidden="1" customHeight="1" x14ac:dyDescent="0.15">
      <c r="A1594" s="2" t="s">
        <v>1391</v>
      </c>
      <c r="B1594" s="87" t="s">
        <v>1744</v>
      </c>
      <c r="C1594" s="2">
        <v>4</v>
      </c>
      <c r="D1594" s="2" t="s">
        <v>2377</v>
      </c>
      <c r="E1594" s="27">
        <f t="shared" si="323"/>
        <v>75016</v>
      </c>
      <c r="F1594" s="28">
        <f t="shared" si="322"/>
        <v>300064</v>
      </c>
      <c r="G1594" s="27">
        <f>중기사용료목록!E12</f>
        <v>16805</v>
      </c>
      <c r="H1594" s="28">
        <f>TRUNC(G1594*C1594,1)</f>
        <v>67220</v>
      </c>
      <c r="I1594" s="27">
        <f>중기사용료목록!F12</f>
        <v>48741</v>
      </c>
      <c r="J1594" s="28">
        <f>TRUNC(I1594*C1594,1)</f>
        <v>194964</v>
      </c>
      <c r="K1594" s="27">
        <f>중기사용료목록!G12</f>
        <v>9470</v>
      </c>
      <c r="L1594" s="28">
        <f>TRUNC(K1594*C1594,1)</f>
        <v>37880</v>
      </c>
      <c r="M1594" s="86" t="s">
        <v>2856</v>
      </c>
      <c r="N1594" t="s">
        <v>2856</v>
      </c>
      <c r="P1594" t="s">
        <v>2428</v>
      </c>
      <c r="Q1594" t="s">
        <v>1839</v>
      </c>
      <c r="R1594" t="s">
        <v>51</v>
      </c>
      <c r="AA1594" s="42" t="s">
        <v>2127</v>
      </c>
      <c r="AB1594" s="8">
        <f>('일위대가_호표(신규)'!H1590+'일위대가_호표(신규)'!H1591+'일위대가_호표(신규)'!H1592+'일위대가_호표(신규)'!H1593+'일위대가_호표(신규)'!H1594)/150</f>
        <v>1554.9066666666668</v>
      </c>
      <c r="AC1594" s="42" t="s">
        <v>2369</v>
      </c>
      <c r="AD1594" s="7">
        <f>$AB1594</f>
        <v>1554.9066666666668</v>
      </c>
      <c r="BI1594" s="34" t="str">
        <f>HYPERLINK("#중기사용료목록!A12","E0072040055 →")</f>
        <v>E0072040055 →</v>
      </c>
    </row>
    <row r="1595" spans="1:61" ht="18.399999999999999" hidden="1" customHeight="1" x14ac:dyDescent="0.15">
      <c r="A1595" s="2" t="s">
        <v>2556</v>
      </c>
      <c r="B1595" s="87" t="s">
        <v>2856</v>
      </c>
      <c r="C1595" s="2"/>
      <c r="D1595" s="2" t="s">
        <v>2856</v>
      </c>
      <c r="E1595" s="27">
        <f t="shared" si="323"/>
        <v>0</v>
      </c>
      <c r="F1595" s="28">
        <f t="shared" si="322"/>
        <v>14311.9</v>
      </c>
      <c r="G1595" s="1"/>
      <c r="H1595" s="28">
        <f>TRUNC(((H1590+H1591+H1592+H1593+H1594)/150),1)</f>
        <v>1554.9</v>
      </c>
      <c r="I1595" s="1"/>
      <c r="J1595" s="28">
        <f>TRUNC(((J1590+J1591+J1592+J1593+J1594)/150),1)</f>
        <v>11235</v>
      </c>
      <c r="K1595" s="1"/>
      <c r="L1595" s="28">
        <f>TRUNC(((L1590+L1591+L1592+L1593+L1594)/150),1)</f>
        <v>1522</v>
      </c>
      <c r="M1595" s="86" t="s">
        <v>2856</v>
      </c>
      <c r="N1595" t="s">
        <v>2856</v>
      </c>
      <c r="P1595" t="s">
        <v>1686</v>
      </c>
      <c r="Q1595" t="s">
        <v>2856</v>
      </c>
      <c r="R1595" t="s">
        <v>2405</v>
      </c>
      <c r="X1595" t="s">
        <v>312</v>
      </c>
      <c r="AA1595" s="42" t="s">
        <v>298</v>
      </c>
      <c r="AB1595" s="8">
        <f>('일위대가_호표(신규)'!J1590+'일위대가_호표(신규)'!J1591+'일위대가_호표(신규)'!J1592+'일위대가_호표(신규)'!J1593+'일위대가_호표(신규)'!J1594)/150</f>
        <v>11235.013333333334</v>
      </c>
      <c r="AC1595" s="42" t="s">
        <v>1123</v>
      </c>
      <c r="AD1595" s="7">
        <f>$AB1595</f>
        <v>11235.013333333334</v>
      </c>
    </row>
    <row r="1596" spans="1:61" ht="18.399999999999999" hidden="1" customHeight="1" x14ac:dyDescent="0.15">
      <c r="A1596" s="1"/>
      <c r="B1596" s="87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87"/>
      <c r="AA1596" s="42" t="s">
        <v>917</v>
      </c>
      <c r="AB1596" s="8">
        <f>('일위대가_호표(신규)'!L1590+'일위대가_호표(신규)'!L1591+'일위대가_호표(신규)'!L1592+'일위대가_호표(신규)'!L1593+'일위대가_호표(신규)'!L1594)/150</f>
        <v>1522.0266666666666</v>
      </c>
      <c r="AC1596" s="42" t="s">
        <v>1546</v>
      </c>
      <c r="AD1596" s="7">
        <f>$AB1596</f>
        <v>1522.0266666666666</v>
      </c>
    </row>
    <row r="1597" spans="1:61" ht="18.399999999999999" hidden="1" customHeight="1" x14ac:dyDescent="0.15">
      <c r="A1597" s="2" t="s">
        <v>2632</v>
      </c>
      <c r="B1597" s="87" t="s">
        <v>1057</v>
      </c>
      <c r="C1597" s="2">
        <v>1</v>
      </c>
      <c r="D1597" s="2" t="s">
        <v>2825</v>
      </c>
      <c r="E1597" s="184"/>
      <c r="F1597" s="29">
        <f t="shared" ref="F1597:F1602" si="324">H1597+J1597+L1597</f>
        <v>63190</v>
      </c>
      <c r="G1597" s="184"/>
      <c r="H1597" s="29">
        <f>TRUNC(H1602,0)</f>
        <v>2908</v>
      </c>
      <c r="I1597" s="184"/>
      <c r="J1597" s="29">
        <f>TRUNC(J1602,0)</f>
        <v>25714</v>
      </c>
      <c r="K1597" s="184"/>
      <c r="L1597" s="29">
        <f>TRUNC(L1602,0)</f>
        <v>34568</v>
      </c>
      <c r="M1597" s="86" t="s">
        <v>2856</v>
      </c>
      <c r="N1597" t="s">
        <v>2856</v>
      </c>
      <c r="O1597" t="s">
        <v>170</v>
      </c>
    </row>
    <row r="1598" spans="1:61" ht="18.399999999999999" hidden="1" customHeight="1" x14ac:dyDescent="0.15">
      <c r="A1598" s="2" t="s">
        <v>1462</v>
      </c>
      <c r="B1598" s="87" t="s">
        <v>2856</v>
      </c>
      <c r="C1598" s="2">
        <v>3</v>
      </c>
      <c r="D1598" s="2" t="s">
        <v>2652</v>
      </c>
      <c r="E1598" s="27">
        <f>G1598+I1598+K1598</f>
        <v>264080</v>
      </c>
      <c r="F1598" s="28">
        <f t="shared" si="324"/>
        <v>792240</v>
      </c>
      <c r="G1598" s="27">
        <v>0</v>
      </c>
      <c r="H1598" s="28"/>
      <c r="I1598" s="27">
        <f>노임!D8</f>
        <v>264080</v>
      </c>
      <c r="J1598" s="28">
        <f>TRUNC(I1598*C1598,1)</f>
        <v>792240</v>
      </c>
      <c r="K1598" s="27">
        <v>0</v>
      </c>
      <c r="L1598" s="28"/>
      <c r="M1598" s="86" t="s">
        <v>2856</v>
      </c>
      <c r="N1598" t="s">
        <v>2472</v>
      </c>
      <c r="P1598" t="s">
        <v>334</v>
      </c>
      <c r="Q1598" t="s">
        <v>1839</v>
      </c>
      <c r="R1598" t="s">
        <v>1828</v>
      </c>
      <c r="BI1598" s="34" t="str">
        <f>HYPERLINK("#노임!A8","L025 →")</f>
        <v>L025 →</v>
      </c>
    </row>
    <row r="1599" spans="1:61" ht="18.399999999999999" hidden="1" customHeight="1" x14ac:dyDescent="0.15">
      <c r="A1599" s="2" t="s">
        <v>888</v>
      </c>
      <c r="B1599" s="87" t="s">
        <v>2856</v>
      </c>
      <c r="C1599" s="2">
        <v>1</v>
      </c>
      <c r="D1599" s="2" t="s">
        <v>2652</v>
      </c>
      <c r="E1599" s="27">
        <f>G1599+I1599+K1599</f>
        <v>167081</v>
      </c>
      <c r="F1599" s="28">
        <f t="shared" si="324"/>
        <v>167081</v>
      </c>
      <c r="G1599" s="27">
        <v>0</v>
      </c>
      <c r="H1599" s="28"/>
      <c r="I1599" s="27">
        <f>노임!D15</f>
        <v>167081</v>
      </c>
      <c r="J1599" s="28">
        <f>TRUNC(I1599*C1599,1)</f>
        <v>167081</v>
      </c>
      <c r="K1599" s="27">
        <v>0</v>
      </c>
      <c r="L1599" s="28"/>
      <c r="M1599" s="86" t="s">
        <v>2856</v>
      </c>
      <c r="N1599" t="s">
        <v>821</v>
      </c>
      <c r="P1599" t="s">
        <v>2471</v>
      </c>
      <c r="Q1599" t="s">
        <v>1839</v>
      </c>
      <c r="R1599" t="s">
        <v>498</v>
      </c>
      <c r="BI1599" s="34" t="str">
        <f>HYPERLINK("#노임!A15","L085 →")</f>
        <v>L085 →</v>
      </c>
    </row>
    <row r="1600" spans="1:61" ht="18.399999999999999" hidden="1" customHeight="1" x14ac:dyDescent="0.15">
      <c r="A1600" s="2" t="s">
        <v>0</v>
      </c>
      <c r="B1600" s="87" t="s">
        <v>986</v>
      </c>
      <c r="C1600" s="2">
        <v>8</v>
      </c>
      <c r="D1600" s="2" t="s">
        <v>2377</v>
      </c>
      <c r="E1600" s="27">
        <f>G1600+I1600+K1600</f>
        <v>102547</v>
      </c>
      <c r="F1600" s="28">
        <f t="shared" si="324"/>
        <v>820376</v>
      </c>
      <c r="G1600" s="27">
        <f>중기사용료목록!E5</f>
        <v>19993</v>
      </c>
      <c r="H1600" s="28">
        <f>TRUNC(G1600*C1600,1)</f>
        <v>159944</v>
      </c>
      <c r="I1600" s="27">
        <f>중기사용료목록!F5</f>
        <v>56874</v>
      </c>
      <c r="J1600" s="28">
        <f>TRUNC(I1600*C1600,1)</f>
        <v>454992</v>
      </c>
      <c r="K1600" s="27">
        <f>중기사용료목록!G5</f>
        <v>25680</v>
      </c>
      <c r="L1600" s="28">
        <f>TRUNC(K1600*C1600,1)</f>
        <v>205440</v>
      </c>
      <c r="M1600" s="86" t="s">
        <v>2856</v>
      </c>
      <c r="N1600" t="s">
        <v>2856</v>
      </c>
      <c r="P1600" t="s">
        <v>1741</v>
      </c>
      <c r="Q1600" t="s">
        <v>1839</v>
      </c>
      <c r="R1600" t="s">
        <v>1476</v>
      </c>
      <c r="AA1600" s="42" t="s">
        <v>917</v>
      </c>
      <c r="AB1600" s="8">
        <f>('일위대가_호표(신규)'!J1598+'일위대가_호표(신규)'!J1599)*2/100</f>
        <v>19186.419999999998</v>
      </c>
      <c r="AC1600" s="42" t="s">
        <v>1546</v>
      </c>
      <c r="AD1600" s="7">
        <f>$AB1600</f>
        <v>19186.419999999998</v>
      </c>
      <c r="BI1600" s="34" t="str">
        <f>HYPERLINK("#중기사용료목록!A5","E0002110060 →")</f>
        <v>E0002110060 →</v>
      </c>
    </row>
    <row r="1601" spans="1:61" ht="18.399999999999999" hidden="1" customHeight="1" x14ac:dyDescent="0.15">
      <c r="A1601" s="2" t="s">
        <v>1232</v>
      </c>
      <c r="B1601" s="87" t="s">
        <v>1493</v>
      </c>
      <c r="C1601" s="2">
        <v>2</v>
      </c>
      <c r="D1601" s="2" t="s">
        <v>588</v>
      </c>
      <c r="E1601" s="27">
        <f>G1601+I1601+K1601</f>
        <v>0</v>
      </c>
      <c r="F1601" s="28">
        <f t="shared" si="324"/>
        <v>19186.400000000001</v>
      </c>
      <c r="G1601" s="1"/>
      <c r="H1601" s="28">
        <v>0</v>
      </c>
      <c r="I1601" s="1"/>
      <c r="J1601" s="28">
        <v>0</v>
      </c>
      <c r="K1601" s="1"/>
      <c r="L1601" s="28">
        <f>TRUNC(((J1598+J1599)*2/100),1)</f>
        <v>19186.400000000001</v>
      </c>
      <c r="M1601" s="86" t="s">
        <v>2856</v>
      </c>
      <c r="N1601" t="s">
        <v>2856</v>
      </c>
      <c r="P1601" t="s">
        <v>1036</v>
      </c>
      <c r="Q1601" t="s">
        <v>1839</v>
      </c>
      <c r="R1601" t="s">
        <v>2405</v>
      </c>
      <c r="X1601" t="s">
        <v>1228</v>
      </c>
      <c r="AA1601" s="42" t="s">
        <v>2127</v>
      </c>
      <c r="AB1601" s="8">
        <f>('일위대가_호표(신규)'!H1598+'일위대가_호표(신규)'!H1599+'일위대가_호표(신규)'!H1600+('일위대가_호표(신규)'!H1601*전역변수!C6))/55</f>
        <v>2908.0727272727272</v>
      </c>
      <c r="AC1601" s="42" t="s">
        <v>2369</v>
      </c>
      <c r="AD1601" s="7">
        <f>$AB1601</f>
        <v>2908.0727272727272</v>
      </c>
    </row>
    <row r="1602" spans="1:61" ht="18.399999999999999" hidden="1" customHeight="1" x14ac:dyDescent="0.15">
      <c r="A1602" s="2" t="s">
        <v>1164</v>
      </c>
      <c r="B1602" s="87" t="s">
        <v>2856</v>
      </c>
      <c r="C1602" s="2"/>
      <c r="D1602" s="2" t="s">
        <v>2856</v>
      </c>
      <c r="E1602" s="27">
        <f>G1602+I1602+K1602</f>
        <v>0</v>
      </c>
      <c r="F1602" s="28">
        <f t="shared" si="324"/>
        <v>63191.5</v>
      </c>
      <c r="G1602" s="1"/>
      <c r="H1602" s="28">
        <f>TRUNC(((H1598+H1599+H1600+(H1601*전역변수!C6))/55),1)</f>
        <v>2908</v>
      </c>
      <c r="I1602" s="1"/>
      <c r="J1602" s="28">
        <f>TRUNC(((J1598+J1599+J1600+(J1601*전역변수!C6))/55),1)</f>
        <v>25714.7</v>
      </c>
      <c r="K1602" s="1"/>
      <c r="L1602" s="28">
        <f>TRUNC(((L1598+L1599+L1600+(L1601*전역변수!C6))/55),1)</f>
        <v>34568.800000000003</v>
      </c>
      <c r="M1602" s="86" t="s">
        <v>2856</v>
      </c>
      <c r="N1602" t="s">
        <v>2856</v>
      </c>
      <c r="P1602" t="s">
        <v>286</v>
      </c>
      <c r="Q1602" t="s">
        <v>2856</v>
      </c>
      <c r="R1602" t="s">
        <v>2405</v>
      </c>
      <c r="X1602" t="s">
        <v>1029</v>
      </c>
      <c r="AA1602" s="42" t="s">
        <v>298</v>
      </c>
      <c r="AB1602" s="8">
        <f>('일위대가_호표(신규)'!J1598+'일위대가_호표(신규)'!J1599+'일위대가_호표(신규)'!J1600+('일위대가_호표(신규)'!J1601*전역변수!C6))/55</f>
        <v>25714.781818181818</v>
      </c>
      <c r="AC1602" s="42" t="s">
        <v>1123</v>
      </c>
      <c r="AD1602" s="7">
        <f>$AB1602</f>
        <v>25714.781818181818</v>
      </c>
    </row>
    <row r="1603" spans="1:61" ht="18.399999999999999" hidden="1" customHeight="1" x14ac:dyDescent="0.15">
      <c r="A1603" s="1"/>
      <c r="B1603" s="87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87"/>
      <c r="AA1603" s="42" t="s">
        <v>917</v>
      </c>
      <c r="AB1603" s="8">
        <f>('일위대가_호표(신규)'!L1598+'일위대가_호표(신규)'!L1599+'일위대가_호표(신규)'!L1600+('일위대가_호표(신규)'!L1601*전역변수!C6))/55</f>
        <v>34568.864058181818</v>
      </c>
      <c r="AC1603" s="42" t="s">
        <v>1546</v>
      </c>
      <c r="AD1603" s="7">
        <f>$AB1603</f>
        <v>34568.864058181818</v>
      </c>
    </row>
    <row r="1604" spans="1:61" ht="18.399999999999999" hidden="1" customHeight="1" x14ac:dyDescent="0.15">
      <c r="A1604" s="2" t="s">
        <v>1774</v>
      </c>
      <c r="B1604" s="87" t="s">
        <v>228</v>
      </c>
      <c r="C1604" s="2">
        <v>1</v>
      </c>
      <c r="D1604" s="2" t="s">
        <v>1202</v>
      </c>
      <c r="E1604" s="184"/>
      <c r="F1604" s="29">
        <f t="shared" ref="F1604:F1609" si="325">H1604+J1604+L1604</f>
        <v>104467</v>
      </c>
      <c r="G1604" s="184"/>
      <c r="H1604" s="29">
        <f>TRUNC(H1605+H1606+H1607+H1608+H1609,0)</f>
        <v>18128</v>
      </c>
      <c r="I1604" s="184"/>
      <c r="J1604" s="29">
        <f>TRUNC(J1605+J1606+J1607+J1608+J1609,0)</f>
        <v>85485</v>
      </c>
      <c r="K1604" s="184"/>
      <c r="L1604" s="29">
        <f>TRUNC(L1605+L1606+L1607+L1608+L1609,0)</f>
        <v>854</v>
      </c>
      <c r="M1604" s="86" t="s">
        <v>2856</v>
      </c>
      <c r="N1604" t="s">
        <v>2856</v>
      </c>
      <c r="O1604" t="s">
        <v>2810</v>
      </c>
    </row>
    <row r="1605" spans="1:61" ht="18.399999999999999" hidden="1" customHeight="1" x14ac:dyDescent="0.15">
      <c r="A1605" s="2" t="s">
        <v>832</v>
      </c>
      <c r="B1605" s="87" t="s">
        <v>1322</v>
      </c>
      <c r="C1605" s="2">
        <v>0.55000000000000004</v>
      </c>
      <c r="D1605" s="2" t="s">
        <v>2303</v>
      </c>
      <c r="E1605" s="27">
        <f>G1605+I1605+K1605</f>
        <v>30804</v>
      </c>
      <c r="F1605" s="28">
        <f t="shared" si="325"/>
        <v>16942.2</v>
      </c>
      <c r="G1605" s="27">
        <f>일위대가목록!F274</f>
        <v>30804</v>
      </c>
      <c r="H1605" s="28">
        <f>TRUNC(G1605*C1605,1)</f>
        <v>16942.2</v>
      </c>
      <c r="I1605" s="27">
        <f>일위대가목록!H274</f>
        <v>0</v>
      </c>
      <c r="J1605" s="28">
        <f>TRUNC(I1605*C1605,1)</f>
        <v>0</v>
      </c>
      <c r="K1605" s="27">
        <f>일위대가목록!J274</f>
        <v>0</v>
      </c>
      <c r="L1605" s="28">
        <f>TRUNC(K1605*C1605,1)</f>
        <v>0</v>
      </c>
      <c r="M1605" s="86" t="s">
        <v>2856</v>
      </c>
      <c r="N1605" t="s">
        <v>2856</v>
      </c>
      <c r="P1605" t="s">
        <v>334</v>
      </c>
      <c r="Q1605" t="s">
        <v>2856</v>
      </c>
      <c r="R1605" t="s">
        <v>2058</v>
      </c>
      <c r="T1605" t="s">
        <v>1778</v>
      </c>
      <c r="AA1605" s="42" t="s">
        <v>2127</v>
      </c>
      <c r="AB1605" s="8">
        <f>'일위대가_호표(신규)'!H1605*0.07</f>
        <v>1185.9540000000002</v>
      </c>
      <c r="AC1605" s="42" t="s">
        <v>2369</v>
      </c>
      <c r="AD1605" s="7">
        <f>$AB1605</f>
        <v>1185.9540000000002</v>
      </c>
      <c r="BI1605" s="34" t="str">
        <f>HYPERLINK("#일위대가목록!A269","N1110 →")</f>
        <v>N1110 →</v>
      </c>
    </row>
    <row r="1606" spans="1:61" ht="18.399999999999999" hidden="1" customHeight="1" x14ac:dyDescent="0.15">
      <c r="A1606" s="2" t="s">
        <v>2179</v>
      </c>
      <c r="B1606" s="87" t="s">
        <v>2856</v>
      </c>
      <c r="C1606" s="2">
        <v>7</v>
      </c>
      <c r="D1606" s="2" t="s">
        <v>588</v>
      </c>
      <c r="E1606" s="27">
        <f>G1606+I1606+K1606</f>
        <v>0</v>
      </c>
      <c r="F1606" s="28">
        <f t="shared" si="325"/>
        <v>1185.9000000000001</v>
      </c>
      <c r="G1606" s="1"/>
      <c r="H1606" s="28">
        <f>TRUNC((H1605*0.07),1)</f>
        <v>1185.9000000000001</v>
      </c>
      <c r="I1606" s="1"/>
      <c r="J1606" s="28">
        <v>0</v>
      </c>
      <c r="K1606" s="1"/>
      <c r="L1606" s="28">
        <v>0</v>
      </c>
      <c r="M1606" s="86" t="s">
        <v>2856</v>
      </c>
      <c r="N1606" t="s">
        <v>2856</v>
      </c>
      <c r="P1606" t="s">
        <v>2471</v>
      </c>
      <c r="Q1606" t="s">
        <v>2856</v>
      </c>
      <c r="R1606" t="s">
        <v>2405</v>
      </c>
      <c r="X1606" t="s">
        <v>2538</v>
      </c>
    </row>
    <row r="1607" spans="1:61" ht="18.399999999999999" hidden="1" customHeight="1" x14ac:dyDescent="0.15">
      <c r="A1607" s="2" t="s">
        <v>81</v>
      </c>
      <c r="B1607" s="87" t="s">
        <v>2856</v>
      </c>
      <c r="C1607" s="2">
        <v>0.25</v>
      </c>
      <c r="D1607" s="2" t="s">
        <v>2652</v>
      </c>
      <c r="E1607" s="27">
        <f>G1607+I1607+K1607</f>
        <v>275108</v>
      </c>
      <c r="F1607" s="28">
        <f t="shared" si="325"/>
        <v>68777</v>
      </c>
      <c r="G1607" s="27">
        <v>0</v>
      </c>
      <c r="H1607" s="28"/>
      <c r="I1607" s="27">
        <f>노임!D4</f>
        <v>275108</v>
      </c>
      <c r="J1607" s="28">
        <f>TRUNC(I1607*C1607,1)</f>
        <v>68777</v>
      </c>
      <c r="K1607" s="27">
        <v>0</v>
      </c>
      <c r="L1607" s="28"/>
      <c r="M1607" s="86" t="s">
        <v>2856</v>
      </c>
      <c r="N1607" t="s">
        <v>1593</v>
      </c>
      <c r="P1607" t="s">
        <v>1741</v>
      </c>
      <c r="Q1607" t="s">
        <v>2856</v>
      </c>
      <c r="R1607" t="s">
        <v>1964</v>
      </c>
      <c r="BI1607" s="34" t="str">
        <f>HYPERLINK("#노임!A4","L004 →")</f>
        <v>L004 →</v>
      </c>
    </row>
    <row r="1608" spans="1:61" ht="18.399999999999999" hidden="1" customHeight="1" x14ac:dyDescent="0.15">
      <c r="A1608" s="2" t="s">
        <v>888</v>
      </c>
      <c r="B1608" s="87" t="s">
        <v>2856</v>
      </c>
      <c r="C1608" s="2">
        <v>0.1</v>
      </c>
      <c r="D1608" s="2" t="s">
        <v>2652</v>
      </c>
      <c r="E1608" s="27">
        <f>G1608+I1608+K1608</f>
        <v>167081</v>
      </c>
      <c r="F1608" s="28">
        <f t="shared" si="325"/>
        <v>16708.099999999999</v>
      </c>
      <c r="G1608" s="27">
        <v>0</v>
      </c>
      <c r="H1608" s="28"/>
      <c r="I1608" s="27">
        <f>노임!D15</f>
        <v>167081</v>
      </c>
      <c r="J1608" s="28">
        <f>TRUNC(I1608*C1608,1)</f>
        <v>16708.099999999999</v>
      </c>
      <c r="K1608" s="27">
        <v>0</v>
      </c>
      <c r="L1608" s="28"/>
      <c r="M1608" s="86" t="s">
        <v>2856</v>
      </c>
      <c r="N1608" t="s">
        <v>821</v>
      </c>
      <c r="P1608" t="s">
        <v>1036</v>
      </c>
      <c r="Q1608" t="s">
        <v>2856</v>
      </c>
      <c r="R1608" t="s">
        <v>498</v>
      </c>
      <c r="AA1608" s="42" t="s">
        <v>917</v>
      </c>
      <c r="AB1608" s="8">
        <f>('일위대가_호표(신규)'!J1607+'일위대가_호표(신규)'!J1608)*0.01</f>
        <v>854.85100000000011</v>
      </c>
      <c r="AC1608" s="42" t="s">
        <v>1546</v>
      </c>
      <c r="AD1608" s="7">
        <f>$AB1608</f>
        <v>854.85100000000011</v>
      </c>
      <c r="BI1608" s="34" t="str">
        <f>HYPERLINK("#노임!A15","L085 →")</f>
        <v>L085 →</v>
      </c>
    </row>
    <row r="1609" spans="1:61" ht="18.399999999999999" hidden="1" customHeight="1" x14ac:dyDescent="0.15">
      <c r="A1609" s="2" t="s">
        <v>2380</v>
      </c>
      <c r="B1609" s="87" t="s">
        <v>454</v>
      </c>
      <c r="C1609" s="2">
        <v>1</v>
      </c>
      <c r="D1609" s="2" t="s">
        <v>588</v>
      </c>
      <c r="E1609" s="27">
        <f>G1609+I1609+K1609</f>
        <v>0</v>
      </c>
      <c r="F1609" s="28">
        <f t="shared" si="325"/>
        <v>854.8</v>
      </c>
      <c r="G1609" s="1"/>
      <c r="H1609" s="28">
        <v>0</v>
      </c>
      <c r="I1609" s="1"/>
      <c r="J1609" s="28">
        <v>0</v>
      </c>
      <c r="K1609" s="1"/>
      <c r="L1609" s="28">
        <f>TRUNC(((J1607+J1608)*0.01),1)</f>
        <v>854.8</v>
      </c>
      <c r="M1609" s="86" t="s">
        <v>2856</v>
      </c>
      <c r="N1609" t="s">
        <v>2856</v>
      </c>
      <c r="P1609" t="s">
        <v>286</v>
      </c>
      <c r="Q1609" t="s">
        <v>2856</v>
      </c>
      <c r="R1609" t="s">
        <v>2405</v>
      </c>
      <c r="X1609" t="s">
        <v>2165</v>
      </c>
    </row>
    <row r="1610" spans="1:61" ht="18.399999999999999" hidden="1" customHeight="1" x14ac:dyDescent="0.15">
      <c r="A1610" s="1"/>
      <c r="B1610" s="87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87"/>
    </row>
    <row r="1611" spans="1:61" ht="18.399999999999999" hidden="1" customHeight="1" x14ac:dyDescent="0.15">
      <c r="A1611" s="2" t="s">
        <v>529</v>
      </c>
      <c r="B1611" s="87" t="s">
        <v>1440</v>
      </c>
      <c r="C1611" s="2">
        <v>1</v>
      </c>
      <c r="D1611" s="2" t="s">
        <v>978</v>
      </c>
      <c r="E1611" s="184"/>
      <c r="F1611" s="29">
        <f>H1611+J1611+L1611</f>
        <v>3414044</v>
      </c>
      <c r="G1611" s="184"/>
      <c r="H1611" s="29">
        <f>TRUNC(H1612+H1613,0)</f>
        <v>10770</v>
      </c>
      <c r="I1611" s="184"/>
      <c r="J1611" s="29">
        <f>TRUNC(J1612+J1613,0)</f>
        <v>756255</v>
      </c>
      <c r="K1611" s="184"/>
      <c r="L1611" s="29">
        <f>TRUNC(L1612+L1613,0)</f>
        <v>2647019</v>
      </c>
      <c r="M1611" s="86" t="s">
        <v>2856</v>
      </c>
      <c r="N1611" t="s">
        <v>2856</v>
      </c>
      <c r="O1611" t="s">
        <v>1458</v>
      </c>
    </row>
    <row r="1612" spans="1:61" ht="18.399999999999999" hidden="1" customHeight="1" x14ac:dyDescent="0.15">
      <c r="A1612" s="2" t="s">
        <v>91</v>
      </c>
      <c r="B1612" s="87" t="s">
        <v>1440</v>
      </c>
      <c r="C1612" s="2">
        <v>1</v>
      </c>
      <c r="D1612" s="2" t="s">
        <v>978</v>
      </c>
      <c r="E1612" s="27">
        <f>G1612+I1612+K1612</f>
        <v>1896218</v>
      </c>
      <c r="F1612" s="28">
        <f>H1612+J1612+L1612</f>
        <v>1896218</v>
      </c>
      <c r="G1612" s="27">
        <f>일위대가목록!F275</f>
        <v>0</v>
      </c>
      <c r="H1612" s="28">
        <f>TRUNC(G1612*C1612,1)</f>
        <v>0</v>
      </c>
      <c r="I1612" s="27">
        <f>일위대가목록!H275</f>
        <v>211751</v>
      </c>
      <c r="J1612" s="28">
        <f>TRUNC(I1612*C1612,1)</f>
        <v>211751</v>
      </c>
      <c r="K1612" s="27">
        <f>일위대가목록!J275</f>
        <v>1684467</v>
      </c>
      <c r="L1612" s="28">
        <f>TRUNC(K1612*C1612,1)</f>
        <v>1684467</v>
      </c>
      <c r="M1612" s="86" t="s">
        <v>2856</v>
      </c>
      <c r="N1612" t="s">
        <v>2856</v>
      </c>
      <c r="P1612" t="s">
        <v>334</v>
      </c>
      <c r="Q1612" t="s">
        <v>2856</v>
      </c>
      <c r="R1612" t="s">
        <v>2252</v>
      </c>
      <c r="T1612" t="s">
        <v>1778</v>
      </c>
      <c r="BI1612" s="34" t="str">
        <f>HYPERLINK("#일위대가목록!A270","N0180-241 →")</f>
        <v>N0180-241 →</v>
      </c>
    </row>
    <row r="1613" spans="1:61" ht="18.399999999999999" hidden="1" customHeight="1" x14ac:dyDescent="0.15">
      <c r="A1613" s="2" t="s">
        <v>1584</v>
      </c>
      <c r="B1613" s="87" t="s">
        <v>1373</v>
      </c>
      <c r="C1613" s="2">
        <v>1</v>
      </c>
      <c r="D1613" s="2" t="s">
        <v>978</v>
      </c>
      <c r="E1613" s="27">
        <f>G1613+I1613+K1613</f>
        <v>1517826</v>
      </c>
      <c r="F1613" s="28">
        <f>H1613+J1613+L1613</f>
        <v>1517826</v>
      </c>
      <c r="G1613" s="27">
        <f>일위대가목록!F276</f>
        <v>10770</v>
      </c>
      <c r="H1613" s="28">
        <f>TRUNC(G1613*C1613,1)</f>
        <v>10770</v>
      </c>
      <c r="I1613" s="27">
        <f>일위대가목록!H276</f>
        <v>544504</v>
      </c>
      <c r="J1613" s="28">
        <f>TRUNC(I1613*C1613,1)</f>
        <v>544504</v>
      </c>
      <c r="K1613" s="27">
        <f>일위대가목록!J276</f>
        <v>962552</v>
      </c>
      <c r="L1613" s="28">
        <f>TRUNC(K1613*C1613,1)</f>
        <v>962552</v>
      </c>
      <c r="M1613" s="86" t="s">
        <v>2856</v>
      </c>
      <c r="N1613" t="s">
        <v>2856</v>
      </c>
      <c r="P1613" t="s">
        <v>2471</v>
      </c>
      <c r="Q1613" t="s">
        <v>2856</v>
      </c>
      <c r="R1613" t="s">
        <v>1290</v>
      </c>
      <c r="T1613" t="s">
        <v>1778</v>
      </c>
      <c r="BI1613" s="34" t="str">
        <f>HYPERLINK("#일위대가목록!A271","N0180-242 →")</f>
        <v>N0180-242 →</v>
      </c>
    </row>
    <row r="1614" spans="1:61" ht="18.399999999999999" hidden="1" customHeight="1" x14ac:dyDescent="0.15">
      <c r="A1614" s="1"/>
      <c r="B1614" s="87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87"/>
    </row>
    <row r="1615" spans="1:61" ht="18.399999999999999" hidden="1" customHeight="1" x14ac:dyDescent="0.15">
      <c r="A1615" s="2" t="s">
        <v>2131</v>
      </c>
      <c r="B1615" s="87" t="s">
        <v>1863</v>
      </c>
      <c r="C1615" s="2">
        <v>1</v>
      </c>
      <c r="D1615" s="2" t="s">
        <v>1202</v>
      </c>
      <c r="E1615" s="184"/>
      <c r="F1615" s="29">
        <f t="shared" ref="F1615:F1620" si="326">H1615+J1615+L1615</f>
        <v>2867</v>
      </c>
      <c r="G1615" s="184"/>
      <c r="H1615" s="29">
        <f>TRUNC(H1616+H1617+H1618+H1619+H1620,0)</f>
        <v>81</v>
      </c>
      <c r="I1615" s="184"/>
      <c r="J1615" s="29">
        <f>TRUNC(J1616+J1617+J1618+J1619+J1620,0)</f>
        <v>2735</v>
      </c>
      <c r="K1615" s="184"/>
      <c r="L1615" s="29">
        <f>TRUNC(L1616+L1617+L1618+L1619+L1620,0)</f>
        <v>51</v>
      </c>
      <c r="M1615" s="86" t="s">
        <v>2856</v>
      </c>
      <c r="N1615" t="s">
        <v>2856</v>
      </c>
      <c r="O1615" t="s">
        <v>2801</v>
      </c>
    </row>
    <row r="1616" spans="1:61" ht="18.399999999999999" hidden="1" customHeight="1" x14ac:dyDescent="0.15">
      <c r="A1616" s="2" t="s">
        <v>528</v>
      </c>
      <c r="B1616" s="87" t="s">
        <v>2856</v>
      </c>
      <c r="C1616" s="2">
        <v>0.05</v>
      </c>
      <c r="D1616" s="2" t="s">
        <v>1627</v>
      </c>
      <c r="E1616" s="27">
        <f>G1616+I1616+K1616</f>
        <v>1196</v>
      </c>
      <c r="F1616" s="28">
        <f t="shared" si="326"/>
        <v>59.8</v>
      </c>
      <c r="G1616" s="27">
        <f>자재조서!E12</f>
        <v>1196</v>
      </c>
      <c r="H1616" s="28">
        <f>TRUNC(G1616*C1616,1)</f>
        <v>59.8</v>
      </c>
      <c r="I1616" s="27">
        <v>0</v>
      </c>
      <c r="J1616" s="28"/>
      <c r="K1616" s="27">
        <v>0</v>
      </c>
      <c r="L1616" s="28"/>
      <c r="M1616" s="86" t="s">
        <v>2856</v>
      </c>
      <c r="N1616" t="s">
        <v>2856</v>
      </c>
      <c r="P1616" t="s">
        <v>334</v>
      </c>
      <c r="Q1616" t="s">
        <v>2856</v>
      </c>
      <c r="R1616" t="s">
        <v>114</v>
      </c>
      <c r="BI1616" s="34" t="str">
        <f>HYPERLINK("#자재조서!A11","M070 →")</f>
        <v>M070 →</v>
      </c>
    </row>
    <row r="1617" spans="1:61" ht="18.399999999999999" hidden="1" customHeight="1" x14ac:dyDescent="0.15">
      <c r="A1617" s="2" t="s">
        <v>1250</v>
      </c>
      <c r="B1617" s="87" t="s">
        <v>2809</v>
      </c>
      <c r="C1617" s="2">
        <v>0.1</v>
      </c>
      <c r="D1617" s="2" t="s">
        <v>2156</v>
      </c>
      <c r="E1617" s="27">
        <f>G1617+I1617+K1617</f>
        <v>217</v>
      </c>
      <c r="F1617" s="28">
        <f t="shared" si="326"/>
        <v>21.7</v>
      </c>
      <c r="G1617" s="27">
        <f>자재조서!E9</f>
        <v>217</v>
      </c>
      <c r="H1617" s="28">
        <f>TRUNC(G1617*C1617,1)</f>
        <v>21.7</v>
      </c>
      <c r="I1617" s="27">
        <v>0</v>
      </c>
      <c r="J1617" s="28"/>
      <c r="K1617" s="27">
        <v>0</v>
      </c>
      <c r="L1617" s="28"/>
      <c r="M1617" s="86" t="s">
        <v>2856</v>
      </c>
      <c r="N1617" t="s">
        <v>65</v>
      </c>
      <c r="P1617" t="s">
        <v>2471</v>
      </c>
      <c r="Q1617" t="s">
        <v>2856</v>
      </c>
      <c r="R1617" t="s">
        <v>860</v>
      </c>
      <c r="BI1617" s="34" t="str">
        <f>HYPERLINK("#자재조서!A8","M020 →")</f>
        <v>M020 →</v>
      </c>
    </row>
    <row r="1618" spans="1:61" ht="18.399999999999999" hidden="1" customHeight="1" x14ac:dyDescent="0.15">
      <c r="A1618" s="2" t="s">
        <v>1976</v>
      </c>
      <c r="B1618" s="87" t="s">
        <v>2856</v>
      </c>
      <c r="C1618" s="2">
        <v>0.01</v>
      </c>
      <c r="D1618" s="2" t="s">
        <v>2652</v>
      </c>
      <c r="E1618" s="27">
        <f>G1618+I1618+K1618</f>
        <v>256854</v>
      </c>
      <c r="F1618" s="28">
        <f t="shared" si="326"/>
        <v>2568.5</v>
      </c>
      <c r="G1618" s="27">
        <v>0</v>
      </c>
      <c r="H1618" s="28"/>
      <c r="I1618" s="27">
        <f>노임!D9</f>
        <v>256854</v>
      </c>
      <c r="J1618" s="28">
        <f>TRUNC(I1618*C1618,1)</f>
        <v>2568.5</v>
      </c>
      <c r="K1618" s="27">
        <v>0</v>
      </c>
      <c r="L1618" s="28"/>
      <c r="M1618" s="86" t="s">
        <v>2856</v>
      </c>
      <c r="N1618" t="s">
        <v>2282</v>
      </c>
      <c r="P1618" t="s">
        <v>1741</v>
      </c>
      <c r="Q1618" t="s">
        <v>2856</v>
      </c>
      <c r="R1618" t="s">
        <v>772</v>
      </c>
      <c r="BI1618" s="34" t="str">
        <f>HYPERLINK("#노임!A9","L032 →")</f>
        <v>L032 →</v>
      </c>
    </row>
    <row r="1619" spans="1:61" ht="18.399999999999999" hidden="1" customHeight="1" x14ac:dyDescent="0.15">
      <c r="A1619" s="2" t="s">
        <v>888</v>
      </c>
      <c r="B1619" s="87" t="s">
        <v>2856</v>
      </c>
      <c r="C1619" s="2">
        <v>1E-3</v>
      </c>
      <c r="D1619" s="2" t="s">
        <v>2652</v>
      </c>
      <c r="E1619" s="27">
        <f>G1619+I1619+K1619</f>
        <v>167081</v>
      </c>
      <c r="F1619" s="28">
        <f t="shared" si="326"/>
        <v>167</v>
      </c>
      <c r="G1619" s="27">
        <v>0</v>
      </c>
      <c r="H1619" s="28"/>
      <c r="I1619" s="27">
        <f>노임!D15</f>
        <v>167081</v>
      </c>
      <c r="J1619" s="28">
        <f>TRUNC(I1619*C1619,1)</f>
        <v>167</v>
      </c>
      <c r="K1619" s="27">
        <v>0</v>
      </c>
      <c r="L1619" s="28"/>
      <c r="M1619" s="86" t="s">
        <v>2856</v>
      </c>
      <c r="N1619" t="s">
        <v>821</v>
      </c>
      <c r="P1619" t="s">
        <v>213</v>
      </c>
      <c r="Q1619" t="s">
        <v>2856</v>
      </c>
      <c r="R1619" t="s">
        <v>498</v>
      </c>
      <c r="AA1619" s="42" t="s">
        <v>917</v>
      </c>
      <c r="AB1619" s="8">
        <f>'일위대가_호표(신규)'!J1618*2/100</f>
        <v>51.37</v>
      </c>
      <c r="AC1619" s="42" t="s">
        <v>1546</v>
      </c>
      <c r="AD1619" s="7">
        <f>$AB1619</f>
        <v>51.37</v>
      </c>
      <c r="BI1619" s="34" t="str">
        <f>HYPERLINK("#노임!A15","L085 →")</f>
        <v>L085 →</v>
      </c>
    </row>
    <row r="1620" spans="1:61" ht="18.399999999999999" hidden="1" customHeight="1" x14ac:dyDescent="0.15">
      <c r="A1620" s="2" t="s">
        <v>2380</v>
      </c>
      <c r="B1620" s="87" t="s">
        <v>1493</v>
      </c>
      <c r="C1620" s="2">
        <v>2</v>
      </c>
      <c r="D1620" s="2" t="s">
        <v>588</v>
      </c>
      <c r="E1620" s="27">
        <f>G1620+I1620+K1620</f>
        <v>0</v>
      </c>
      <c r="F1620" s="28">
        <f t="shared" si="326"/>
        <v>51.3</v>
      </c>
      <c r="G1620" s="1"/>
      <c r="H1620" s="28">
        <v>0</v>
      </c>
      <c r="I1620" s="1"/>
      <c r="J1620" s="28">
        <v>0</v>
      </c>
      <c r="K1620" s="1"/>
      <c r="L1620" s="28">
        <f>TRUNC((J1618*2/100),1)</f>
        <v>51.3</v>
      </c>
      <c r="M1620" s="86" t="s">
        <v>2856</v>
      </c>
      <c r="N1620" t="s">
        <v>2856</v>
      </c>
      <c r="P1620" t="s">
        <v>1036</v>
      </c>
      <c r="Q1620" t="s">
        <v>2856</v>
      </c>
      <c r="R1620" t="s">
        <v>2405</v>
      </c>
      <c r="X1620" t="s">
        <v>759</v>
      </c>
    </row>
    <row r="1621" spans="1:61" ht="18.399999999999999" hidden="1" customHeight="1" x14ac:dyDescent="0.15">
      <c r="A1621" s="1"/>
      <c r="B1621" s="87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87"/>
    </row>
    <row r="1622" spans="1:61" ht="18.399999999999999" hidden="1" customHeight="1" x14ac:dyDescent="0.15">
      <c r="A1622" s="2" t="s">
        <v>1895</v>
      </c>
      <c r="B1622" s="87" t="s">
        <v>1155</v>
      </c>
      <c r="C1622" s="2">
        <v>1</v>
      </c>
      <c r="D1622" s="2" t="s">
        <v>1202</v>
      </c>
      <c r="E1622" s="184"/>
      <c r="F1622" s="29">
        <f>H1622+J1622+L1622</f>
        <v>118533</v>
      </c>
      <c r="G1622" s="184"/>
      <c r="H1622" s="29">
        <f>TRUNC(H1623+H1624+H1625,0)</f>
        <v>0</v>
      </c>
      <c r="I1622" s="184"/>
      <c r="J1622" s="29">
        <f>TRUNC(J1623+J1624+J1625,0)</f>
        <v>117360</v>
      </c>
      <c r="K1622" s="184"/>
      <c r="L1622" s="29">
        <f>TRUNC(L1623+L1624+L1625,0)</f>
        <v>1173</v>
      </c>
      <c r="M1622" s="86" t="s">
        <v>2856</v>
      </c>
      <c r="N1622" t="s">
        <v>2856</v>
      </c>
      <c r="O1622" t="s">
        <v>1991</v>
      </c>
    </row>
    <row r="1623" spans="1:61" ht="18.399999999999999" hidden="1" customHeight="1" x14ac:dyDescent="0.15">
      <c r="A1623" s="2" t="s">
        <v>522</v>
      </c>
      <c r="B1623" s="87" t="s">
        <v>2856</v>
      </c>
      <c r="C1623" s="2">
        <v>0.35</v>
      </c>
      <c r="D1623" s="2" t="s">
        <v>2652</v>
      </c>
      <c r="E1623" s="27">
        <f>G1623+I1623+K1623</f>
        <v>258935</v>
      </c>
      <c r="F1623" s="28">
        <f>H1623+J1623+L1623</f>
        <v>90627.199999999997</v>
      </c>
      <c r="G1623" s="27">
        <v>0</v>
      </c>
      <c r="H1623" s="28"/>
      <c r="I1623" s="27">
        <f>노임!D7</f>
        <v>258935</v>
      </c>
      <c r="J1623" s="28">
        <f>TRUNC(I1623*C1623,1)</f>
        <v>90627.199999999997</v>
      </c>
      <c r="K1623" s="27">
        <v>0</v>
      </c>
      <c r="L1623" s="28"/>
      <c r="M1623" s="86" t="s">
        <v>2856</v>
      </c>
      <c r="N1623" t="s">
        <v>2856</v>
      </c>
      <c r="P1623" t="s">
        <v>915</v>
      </c>
      <c r="Q1623" t="s">
        <v>2856</v>
      </c>
      <c r="R1623" t="s">
        <v>926</v>
      </c>
      <c r="BI1623" s="34" t="str">
        <f>HYPERLINK("#노임!A7","L013 →")</f>
        <v>L013 →</v>
      </c>
    </row>
    <row r="1624" spans="1:61" ht="18.399999999999999" hidden="1" customHeight="1" x14ac:dyDescent="0.15">
      <c r="A1624" s="2" t="s">
        <v>888</v>
      </c>
      <c r="B1624" s="87" t="s">
        <v>2856</v>
      </c>
      <c r="C1624" s="2">
        <v>0.16</v>
      </c>
      <c r="D1624" s="2" t="s">
        <v>2652</v>
      </c>
      <c r="E1624" s="27">
        <f>G1624+I1624+K1624</f>
        <v>167081</v>
      </c>
      <c r="F1624" s="28">
        <f>H1624+J1624+L1624</f>
        <v>26732.9</v>
      </c>
      <c r="G1624" s="27">
        <v>0</v>
      </c>
      <c r="H1624" s="28"/>
      <c r="I1624" s="27">
        <f>노임!D15</f>
        <v>167081</v>
      </c>
      <c r="J1624" s="28">
        <f>TRUNC(I1624*C1624,1)</f>
        <v>26732.9</v>
      </c>
      <c r="K1624" s="27">
        <v>0</v>
      </c>
      <c r="L1624" s="28"/>
      <c r="M1624" s="86" t="s">
        <v>2856</v>
      </c>
      <c r="N1624" t="s">
        <v>821</v>
      </c>
      <c r="P1624" t="s">
        <v>334</v>
      </c>
      <c r="Q1624" t="s">
        <v>2856</v>
      </c>
      <c r="R1624" t="s">
        <v>498</v>
      </c>
      <c r="AA1624" s="42" t="s">
        <v>917</v>
      </c>
      <c r="AB1624" s="8">
        <f>('일위대가_호표(신규)'!J1623+'일위대가_호표(신규)'!J1624)*0.01</f>
        <v>1173.6010000000001</v>
      </c>
      <c r="AC1624" s="42" t="s">
        <v>1546</v>
      </c>
      <c r="AD1624" s="7">
        <f>$AB1624</f>
        <v>1173.6010000000001</v>
      </c>
      <c r="BI1624" s="34" t="str">
        <f>HYPERLINK("#노임!A15","L085 →")</f>
        <v>L085 →</v>
      </c>
    </row>
    <row r="1625" spans="1:61" ht="18.399999999999999" hidden="1" customHeight="1" x14ac:dyDescent="0.15">
      <c r="A1625" s="2" t="s">
        <v>1232</v>
      </c>
      <c r="B1625" s="87" t="s">
        <v>375</v>
      </c>
      <c r="C1625" s="2">
        <v>1</v>
      </c>
      <c r="D1625" s="2" t="s">
        <v>588</v>
      </c>
      <c r="E1625" s="27">
        <f>G1625+I1625+K1625</f>
        <v>0</v>
      </c>
      <c r="F1625" s="28">
        <f>H1625+J1625+L1625</f>
        <v>1173.5999999999999</v>
      </c>
      <c r="G1625" s="1"/>
      <c r="H1625" s="28">
        <v>0</v>
      </c>
      <c r="I1625" s="1"/>
      <c r="J1625" s="28">
        <v>0</v>
      </c>
      <c r="K1625" s="1"/>
      <c r="L1625" s="28">
        <f>TRUNC(((J1623+J1624)*0.01),1)</f>
        <v>1173.5999999999999</v>
      </c>
      <c r="M1625" s="86" t="s">
        <v>2856</v>
      </c>
      <c r="N1625" t="s">
        <v>2856</v>
      </c>
      <c r="P1625" t="s">
        <v>2471</v>
      </c>
      <c r="Q1625" t="s">
        <v>2856</v>
      </c>
      <c r="R1625" t="s">
        <v>2405</v>
      </c>
      <c r="X1625" t="s">
        <v>1184</v>
      </c>
    </row>
    <row r="1626" spans="1:61" ht="18.399999999999999" hidden="1" customHeight="1" x14ac:dyDescent="0.15">
      <c r="A1626" s="1"/>
      <c r="B1626" s="87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87"/>
    </row>
    <row r="1627" spans="1:61" ht="18.399999999999999" hidden="1" customHeight="1" x14ac:dyDescent="0.15">
      <c r="A1627" s="2" t="s">
        <v>1005</v>
      </c>
      <c r="B1627" s="87" t="s">
        <v>1956</v>
      </c>
      <c r="C1627" s="2">
        <v>1</v>
      </c>
      <c r="D1627" s="2" t="s">
        <v>1202</v>
      </c>
      <c r="E1627" s="184"/>
      <c r="F1627" s="29">
        <f>H1627+J1627+L1627</f>
        <v>98235</v>
      </c>
      <c r="G1627" s="184"/>
      <c r="H1627" s="29">
        <f>TRUNC(H1628+H1629+H1630,0)</f>
        <v>0</v>
      </c>
      <c r="I1627" s="184"/>
      <c r="J1627" s="29">
        <f>TRUNC(J1628+J1629+J1630,0)</f>
        <v>97263</v>
      </c>
      <c r="K1627" s="184"/>
      <c r="L1627" s="29">
        <f>TRUNC(L1628+L1629+L1630,0)</f>
        <v>972</v>
      </c>
      <c r="M1627" s="86" t="s">
        <v>2856</v>
      </c>
      <c r="N1627" t="s">
        <v>2856</v>
      </c>
      <c r="O1627" t="s">
        <v>669</v>
      </c>
    </row>
    <row r="1628" spans="1:61" ht="18.399999999999999" hidden="1" customHeight="1" x14ac:dyDescent="0.15">
      <c r="A1628" s="2" t="s">
        <v>522</v>
      </c>
      <c r="B1628" s="87" t="s">
        <v>2856</v>
      </c>
      <c r="C1628" s="2">
        <v>0.28399999999999997</v>
      </c>
      <c r="D1628" s="2" t="s">
        <v>2652</v>
      </c>
      <c r="E1628" s="27">
        <f>G1628+I1628+K1628</f>
        <v>258935</v>
      </c>
      <c r="F1628" s="28">
        <f>H1628+J1628+L1628</f>
        <v>73537.5</v>
      </c>
      <c r="G1628" s="27">
        <v>0</v>
      </c>
      <c r="H1628" s="28"/>
      <c r="I1628" s="27">
        <f>노임!D7</f>
        <v>258935</v>
      </c>
      <c r="J1628" s="28">
        <f>TRUNC(I1628*C1628,1)</f>
        <v>73537.5</v>
      </c>
      <c r="K1628" s="27">
        <v>0</v>
      </c>
      <c r="L1628" s="28"/>
      <c r="M1628" s="86" t="s">
        <v>2856</v>
      </c>
      <c r="N1628" t="s">
        <v>2856</v>
      </c>
      <c r="P1628" t="s">
        <v>915</v>
      </c>
      <c r="Q1628" t="s">
        <v>2856</v>
      </c>
      <c r="R1628" t="s">
        <v>926</v>
      </c>
      <c r="BI1628" s="34" t="str">
        <f>HYPERLINK("#노임!A7","L013 →")</f>
        <v>L013 →</v>
      </c>
    </row>
    <row r="1629" spans="1:61" ht="18.399999999999999" hidden="1" customHeight="1" x14ac:dyDescent="0.15">
      <c r="A1629" s="2" t="s">
        <v>888</v>
      </c>
      <c r="B1629" s="87" t="s">
        <v>2856</v>
      </c>
      <c r="C1629" s="2">
        <v>0.14199999999999999</v>
      </c>
      <c r="D1629" s="2" t="s">
        <v>2652</v>
      </c>
      <c r="E1629" s="27">
        <f>G1629+I1629+K1629</f>
        <v>167081</v>
      </c>
      <c r="F1629" s="28">
        <f>H1629+J1629+L1629</f>
        <v>23725.5</v>
      </c>
      <c r="G1629" s="27">
        <v>0</v>
      </c>
      <c r="H1629" s="28"/>
      <c r="I1629" s="27">
        <f>노임!D15</f>
        <v>167081</v>
      </c>
      <c r="J1629" s="28">
        <f>TRUNC(I1629*C1629,1)</f>
        <v>23725.5</v>
      </c>
      <c r="K1629" s="27">
        <v>0</v>
      </c>
      <c r="L1629" s="28"/>
      <c r="M1629" s="86" t="s">
        <v>2856</v>
      </c>
      <c r="N1629" t="s">
        <v>821</v>
      </c>
      <c r="P1629" t="s">
        <v>334</v>
      </c>
      <c r="Q1629" t="s">
        <v>2856</v>
      </c>
      <c r="R1629" t="s">
        <v>498</v>
      </c>
      <c r="AA1629" s="42" t="s">
        <v>917</v>
      </c>
      <c r="AB1629" s="8">
        <f>('일위대가_호표(신규)'!J1628+'일위대가_호표(신규)'!J1629)*0.01</f>
        <v>972.63</v>
      </c>
      <c r="AC1629" s="42" t="s">
        <v>1546</v>
      </c>
      <c r="AD1629" s="7">
        <f>$AB1629</f>
        <v>972.63</v>
      </c>
      <c r="BI1629" s="34" t="str">
        <f>HYPERLINK("#노임!A15","L085 →")</f>
        <v>L085 →</v>
      </c>
    </row>
    <row r="1630" spans="1:61" ht="18.399999999999999" hidden="1" customHeight="1" x14ac:dyDescent="0.15">
      <c r="A1630" s="2" t="s">
        <v>1232</v>
      </c>
      <c r="B1630" s="87" t="s">
        <v>375</v>
      </c>
      <c r="C1630" s="2">
        <v>1</v>
      </c>
      <c r="D1630" s="2" t="s">
        <v>588</v>
      </c>
      <c r="E1630" s="27">
        <f>G1630+I1630+K1630</f>
        <v>0</v>
      </c>
      <c r="F1630" s="28">
        <f>H1630+J1630+L1630</f>
        <v>972.6</v>
      </c>
      <c r="G1630" s="1"/>
      <c r="H1630" s="28">
        <v>0</v>
      </c>
      <c r="I1630" s="1"/>
      <c r="J1630" s="28">
        <v>0</v>
      </c>
      <c r="K1630" s="1"/>
      <c r="L1630" s="28">
        <f>TRUNC(((J1628+J1629)*0.01),1)</f>
        <v>972.6</v>
      </c>
      <c r="M1630" s="86" t="s">
        <v>2856</v>
      </c>
      <c r="N1630" t="s">
        <v>2856</v>
      </c>
      <c r="P1630" t="s">
        <v>2471</v>
      </c>
      <c r="Q1630" t="s">
        <v>2856</v>
      </c>
      <c r="R1630" t="s">
        <v>2405</v>
      </c>
      <c r="X1630" t="s">
        <v>1184</v>
      </c>
    </row>
    <row r="1631" spans="1:61" ht="18.399999999999999" hidden="1" customHeight="1" x14ac:dyDescent="0.15">
      <c r="A1631" s="1"/>
      <c r="B1631" s="87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87"/>
    </row>
    <row r="1632" spans="1:61" ht="18.399999999999999" hidden="1" customHeight="1" x14ac:dyDescent="0.15">
      <c r="A1632" s="2" t="s">
        <v>2836</v>
      </c>
      <c r="B1632" s="87" t="s">
        <v>196</v>
      </c>
      <c r="C1632" s="2">
        <v>1</v>
      </c>
      <c r="D1632" s="2" t="s">
        <v>2825</v>
      </c>
      <c r="E1632" s="184"/>
      <c r="F1632" s="29">
        <f>H1632+J1632+L1632</f>
        <v>915612</v>
      </c>
      <c r="G1632" s="184"/>
      <c r="H1632" s="29">
        <f>TRUNC(H1633+H1634,0)</f>
        <v>0</v>
      </c>
      <c r="I1632" s="184"/>
      <c r="J1632" s="29">
        <f>TRUNC(J1633+J1634,0)</f>
        <v>915612</v>
      </c>
      <c r="K1632" s="184"/>
      <c r="L1632" s="29">
        <f>TRUNC(L1633+L1634,0)</f>
        <v>0</v>
      </c>
      <c r="M1632" s="86" t="s">
        <v>2856</v>
      </c>
      <c r="N1632" t="s">
        <v>2856</v>
      </c>
      <c r="O1632" t="s">
        <v>630</v>
      </c>
    </row>
    <row r="1633" spans="1:61" ht="18.399999999999999" hidden="1" customHeight="1" x14ac:dyDescent="0.15">
      <c r="A1633" s="2" t="s">
        <v>905</v>
      </c>
      <c r="B1633" s="87" t="s">
        <v>2856</v>
      </c>
      <c r="C1633" s="2">
        <v>2.8</v>
      </c>
      <c r="D1633" s="2" t="s">
        <v>2652</v>
      </c>
      <c r="E1633" s="27">
        <f>G1633+I1633+K1633</f>
        <v>279267</v>
      </c>
      <c r="F1633" s="28">
        <f>H1633+J1633+L1633</f>
        <v>781947.6</v>
      </c>
      <c r="G1633" s="27">
        <v>0</v>
      </c>
      <c r="H1633" s="28"/>
      <c r="I1633" s="27">
        <f>노임!D3</f>
        <v>279267</v>
      </c>
      <c r="J1633" s="28">
        <f>TRUNC(I1633*C1633,1)</f>
        <v>781947.6</v>
      </c>
      <c r="K1633" s="27">
        <v>0</v>
      </c>
      <c r="L1633" s="28"/>
      <c r="M1633" s="86" t="s">
        <v>2856</v>
      </c>
      <c r="N1633" t="s">
        <v>989</v>
      </c>
      <c r="P1633" t="s">
        <v>334</v>
      </c>
      <c r="Q1633" t="s">
        <v>2856</v>
      </c>
      <c r="R1633" t="s">
        <v>208</v>
      </c>
      <c r="BI1633" s="34" t="str">
        <f>HYPERLINK("#노임!A3","L003 →")</f>
        <v>L003 →</v>
      </c>
    </row>
    <row r="1634" spans="1:61" ht="18.399999999999999" hidden="1" customHeight="1" x14ac:dyDescent="0.15">
      <c r="A1634" s="2" t="s">
        <v>888</v>
      </c>
      <c r="B1634" s="87" t="s">
        <v>2856</v>
      </c>
      <c r="C1634" s="2">
        <v>0.8</v>
      </c>
      <c r="D1634" s="2" t="s">
        <v>2652</v>
      </c>
      <c r="E1634" s="27">
        <f>G1634+I1634+K1634</f>
        <v>167081</v>
      </c>
      <c r="F1634" s="28">
        <f>H1634+J1634+L1634</f>
        <v>133664.79999999999</v>
      </c>
      <c r="G1634" s="27">
        <v>0</v>
      </c>
      <c r="H1634" s="28"/>
      <c r="I1634" s="27">
        <f>노임!D15</f>
        <v>167081</v>
      </c>
      <c r="J1634" s="28">
        <f>TRUNC(I1634*C1634,1)</f>
        <v>133664.79999999999</v>
      </c>
      <c r="K1634" s="27">
        <v>0</v>
      </c>
      <c r="L1634" s="28"/>
      <c r="M1634" s="86" t="s">
        <v>2856</v>
      </c>
      <c r="N1634" t="s">
        <v>821</v>
      </c>
      <c r="P1634" t="s">
        <v>2471</v>
      </c>
      <c r="Q1634" t="s">
        <v>2856</v>
      </c>
      <c r="R1634" t="s">
        <v>498</v>
      </c>
      <c r="BI1634" s="34" t="str">
        <f>HYPERLINK("#노임!A15","L085 →")</f>
        <v>L085 →</v>
      </c>
    </row>
    <row r="1635" spans="1:61" ht="18.399999999999999" hidden="1" customHeight="1" x14ac:dyDescent="0.15">
      <c r="A1635" s="1"/>
      <c r="B1635" s="87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87"/>
    </row>
    <row r="1636" spans="1:61" ht="18.399999999999999" hidden="1" customHeight="1" x14ac:dyDescent="0.15">
      <c r="A1636" s="2" t="s">
        <v>2182</v>
      </c>
      <c r="B1636" s="87" t="s">
        <v>2856</v>
      </c>
      <c r="C1636" s="2">
        <v>1</v>
      </c>
      <c r="D1636" s="2" t="s">
        <v>1202</v>
      </c>
      <c r="E1636" s="184"/>
      <c r="F1636" s="29">
        <f>H1636+J1636+L1636</f>
        <v>1375</v>
      </c>
      <c r="G1636" s="184"/>
      <c r="H1636" s="29">
        <f>TRUNC(H1637+H1638,0)</f>
        <v>1155</v>
      </c>
      <c r="I1636" s="184"/>
      <c r="J1636" s="29">
        <f>TRUNC(J1637+J1638,0)</f>
        <v>220</v>
      </c>
      <c r="K1636" s="184"/>
      <c r="L1636" s="29">
        <f>TRUNC(L1637+L1638,0)</f>
        <v>0</v>
      </c>
      <c r="M1636" s="86" t="s">
        <v>2856</v>
      </c>
      <c r="N1636" t="s">
        <v>2856</v>
      </c>
      <c r="O1636" t="s">
        <v>624</v>
      </c>
    </row>
    <row r="1637" spans="1:61" ht="18.399999999999999" hidden="1" customHeight="1" x14ac:dyDescent="0.15">
      <c r="A1637" s="2" t="s">
        <v>1974</v>
      </c>
      <c r="B1637" s="87" t="s">
        <v>1365</v>
      </c>
      <c r="C1637" s="2">
        <v>1.05</v>
      </c>
      <c r="D1637" s="2" t="s">
        <v>1202</v>
      </c>
      <c r="E1637" s="27">
        <f>G1637+I1637+K1637</f>
        <v>1100</v>
      </c>
      <c r="F1637" s="28">
        <f>H1637+J1637+L1637</f>
        <v>1155</v>
      </c>
      <c r="G1637" s="27">
        <f>자재조서!E134</f>
        <v>1100</v>
      </c>
      <c r="H1637" s="28">
        <f>TRUNC(G1637*C1637,1)</f>
        <v>1155</v>
      </c>
      <c r="I1637" s="27">
        <v>0</v>
      </c>
      <c r="J1637" s="28"/>
      <c r="K1637" s="27">
        <v>0</v>
      </c>
      <c r="L1637" s="28"/>
      <c r="M1637" s="86" t="s">
        <v>2856</v>
      </c>
      <c r="N1637" t="s">
        <v>460</v>
      </c>
      <c r="P1637" t="s">
        <v>334</v>
      </c>
      <c r="Q1637" t="s">
        <v>2856</v>
      </c>
      <c r="R1637" t="s">
        <v>400</v>
      </c>
      <c r="BI1637" s="34" t="str">
        <f>HYPERLINK("#자재조서!A128","MTP-102 →")</f>
        <v>MTP-102 →</v>
      </c>
    </row>
    <row r="1638" spans="1:61" ht="18.399999999999999" hidden="1" customHeight="1" x14ac:dyDescent="0.15">
      <c r="A1638" s="2" t="s">
        <v>1199</v>
      </c>
      <c r="B1638" s="87" t="s">
        <v>2856</v>
      </c>
      <c r="C1638" s="2">
        <v>1</v>
      </c>
      <c r="D1638" s="2" t="s">
        <v>2124</v>
      </c>
      <c r="E1638" s="27">
        <f>G1638+I1638+K1638</f>
        <v>220</v>
      </c>
      <c r="F1638" s="28">
        <f>H1638+J1638+L1638</f>
        <v>220</v>
      </c>
      <c r="G1638" s="27">
        <f>일위대가목록!F277</f>
        <v>0</v>
      </c>
      <c r="H1638" s="28">
        <f>TRUNC(G1638*C1638,1)</f>
        <v>0</v>
      </c>
      <c r="I1638" s="27">
        <f>일위대가목록!H277</f>
        <v>220</v>
      </c>
      <c r="J1638" s="28">
        <f>TRUNC(I1638*C1638,1)</f>
        <v>220</v>
      </c>
      <c r="K1638" s="27">
        <f>일위대가목록!J277</f>
        <v>0</v>
      </c>
      <c r="L1638" s="28">
        <f>TRUNC(K1638*C1638,1)</f>
        <v>0</v>
      </c>
      <c r="M1638" s="86" t="s">
        <v>2856</v>
      </c>
      <c r="N1638" t="s">
        <v>2856</v>
      </c>
      <c r="P1638" t="s">
        <v>2471</v>
      </c>
      <c r="Q1638" t="s">
        <v>2856</v>
      </c>
      <c r="R1638" t="s">
        <v>906</v>
      </c>
      <c r="T1638" t="s">
        <v>1778</v>
      </c>
      <c r="BI1638" s="34" t="str">
        <f>HYPERLINK("#일위대가목록!A272","N5990 →")</f>
        <v>N5990 →</v>
      </c>
    </row>
    <row r="1639" spans="1:61" ht="18.399999999999999" hidden="1" customHeight="1" x14ac:dyDescent="0.15">
      <c r="A1639" s="1"/>
      <c r="B1639" s="87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87"/>
    </row>
    <row r="1640" spans="1:61" ht="18.399999999999999" hidden="1" customHeight="1" x14ac:dyDescent="0.15">
      <c r="A1640" s="2" t="s">
        <v>2806</v>
      </c>
      <c r="B1640" s="87" t="s">
        <v>2417</v>
      </c>
      <c r="C1640" s="2">
        <v>1</v>
      </c>
      <c r="D1640" s="2" t="s">
        <v>1202</v>
      </c>
      <c r="E1640" s="184"/>
      <c r="F1640" s="29">
        <f>H1640+J1640+L1640</f>
        <v>108252</v>
      </c>
      <c r="G1640" s="184"/>
      <c r="H1640" s="29">
        <f>TRUNC(H1641+H1642+H1643,0)</f>
        <v>3670</v>
      </c>
      <c r="I1640" s="184"/>
      <c r="J1640" s="29">
        <f>TRUNC(J1641+J1642+J1643,0)</f>
        <v>89531</v>
      </c>
      <c r="K1640" s="184"/>
      <c r="L1640" s="29">
        <f>TRUNC(L1641+L1642+L1643,0)</f>
        <v>15051</v>
      </c>
      <c r="M1640" s="86" t="s">
        <v>2856</v>
      </c>
      <c r="N1640" t="s">
        <v>2856</v>
      </c>
      <c r="O1640" t="s">
        <v>1446</v>
      </c>
    </row>
    <row r="1641" spans="1:61" ht="18.399999999999999" hidden="1" customHeight="1" x14ac:dyDescent="0.15">
      <c r="A1641" s="2" t="s">
        <v>937</v>
      </c>
      <c r="B1641" s="87" t="s">
        <v>2856</v>
      </c>
      <c r="C1641" s="2">
        <v>0.21</v>
      </c>
      <c r="D1641" s="2" t="s">
        <v>2652</v>
      </c>
      <c r="E1641" s="27">
        <f>G1641+I1641+K1641</f>
        <v>219321</v>
      </c>
      <c r="F1641" s="28">
        <f>H1641+J1641+L1641</f>
        <v>46057.4</v>
      </c>
      <c r="G1641" s="27">
        <v>0</v>
      </c>
      <c r="H1641" s="28"/>
      <c r="I1641" s="27">
        <f>노임!D14</f>
        <v>219321</v>
      </c>
      <c r="J1641" s="28">
        <f>TRUNC(I1641*C1641,1)</f>
        <v>46057.4</v>
      </c>
      <c r="K1641" s="27">
        <v>0</v>
      </c>
      <c r="L1641" s="28"/>
      <c r="M1641" s="86" t="s">
        <v>2856</v>
      </c>
      <c r="N1641" t="s">
        <v>1742</v>
      </c>
      <c r="P1641" t="s">
        <v>2471</v>
      </c>
      <c r="Q1641" t="s">
        <v>2856</v>
      </c>
      <c r="R1641" t="s">
        <v>2068</v>
      </c>
      <c r="BI1641" s="34" t="str">
        <f>HYPERLINK("#노임!A14","L084 →")</f>
        <v>L084 →</v>
      </c>
    </row>
    <row r="1642" spans="1:61" ht="18.399999999999999" hidden="1" customHeight="1" x14ac:dyDescent="0.15">
      <c r="A1642" s="2" t="s">
        <v>888</v>
      </c>
      <c r="B1642" s="87" t="s">
        <v>2856</v>
      </c>
      <c r="C1642" s="2">
        <v>0.09</v>
      </c>
      <c r="D1642" s="2" t="s">
        <v>2652</v>
      </c>
      <c r="E1642" s="27">
        <f>G1642+I1642+K1642</f>
        <v>167081</v>
      </c>
      <c r="F1642" s="28">
        <f>H1642+J1642+L1642</f>
        <v>15037.2</v>
      </c>
      <c r="G1642" s="27">
        <v>0</v>
      </c>
      <c r="H1642" s="28"/>
      <c r="I1642" s="27">
        <f>노임!D15</f>
        <v>167081</v>
      </c>
      <c r="J1642" s="28">
        <f>TRUNC(I1642*C1642,1)</f>
        <v>15037.2</v>
      </c>
      <c r="K1642" s="27">
        <v>0</v>
      </c>
      <c r="L1642" s="28"/>
      <c r="M1642" s="86" t="s">
        <v>2856</v>
      </c>
      <c r="N1642" t="s">
        <v>821</v>
      </c>
      <c r="P1642" t="s">
        <v>1741</v>
      </c>
      <c r="Q1642" t="s">
        <v>2856</v>
      </c>
      <c r="R1642" t="s">
        <v>498</v>
      </c>
      <c r="BI1642" s="34" t="str">
        <f>HYPERLINK("#노임!A15","L085 →")</f>
        <v>L085 →</v>
      </c>
    </row>
    <row r="1643" spans="1:61" ht="18.399999999999999" hidden="1" customHeight="1" x14ac:dyDescent="0.15">
      <c r="A1643" s="2" t="s">
        <v>1394</v>
      </c>
      <c r="B1643" s="87" t="s">
        <v>2467</v>
      </c>
      <c r="C1643" s="2">
        <v>0.5</v>
      </c>
      <c r="D1643" s="2" t="s">
        <v>2377</v>
      </c>
      <c r="E1643" s="27">
        <f>G1643+I1643+K1643</f>
        <v>94318</v>
      </c>
      <c r="F1643" s="28">
        <f>H1643+J1643+L1643</f>
        <v>47159</v>
      </c>
      <c r="G1643" s="27">
        <f>중기사용료목록!E8</f>
        <v>7341</v>
      </c>
      <c r="H1643" s="28">
        <f>TRUNC(G1643*C1643,1)</f>
        <v>3670.5</v>
      </c>
      <c r="I1643" s="27">
        <f>중기사용료목록!F8</f>
        <v>56874</v>
      </c>
      <c r="J1643" s="28">
        <f>TRUNC(I1643*C1643,1)</f>
        <v>28437</v>
      </c>
      <c r="K1643" s="27">
        <f>중기사용료목록!G8</f>
        <v>30103</v>
      </c>
      <c r="L1643" s="28">
        <f>TRUNC(K1643*C1643,1)</f>
        <v>15051.5</v>
      </c>
      <c r="M1643" s="86" t="s">
        <v>2856</v>
      </c>
      <c r="N1643" t="s">
        <v>2856</v>
      </c>
      <c r="P1643" t="s">
        <v>1036</v>
      </c>
      <c r="Q1643" t="s">
        <v>2856</v>
      </c>
      <c r="R1643" t="s">
        <v>1324</v>
      </c>
      <c r="BI1643" s="34" t="str">
        <f>HYPERLINK("#중기사용료목록!A8","E0021040010 →")</f>
        <v>E0021040010 →</v>
      </c>
    </row>
    <row r="1644" spans="1:61" ht="18.399999999999999" hidden="1" customHeight="1" x14ac:dyDescent="0.15">
      <c r="A1644" s="1"/>
      <c r="B1644" s="87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87"/>
    </row>
    <row r="1645" spans="1:61" ht="18.399999999999999" hidden="1" customHeight="1" x14ac:dyDescent="0.15">
      <c r="A1645" s="2" t="s">
        <v>2424</v>
      </c>
      <c r="B1645" s="87" t="s">
        <v>1879</v>
      </c>
      <c r="C1645" s="2">
        <v>1</v>
      </c>
      <c r="D1645" s="2" t="s">
        <v>2825</v>
      </c>
      <c r="E1645" s="184"/>
      <c r="F1645" s="29">
        <f>H1645+J1645+L1645</f>
        <v>33416</v>
      </c>
      <c r="G1645" s="184"/>
      <c r="H1645" s="29">
        <f>TRUNC(H1646,0)</f>
        <v>0</v>
      </c>
      <c r="I1645" s="184"/>
      <c r="J1645" s="29">
        <f>TRUNC(J1646,0)</f>
        <v>33416</v>
      </c>
      <c r="K1645" s="184"/>
      <c r="L1645" s="29">
        <f>TRUNC(L1646,0)</f>
        <v>0</v>
      </c>
      <c r="M1645" s="86" t="s">
        <v>2856</v>
      </c>
      <c r="N1645" t="s">
        <v>2856</v>
      </c>
      <c r="O1645" t="s">
        <v>786</v>
      </c>
    </row>
    <row r="1646" spans="1:61" ht="18.399999999999999" hidden="1" customHeight="1" x14ac:dyDescent="0.15">
      <c r="A1646" s="2" t="s">
        <v>888</v>
      </c>
      <c r="B1646" s="87" t="s">
        <v>2856</v>
      </c>
      <c r="C1646" s="2">
        <v>0.2</v>
      </c>
      <c r="D1646" s="2" t="s">
        <v>2652</v>
      </c>
      <c r="E1646" s="27">
        <f>G1646+I1646+K1646</f>
        <v>167081</v>
      </c>
      <c r="F1646" s="28">
        <f>H1646+J1646+L1646</f>
        <v>33416.199999999997</v>
      </c>
      <c r="G1646" s="27">
        <v>0</v>
      </c>
      <c r="H1646" s="28"/>
      <c r="I1646" s="27">
        <f>노임!D15</f>
        <v>167081</v>
      </c>
      <c r="J1646" s="28">
        <f>TRUNC(I1646*C1646,1)</f>
        <v>33416.199999999997</v>
      </c>
      <c r="K1646" s="27">
        <v>0</v>
      </c>
      <c r="L1646" s="28"/>
      <c r="M1646" s="86" t="s">
        <v>2856</v>
      </c>
      <c r="N1646" t="s">
        <v>821</v>
      </c>
      <c r="P1646" t="s">
        <v>334</v>
      </c>
      <c r="Q1646" t="s">
        <v>2856</v>
      </c>
      <c r="R1646" t="s">
        <v>498</v>
      </c>
      <c r="BI1646" s="34" t="str">
        <f>HYPERLINK("#노임!A15","L085 →")</f>
        <v>L085 →</v>
      </c>
    </row>
    <row r="1647" spans="1:61" ht="18.399999999999999" hidden="1" customHeight="1" x14ac:dyDescent="0.15">
      <c r="A1647" s="1"/>
      <c r="B1647" s="87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87"/>
    </row>
    <row r="1648" spans="1:61" ht="18.399999999999999" hidden="1" customHeight="1" x14ac:dyDescent="0.15">
      <c r="A1648" s="2" t="s">
        <v>2514</v>
      </c>
      <c r="B1648" s="87" t="s">
        <v>394</v>
      </c>
      <c r="C1648" s="2">
        <v>1</v>
      </c>
      <c r="D1648" s="2" t="s">
        <v>2825</v>
      </c>
      <c r="E1648" s="184"/>
      <c r="F1648" s="29">
        <f>H1648+J1648+L1648</f>
        <v>33416</v>
      </c>
      <c r="G1648" s="184"/>
      <c r="H1648" s="29">
        <f>TRUNC(H1649,0)</f>
        <v>0</v>
      </c>
      <c r="I1648" s="184"/>
      <c r="J1648" s="29">
        <f>TRUNC(J1649,0)</f>
        <v>33416</v>
      </c>
      <c r="K1648" s="184"/>
      <c r="L1648" s="29">
        <f>TRUNC(L1649,0)</f>
        <v>0</v>
      </c>
      <c r="M1648" s="86" t="s">
        <v>2856</v>
      </c>
      <c r="N1648" t="s">
        <v>2856</v>
      </c>
      <c r="O1648" t="s">
        <v>1013</v>
      </c>
    </row>
    <row r="1649" spans="1:61" ht="18.399999999999999" hidden="1" customHeight="1" x14ac:dyDescent="0.15">
      <c r="A1649" s="2" t="s">
        <v>888</v>
      </c>
      <c r="B1649" s="87" t="s">
        <v>2856</v>
      </c>
      <c r="C1649" s="2">
        <v>0.2</v>
      </c>
      <c r="D1649" s="2" t="s">
        <v>2652</v>
      </c>
      <c r="E1649" s="27">
        <f>G1649+I1649+K1649</f>
        <v>167081</v>
      </c>
      <c r="F1649" s="28">
        <f>H1649+J1649+L1649</f>
        <v>33416.199999999997</v>
      </c>
      <c r="G1649" s="27">
        <v>0</v>
      </c>
      <c r="H1649" s="28"/>
      <c r="I1649" s="27">
        <f>노임!D15</f>
        <v>167081</v>
      </c>
      <c r="J1649" s="28">
        <f>TRUNC(I1649*C1649,1)</f>
        <v>33416.199999999997</v>
      </c>
      <c r="K1649" s="27">
        <v>0</v>
      </c>
      <c r="L1649" s="28"/>
      <c r="M1649" s="86" t="s">
        <v>2856</v>
      </c>
      <c r="N1649" t="s">
        <v>821</v>
      </c>
      <c r="P1649" t="s">
        <v>334</v>
      </c>
      <c r="Q1649" t="s">
        <v>2856</v>
      </c>
      <c r="R1649" t="s">
        <v>498</v>
      </c>
      <c r="BI1649" s="34" t="str">
        <f>HYPERLINK("#노임!A15","L085 →")</f>
        <v>L085 →</v>
      </c>
    </row>
    <row r="1650" spans="1:61" ht="18.399999999999999" hidden="1" customHeight="1" x14ac:dyDescent="0.15">
      <c r="A1650" s="1"/>
      <c r="B1650" s="87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87"/>
    </row>
    <row r="1651" spans="1:61" ht="18.399999999999999" hidden="1" customHeight="1" x14ac:dyDescent="0.15">
      <c r="A1651" s="2" t="s">
        <v>1101</v>
      </c>
      <c r="B1651" s="87" t="s">
        <v>129</v>
      </c>
      <c r="C1651" s="2">
        <v>1</v>
      </c>
      <c r="D1651" s="2" t="s">
        <v>2825</v>
      </c>
      <c r="E1651" s="184"/>
      <c r="F1651" s="29">
        <f>H1651+J1651+L1651</f>
        <v>16708</v>
      </c>
      <c r="G1651" s="184"/>
      <c r="H1651" s="29">
        <f>TRUNC(H1652,0)</f>
        <v>0</v>
      </c>
      <c r="I1651" s="184"/>
      <c r="J1651" s="29">
        <f>TRUNC(J1652,0)</f>
        <v>16708</v>
      </c>
      <c r="K1651" s="184"/>
      <c r="L1651" s="29">
        <f>TRUNC(L1652,0)</f>
        <v>0</v>
      </c>
      <c r="M1651" s="86" t="s">
        <v>2856</v>
      </c>
      <c r="N1651" t="s">
        <v>2856</v>
      </c>
      <c r="O1651" t="s">
        <v>30</v>
      </c>
    </row>
    <row r="1652" spans="1:61" ht="18.399999999999999" hidden="1" customHeight="1" x14ac:dyDescent="0.15">
      <c r="A1652" s="2" t="s">
        <v>888</v>
      </c>
      <c r="B1652" s="87" t="s">
        <v>2856</v>
      </c>
      <c r="C1652" s="2">
        <v>0.1</v>
      </c>
      <c r="D1652" s="2" t="s">
        <v>2652</v>
      </c>
      <c r="E1652" s="27">
        <f>G1652+I1652+K1652</f>
        <v>167081</v>
      </c>
      <c r="F1652" s="28">
        <f>H1652+J1652+L1652</f>
        <v>16708.099999999999</v>
      </c>
      <c r="G1652" s="27">
        <v>0</v>
      </c>
      <c r="H1652" s="28"/>
      <c r="I1652" s="27">
        <f>노임!D15</f>
        <v>167081</v>
      </c>
      <c r="J1652" s="28">
        <f>TRUNC(I1652*C1652,1)</f>
        <v>16708.099999999999</v>
      </c>
      <c r="K1652" s="27">
        <v>0</v>
      </c>
      <c r="L1652" s="28"/>
      <c r="M1652" s="86" t="s">
        <v>2856</v>
      </c>
      <c r="N1652" t="s">
        <v>821</v>
      </c>
      <c r="P1652" t="s">
        <v>334</v>
      </c>
      <c r="Q1652" t="s">
        <v>2856</v>
      </c>
      <c r="R1652" t="s">
        <v>498</v>
      </c>
      <c r="BI1652" s="34" t="str">
        <f>HYPERLINK("#노임!A15","L085 →")</f>
        <v>L085 →</v>
      </c>
    </row>
    <row r="1653" spans="1:61" ht="18.399999999999999" hidden="1" customHeight="1" x14ac:dyDescent="0.15">
      <c r="A1653" s="1"/>
      <c r="B1653" s="87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87"/>
    </row>
    <row r="1654" spans="1:61" ht="18.399999999999999" hidden="1" customHeight="1" x14ac:dyDescent="0.15">
      <c r="A1654" s="2" t="s">
        <v>953</v>
      </c>
      <c r="B1654" s="87" t="s">
        <v>2492</v>
      </c>
      <c r="C1654" s="2">
        <v>1</v>
      </c>
      <c r="D1654" s="2" t="s">
        <v>1202</v>
      </c>
      <c r="E1654" s="184"/>
      <c r="F1654" s="29">
        <f t="shared" ref="F1654:F1659" si="327">H1654+J1654+L1654</f>
        <v>10589</v>
      </c>
      <c r="G1654" s="184"/>
      <c r="H1654" s="29">
        <f>TRUNC(H1655+H1656+H1657+H1658+H1659,0)</f>
        <v>1881</v>
      </c>
      <c r="I1654" s="184"/>
      <c r="J1654" s="29">
        <f>TRUNC(J1655+J1656+J1657+J1658+J1659,0)</f>
        <v>8708</v>
      </c>
      <c r="K1654" s="184"/>
      <c r="L1654" s="29">
        <f>TRUNC(L1655+L1656+L1657+L1658+L1659,0)</f>
        <v>0</v>
      </c>
      <c r="M1654" s="86" t="s">
        <v>2856</v>
      </c>
      <c r="N1654" t="s">
        <v>2856</v>
      </c>
      <c r="O1654" t="s">
        <v>799</v>
      </c>
    </row>
    <row r="1655" spans="1:61" ht="18.399999999999999" hidden="1" customHeight="1" x14ac:dyDescent="0.15">
      <c r="A1655" s="2" t="s">
        <v>1773</v>
      </c>
      <c r="B1655" s="87" t="s">
        <v>2798</v>
      </c>
      <c r="C1655" s="2">
        <v>0.161</v>
      </c>
      <c r="D1655" s="2" t="s">
        <v>11</v>
      </c>
      <c r="E1655" s="27">
        <f>G1655+I1655+K1655</f>
        <v>11211</v>
      </c>
      <c r="F1655" s="28">
        <f t="shared" si="327"/>
        <v>1804.9</v>
      </c>
      <c r="G1655" s="27">
        <f>자재조서!E92</f>
        <v>11211</v>
      </c>
      <c r="H1655" s="28">
        <f>TRUNC(G1655*C1655,1)</f>
        <v>1804.9</v>
      </c>
      <c r="I1655" s="27">
        <v>0</v>
      </c>
      <c r="J1655" s="28"/>
      <c r="K1655" s="27">
        <v>0</v>
      </c>
      <c r="L1655" s="28"/>
      <c r="M1655" s="86" t="s">
        <v>2856</v>
      </c>
      <c r="N1655" t="s">
        <v>2856</v>
      </c>
      <c r="P1655" t="s">
        <v>334</v>
      </c>
      <c r="Q1655" t="s">
        <v>2856</v>
      </c>
      <c r="R1655" t="s">
        <v>957</v>
      </c>
      <c r="BI1655" s="34" t="str">
        <f>HYPERLINK("#자재조서!A89","MI_MGL012 →")</f>
        <v>MI_MGL012 →</v>
      </c>
    </row>
    <row r="1656" spans="1:61" ht="18.399999999999999" hidden="1" customHeight="1" x14ac:dyDescent="0.15">
      <c r="A1656" s="2" t="s">
        <v>676</v>
      </c>
      <c r="B1656" s="87" t="s">
        <v>1283</v>
      </c>
      <c r="C1656" s="2">
        <v>8.0000000000000002E-3</v>
      </c>
      <c r="D1656" s="2" t="s">
        <v>2250</v>
      </c>
      <c r="E1656" s="27">
        <f>G1656+I1656+K1656</f>
        <v>2700</v>
      </c>
      <c r="F1656" s="28">
        <f t="shared" si="327"/>
        <v>21.6</v>
      </c>
      <c r="G1656" s="27">
        <f>자재조서!E10</f>
        <v>2700</v>
      </c>
      <c r="H1656" s="28">
        <f>TRUNC(G1656*C1656,1)</f>
        <v>21.6</v>
      </c>
      <c r="I1656" s="27">
        <v>0</v>
      </c>
      <c r="J1656" s="28"/>
      <c r="K1656" s="27">
        <v>0</v>
      </c>
      <c r="L1656" s="28"/>
      <c r="M1656" s="86" t="s">
        <v>2856</v>
      </c>
      <c r="N1656" t="s">
        <v>2856</v>
      </c>
      <c r="P1656" t="s">
        <v>2471</v>
      </c>
      <c r="Q1656" t="s">
        <v>2856</v>
      </c>
      <c r="R1656" t="s">
        <v>2237</v>
      </c>
      <c r="BI1656" s="34" t="str">
        <f>HYPERLINK("#자재조서!A9","M040 →")</f>
        <v>M040 →</v>
      </c>
    </row>
    <row r="1657" spans="1:61" ht="18.399999999999999" hidden="1" customHeight="1" x14ac:dyDescent="0.15">
      <c r="A1657" s="2" t="s">
        <v>1976</v>
      </c>
      <c r="B1657" s="87" t="s">
        <v>2856</v>
      </c>
      <c r="C1657" s="2">
        <v>0.03</v>
      </c>
      <c r="D1657" s="2" t="s">
        <v>2652</v>
      </c>
      <c r="E1657" s="27">
        <f>G1657+I1657+K1657</f>
        <v>256854</v>
      </c>
      <c r="F1657" s="28">
        <f t="shared" si="327"/>
        <v>7705.6</v>
      </c>
      <c r="G1657" s="27">
        <v>0</v>
      </c>
      <c r="H1657" s="28"/>
      <c r="I1657" s="27">
        <f>노임!D9</f>
        <v>256854</v>
      </c>
      <c r="J1657" s="28">
        <f>TRUNC(I1657*C1657,1)</f>
        <v>7705.6</v>
      </c>
      <c r="K1657" s="27">
        <v>0</v>
      </c>
      <c r="L1657" s="28"/>
      <c r="M1657" s="86" t="s">
        <v>2856</v>
      </c>
      <c r="N1657" t="s">
        <v>2282</v>
      </c>
      <c r="P1657" t="s">
        <v>1741</v>
      </c>
      <c r="Q1657" t="s">
        <v>2856</v>
      </c>
      <c r="R1657" t="s">
        <v>772</v>
      </c>
      <c r="BI1657" s="34" t="str">
        <f>HYPERLINK("#노임!A9","L032 →")</f>
        <v>L032 →</v>
      </c>
    </row>
    <row r="1658" spans="1:61" ht="18.399999999999999" hidden="1" customHeight="1" x14ac:dyDescent="0.15">
      <c r="A1658" s="2" t="s">
        <v>888</v>
      </c>
      <c r="B1658" s="87" t="s">
        <v>2856</v>
      </c>
      <c r="C1658" s="2">
        <v>6.0000000000000001E-3</v>
      </c>
      <c r="D1658" s="2" t="s">
        <v>2652</v>
      </c>
      <c r="E1658" s="27">
        <f>G1658+I1658+K1658</f>
        <v>167081</v>
      </c>
      <c r="F1658" s="28">
        <f t="shared" si="327"/>
        <v>1002.4</v>
      </c>
      <c r="G1658" s="27">
        <v>0</v>
      </c>
      <c r="H1658" s="28"/>
      <c r="I1658" s="27">
        <f>노임!D15</f>
        <v>167081</v>
      </c>
      <c r="J1658" s="28">
        <f>TRUNC(I1658*C1658,1)</f>
        <v>1002.4</v>
      </c>
      <c r="K1658" s="27">
        <v>0</v>
      </c>
      <c r="L1658" s="28"/>
      <c r="M1658" s="86" t="s">
        <v>2856</v>
      </c>
      <c r="N1658" t="s">
        <v>821</v>
      </c>
      <c r="P1658" t="s">
        <v>1036</v>
      </c>
      <c r="Q1658" t="s">
        <v>2856</v>
      </c>
      <c r="R1658" t="s">
        <v>498</v>
      </c>
      <c r="AA1658" s="42" t="s">
        <v>2127</v>
      </c>
      <c r="AB1658" s="8">
        <f>('일위대가_호표(신규)'!H1655+'일위대가_호표(신규)'!H1656)*0.03</f>
        <v>54.794999999999995</v>
      </c>
      <c r="AC1658" s="42" t="s">
        <v>2369</v>
      </c>
      <c r="AD1658" s="7">
        <f>$AB1658</f>
        <v>54.794999999999995</v>
      </c>
      <c r="BI1658" s="34" t="str">
        <f>HYPERLINK("#노임!A15","L085 →")</f>
        <v>L085 →</v>
      </c>
    </row>
    <row r="1659" spans="1:61" ht="18.399999999999999" hidden="1" customHeight="1" x14ac:dyDescent="0.15">
      <c r="A1659" s="2" t="s">
        <v>126</v>
      </c>
      <c r="B1659" s="87" t="s">
        <v>2856</v>
      </c>
      <c r="C1659" s="2">
        <v>1</v>
      </c>
      <c r="D1659" s="2" t="s">
        <v>2303</v>
      </c>
      <c r="E1659" s="27">
        <f>G1659+I1659+K1659</f>
        <v>0</v>
      </c>
      <c r="F1659" s="28">
        <f t="shared" si="327"/>
        <v>54.7</v>
      </c>
      <c r="G1659" s="1"/>
      <c r="H1659" s="28">
        <f>TRUNC(((H1655+H1656)*0.03),1)</f>
        <v>54.7</v>
      </c>
      <c r="I1659" s="1"/>
      <c r="J1659" s="28">
        <v>0</v>
      </c>
      <c r="K1659" s="1"/>
      <c r="L1659" s="28">
        <v>0</v>
      </c>
      <c r="M1659" s="86" t="s">
        <v>2856</v>
      </c>
      <c r="N1659" t="s">
        <v>2856</v>
      </c>
      <c r="P1659" t="s">
        <v>286</v>
      </c>
      <c r="Q1659" t="s">
        <v>2856</v>
      </c>
      <c r="R1659" t="s">
        <v>2405</v>
      </c>
      <c r="X1659" t="s">
        <v>2763</v>
      </c>
    </row>
    <row r="1660" spans="1:61" ht="18.399999999999999" hidden="1" customHeight="1" x14ac:dyDescent="0.15">
      <c r="A1660" s="1"/>
      <c r="B1660" s="87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87"/>
    </row>
    <row r="1661" spans="1:61" ht="18.399999999999999" hidden="1" customHeight="1" x14ac:dyDescent="0.15">
      <c r="A1661" s="2" t="s">
        <v>1382</v>
      </c>
      <c r="B1661" s="87" t="s">
        <v>964</v>
      </c>
      <c r="C1661" s="2">
        <v>1</v>
      </c>
      <c r="D1661" s="2" t="s">
        <v>978</v>
      </c>
      <c r="E1661" s="184"/>
      <c r="F1661" s="29">
        <f t="shared" ref="F1661:F1666" si="328">H1661+J1661+L1661</f>
        <v>1613956</v>
      </c>
      <c r="G1661" s="184"/>
      <c r="H1661" s="29">
        <f>TRUNC(H1662+H1663+H1664+H1665+H1666,0)</f>
        <v>0</v>
      </c>
      <c r="I1661" s="184"/>
      <c r="J1661" s="29">
        <f>TRUNC(J1662+J1663+J1664+J1665+J1666,0)</f>
        <v>1567947</v>
      </c>
      <c r="K1661" s="184"/>
      <c r="L1661" s="29">
        <f>TRUNC(L1662+L1663+L1664+L1665+L1666,0)</f>
        <v>46009</v>
      </c>
      <c r="M1661" s="86" t="s">
        <v>2856</v>
      </c>
      <c r="N1661" t="s">
        <v>2856</v>
      </c>
      <c r="O1661" t="s">
        <v>614</v>
      </c>
    </row>
    <row r="1662" spans="1:61" ht="18.399999999999999" hidden="1" customHeight="1" x14ac:dyDescent="0.15">
      <c r="A1662" s="2" t="s">
        <v>674</v>
      </c>
      <c r="B1662" s="87" t="s">
        <v>2856</v>
      </c>
      <c r="C1662" s="2">
        <v>3</v>
      </c>
      <c r="D1662" s="2" t="s">
        <v>2652</v>
      </c>
      <c r="E1662" s="27">
        <f>G1662+I1662+K1662</f>
        <v>237480</v>
      </c>
      <c r="F1662" s="28">
        <f t="shared" si="328"/>
        <v>712440</v>
      </c>
      <c r="G1662" s="27">
        <v>0</v>
      </c>
      <c r="H1662" s="28"/>
      <c r="I1662" s="27">
        <f>노임!D5</f>
        <v>237480</v>
      </c>
      <c r="J1662" s="28">
        <f>TRUNC(I1662*C1662,1)</f>
        <v>712440</v>
      </c>
      <c r="K1662" s="27">
        <v>0</v>
      </c>
      <c r="L1662" s="28"/>
      <c r="M1662" s="86" t="s">
        <v>2856</v>
      </c>
      <c r="N1662" t="s">
        <v>1350</v>
      </c>
      <c r="P1662" t="s">
        <v>334</v>
      </c>
      <c r="Q1662" t="s">
        <v>2856</v>
      </c>
      <c r="R1662" t="s">
        <v>111</v>
      </c>
      <c r="BI1662" s="34" t="str">
        <f>HYPERLINK("#노임!A5","L007 →")</f>
        <v>L007 →</v>
      </c>
    </row>
    <row r="1663" spans="1:61" ht="18.399999999999999" hidden="1" customHeight="1" x14ac:dyDescent="0.15">
      <c r="A1663" s="2" t="s">
        <v>1331</v>
      </c>
      <c r="B1663" s="87" t="s">
        <v>2856</v>
      </c>
      <c r="C1663" s="2">
        <v>1</v>
      </c>
      <c r="D1663" s="2" t="s">
        <v>2652</v>
      </c>
      <c r="E1663" s="27">
        <f>G1663+I1663+K1663</f>
        <v>270724</v>
      </c>
      <c r="F1663" s="28">
        <f t="shared" si="328"/>
        <v>270724</v>
      </c>
      <c r="G1663" s="27">
        <v>0</v>
      </c>
      <c r="H1663" s="28"/>
      <c r="I1663" s="27">
        <f>노임!D16</f>
        <v>270724</v>
      </c>
      <c r="J1663" s="28">
        <f>TRUNC(I1663*C1663,1)</f>
        <v>270724</v>
      </c>
      <c r="K1663" s="27">
        <v>0</v>
      </c>
      <c r="L1663" s="28"/>
      <c r="M1663" s="86" t="s">
        <v>2856</v>
      </c>
      <c r="N1663" t="s">
        <v>1880</v>
      </c>
      <c r="P1663" t="s">
        <v>1616</v>
      </c>
      <c r="Q1663" t="s">
        <v>2856</v>
      </c>
      <c r="R1663" t="s">
        <v>2210</v>
      </c>
      <c r="BI1663" s="34" t="str">
        <f>HYPERLINK("#노임!A16","L114 →")</f>
        <v>L114 →</v>
      </c>
    </row>
    <row r="1664" spans="1:61" ht="18.399999999999999" hidden="1" customHeight="1" x14ac:dyDescent="0.15">
      <c r="A1664" s="2" t="s">
        <v>888</v>
      </c>
      <c r="B1664" s="87" t="s">
        <v>2856</v>
      </c>
      <c r="C1664" s="2">
        <v>1</v>
      </c>
      <c r="D1664" s="2" t="s">
        <v>2652</v>
      </c>
      <c r="E1664" s="27">
        <f>G1664+I1664+K1664</f>
        <v>167081</v>
      </c>
      <c r="F1664" s="28">
        <f t="shared" si="328"/>
        <v>167081</v>
      </c>
      <c r="G1664" s="27">
        <v>0</v>
      </c>
      <c r="H1664" s="28"/>
      <c r="I1664" s="27">
        <f>노임!D15</f>
        <v>167081</v>
      </c>
      <c r="J1664" s="28">
        <f>TRUNC(I1664*C1664,1)</f>
        <v>167081</v>
      </c>
      <c r="K1664" s="27">
        <v>0</v>
      </c>
      <c r="L1664" s="28"/>
      <c r="M1664" s="86" t="s">
        <v>2856</v>
      </c>
      <c r="N1664" t="s">
        <v>821</v>
      </c>
      <c r="P1664" t="s">
        <v>2471</v>
      </c>
      <c r="Q1664" t="s">
        <v>2856</v>
      </c>
      <c r="R1664" t="s">
        <v>498</v>
      </c>
      <c r="AA1664" s="42" t="s">
        <v>917</v>
      </c>
      <c r="AB1664" s="8">
        <f>('일위대가_호표(신규)'!J1662+'일위대가_호표(신규)'!J1663+'일위대가_호표(신규)'!J1664)*0.04</f>
        <v>46009.8</v>
      </c>
      <c r="AC1664" s="42" t="s">
        <v>1546</v>
      </c>
      <c r="AD1664" s="7">
        <f>$AB1664</f>
        <v>46009.8</v>
      </c>
      <c r="BI1664" s="34" t="str">
        <f>HYPERLINK("#노임!A15","L085 →")</f>
        <v>L085 →</v>
      </c>
    </row>
    <row r="1665" spans="1:61" ht="18.399999999999999" hidden="1" customHeight="1" x14ac:dyDescent="0.15">
      <c r="A1665" s="2" t="s">
        <v>2380</v>
      </c>
      <c r="B1665" s="87" t="s">
        <v>1493</v>
      </c>
      <c r="C1665" s="2">
        <v>4</v>
      </c>
      <c r="D1665" s="2" t="s">
        <v>588</v>
      </c>
      <c r="E1665" s="27">
        <f>G1665+I1665+K1665</f>
        <v>0</v>
      </c>
      <c r="F1665" s="28">
        <f t="shared" si="328"/>
        <v>46009.8</v>
      </c>
      <c r="G1665" s="1"/>
      <c r="H1665" s="28">
        <v>0</v>
      </c>
      <c r="I1665" s="1"/>
      <c r="J1665" s="28">
        <v>0</v>
      </c>
      <c r="K1665" s="1"/>
      <c r="L1665" s="28">
        <f>TRUNC(((J1662+J1663+J1664)*0.04),1)</f>
        <v>46009.8</v>
      </c>
      <c r="M1665" s="86" t="s">
        <v>2856</v>
      </c>
      <c r="N1665" t="s">
        <v>2856</v>
      </c>
      <c r="P1665" t="s">
        <v>1036</v>
      </c>
      <c r="Q1665" t="s">
        <v>2856</v>
      </c>
      <c r="R1665" t="s">
        <v>2405</v>
      </c>
      <c r="X1665" t="s">
        <v>1198</v>
      </c>
      <c r="AA1665" s="42" t="s">
        <v>2127</v>
      </c>
      <c r="AB1665" s="8">
        <f>'일위대가_호표(신규)'!H1664/0.4</f>
        <v>0</v>
      </c>
      <c r="AC1665" s="42" t="s">
        <v>2369</v>
      </c>
      <c r="AD1665" s="7">
        <f>$AB1665</f>
        <v>0</v>
      </c>
    </row>
    <row r="1666" spans="1:61" ht="18.399999999999999" hidden="1" customHeight="1" x14ac:dyDescent="0.15">
      <c r="A1666" s="2" t="s">
        <v>381</v>
      </c>
      <c r="B1666" s="87" t="s">
        <v>2856</v>
      </c>
      <c r="C1666" s="2"/>
      <c r="D1666" s="2" t="s">
        <v>2856</v>
      </c>
      <c r="E1666" s="27">
        <f>G1666+I1666+K1666</f>
        <v>0</v>
      </c>
      <c r="F1666" s="28">
        <f t="shared" si="328"/>
        <v>417702.5</v>
      </c>
      <c r="G1666" s="1"/>
      <c r="H1666" s="28">
        <f>TRUNC((H1664/0.4),1)</f>
        <v>0</v>
      </c>
      <c r="I1666" s="1"/>
      <c r="J1666" s="28">
        <f>TRUNC((J1664/0.4),1)</f>
        <v>417702.5</v>
      </c>
      <c r="K1666" s="1"/>
      <c r="L1666" s="28">
        <f>TRUNC((L1664/0.4),1)</f>
        <v>0</v>
      </c>
      <c r="M1666" s="86" t="s">
        <v>2856</v>
      </c>
      <c r="N1666" t="s">
        <v>2856</v>
      </c>
      <c r="P1666" t="s">
        <v>286</v>
      </c>
      <c r="Q1666" t="s">
        <v>2856</v>
      </c>
      <c r="R1666" t="s">
        <v>2405</v>
      </c>
      <c r="X1666" t="s">
        <v>1453</v>
      </c>
      <c r="AA1666" s="42" t="s">
        <v>298</v>
      </c>
      <c r="AB1666" s="8">
        <f>'일위대가_호표(신규)'!J1664/0.4</f>
        <v>417702.5</v>
      </c>
      <c r="AC1666" s="42" t="s">
        <v>1123</v>
      </c>
      <c r="AD1666" s="7">
        <f>$AB1666</f>
        <v>417702.5</v>
      </c>
    </row>
    <row r="1667" spans="1:61" ht="18.399999999999999" hidden="1" customHeight="1" x14ac:dyDescent="0.15">
      <c r="A1667" s="1"/>
      <c r="B1667" s="87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87"/>
      <c r="AA1667" s="42" t="s">
        <v>917</v>
      </c>
      <c r="AB1667" s="8">
        <f>'일위대가_호표(신규)'!L1664/0.4</f>
        <v>0</v>
      </c>
      <c r="AC1667" s="42" t="s">
        <v>1546</v>
      </c>
      <c r="AD1667" s="7">
        <f>$AB1667</f>
        <v>0</v>
      </c>
    </row>
    <row r="1668" spans="1:61" ht="18.399999999999999" hidden="1" customHeight="1" x14ac:dyDescent="0.15">
      <c r="A1668" s="2" t="s">
        <v>62</v>
      </c>
      <c r="B1668" s="87" t="s">
        <v>2232</v>
      </c>
      <c r="C1668" s="2">
        <v>1</v>
      </c>
      <c r="D1668" s="2" t="s">
        <v>1202</v>
      </c>
      <c r="E1668" s="184"/>
      <c r="F1668" s="29">
        <f>H1668+J1668+L1668</f>
        <v>55826</v>
      </c>
      <c r="G1668" s="184"/>
      <c r="H1668" s="29">
        <f>TRUNC(H1672,0)</f>
        <v>0</v>
      </c>
      <c r="I1668" s="184"/>
      <c r="J1668" s="29">
        <f>TRUNC(J1672,0)</f>
        <v>55826</v>
      </c>
      <c r="K1668" s="184"/>
      <c r="L1668" s="29">
        <f>TRUNC(L1672,0)</f>
        <v>0</v>
      </c>
      <c r="M1668" s="86" t="s">
        <v>2856</v>
      </c>
      <c r="N1668" t="s">
        <v>2856</v>
      </c>
      <c r="O1668" t="s">
        <v>1522</v>
      </c>
    </row>
    <row r="1669" spans="1:61" ht="18.399999999999999" hidden="1" customHeight="1" x14ac:dyDescent="0.15">
      <c r="A1669" s="2" t="s">
        <v>905</v>
      </c>
      <c r="B1669" s="87" t="s">
        <v>2856</v>
      </c>
      <c r="C1669" s="2">
        <v>3</v>
      </c>
      <c r="D1669" s="2" t="s">
        <v>2652</v>
      </c>
      <c r="E1669" s="27">
        <f>G1669+I1669+K1669</f>
        <v>279267</v>
      </c>
      <c r="F1669" s="28">
        <f>H1669+J1669+L1669</f>
        <v>837801</v>
      </c>
      <c r="G1669" s="27">
        <v>0</v>
      </c>
      <c r="H1669" s="28"/>
      <c r="I1669" s="27">
        <f>노임!D3</f>
        <v>279267</v>
      </c>
      <c r="J1669" s="28">
        <f>TRUNC(I1669*C1669,1)</f>
        <v>837801</v>
      </c>
      <c r="K1669" s="27">
        <v>0</v>
      </c>
      <c r="L1669" s="28"/>
      <c r="M1669" s="86" t="s">
        <v>2856</v>
      </c>
      <c r="N1669" t="s">
        <v>989</v>
      </c>
      <c r="P1669" t="s">
        <v>2471</v>
      </c>
      <c r="Q1669" t="s">
        <v>1839</v>
      </c>
      <c r="R1669" t="s">
        <v>208</v>
      </c>
      <c r="BI1669" s="34" t="str">
        <f>HYPERLINK("#노임!A3","L003 →")</f>
        <v>L003 →</v>
      </c>
    </row>
    <row r="1670" spans="1:61" ht="18.399999999999999" hidden="1" customHeight="1" x14ac:dyDescent="0.15">
      <c r="A1670" s="2" t="s">
        <v>888</v>
      </c>
      <c r="B1670" s="87" t="s">
        <v>2856</v>
      </c>
      <c r="C1670" s="2">
        <v>1</v>
      </c>
      <c r="D1670" s="2" t="s">
        <v>2652</v>
      </c>
      <c r="E1670" s="27">
        <f>G1670+I1670+K1670</f>
        <v>167081</v>
      </c>
      <c r="F1670" s="28">
        <f>H1670+J1670+L1670</f>
        <v>167081</v>
      </c>
      <c r="G1670" s="27">
        <v>0</v>
      </c>
      <c r="H1670" s="28"/>
      <c r="I1670" s="27">
        <f>노임!D15</f>
        <v>167081</v>
      </c>
      <c r="J1670" s="28">
        <f>TRUNC(I1670*C1670,1)</f>
        <v>167081</v>
      </c>
      <c r="K1670" s="27">
        <v>0</v>
      </c>
      <c r="L1670" s="28"/>
      <c r="M1670" s="86" t="s">
        <v>2856</v>
      </c>
      <c r="N1670" t="s">
        <v>821</v>
      </c>
      <c r="P1670" t="s">
        <v>1741</v>
      </c>
      <c r="Q1670" t="s">
        <v>1839</v>
      </c>
      <c r="R1670" t="s">
        <v>498</v>
      </c>
      <c r="AA1670" s="42" t="s">
        <v>917</v>
      </c>
      <c r="AB1670" s="8">
        <f>('일위대가_호표(신규)'!J1669+'일위대가_호표(신규)'!J1670)*0.02</f>
        <v>20097.64</v>
      </c>
      <c r="AC1670" s="42" t="s">
        <v>1546</v>
      </c>
      <c r="AD1670" s="7">
        <f>$AB1670</f>
        <v>20097.64</v>
      </c>
      <c r="BI1670" s="34" t="str">
        <f>HYPERLINK("#노임!A15","L085 →")</f>
        <v>L085 →</v>
      </c>
    </row>
    <row r="1671" spans="1:61" ht="18.399999999999999" hidden="1" customHeight="1" x14ac:dyDescent="0.15">
      <c r="A1671" s="2" t="s">
        <v>1375</v>
      </c>
      <c r="B1671" s="87" t="s">
        <v>205</v>
      </c>
      <c r="C1671" s="2">
        <v>1</v>
      </c>
      <c r="D1671" s="2" t="s">
        <v>2303</v>
      </c>
      <c r="E1671" s="27">
        <f>G1671+I1671+K1671</f>
        <v>0</v>
      </c>
      <c r="F1671" s="28">
        <f>H1671+J1671+L1671</f>
        <v>20097.599999999999</v>
      </c>
      <c r="G1671" s="1"/>
      <c r="H1671" s="28">
        <v>0</v>
      </c>
      <c r="I1671" s="1"/>
      <c r="J1671" s="28">
        <v>0</v>
      </c>
      <c r="K1671" s="1"/>
      <c r="L1671" s="28">
        <f>TRUNC(((J1669+J1670)*0.02),1)</f>
        <v>20097.599999999999</v>
      </c>
      <c r="M1671" s="86" t="s">
        <v>2856</v>
      </c>
      <c r="N1671" t="s">
        <v>2856</v>
      </c>
      <c r="P1671" t="s">
        <v>286</v>
      </c>
      <c r="Q1671" t="s">
        <v>1839</v>
      </c>
      <c r="R1671" t="s">
        <v>2405</v>
      </c>
      <c r="X1671" t="s">
        <v>1752</v>
      </c>
      <c r="AA1671" s="42" t="s">
        <v>2127</v>
      </c>
      <c r="AB1671" s="8">
        <f>('일위대가_호표(신규)'!H1669+'일위대가_호표(신규)'!H1670)/18</f>
        <v>0</v>
      </c>
      <c r="AC1671" s="42" t="s">
        <v>2369</v>
      </c>
      <c r="AD1671" s="7">
        <f>$AB1671</f>
        <v>0</v>
      </c>
    </row>
    <row r="1672" spans="1:61" ht="18.399999999999999" hidden="1" customHeight="1" x14ac:dyDescent="0.15">
      <c r="A1672" s="2" t="s">
        <v>386</v>
      </c>
      <c r="B1672" s="87" t="s">
        <v>2856</v>
      </c>
      <c r="C1672" s="2"/>
      <c r="D1672" s="2" t="s">
        <v>2856</v>
      </c>
      <c r="E1672" s="27">
        <f>G1672+I1672+K1672</f>
        <v>0</v>
      </c>
      <c r="F1672" s="28">
        <f>H1672+J1672+L1672</f>
        <v>55826.7</v>
      </c>
      <c r="G1672" s="1"/>
      <c r="H1672" s="28">
        <f>TRUNC(((H1669+H1670)/18),1)</f>
        <v>0</v>
      </c>
      <c r="I1672" s="1"/>
      <c r="J1672" s="28">
        <f>TRUNC(((J1669+J1670)/18),1)</f>
        <v>55826.7</v>
      </c>
      <c r="K1672" s="1"/>
      <c r="L1672" s="28">
        <f>TRUNC(((L1669+L1670)/18),1)</f>
        <v>0</v>
      </c>
      <c r="M1672" s="86" t="s">
        <v>2856</v>
      </c>
      <c r="N1672" t="s">
        <v>2856</v>
      </c>
      <c r="P1672" t="s">
        <v>2428</v>
      </c>
      <c r="Q1672" t="s">
        <v>2856</v>
      </c>
      <c r="R1672" t="s">
        <v>2405</v>
      </c>
      <c r="X1672" t="s">
        <v>247</v>
      </c>
      <c r="AA1672" s="42" t="s">
        <v>298</v>
      </c>
      <c r="AB1672" s="8">
        <f>('일위대가_호표(신규)'!J1669+'일위대가_호표(신규)'!J1670)/18</f>
        <v>55826.777777777781</v>
      </c>
      <c r="AC1672" s="42" t="s">
        <v>1123</v>
      </c>
      <c r="AD1672" s="7">
        <f>$AB1672</f>
        <v>55826.777777777781</v>
      </c>
    </row>
    <row r="1673" spans="1:61" ht="18.399999999999999" hidden="1" customHeight="1" x14ac:dyDescent="0.15">
      <c r="A1673" s="1"/>
      <c r="B1673" s="87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87"/>
      <c r="AA1673" s="42" t="s">
        <v>917</v>
      </c>
      <c r="AB1673" s="8">
        <f>('일위대가_호표(신규)'!L1669+'일위대가_호표(신규)'!L1670)/18</f>
        <v>0</v>
      </c>
      <c r="AC1673" s="42" t="s">
        <v>1546</v>
      </c>
      <c r="AD1673" s="7">
        <f>$AB1673</f>
        <v>0</v>
      </c>
    </row>
    <row r="1674" spans="1:61" ht="18.399999999999999" hidden="1" customHeight="1" x14ac:dyDescent="0.15">
      <c r="A1674" s="2" t="s">
        <v>226</v>
      </c>
      <c r="B1674" s="87" t="s">
        <v>2848</v>
      </c>
      <c r="C1674" s="2">
        <v>1</v>
      </c>
      <c r="D1674" s="2" t="s">
        <v>1202</v>
      </c>
      <c r="E1674" s="184"/>
      <c r="F1674" s="29">
        <f t="shared" ref="F1674:F1680" si="329">H1674+J1674+L1674</f>
        <v>12165</v>
      </c>
      <c r="G1674" s="184"/>
      <c r="H1674" s="29">
        <f>TRUNC(H1675+H1676+H1677+H1678+H1679+H1680,0)</f>
        <v>1188</v>
      </c>
      <c r="I1674" s="184"/>
      <c r="J1674" s="29">
        <f>TRUNC(J1675+J1676+J1677+J1678+J1679+J1680,0)</f>
        <v>10762</v>
      </c>
      <c r="K1674" s="184"/>
      <c r="L1674" s="29">
        <f>TRUNC(L1675+L1676+L1677+L1678+L1679+L1680,0)</f>
        <v>215</v>
      </c>
      <c r="M1674" s="86" t="s">
        <v>2856</v>
      </c>
      <c r="N1674" t="s">
        <v>2856</v>
      </c>
      <c r="O1674" t="s">
        <v>1058</v>
      </c>
    </row>
    <row r="1675" spans="1:61" ht="18.399999999999999" hidden="1" customHeight="1" x14ac:dyDescent="0.15">
      <c r="A1675" s="2" t="s">
        <v>2235</v>
      </c>
      <c r="B1675" s="87" t="s">
        <v>2856</v>
      </c>
      <c r="C1675" s="2">
        <v>0.15</v>
      </c>
      <c r="D1675" s="2" t="s">
        <v>1674</v>
      </c>
      <c r="E1675" s="27">
        <f t="shared" ref="E1675:E1680" si="330">G1675+I1675+K1675</f>
        <v>7550</v>
      </c>
      <c r="F1675" s="28">
        <f t="shared" si="329"/>
        <v>1132.5</v>
      </c>
      <c r="G1675" s="27">
        <f>자재조서!E91</f>
        <v>7550</v>
      </c>
      <c r="H1675" s="28">
        <f>TRUNC(G1675*C1675,1)</f>
        <v>1132.5</v>
      </c>
      <c r="I1675" s="27">
        <v>0</v>
      </c>
      <c r="J1675" s="28"/>
      <c r="K1675" s="27">
        <v>0</v>
      </c>
      <c r="L1675" s="28"/>
      <c r="M1675" s="86" t="s">
        <v>2856</v>
      </c>
      <c r="N1675" t="s">
        <v>2856</v>
      </c>
      <c r="P1675" t="s">
        <v>334</v>
      </c>
      <c r="Q1675" t="s">
        <v>2856</v>
      </c>
      <c r="R1675" t="s">
        <v>1930</v>
      </c>
      <c r="BI1675" s="34" t="str">
        <f>HYPERLINK("#자재조서!A88","MI_MGL001 →")</f>
        <v>MI_MGL001 →</v>
      </c>
    </row>
    <row r="1676" spans="1:61" ht="18.399999999999999" hidden="1" customHeight="1" x14ac:dyDescent="0.15">
      <c r="A1676" s="2" t="s">
        <v>676</v>
      </c>
      <c r="B1676" s="87" t="s">
        <v>1283</v>
      </c>
      <c r="C1676" s="2">
        <v>1.7999999999999999E-2</v>
      </c>
      <c r="D1676" s="2" t="s">
        <v>2250</v>
      </c>
      <c r="E1676" s="27">
        <f t="shared" si="330"/>
        <v>2700</v>
      </c>
      <c r="F1676" s="28">
        <f t="shared" si="329"/>
        <v>48.6</v>
      </c>
      <c r="G1676" s="27">
        <f>자재조서!E10</f>
        <v>2700</v>
      </c>
      <c r="H1676" s="28">
        <f>TRUNC(G1676*C1676,1)</f>
        <v>48.6</v>
      </c>
      <c r="I1676" s="27">
        <v>0</v>
      </c>
      <c r="J1676" s="28"/>
      <c r="K1676" s="27">
        <v>0</v>
      </c>
      <c r="L1676" s="28"/>
      <c r="M1676" s="86" t="s">
        <v>2856</v>
      </c>
      <c r="N1676" t="s">
        <v>2856</v>
      </c>
      <c r="P1676" t="s">
        <v>2471</v>
      </c>
      <c r="Q1676" t="s">
        <v>2856</v>
      </c>
      <c r="R1676" t="s">
        <v>2237</v>
      </c>
      <c r="BI1676" s="34" t="str">
        <f>HYPERLINK("#자재조서!A9","M040 →")</f>
        <v>M040 →</v>
      </c>
    </row>
    <row r="1677" spans="1:61" ht="18.399999999999999" hidden="1" customHeight="1" x14ac:dyDescent="0.15">
      <c r="A1677" s="2" t="s">
        <v>528</v>
      </c>
      <c r="B1677" s="87" t="s">
        <v>2856</v>
      </c>
      <c r="C1677" s="2">
        <v>6.0000000000000001E-3</v>
      </c>
      <c r="D1677" s="2" t="s">
        <v>1627</v>
      </c>
      <c r="E1677" s="27">
        <f t="shared" si="330"/>
        <v>1196</v>
      </c>
      <c r="F1677" s="28">
        <f t="shared" si="329"/>
        <v>7.1</v>
      </c>
      <c r="G1677" s="27">
        <f>자재조서!E12</f>
        <v>1196</v>
      </c>
      <c r="H1677" s="28">
        <f>TRUNC(G1677*C1677,1)</f>
        <v>7.1</v>
      </c>
      <c r="I1677" s="27">
        <v>0</v>
      </c>
      <c r="J1677" s="28"/>
      <c r="K1677" s="27">
        <v>0</v>
      </c>
      <c r="L1677" s="28"/>
      <c r="M1677" s="86" t="s">
        <v>2856</v>
      </c>
      <c r="N1677" t="s">
        <v>2856</v>
      </c>
      <c r="P1677" t="s">
        <v>1741</v>
      </c>
      <c r="Q1677" t="s">
        <v>2856</v>
      </c>
      <c r="R1677" t="s">
        <v>114</v>
      </c>
      <c r="BI1677" s="34" t="str">
        <f>HYPERLINK("#자재조서!A11","M070 →")</f>
        <v>M070 →</v>
      </c>
    </row>
    <row r="1678" spans="1:61" ht="18.399999999999999" hidden="1" customHeight="1" x14ac:dyDescent="0.15">
      <c r="A1678" s="2" t="s">
        <v>1976</v>
      </c>
      <c r="B1678" s="87" t="s">
        <v>2856</v>
      </c>
      <c r="C1678" s="2">
        <v>3.7999999999999999E-2</v>
      </c>
      <c r="D1678" s="2" t="s">
        <v>2652</v>
      </c>
      <c r="E1678" s="27">
        <f t="shared" si="330"/>
        <v>256854</v>
      </c>
      <c r="F1678" s="28">
        <f t="shared" si="329"/>
        <v>9760.4</v>
      </c>
      <c r="G1678" s="27">
        <v>0</v>
      </c>
      <c r="H1678" s="28"/>
      <c r="I1678" s="27">
        <f>노임!D9</f>
        <v>256854</v>
      </c>
      <c r="J1678" s="28">
        <f>TRUNC(I1678*C1678,1)</f>
        <v>9760.4</v>
      </c>
      <c r="K1678" s="27">
        <v>0</v>
      </c>
      <c r="L1678" s="28"/>
      <c r="M1678" s="86" t="s">
        <v>2856</v>
      </c>
      <c r="N1678" t="s">
        <v>2282</v>
      </c>
      <c r="P1678" t="s">
        <v>1036</v>
      </c>
      <c r="Q1678" t="s">
        <v>2856</v>
      </c>
      <c r="R1678" t="s">
        <v>772</v>
      </c>
      <c r="BI1678" s="34" t="str">
        <f>HYPERLINK("#노임!A9","L032 →")</f>
        <v>L032 →</v>
      </c>
    </row>
    <row r="1679" spans="1:61" ht="18.399999999999999" hidden="1" customHeight="1" x14ac:dyDescent="0.15">
      <c r="A1679" s="2" t="s">
        <v>888</v>
      </c>
      <c r="B1679" s="87" t="s">
        <v>2856</v>
      </c>
      <c r="C1679" s="2">
        <v>6.0000000000000001E-3</v>
      </c>
      <c r="D1679" s="2" t="s">
        <v>2652</v>
      </c>
      <c r="E1679" s="27">
        <f t="shared" si="330"/>
        <v>167081</v>
      </c>
      <c r="F1679" s="28">
        <f t="shared" si="329"/>
        <v>1002.4</v>
      </c>
      <c r="G1679" s="27">
        <v>0</v>
      </c>
      <c r="H1679" s="28"/>
      <c r="I1679" s="27">
        <f>노임!D15</f>
        <v>167081</v>
      </c>
      <c r="J1679" s="28">
        <f>TRUNC(I1679*C1679,1)</f>
        <v>1002.4</v>
      </c>
      <c r="K1679" s="27">
        <v>0</v>
      </c>
      <c r="L1679" s="28"/>
      <c r="M1679" s="86" t="s">
        <v>2856</v>
      </c>
      <c r="N1679" t="s">
        <v>821</v>
      </c>
      <c r="P1679" t="s">
        <v>286</v>
      </c>
      <c r="Q1679" t="s">
        <v>2856</v>
      </c>
      <c r="R1679" t="s">
        <v>498</v>
      </c>
      <c r="AA1679" s="42" t="s">
        <v>917</v>
      </c>
      <c r="AB1679" s="8">
        <f>('일위대가_호표(신규)'!J1675+'일위대가_호표(신규)'!J1676+'일위대가_호표(신규)'!J1677+'일위대가_호표(신규)'!J1678+'일위대가_호표(신규)'!J1679)*0.02</f>
        <v>215.256</v>
      </c>
      <c r="AC1679" s="42" t="s">
        <v>1546</v>
      </c>
      <c r="AD1679" s="7">
        <f>$AB1679</f>
        <v>215.256</v>
      </c>
      <c r="BI1679" s="34" t="str">
        <f>HYPERLINK("#노임!A15","L085 →")</f>
        <v>L085 →</v>
      </c>
    </row>
    <row r="1680" spans="1:61" ht="18.399999999999999" hidden="1" customHeight="1" x14ac:dyDescent="0.15">
      <c r="A1680" s="2" t="s">
        <v>98</v>
      </c>
      <c r="B1680" s="87" t="s">
        <v>1493</v>
      </c>
      <c r="C1680" s="2">
        <v>2</v>
      </c>
      <c r="D1680" s="2" t="s">
        <v>588</v>
      </c>
      <c r="E1680" s="27">
        <f t="shared" si="330"/>
        <v>0</v>
      </c>
      <c r="F1680" s="28">
        <f t="shared" si="329"/>
        <v>215.2</v>
      </c>
      <c r="G1680" s="1"/>
      <c r="H1680" s="28">
        <v>0</v>
      </c>
      <c r="I1680" s="1"/>
      <c r="J1680" s="28">
        <v>0</v>
      </c>
      <c r="K1680" s="1"/>
      <c r="L1680" s="28">
        <f>TRUNC(((J1675+J1676+J1677+J1678+J1679)*0.02),1)</f>
        <v>215.2</v>
      </c>
      <c r="M1680" s="86" t="s">
        <v>2856</v>
      </c>
      <c r="N1680" t="s">
        <v>2856</v>
      </c>
      <c r="P1680" t="s">
        <v>2428</v>
      </c>
      <c r="Q1680" t="s">
        <v>2856</v>
      </c>
      <c r="R1680" t="s">
        <v>2405</v>
      </c>
      <c r="X1680" t="s">
        <v>779</v>
      </c>
    </row>
    <row r="1681" spans="1:61" ht="18.399999999999999" hidden="1" customHeight="1" x14ac:dyDescent="0.15">
      <c r="A1681" s="1"/>
      <c r="B1681" s="87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87"/>
    </row>
    <row r="1682" spans="1:61" ht="18.399999999999999" hidden="1" customHeight="1" x14ac:dyDescent="0.15">
      <c r="A1682" s="2" t="s">
        <v>344</v>
      </c>
      <c r="B1682" s="87" t="s">
        <v>722</v>
      </c>
      <c r="C1682" s="2">
        <v>1</v>
      </c>
      <c r="D1682" s="2" t="s">
        <v>978</v>
      </c>
      <c r="E1682" s="184"/>
      <c r="F1682" s="29">
        <f>H1682+J1682+L1682</f>
        <v>3783056</v>
      </c>
      <c r="G1682" s="184"/>
      <c r="H1682" s="29">
        <f>TRUNC(H1683+H1684,0)</f>
        <v>0</v>
      </c>
      <c r="I1682" s="184"/>
      <c r="J1682" s="29">
        <f>TRUNC(J1683+J1684,0)</f>
        <v>3783056</v>
      </c>
      <c r="K1682" s="184"/>
      <c r="L1682" s="29">
        <f>TRUNC(L1683+L1684,0)</f>
        <v>0</v>
      </c>
      <c r="M1682" s="86" t="s">
        <v>2856</v>
      </c>
      <c r="N1682" t="s">
        <v>2856</v>
      </c>
      <c r="O1682" t="s">
        <v>399</v>
      </c>
    </row>
    <row r="1683" spans="1:61" ht="18.399999999999999" hidden="1" customHeight="1" x14ac:dyDescent="0.15">
      <c r="A1683" s="2" t="s">
        <v>674</v>
      </c>
      <c r="B1683" s="87" t="s">
        <v>2856</v>
      </c>
      <c r="C1683" s="2">
        <v>15.93</v>
      </c>
      <c r="D1683" s="2" t="s">
        <v>2652</v>
      </c>
      <c r="E1683" s="27">
        <f>G1683+I1683+K1683</f>
        <v>237480</v>
      </c>
      <c r="F1683" s="28">
        <f>H1683+J1683+L1683</f>
        <v>3783056.4</v>
      </c>
      <c r="G1683" s="27">
        <v>0</v>
      </c>
      <c r="H1683" s="28"/>
      <c r="I1683" s="27">
        <f>노임!D5</f>
        <v>237480</v>
      </c>
      <c r="J1683" s="28">
        <f>TRUNC(I1683*C1683,1)</f>
        <v>3783056.4</v>
      </c>
      <c r="K1683" s="27">
        <v>0</v>
      </c>
      <c r="L1683" s="28"/>
      <c r="M1683" s="86" t="s">
        <v>2856</v>
      </c>
      <c r="N1683" t="s">
        <v>2856</v>
      </c>
      <c r="P1683" t="s">
        <v>334</v>
      </c>
      <c r="Q1683" t="s">
        <v>2856</v>
      </c>
      <c r="R1683" t="s">
        <v>111</v>
      </c>
      <c r="AA1683" s="42" t="s">
        <v>917</v>
      </c>
      <c r="AB1683" s="8">
        <f>0*0.03</f>
        <v>0</v>
      </c>
      <c r="AC1683" s="42" t="s">
        <v>1546</v>
      </c>
      <c r="AD1683" s="7">
        <f>$AB1683</f>
        <v>0</v>
      </c>
      <c r="BI1683" s="34" t="str">
        <f>HYPERLINK("#노임!A5","L007 →")</f>
        <v>L007 →</v>
      </c>
    </row>
    <row r="1684" spans="1:61" ht="18.399999999999999" hidden="1" customHeight="1" x14ac:dyDescent="0.15">
      <c r="A1684" s="2" t="s">
        <v>2380</v>
      </c>
      <c r="B1684" s="87" t="s">
        <v>1493</v>
      </c>
      <c r="C1684" s="2">
        <v>3</v>
      </c>
      <c r="D1684" s="2" t="s">
        <v>588</v>
      </c>
      <c r="E1684" s="27">
        <f>G1684+I1684+K1684</f>
        <v>0</v>
      </c>
      <c r="F1684" s="28">
        <f>H1684+J1684+L1684</f>
        <v>0</v>
      </c>
      <c r="G1684" s="1"/>
      <c r="H1684" s="28">
        <v>0</v>
      </c>
      <c r="I1684" s="1"/>
      <c r="J1684" s="28">
        <v>0</v>
      </c>
      <c r="K1684" s="1"/>
      <c r="L1684" s="28">
        <f>TRUNC((0*0.03),1)</f>
        <v>0</v>
      </c>
      <c r="M1684" s="86" t="s">
        <v>2856</v>
      </c>
      <c r="N1684" t="s">
        <v>2856</v>
      </c>
      <c r="P1684" t="s">
        <v>2471</v>
      </c>
      <c r="Q1684" t="s">
        <v>2856</v>
      </c>
      <c r="R1684" t="s">
        <v>2405</v>
      </c>
      <c r="X1684" t="s">
        <v>1679</v>
      </c>
    </row>
    <row r="1685" spans="1:61" ht="18.399999999999999" hidden="1" customHeight="1" x14ac:dyDescent="0.15">
      <c r="A1685" s="1"/>
      <c r="B1685" s="87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87"/>
    </row>
    <row r="1686" spans="1:61" ht="18.399999999999999" hidden="1" customHeight="1" x14ac:dyDescent="0.15">
      <c r="A1686" s="2" t="s">
        <v>1008</v>
      </c>
      <c r="B1686" s="87" t="s">
        <v>763</v>
      </c>
      <c r="C1686" s="2">
        <v>1</v>
      </c>
      <c r="D1686" s="2" t="s">
        <v>203</v>
      </c>
      <c r="E1686" s="184"/>
      <c r="F1686" s="29">
        <f>H1686+J1686+L1686</f>
        <v>5309</v>
      </c>
      <c r="G1686" s="184"/>
      <c r="H1686" s="29">
        <f>TRUNC(H1687+H1688,0)</f>
        <v>5000</v>
      </c>
      <c r="I1686" s="184"/>
      <c r="J1686" s="29">
        <f>TRUNC(J1687+J1688,0)</f>
        <v>309</v>
      </c>
      <c r="K1686" s="184"/>
      <c r="L1686" s="29">
        <f>TRUNC(L1687+L1688,0)</f>
        <v>0</v>
      </c>
      <c r="M1686" s="86" t="s">
        <v>2856</v>
      </c>
      <c r="N1686" t="s">
        <v>2856</v>
      </c>
      <c r="O1686" t="s">
        <v>955</v>
      </c>
    </row>
    <row r="1687" spans="1:61" ht="18.399999999999999" hidden="1" customHeight="1" x14ac:dyDescent="0.15">
      <c r="A1687" s="2" t="s">
        <v>370</v>
      </c>
      <c r="B1687" s="87" t="s">
        <v>747</v>
      </c>
      <c r="C1687" s="2">
        <v>1</v>
      </c>
      <c r="D1687" s="2" t="s">
        <v>203</v>
      </c>
      <c r="E1687" s="27">
        <f>G1687+I1687+K1687</f>
        <v>5000</v>
      </c>
      <c r="F1687" s="28">
        <f>H1687+J1687+L1687</f>
        <v>5000</v>
      </c>
      <c r="G1687" s="27">
        <f>자재조서!E116</f>
        <v>5000</v>
      </c>
      <c r="H1687" s="28">
        <f>TRUNC(G1687*C1687,1)</f>
        <v>5000</v>
      </c>
      <c r="I1687" s="27">
        <v>0</v>
      </c>
      <c r="J1687" s="28"/>
      <c r="K1687" s="27">
        <v>0</v>
      </c>
      <c r="L1687" s="28"/>
      <c r="M1687" s="86" t="s">
        <v>2856</v>
      </c>
      <c r="N1687" t="s">
        <v>2856</v>
      </c>
      <c r="P1687" t="s">
        <v>334</v>
      </c>
      <c r="Q1687" t="s">
        <v>2856</v>
      </c>
      <c r="R1687" t="s">
        <v>2117</v>
      </c>
      <c r="BI1687" s="34" t="str">
        <f>HYPERLINK("#자재조서!A111","MT-1181G →")</f>
        <v>MT-1181G →</v>
      </c>
    </row>
    <row r="1688" spans="1:61" ht="18.399999999999999" hidden="1" customHeight="1" x14ac:dyDescent="0.15">
      <c r="A1688" s="2" t="s">
        <v>655</v>
      </c>
      <c r="B1688" s="87" t="s">
        <v>1641</v>
      </c>
      <c r="C1688" s="2">
        <v>1</v>
      </c>
      <c r="D1688" s="2" t="s">
        <v>203</v>
      </c>
      <c r="E1688" s="27">
        <f>G1688+I1688+K1688</f>
        <v>309</v>
      </c>
      <c r="F1688" s="28">
        <f>H1688+J1688+L1688</f>
        <v>309</v>
      </c>
      <c r="G1688" s="27">
        <f>일위대가목록!F233</f>
        <v>0</v>
      </c>
      <c r="H1688" s="28">
        <f>TRUNC(G1688*C1688,1)</f>
        <v>0</v>
      </c>
      <c r="I1688" s="27">
        <f>일위대가목록!H233</f>
        <v>309</v>
      </c>
      <c r="J1688" s="28">
        <f>TRUNC(I1688*C1688,1)</f>
        <v>309</v>
      </c>
      <c r="K1688" s="27">
        <f>일위대가목록!J233</f>
        <v>0</v>
      </c>
      <c r="L1688" s="28">
        <f>TRUNC(K1688*C1688,1)</f>
        <v>0</v>
      </c>
      <c r="M1688" s="86" t="s">
        <v>2856</v>
      </c>
      <c r="N1688" t="s">
        <v>2856</v>
      </c>
      <c r="P1688" t="s">
        <v>2471</v>
      </c>
      <c r="Q1688" t="s">
        <v>2856</v>
      </c>
      <c r="R1688" t="s">
        <v>475</v>
      </c>
      <c r="T1688" t="s">
        <v>1778</v>
      </c>
      <c r="BI1688" s="34" t="str">
        <f>HYPERLINK("#일위대가목록!A228","NT0960 →")</f>
        <v>NT0960 →</v>
      </c>
    </row>
    <row r="1689" spans="1:61" ht="18.399999999999999" hidden="1" customHeight="1" x14ac:dyDescent="0.15">
      <c r="A1689" s="2" t="s">
        <v>261</v>
      </c>
      <c r="B1689" s="87" t="s">
        <v>2437</v>
      </c>
      <c r="C1689" s="2">
        <v>0.1</v>
      </c>
      <c r="D1689" s="2" t="s">
        <v>1674</v>
      </c>
      <c r="E1689" s="27">
        <f>G1689+I1689+K1689</f>
        <v>433</v>
      </c>
      <c r="F1689" s="28">
        <f>H1689+J1689+L1689</f>
        <v>43.3</v>
      </c>
      <c r="G1689" s="27">
        <f>자재조서!E129</f>
        <v>433</v>
      </c>
      <c r="H1689" s="28">
        <f>TRUNC(G1689*C1689,1)</f>
        <v>43.3</v>
      </c>
      <c r="I1689" s="27">
        <v>0</v>
      </c>
      <c r="J1689" s="28"/>
      <c r="K1689" s="27">
        <v>0</v>
      </c>
      <c r="L1689" s="28"/>
      <c r="M1689" s="86" t="s">
        <v>1601</v>
      </c>
      <c r="N1689" t="s">
        <v>2856</v>
      </c>
      <c r="P1689" t="s">
        <v>1741</v>
      </c>
      <c r="Q1689" t="s">
        <v>1839</v>
      </c>
      <c r="R1689" t="s">
        <v>1422</v>
      </c>
      <c r="W1689" t="s">
        <v>1601</v>
      </c>
      <c r="BI1689" s="34" t="str">
        <f>HYPERLINK("#자재조서!A123","MTP-010 →")</f>
        <v>MTP-010 →</v>
      </c>
    </row>
    <row r="1690" spans="1:61" ht="18.399999999999999" hidden="1" customHeight="1" x14ac:dyDescent="0.15">
      <c r="A1690" s="1"/>
      <c r="B1690" s="87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87"/>
    </row>
    <row r="1691" spans="1:61" ht="18.399999999999999" hidden="1" customHeight="1" x14ac:dyDescent="0.15">
      <c r="A1691" s="2" t="s">
        <v>404</v>
      </c>
      <c r="B1691" s="87" t="s">
        <v>422</v>
      </c>
      <c r="C1691" s="2">
        <v>1</v>
      </c>
      <c r="D1691" s="2" t="s">
        <v>203</v>
      </c>
      <c r="E1691" s="184"/>
      <c r="F1691" s="29">
        <f>H1691+J1691+L1691</f>
        <v>1809</v>
      </c>
      <c r="G1691" s="184"/>
      <c r="H1691" s="29">
        <f>TRUNC(H1692+H1693,0)</f>
        <v>1500</v>
      </c>
      <c r="I1691" s="184"/>
      <c r="J1691" s="29">
        <f>TRUNC(J1692+J1693,0)</f>
        <v>309</v>
      </c>
      <c r="K1691" s="184"/>
      <c r="L1691" s="29">
        <f>TRUNC(L1692+L1693,0)</f>
        <v>0</v>
      </c>
      <c r="M1691" s="86" t="s">
        <v>2856</v>
      </c>
      <c r="N1691" t="s">
        <v>2856</v>
      </c>
      <c r="O1691" t="s">
        <v>424</v>
      </c>
    </row>
    <row r="1692" spans="1:61" ht="18.399999999999999" hidden="1" customHeight="1" x14ac:dyDescent="0.15">
      <c r="A1692" s="2" t="s">
        <v>1591</v>
      </c>
      <c r="B1692" s="87" t="s">
        <v>422</v>
      </c>
      <c r="C1692" s="2">
        <v>1</v>
      </c>
      <c r="D1692" s="2" t="s">
        <v>203</v>
      </c>
      <c r="E1692" s="27">
        <f>G1692+I1692+K1692</f>
        <v>1500</v>
      </c>
      <c r="F1692" s="28">
        <f>H1692+J1692+L1692</f>
        <v>1500</v>
      </c>
      <c r="G1692" s="27">
        <f>자재조서!E41</f>
        <v>1500</v>
      </c>
      <c r="H1692" s="28">
        <f>TRUNC(G1692*C1692,1)</f>
        <v>1500</v>
      </c>
      <c r="I1692" s="27">
        <v>0</v>
      </c>
      <c r="J1692" s="28"/>
      <c r="K1692" s="27">
        <v>0</v>
      </c>
      <c r="L1692" s="28"/>
      <c r="M1692" s="86" t="s">
        <v>2856</v>
      </c>
      <c r="N1692" t="s">
        <v>2856</v>
      </c>
      <c r="P1692" t="s">
        <v>1741</v>
      </c>
      <c r="Q1692" t="s">
        <v>2856</v>
      </c>
      <c r="R1692" t="s">
        <v>1223</v>
      </c>
      <c r="BI1692" s="34" t="str">
        <f>HYPERLINK("#자재조서!A40","M25200011 →")</f>
        <v>M25200011 →</v>
      </c>
    </row>
    <row r="1693" spans="1:61" ht="18.399999999999999" hidden="1" customHeight="1" x14ac:dyDescent="0.15">
      <c r="A1693" s="2" t="s">
        <v>655</v>
      </c>
      <c r="B1693" s="87" t="s">
        <v>1641</v>
      </c>
      <c r="C1693" s="2">
        <v>1</v>
      </c>
      <c r="D1693" s="2" t="s">
        <v>203</v>
      </c>
      <c r="E1693" s="27">
        <f>G1693+I1693+K1693</f>
        <v>309</v>
      </c>
      <c r="F1693" s="28">
        <f>H1693+J1693+L1693</f>
        <v>309</v>
      </c>
      <c r="G1693" s="27">
        <f>일위대가목록!F233</f>
        <v>0</v>
      </c>
      <c r="H1693" s="28">
        <f>TRUNC(G1693*C1693,1)</f>
        <v>0</v>
      </c>
      <c r="I1693" s="27">
        <f>일위대가목록!H233</f>
        <v>309</v>
      </c>
      <c r="J1693" s="28">
        <f>TRUNC(I1693*C1693,1)</f>
        <v>309</v>
      </c>
      <c r="K1693" s="27">
        <f>일위대가목록!J233</f>
        <v>0</v>
      </c>
      <c r="L1693" s="28">
        <f>TRUNC(K1693*C1693,1)</f>
        <v>0</v>
      </c>
      <c r="M1693" s="86" t="s">
        <v>2856</v>
      </c>
      <c r="N1693" t="s">
        <v>2856</v>
      </c>
      <c r="P1693" t="s">
        <v>1036</v>
      </c>
      <c r="Q1693" t="s">
        <v>2856</v>
      </c>
      <c r="R1693" t="s">
        <v>475</v>
      </c>
      <c r="T1693" t="s">
        <v>1778</v>
      </c>
      <c r="BI1693" s="34" t="str">
        <f>HYPERLINK("#일위대가목록!A228","NT0960 →")</f>
        <v>NT0960 →</v>
      </c>
    </row>
    <row r="1694" spans="1:61" ht="18.399999999999999" hidden="1" customHeight="1" x14ac:dyDescent="0.15">
      <c r="A1694" s="2" t="s">
        <v>261</v>
      </c>
      <c r="B1694" s="87" t="s">
        <v>2437</v>
      </c>
      <c r="C1694" s="2">
        <v>0.1</v>
      </c>
      <c r="D1694" s="2" t="s">
        <v>1674</v>
      </c>
      <c r="E1694" s="27">
        <f>G1694+I1694+K1694</f>
        <v>433</v>
      </c>
      <c r="F1694" s="28">
        <f>H1694+J1694+L1694</f>
        <v>43.3</v>
      </c>
      <c r="G1694" s="27">
        <f>자재조서!E129</f>
        <v>433</v>
      </c>
      <c r="H1694" s="28">
        <f>TRUNC(G1694*C1694,1)</f>
        <v>43.3</v>
      </c>
      <c r="I1694" s="27">
        <v>0</v>
      </c>
      <c r="J1694" s="28"/>
      <c r="K1694" s="27">
        <v>0</v>
      </c>
      <c r="L1694" s="28"/>
      <c r="M1694" s="86" t="s">
        <v>1601</v>
      </c>
      <c r="N1694" t="s">
        <v>2856</v>
      </c>
      <c r="P1694" t="s">
        <v>286</v>
      </c>
      <c r="Q1694" t="s">
        <v>1839</v>
      </c>
      <c r="R1694" t="s">
        <v>1422</v>
      </c>
      <c r="W1694" t="s">
        <v>1601</v>
      </c>
      <c r="BI1694" s="34" t="str">
        <f>HYPERLINK("#자재조서!A123","MTP-010 →")</f>
        <v>MTP-010 →</v>
      </c>
    </row>
    <row r="1695" spans="1:61" ht="18.399999999999999" hidden="1" customHeight="1" x14ac:dyDescent="0.15">
      <c r="A1695" s="1"/>
      <c r="B1695" s="87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87"/>
    </row>
    <row r="1696" spans="1:61" ht="18.399999999999999" hidden="1" customHeight="1" x14ac:dyDescent="0.15">
      <c r="A1696" s="2" t="s">
        <v>2755</v>
      </c>
      <c r="B1696" s="87" t="s">
        <v>2445</v>
      </c>
      <c r="C1696" s="2">
        <v>1</v>
      </c>
      <c r="D1696" s="2" t="s">
        <v>1796</v>
      </c>
      <c r="E1696" s="184"/>
      <c r="F1696" s="29">
        <f>H1696+J1696+L1696</f>
        <v>30163</v>
      </c>
      <c r="G1696" s="184"/>
      <c r="H1696" s="29">
        <f>TRUNC(H1697+H1698,0)</f>
        <v>10103</v>
      </c>
      <c r="I1696" s="184"/>
      <c r="J1696" s="29">
        <f>TRUNC(J1697+J1698,0)</f>
        <v>17899</v>
      </c>
      <c r="K1696" s="184"/>
      <c r="L1696" s="29">
        <f>TRUNC(L1697+L1698,0)</f>
        <v>2161</v>
      </c>
      <c r="M1696" s="86" t="s">
        <v>2856</v>
      </c>
      <c r="N1696" t="s">
        <v>2856</v>
      </c>
      <c r="O1696" t="s">
        <v>1723</v>
      </c>
    </row>
    <row r="1697" spans="1:61" ht="18.399999999999999" hidden="1" customHeight="1" x14ac:dyDescent="0.15">
      <c r="A1697" s="2" t="s">
        <v>845</v>
      </c>
      <c r="B1697" s="87" t="s">
        <v>715</v>
      </c>
      <c r="C1697" s="2">
        <v>0.21</v>
      </c>
      <c r="D1697" s="2" t="s">
        <v>978</v>
      </c>
      <c r="E1697" s="27">
        <f>G1697+I1697+K1697</f>
        <v>40000</v>
      </c>
      <c r="F1697" s="28">
        <f>H1697+J1697+L1697</f>
        <v>8400</v>
      </c>
      <c r="G1697" s="27">
        <f>자재조서!E119</f>
        <v>40000</v>
      </c>
      <c r="H1697" s="28">
        <f>TRUNC(G1697*C1697,1)</f>
        <v>8400</v>
      </c>
      <c r="I1697" s="27">
        <v>0</v>
      </c>
      <c r="J1697" s="28"/>
      <c r="K1697" s="27">
        <v>0</v>
      </c>
      <c r="L1697" s="28"/>
      <c r="M1697" s="86" t="s">
        <v>2856</v>
      </c>
      <c r="N1697" t="s">
        <v>2856</v>
      </c>
      <c r="P1697" t="s">
        <v>334</v>
      </c>
      <c r="Q1697" t="s">
        <v>2856</v>
      </c>
      <c r="R1697" t="s">
        <v>2571</v>
      </c>
      <c r="BI1697" s="34" t="str">
        <f>HYPERLINK("#자재조서!A114","MT-57 →")</f>
        <v>MT-57 →</v>
      </c>
    </row>
    <row r="1698" spans="1:61" ht="18.399999999999999" hidden="1" customHeight="1" x14ac:dyDescent="0.15">
      <c r="A1698" s="2" t="s">
        <v>378</v>
      </c>
      <c r="B1698" s="87" t="s">
        <v>2856</v>
      </c>
      <c r="C1698" s="2">
        <v>0.16</v>
      </c>
      <c r="D1698" s="2" t="s">
        <v>978</v>
      </c>
      <c r="E1698" s="27">
        <f>G1698+I1698+K1698</f>
        <v>136025</v>
      </c>
      <c r="F1698" s="28">
        <f>H1698+J1698+L1698</f>
        <v>21763.9</v>
      </c>
      <c r="G1698" s="27">
        <f>일위대가목록!F238</f>
        <v>10644</v>
      </c>
      <c r="H1698" s="28">
        <f>TRUNC(G1698*C1698,1)</f>
        <v>1703</v>
      </c>
      <c r="I1698" s="27">
        <f>일위대가목록!H238</f>
        <v>111869</v>
      </c>
      <c r="J1698" s="28">
        <f>TRUNC(I1698*C1698,1)</f>
        <v>17899</v>
      </c>
      <c r="K1698" s="27">
        <f>일위대가목록!J238</f>
        <v>13512</v>
      </c>
      <c r="L1698" s="28">
        <f>TRUNC(K1698*C1698,1)</f>
        <v>2161.9</v>
      </c>
      <c r="M1698" s="86" t="s">
        <v>2856</v>
      </c>
      <c r="N1698" t="s">
        <v>2856</v>
      </c>
      <c r="P1698" t="s">
        <v>2471</v>
      </c>
      <c r="Q1698" t="s">
        <v>2856</v>
      </c>
      <c r="R1698" t="s">
        <v>2735</v>
      </c>
      <c r="T1698" t="s">
        <v>1778</v>
      </c>
      <c r="BI1698" s="34" t="str">
        <f>HYPERLINK("#일위대가목록!A233","NT9460 →")</f>
        <v>NT9460 →</v>
      </c>
    </row>
    <row r="1699" spans="1:61" ht="18.399999999999999" hidden="1" customHeight="1" x14ac:dyDescent="0.15">
      <c r="A1699" s="1"/>
      <c r="B1699" s="87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87"/>
    </row>
    <row r="1700" spans="1:61" ht="18.399999999999999" hidden="1" customHeight="1" x14ac:dyDescent="0.15">
      <c r="A1700" s="2" t="s">
        <v>1683</v>
      </c>
      <c r="B1700" s="87" t="s">
        <v>469</v>
      </c>
      <c r="C1700" s="2">
        <v>1</v>
      </c>
      <c r="D1700" s="2" t="s">
        <v>1202</v>
      </c>
      <c r="E1700" s="184"/>
      <c r="F1700" s="29">
        <f t="shared" ref="F1700:F1707" si="331">H1700+J1700+L1700</f>
        <v>16049</v>
      </c>
      <c r="G1700" s="184"/>
      <c r="H1700" s="29">
        <f>TRUNC(H1707,0)</f>
        <v>510</v>
      </c>
      <c r="I1700" s="184"/>
      <c r="J1700" s="29">
        <f>TRUNC(J1707,0)</f>
        <v>6958</v>
      </c>
      <c r="K1700" s="184"/>
      <c r="L1700" s="29">
        <f>TRUNC(L1707,0)</f>
        <v>8581</v>
      </c>
      <c r="M1700" s="86" t="s">
        <v>2856</v>
      </c>
      <c r="N1700" t="s">
        <v>2856</v>
      </c>
      <c r="O1700" t="s">
        <v>131</v>
      </c>
    </row>
    <row r="1701" spans="1:61" ht="18.399999999999999" hidden="1" customHeight="1" x14ac:dyDescent="0.15">
      <c r="A1701" s="2" t="s">
        <v>531</v>
      </c>
      <c r="B1701" s="87" t="s">
        <v>2856</v>
      </c>
      <c r="C1701" s="2">
        <v>3</v>
      </c>
      <c r="D1701" s="2" t="s">
        <v>2652</v>
      </c>
      <c r="E1701" s="27">
        <f t="shared" ref="E1701:E1707" si="332">G1701+I1701+K1701</f>
        <v>266931</v>
      </c>
      <c r="F1701" s="28">
        <f t="shared" si="331"/>
        <v>800793</v>
      </c>
      <c r="G1701" s="27">
        <v>0</v>
      </c>
      <c r="H1701" s="28"/>
      <c r="I1701" s="27">
        <f>노임!D10</f>
        <v>266931</v>
      </c>
      <c r="J1701" s="28">
        <f>TRUNC(I1701*C1701,1)</f>
        <v>800793</v>
      </c>
      <c r="K1701" s="27">
        <v>0</v>
      </c>
      <c r="L1701" s="28"/>
      <c r="M1701" s="86" t="s">
        <v>2856</v>
      </c>
      <c r="N1701" t="s">
        <v>2396</v>
      </c>
      <c r="P1701" t="s">
        <v>334</v>
      </c>
      <c r="Q1701" t="s">
        <v>1839</v>
      </c>
      <c r="R1701" t="s">
        <v>642</v>
      </c>
      <c r="BI1701" s="34" t="str">
        <f>HYPERLINK("#노임!A10","L041 →")</f>
        <v>L041 →</v>
      </c>
    </row>
    <row r="1702" spans="1:61" ht="18.399999999999999" hidden="1" customHeight="1" x14ac:dyDescent="0.15">
      <c r="A1702" s="2" t="s">
        <v>937</v>
      </c>
      <c r="B1702" s="87" t="s">
        <v>2388</v>
      </c>
      <c r="C1702" s="2">
        <v>1</v>
      </c>
      <c r="D1702" s="2" t="s">
        <v>2652</v>
      </c>
      <c r="E1702" s="27">
        <f t="shared" si="332"/>
        <v>219321</v>
      </c>
      <c r="F1702" s="28">
        <f t="shared" si="331"/>
        <v>219321</v>
      </c>
      <c r="G1702" s="27">
        <v>0</v>
      </c>
      <c r="H1702" s="28"/>
      <c r="I1702" s="27">
        <f>노임!D14</f>
        <v>219321</v>
      </c>
      <c r="J1702" s="28">
        <f>TRUNC(I1702*C1702,1)</f>
        <v>219321</v>
      </c>
      <c r="K1702" s="27">
        <v>0</v>
      </c>
      <c r="L1702" s="28"/>
      <c r="M1702" s="86" t="s">
        <v>2856</v>
      </c>
      <c r="N1702" t="s">
        <v>1742</v>
      </c>
      <c r="P1702" t="s">
        <v>2471</v>
      </c>
      <c r="Q1702" t="s">
        <v>1839</v>
      </c>
      <c r="R1702" t="s">
        <v>2068</v>
      </c>
      <c r="BI1702" s="34" t="str">
        <f>HYPERLINK("#노임!A14","L084 →")</f>
        <v>L084 →</v>
      </c>
    </row>
    <row r="1703" spans="1:61" ht="18.399999999999999" hidden="1" customHeight="1" x14ac:dyDescent="0.15">
      <c r="A1703" s="2" t="s">
        <v>888</v>
      </c>
      <c r="B1703" s="87" t="s">
        <v>2856</v>
      </c>
      <c r="C1703" s="2">
        <v>2</v>
      </c>
      <c r="D1703" s="2" t="s">
        <v>2652</v>
      </c>
      <c r="E1703" s="27">
        <f t="shared" si="332"/>
        <v>167081</v>
      </c>
      <c r="F1703" s="28">
        <f t="shared" si="331"/>
        <v>334162</v>
      </c>
      <c r="G1703" s="27">
        <v>0</v>
      </c>
      <c r="H1703" s="28"/>
      <c r="I1703" s="27">
        <f>노임!D15</f>
        <v>167081</v>
      </c>
      <c r="J1703" s="28">
        <f>TRUNC(I1703*C1703,1)</f>
        <v>334162</v>
      </c>
      <c r="K1703" s="27">
        <v>0</v>
      </c>
      <c r="L1703" s="28"/>
      <c r="M1703" s="86" t="s">
        <v>2856</v>
      </c>
      <c r="N1703" t="s">
        <v>821</v>
      </c>
      <c r="P1703" t="s">
        <v>1741</v>
      </c>
      <c r="Q1703" t="s">
        <v>1839</v>
      </c>
      <c r="R1703" t="s">
        <v>498</v>
      </c>
      <c r="BI1703" s="34" t="str">
        <f>HYPERLINK("#노임!A15","L085 →")</f>
        <v>L085 →</v>
      </c>
    </row>
    <row r="1704" spans="1:61" ht="18.399999999999999" hidden="1" customHeight="1" x14ac:dyDescent="0.15">
      <c r="A1704" s="2" t="s">
        <v>613</v>
      </c>
      <c r="B1704" s="87" t="s">
        <v>2414</v>
      </c>
      <c r="C1704" s="2">
        <v>8</v>
      </c>
      <c r="D1704" s="2" t="s">
        <v>2377</v>
      </c>
      <c r="E1704" s="27">
        <f t="shared" si="332"/>
        <v>37230</v>
      </c>
      <c r="F1704" s="28">
        <f t="shared" si="331"/>
        <v>297840</v>
      </c>
      <c r="G1704" s="27">
        <f>중기사용료목록!E7</f>
        <v>1845</v>
      </c>
      <c r="H1704" s="28">
        <f>TRUNC(G1704*C1704,1)</f>
        <v>14760</v>
      </c>
      <c r="I1704" s="27">
        <f>중기사용료목록!F7</f>
        <v>34803</v>
      </c>
      <c r="J1704" s="28">
        <f>TRUNC(I1704*C1704,1)</f>
        <v>278424</v>
      </c>
      <c r="K1704" s="27">
        <f>중기사용료목록!G7</f>
        <v>582</v>
      </c>
      <c r="L1704" s="28">
        <f>TRUNC(K1704*C1704,1)</f>
        <v>4656</v>
      </c>
      <c r="M1704" s="86" t="s">
        <v>2856</v>
      </c>
      <c r="N1704" t="s">
        <v>2856</v>
      </c>
      <c r="P1704" t="s">
        <v>1036</v>
      </c>
      <c r="Q1704" t="s">
        <v>1839</v>
      </c>
      <c r="R1704" t="s">
        <v>864</v>
      </c>
      <c r="BI1704" s="34" t="str">
        <f>HYPERLINK("#중기사용료목록!A7","E0017300015 →")</f>
        <v>E0017300015 →</v>
      </c>
    </row>
    <row r="1705" spans="1:61" ht="18.399999999999999" hidden="1" customHeight="1" x14ac:dyDescent="0.15">
      <c r="A1705" s="2" t="s">
        <v>1613</v>
      </c>
      <c r="B1705" s="87" t="s">
        <v>986</v>
      </c>
      <c r="C1705" s="2">
        <v>8</v>
      </c>
      <c r="D1705" s="2" t="s">
        <v>2377</v>
      </c>
      <c r="E1705" s="27">
        <f t="shared" si="332"/>
        <v>96128</v>
      </c>
      <c r="F1705" s="28">
        <f t="shared" si="331"/>
        <v>769024</v>
      </c>
      <c r="G1705" s="27">
        <f>중기사용료목록!E4</f>
        <v>17297</v>
      </c>
      <c r="H1705" s="28">
        <f>TRUNC(G1705*C1705,1)</f>
        <v>138376</v>
      </c>
      <c r="I1705" s="27">
        <f>중기사용료목록!F4</f>
        <v>56874</v>
      </c>
      <c r="J1705" s="28">
        <f>TRUNC(I1705*C1705,1)</f>
        <v>454992</v>
      </c>
      <c r="K1705" s="27">
        <f>중기사용료목록!G4</f>
        <v>21957</v>
      </c>
      <c r="L1705" s="28">
        <f>TRUNC(K1705*C1705,1)</f>
        <v>175656</v>
      </c>
      <c r="M1705" s="86" t="s">
        <v>2856</v>
      </c>
      <c r="N1705" t="s">
        <v>2856</v>
      </c>
      <c r="P1705" t="s">
        <v>286</v>
      </c>
      <c r="Q1705" t="s">
        <v>1839</v>
      </c>
      <c r="R1705" t="s">
        <v>361</v>
      </c>
      <c r="AA1705" s="42" t="s">
        <v>917</v>
      </c>
      <c r="AB1705" s="8">
        <f>('일위대가_호표(신규)'!J1701+'일위대가_호표(신규)'!J1702+'일위대가_호표(신규)'!J1703)*2/100</f>
        <v>27085.52</v>
      </c>
      <c r="AC1705" s="42" t="s">
        <v>1546</v>
      </c>
      <c r="AD1705" s="7">
        <f>$AB1705</f>
        <v>27085.52</v>
      </c>
      <c r="BI1705" s="34" t="str">
        <f>HYPERLINK("#중기사용료목록!A4","E0002010060 →")</f>
        <v>E0002010060 →</v>
      </c>
    </row>
    <row r="1706" spans="1:61" ht="18.399999999999999" hidden="1" customHeight="1" x14ac:dyDescent="0.15">
      <c r="A1706" s="2" t="s">
        <v>2627</v>
      </c>
      <c r="B1706" s="87" t="s">
        <v>1493</v>
      </c>
      <c r="C1706" s="2">
        <v>2</v>
      </c>
      <c r="D1706" s="2" t="s">
        <v>588</v>
      </c>
      <c r="E1706" s="27">
        <f t="shared" si="332"/>
        <v>0</v>
      </c>
      <c r="F1706" s="28">
        <f t="shared" si="331"/>
        <v>27085.5</v>
      </c>
      <c r="G1706" s="1"/>
      <c r="H1706" s="28">
        <v>0</v>
      </c>
      <c r="I1706" s="1"/>
      <c r="J1706" s="28">
        <v>0</v>
      </c>
      <c r="K1706" s="1"/>
      <c r="L1706" s="28">
        <f>TRUNC(((J1701+J1702+J1703)*2/100),1)</f>
        <v>27085.5</v>
      </c>
      <c r="M1706" s="86" t="s">
        <v>2856</v>
      </c>
      <c r="N1706" t="s">
        <v>2856</v>
      </c>
      <c r="P1706" t="s">
        <v>2428</v>
      </c>
      <c r="Q1706" t="s">
        <v>1839</v>
      </c>
      <c r="R1706" t="s">
        <v>2405</v>
      </c>
      <c r="X1706" t="s">
        <v>443</v>
      </c>
      <c r="AA1706" s="42" t="s">
        <v>2127</v>
      </c>
      <c r="AB1706" s="8">
        <f>('일위대가_호표(신규)'!H1701+'일위대가_호표(신규)'!H1702+'일위대가_호표(신규)'!H1703+'일위대가_호표(신규)'!H1704+'일위대가_호표(신규)'!H1705+('일위대가_호표(신규)'!H1706*전역변수!C6))/300</f>
        <v>510.45333333333332</v>
      </c>
      <c r="AC1706" s="42" t="s">
        <v>2369</v>
      </c>
      <c r="AD1706" s="7">
        <f>$AB1706</f>
        <v>510.45333333333332</v>
      </c>
    </row>
    <row r="1707" spans="1:61" ht="18.399999999999999" hidden="1" customHeight="1" x14ac:dyDescent="0.15">
      <c r="A1707" s="2" t="s">
        <v>2820</v>
      </c>
      <c r="B1707" s="87" t="s">
        <v>2856</v>
      </c>
      <c r="C1707" s="2">
        <v>1</v>
      </c>
      <c r="D1707" s="2" t="s">
        <v>2303</v>
      </c>
      <c r="E1707" s="27">
        <f t="shared" si="332"/>
        <v>0</v>
      </c>
      <c r="F1707" s="28">
        <f t="shared" si="331"/>
        <v>16050.4</v>
      </c>
      <c r="G1707" s="1"/>
      <c r="H1707" s="28">
        <f>TRUNC(((H1701+H1702+H1703+H1704+H1705+(H1706*전역변수!C6))/300),1)</f>
        <v>510.4</v>
      </c>
      <c r="I1707" s="1"/>
      <c r="J1707" s="28">
        <f>TRUNC(((J1701+J1702+J1703+J1704+J1705+(J1706*전역변수!C6))/300),1)</f>
        <v>6958.9</v>
      </c>
      <c r="K1707" s="1"/>
      <c r="L1707" s="28">
        <f>TRUNC(((L1701+L1702+L1703+L1704+L1705+(L1706*전역변수!C6))/300),1)</f>
        <v>8581.1</v>
      </c>
      <c r="M1707" s="86" t="s">
        <v>2856</v>
      </c>
      <c r="N1707" t="s">
        <v>2856</v>
      </c>
      <c r="P1707" t="s">
        <v>1686</v>
      </c>
      <c r="Q1707" t="s">
        <v>2856</v>
      </c>
      <c r="R1707" t="s">
        <v>2405</v>
      </c>
      <c r="X1707" t="s">
        <v>1967</v>
      </c>
      <c r="AA1707" s="42" t="s">
        <v>298</v>
      </c>
      <c r="AB1707" s="8">
        <f>('일위대가_호표(신규)'!J1701+'일위대가_호표(신규)'!J1702+'일위대가_호표(신규)'!J1703+'일위대가_호표(신규)'!J1704+'일위대가_호표(신규)'!J1705+('일위대가_호표(신규)'!J1706*전역변수!C6))/300</f>
        <v>6958.9733333333334</v>
      </c>
      <c r="AC1707" s="42" t="s">
        <v>1123</v>
      </c>
      <c r="AD1707" s="7">
        <f>$AB1707</f>
        <v>6958.9733333333334</v>
      </c>
    </row>
    <row r="1708" spans="1:61" ht="18.399999999999999" hidden="1" customHeight="1" x14ac:dyDescent="0.15">
      <c r="A1708" s="1"/>
      <c r="B1708" s="87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87"/>
      <c r="AA1708" s="42" t="s">
        <v>917</v>
      </c>
      <c r="AB1708" s="8">
        <f>('일위대가_호표(신규)'!L1701+'일위대가_호표(신규)'!L1702+'일위대가_호표(신규)'!L1703+'일위대가_호표(신규)'!L1704+'일위대가_호표(신규)'!L1705+('일위대가_호표(신규)'!L1706*전역변수!C6))/300</f>
        <v>8581.1505799999995</v>
      </c>
      <c r="AC1708" s="42" t="s">
        <v>1546</v>
      </c>
      <c r="AD1708" s="7">
        <f>$AB1708</f>
        <v>8581.1505799999995</v>
      </c>
    </row>
    <row r="1709" spans="1:61" ht="18.399999999999999" hidden="1" customHeight="1" x14ac:dyDescent="0.15">
      <c r="A1709" s="2" t="s">
        <v>506</v>
      </c>
      <c r="B1709" s="87" t="s">
        <v>469</v>
      </c>
      <c r="C1709" s="2">
        <v>1</v>
      </c>
      <c r="D1709" s="2" t="s">
        <v>1202</v>
      </c>
      <c r="E1709" s="184"/>
      <c r="F1709" s="29">
        <f t="shared" ref="F1709:F1716" si="333">H1709+J1709+L1709</f>
        <v>25341</v>
      </c>
      <c r="G1709" s="184"/>
      <c r="H1709" s="29">
        <f>TRUNC(H1716,0)</f>
        <v>805</v>
      </c>
      <c r="I1709" s="184"/>
      <c r="J1709" s="29">
        <f>TRUNC(J1716,0)</f>
        <v>10987</v>
      </c>
      <c r="K1709" s="184"/>
      <c r="L1709" s="29">
        <f>TRUNC(L1716,0)</f>
        <v>13549</v>
      </c>
      <c r="M1709" s="86" t="s">
        <v>2856</v>
      </c>
      <c r="N1709" t="s">
        <v>2856</v>
      </c>
      <c r="O1709" t="s">
        <v>2529</v>
      </c>
    </row>
    <row r="1710" spans="1:61" ht="18.399999999999999" hidden="1" customHeight="1" x14ac:dyDescent="0.15">
      <c r="A1710" s="2" t="s">
        <v>531</v>
      </c>
      <c r="B1710" s="87" t="s">
        <v>2856</v>
      </c>
      <c r="C1710" s="2">
        <v>3</v>
      </c>
      <c r="D1710" s="2" t="s">
        <v>2652</v>
      </c>
      <c r="E1710" s="27">
        <f t="shared" ref="E1710:E1716" si="334">G1710+I1710+K1710</f>
        <v>266931</v>
      </c>
      <c r="F1710" s="28">
        <f t="shared" si="333"/>
        <v>800793</v>
      </c>
      <c r="G1710" s="27">
        <v>0</v>
      </c>
      <c r="H1710" s="28"/>
      <c r="I1710" s="27">
        <f>노임!D10</f>
        <v>266931</v>
      </c>
      <c r="J1710" s="28">
        <f>TRUNC(I1710*C1710,1)</f>
        <v>800793</v>
      </c>
      <c r="K1710" s="27">
        <v>0</v>
      </c>
      <c r="L1710" s="28"/>
      <c r="M1710" s="86" t="s">
        <v>2856</v>
      </c>
      <c r="N1710" t="s">
        <v>2396</v>
      </c>
      <c r="P1710" t="s">
        <v>334</v>
      </c>
      <c r="Q1710" t="s">
        <v>1839</v>
      </c>
      <c r="R1710" t="s">
        <v>642</v>
      </c>
      <c r="BI1710" s="34" t="str">
        <f>HYPERLINK("#노임!A10","L041 →")</f>
        <v>L041 →</v>
      </c>
    </row>
    <row r="1711" spans="1:61" ht="18.399999999999999" hidden="1" customHeight="1" x14ac:dyDescent="0.15">
      <c r="A1711" s="2" t="s">
        <v>937</v>
      </c>
      <c r="B1711" s="87" t="s">
        <v>2388</v>
      </c>
      <c r="C1711" s="2">
        <v>1</v>
      </c>
      <c r="D1711" s="2" t="s">
        <v>2652</v>
      </c>
      <c r="E1711" s="27">
        <f t="shared" si="334"/>
        <v>219321</v>
      </c>
      <c r="F1711" s="28">
        <f t="shared" si="333"/>
        <v>219321</v>
      </c>
      <c r="G1711" s="27">
        <v>0</v>
      </c>
      <c r="H1711" s="28"/>
      <c r="I1711" s="27">
        <f>노임!D14</f>
        <v>219321</v>
      </c>
      <c r="J1711" s="28">
        <f>TRUNC(I1711*C1711,1)</f>
        <v>219321</v>
      </c>
      <c r="K1711" s="27">
        <v>0</v>
      </c>
      <c r="L1711" s="28"/>
      <c r="M1711" s="86" t="s">
        <v>2856</v>
      </c>
      <c r="N1711" t="s">
        <v>1742</v>
      </c>
      <c r="P1711" t="s">
        <v>2471</v>
      </c>
      <c r="Q1711" t="s">
        <v>1839</v>
      </c>
      <c r="R1711" t="s">
        <v>2068</v>
      </c>
      <c r="BI1711" s="34" t="str">
        <f>HYPERLINK("#노임!A14","L084 →")</f>
        <v>L084 →</v>
      </c>
    </row>
    <row r="1712" spans="1:61" ht="18.399999999999999" hidden="1" customHeight="1" x14ac:dyDescent="0.15">
      <c r="A1712" s="2" t="s">
        <v>888</v>
      </c>
      <c r="B1712" s="87" t="s">
        <v>2856</v>
      </c>
      <c r="C1712" s="2">
        <v>2</v>
      </c>
      <c r="D1712" s="2" t="s">
        <v>2652</v>
      </c>
      <c r="E1712" s="27">
        <f t="shared" si="334"/>
        <v>167081</v>
      </c>
      <c r="F1712" s="28">
        <f t="shared" si="333"/>
        <v>334162</v>
      </c>
      <c r="G1712" s="27">
        <v>0</v>
      </c>
      <c r="H1712" s="28"/>
      <c r="I1712" s="27">
        <f>노임!D15</f>
        <v>167081</v>
      </c>
      <c r="J1712" s="28">
        <f>TRUNC(I1712*C1712,1)</f>
        <v>334162</v>
      </c>
      <c r="K1712" s="27">
        <v>0</v>
      </c>
      <c r="L1712" s="28"/>
      <c r="M1712" s="86" t="s">
        <v>2856</v>
      </c>
      <c r="N1712" t="s">
        <v>821</v>
      </c>
      <c r="P1712" t="s">
        <v>1741</v>
      </c>
      <c r="Q1712" t="s">
        <v>1839</v>
      </c>
      <c r="R1712" t="s">
        <v>498</v>
      </c>
      <c r="BI1712" s="34" t="str">
        <f>HYPERLINK("#노임!A15","L085 →")</f>
        <v>L085 →</v>
      </c>
    </row>
    <row r="1713" spans="1:61" ht="18.399999999999999" hidden="1" customHeight="1" x14ac:dyDescent="0.15">
      <c r="A1713" s="2" t="s">
        <v>613</v>
      </c>
      <c r="B1713" s="87" t="s">
        <v>2414</v>
      </c>
      <c r="C1713" s="2">
        <v>8</v>
      </c>
      <c r="D1713" s="2" t="s">
        <v>2377</v>
      </c>
      <c r="E1713" s="27">
        <f t="shared" si="334"/>
        <v>37230</v>
      </c>
      <c r="F1713" s="28">
        <f t="shared" si="333"/>
        <v>297840</v>
      </c>
      <c r="G1713" s="27">
        <f>중기사용료목록!E7</f>
        <v>1845</v>
      </c>
      <c r="H1713" s="28">
        <f>TRUNC(G1713*C1713,1)</f>
        <v>14760</v>
      </c>
      <c r="I1713" s="27">
        <f>중기사용료목록!F7</f>
        <v>34803</v>
      </c>
      <c r="J1713" s="28">
        <f>TRUNC(I1713*C1713,1)</f>
        <v>278424</v>
      </c>
      <c r="K1713" s="27">
        <f>중기사용료목록!G7</f>
        <v>582</v>
      </c>
      <c r="L1713" s="28">
        <f>TRUNC(K1713*C1713,1)</f>
        <v>4656</v>
      </c>
      <c r="M1713" s="86" t="s">
        <v>2856</v>
      </c>
      <c r="N1713" t="s">
        <v>2856</v>
      </c>
      <c r="P1713" t="s">
        <v>1036</v>
      </c>
      <c r="Q1713" t="s">
        <v>1839</v>
      </c>
      <c r="R1713" t="s">
        <v>864</v>
      </c>
      <c r="BI1713" s="34" t="str">
        <f>HYPERLINK("#중기사용료목록!A7","E0017300015 →")</f>
        <v>E0017300015 →</v>
      </c>
    </row>
    <row r="1714" spans="1:61" ht="18.399999999999999" hidden="1" customHeight="1" x14ac:dyDescent="0.15">
      <c r="A1714" s="2" t="s">
        <v>1613</v>
      </c>
      <c r="B1714" s="87" t="s">
        <v>986</v>
      </c>
      <c r="C1714" s="2">
        <v>8</v>
      </c>
      <c r="D1714" s="2" t="s">
        <v>2377</v>
      </c>
      <c r="E1714" s="27">
        <f t="shared" si="334"/>
        <v>96128</v>
      </c>
      <c r="F1714" s="28">
        <f t="shared" si="333"/>
        <v>769024</v>
      </c>
      <c r="G1714" s="27">
        <f>중기사용료목록!E4</f>
        <v>17297</v>
      </c>
      <c r="H1714" s="28">
        <f>TRUNC(G1714*C1714,1)</f>
        <v>138376</v>
      </c>
      <c r="I1714" s="27">
        <f>중기사용료목록!F4</f>
        <v>56874</v>
      </c>
      <c r="J1714" s="28">
        <f>TRUNC(I1714*C1714,1)</f>
        <v>454992</v>
      </c>
      <c r="K1714" s="27">
        <f>중기사용료목록!G4</f>
        <v>21957</v>
      </c>
      <c r="L1714" s="28">
        <f>TRUNC(K1714*C1714,1)</f>
        <v>175656</v>
      </c>
      <c r="M1714" s="86" t="s">
        <v>2856</v>
      </c>
      <c r="N1714" t="s">
        <v>2856</v>
      </c>
      <c r="P1714" t="s">
        <v>286</v>
      </c>
      <c r="Q1714" t="s">
        <v>1839</v>
      </c>
      <c r="R1714" t="s">
        <v>361</v>
      </c>
      <c r="AA1714" s="42" t="s">
        <v>917</v>
      </c>
      <c r="AB1714" s="8">
        <f>('일위대가_호표(신규)'!J1710+'일위대가_호표(신규)'!J1711+'일위대가_호표(신규)'!J1712)*2/100</f>
        <v>27085.52</v>
      </c>
      <c r="AC1714" s="42" t="s">
        <v>1546</v>
      </c>
      <c r="AD1714" s="7">
        <f>$AB1714</f>
        <v>27085.52</v>
      </c>
      <c r="BI1714" s="34" t="str">
        <f>HYPERLINK("#중기사용료목록!A4","E0002010060 →")</f>
        <v>E0002010060 →</v>
      </c>
    </row>
    <row r="1715" spans="1:61" ht="18.399999999999999" hidden="1" customHeight="1" x14ac:dyDescent="0.15">
      <c r="A1715" s="2" t="s">
        <v>2627</v>
      </c>
      <c r="B1715" s="87" t="s">
        <v>1493</v>
      </c>
      <c r="C1715" s="2">
        <v>2</v>
      </c>
      <c r="D1715" s="2" t="s">
        <v>588</v>
      </c>
      <c r="E1715" s="27">
        <f t="shared" si="334"/>
        <v>0</v>
      </c>
      <c r="F1715" s="28">
        <f t="shared" si="333"/>
        <v>27085.5</v>
      </c>
      <c r="G1715" s="1"/>
      <c r="H1715" s="28">
        <v>0</v>
      </c>
      <c r="I1715" s="1"/>
      <c r="J1715" s="28">
        <v>0</v>
      </c>
      <c r="K1715" s="1"/>
      <c r="L1715" s="28">
        <f>TRUNC(((J1710+J1711+J1712)*2/100),1)</f>
        <v>27085.5</v>
      </c>
      <c r="M1715" s="86" t="s">
        <v>2856</v>
      </c>
      <c r="N1715" t="s">
        <v>2856</v>
      </c>
      <c r="P1715" t="s">
        <v>2428</v>
      </c>
      <c r="Q1715" t="s">
        <v>1839</v>
      </c>
      <c r="R1715" t="s">
        <v>2405</v>
      </c>
      <c r="X1715" t="s">
        <v>2260</v>
      </c>
      <c r="AA1715" s="42" t="s">
        <v>2127</v>
      </c>
      <c r="AB1715" s="8">
        <f>('일위대가_호표(신규)'!H1710+'일위대가_호표(신규)'!H1711+'일위대가_호표(신규)'!H1712+'일위대가_호표(신규)'!H1713+'일위대가_호표(신규)'!H1714+('일위대가_호표(신규)'!H1715*전역변수!C6))/190</f>
        <v>805.97894736842102</v>
      </c>
      <c r="AC1715" s="42" t="s">
        <v>2369</v>
      </c>
      <c r="AD1715" s="7">
        <f>$AB1715</f>
        <v>805.97894736842102</v>
      </c>
    </row>
    <row r="1716" spans="1:61" ht="18.399999999999999" hidden="1" customHeight="1" x14ac:dyDescent="0.15">
      <c r="A1716" s="2" t="s">
        <v>2619</v>
      </c>
      <c r="B1716" s="87" t="s">
        <v>2856</v>
      </c>
      <c r="C1716" s="2">
        <v>1</v>
      </c>
      <c r="D1716" s="2" t="s">
        <v>2303</v>
      </c>
      <c r="E1716" s="27">
        <f t="shared" si="334"/>
        <v>0</v>
      </c>
      <c r="F1716" s="28">
        <f t="shared" si="333"/>
        <v>25342.799999999999</v>
      </c>
      <c r="G1716" s="1"/>
      <c r="H1716" s="28">
        <f>TRUNC(((H1710+H1711+H1712+H1713+H1714+(H1715*전역변수!C6))/190),1)</f>
        <v>805.9</v>
      </c>
      <c r="I1716" s="1"/>
      <c r="J1716" s="28">
        <f>TRUNC(((J1710+J1711+J1712+J1713+J1714+(J1715*전역변수!C6))/190),1)</f>
        <v>10987.8</v>
      </c>
      <c r="K1716" s="1"/>
      <c r="L1716" s="28">
        <f>TRUNC(((L1710+L1711+L1712+L1713+L1714+(L1715*전역변수!C6))/190),1)</f>
        <v>13549.1</v>
      </c>
      <c r="M1716" s="86" t="s">
        <v>2856</v>
      </c>
      <c r="N1716" t="s">
        <v>2856</v>
      </c>
      <c r="P1716" t="s">
        <v>1686</v>
      </c>
      <c r="Q1716" t="s">
        <v>2856</v>
      </c>
      <c r="R1716" t="s">
        <v>2405</v>
      </c>
      <c r="X1716" t="s">
        <v>195</v>
      </c>
      <c r="AA1716" s="42" t="s">
        <v>298</v>
      </c>
      <c r="AB1716" s="8">
        <f>('일위대가_호표(신규)'!J1710+'일위대가_호표(신규)'!J1711+'일위대가_호표(신규)'!J1712+'일위대가_호표(신규)'!J1713+'일위대가_호표(신규)'!J1714+('일위대가_호표(신규)'!J1715*전역변수!C6))/190</f>
        <v>10987.852631578948</v>
      </c>
      <c r="AC1716" s="42" t="s">
        <v>1123</v>
      </c>
      <c r="AD1716" s="7">
        <f>$AB1716</f>
        <v>10987.852631578948</v>
      </c>
    </row>
    <row r="1717" spans="1:61" ht="18.399999999999999" hidden="1" customHeight="1" x14ac:dyDescent="0.15">
      <c r="A1717" s="1"/>
      <c r="B1717" s="87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87"/>
      <c r="AA1717" s="42" t="s">
        <v>917</v>
      </c>
      <c r="AB1717" s="8">
        <f>('일위대가_호표(신규)'!L1710+'일위대가_호표(신규)'!L1711+'일위대가_호표(신규)'!L1712+'일위대가_호표(신규)'!L1713+'일위대가_호표(신규)'!L1714+('일위대가_호표(신규)'!L1715*전역변수!C6))/190</f>
        <v>13549.18512631579</v>
      </c>
      <c r="AC1717" s="42" t="s">
        <v>1546</v>
      </c>
      <c r="AD1717" s="7">
        <f>$AB1717</f>
        <v>13549.18512631579</v>
      </c>
    </row>
    <row r="1718" spans="1:61" ht="18.399999999999999" hidden="1" customHeight="1" x14ac:dyDescent="0.15">
      <c r="A1718" s="2" t="s">
        <v>1271</v>
      </c>
      <c r="B1718" s="87" t="s">
        <v>2731</v>
      </c>
      <c r="C1718" s="2">
        <v>1</v>
      </c>
      <c r="D1718" s="2" t="s">
        <v>1202</v>
      </c>
      <c r="E1718" s="184"/>
      <c r="F1718" s="29">
        <f>H1718+J1718+L1718</f>
        <v>119130</v>
      </c>
      <c r="G1718" s="184"/>
      <c r="H1718" s="29">
        <f>TRUNC(H1719+H1720,0)</f>
        <v>3419</v>
      </c>
      <c r="I1718" s="184"/>
      <c r="J1718" s="29">
        <f>TRUNC(J1719+J1720,0)</f>
        <v>31687</v>
      </c>
      <c r="K1718" s="184"/>
      <c r="L1718" s="29">
        <f>TRUNC(L1719+L1720,0)</f>
        <v>84024</v>
      </c>
      <c r="M1718" s="86" t="s">
        <v>2856</v>
      </c>
      <c r="N1718" t="s">
        <v>2856</v>
      </c>
      <c r="O1718" t="s">
        <v>1624</v>
      </c>
    </row>
    <row r="1719" spans="1:61" ht="18.399999999999999" hidden="1" customHeight="1" x14ac:dyDescent="0.15">
      <c r="A1719" s="2" t="s">
        <v>902</v>
      </c>
      <c r="B1719" s="87" t="s">
        <v>2856</v>
      </c>
      <c r="C1719" s="2">
        <v>1</v>
      </c>
      <c r="D1719" s="2" t="s">
        <v>1202</v>
      </c>
      <c r="E1719" s="27">
        <f>G1719+I1719+K1719</f>
        <v>3419</v>
      </c>
      <c r="F1719" s="28">
        <f>H1719+J1719+L1719</f>
        <v>3419</v>
      </c>
      <c r="G1719" s="27">
        <f>일위대가목록!F278</f>
        <v>3419</v>
      </c>
      <c r="H1719" s="28">
        <f>TRUNC(G1719*C1719,1)</f>
        <v>3419</v>
      </c>
      <c r="I1719" s="27">
        <f>일위대가목록!H278</f>
        <v>0</v>
      </c>
      <c r="J1719" s="28">
        <f>TRUNC(I1719*C1719,1)</f>
        <v>0</v>
      </c>
      <c r="K1719" s="27">
        <f>일위대가목록!J278</f>
        <v>0</v>
      </c>
      <c r="L1719" s="28">
        <f>TRUNC(K1719*C1719,1)</f>
        <v>0</v>
      </c>
      <c r="M1719" s="86" t="s">
        <v>2856</v>
      </c>
      <c r="N1719" t="s">
        <v>2856</v>
      </c>
      <c r="P1719" t="s">
        <v>334</v>
      </c>
      <c r="Q1719" t="s">
        <v>2856</v>
      </c>
      <c r="R1719" t="s">
        <v>82</v>
      </c>
      <c r="T1719" t="s">
        <v>1778</v>
      </c>
      <c r="BI1719" s="34" t="str">
        <f>HYPERLINK("#일위대가목록!A273","NS00701 →")</f>
        <v>NS00701 →</v>
      </c>
    </row>
    <row r="1720" spans="1:61" ht="18.399999999999999" hidden="1" customHeight="1" x14ac:dyDescent="0.15">
      <c r="A1720" s="2" t="s">
        <v>192</v>
      </c>
      <c r="B1720" s="87" t="s">
        <v>2856</v>
      </c>
      <c r="C1720" s="2">
        <v>1</v>
      </c>
      <c r="D1720" s="2" t="s">
        <v>1202</v>
      </c>
      <c r="E1720" s="27">
        <f>G1720+I1720+K1720</f>
        <v>115711</v>
      </c>
      <c r="F1720" s="28">
        <f>H1720+J1720+L1720</f>
        <v>115711</v>
      </c>
      <c r="G1720" s="27">
        <f>일위대가목록!F279</f>
        <v>0</v>
      </c>
      <c r="H1720" s="28">
        <f>TRUNC(G1720*C1720,1)</f>
        <v>0</v>
      </c>
      <c r="I1720" s="27">
        <f>일위대가목록!H279</f>
        <v>31687</v>
      </c>
      <c r="J1720" s="28">
        <f>TRUNC(I1720*C1720,1)</f>
        <v>31687</v>
      </c>
      <c r="K1720" s="27">
        <f>일위대가목록!J279</f>
        <v>84024</v>
      </c>
      <c r="L1720" s="28">
        <f>TRUNC(K1720*C1720,1)</f>
        <v>84024</v>
      </c>
      <c r="M1720" s="86" t="s">
        <v>2856</v>
      </c>
      <c r="N1720" t="s">
        <v>2856</v>
      </c>
      <c r="P1720" t="s">
        <v>2471</v>
      </c>
      <c r="Q1720" t="s">
        <v>2856</v>
      </c>
      <c r="R1720" t="s">
        <v>2120</v>
      </c>
      <c r="T1720" t="s">
        <v>1778</v>
      </c>
      <c r="BI1720" s="34" t="str">
        <f>HYPERLINK("#일위대가목록!A274","NS00702 →")</f>
        <v>NS00702 →</v>
      </c>
    </row>
    <row r="1721" spans="1:61" ht="18.399999999999999" hidden="1" customHeight="1" x14ac:dyDescent="0.15">
      <c r="A1721" s="1"/>
      <c r="B1721" s="87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87"/>
    </row>
    <row r="1722" spans="1:61" ht="18.399999999999999" hidden="1" customHeight="1" x14ac:dyDescent="0.15">
      <c r="A1722" s="2" t="s">
        <v>1456</v>
      </c>
      <c r="B1722" s="87" t="s">
        <v>2599</v>
      </c>
      <c r="C1722" s="2">
        <v>1</v>
      </c>
      <c r="D1722" s="2" t="s">
        <v>1670</v>
      </c>
      <c r="E1722" s="184"/>
      <c r="F1722" s="29">
        <f t="shared" ref="F1722:F1727" si="335">H1722+J1722+L1722</f>
        <v>20715</v>
      </c>
      <c r="G1722" s="184"/>
      <c r="H1722" s="29">
        <f>TRUNC(H1727,0)</f>
        <v>926</v>
      </c>
      <c r="I1722" s="184"/>
      <c r="J1722" s="29">
        <f>TRUNC(J1727,0)</f>
        <v>8827</v>
      </c>
      <c r="K1722" s="184"/>
      <c r="L1722" s="29">
        <f>TRUNC(L1727,0)</f>
        <v>10962</v>
      </c>
      <c r="M1722" s="86" t="s">
        <v>2856</v>
      </c>
      <c r="N1722" t="s">
        <v>2856</v>
      </c>
      <c r="O1722" t="s">
        <v>2847</v>
      </c>
    </row>
    <row r="1723" spans="1:61" ht="18.399999999999999" hidden="1" customHeight="1" x14ac:dyDescent="0.15">
      <c r="A1723" s="2" t="s">
        <v>937</v>
      </c>
      <c r="B1723" s="87" t="s">
        <v>2856</v>
      </c>
      <c r="C1723" s="2">
        <v>3</v>
      </c>
      <c r="D1723" s="2" t="s">
        <v>2652</v>
      </c>
      <c r="E1723" s="27">
        <f>G1723+I1723+K1723</f>
        <v>219321</v>
      </c>
      <c r="F1723" s="28">
        <f t="shared" si="335"/>
        <v>657963</v>
      </c>
      <c r="G1723" s="27">
        <v>0</v>
      </c>
      <c r="H1723" s="28"/>
      <c r="I1723" s="27">
        <f>노임!D14</f>
        <v>219321</v>
      </c>
      <c r="J1723" s="28">
        <f>TRUNC(I1723*C1723,1)</f>
        <v>657963</v>
      </c>
      <c r="K1723" s="27">
        <v>0</v>
      </c>
      <c r="L1723" s="28"/>
      <c r="M1723" s="86" t="s">
        <v>2856</v>
      </c>
      <c r="N1723" t="s">
        <v>1742</v>
      </c>
      <c r="P1723" t="s">
        <v>334</v>
      </c>
      <c r="Q1723" t="s">
        <v>1839</v>
      </c>
      <c r="R1723" t="s">
        <v>2068</v>
      </c>
      <c r="BI1723" s="34" t="str">
        <f>HYPERLINK("#노임!A14","L084 →")</f>
        <v>L084 →</v>
      </c>
    </row>
    <row r="1724" spans="1:61" ht="18.399999999999999" hidden="1" customHeight="1" x14ac:dyDescent="0.15">
      <c r="A1724" s="2" t="s">
        <v>888</v>
      </c>
      <c r="B1724" s="87" t="s">
        <v>2856</v>
      </c>
      <c r="C1724" s="2">
        <v>1</v>
      </c>
      <c r="D1724" s="2" t="s">
        <v>2652</v>
      </c>
      <c r="E1724" s="27">
        <f>G1724+I1724+K1724</f>
        <v>167081</v>
      </c>
      <c r="F1724" s="28">
        <f t="shared" si="335"/>
        <v>167081</v>
      </c>
      <c r="G1724" s="27">
        <v>0</v>
      </c>
      <c r="H1724" s="28"/>
      <c r="I1724" s="27">
        <f>노임!D15</f>
        <v>167081</v>
      </c>
      <c r="J1724" s="28">
        <f>TRUNC(I1724*C1724,1)</f>
        <v>167081</v>
      </c>
      <c r="K1724" s="27">
        <v>0</v>
      </c>
      <c r="L1724" s="28"/>
      <c r="M1724" s="86" t="s">
        <v>2856</v>
      </c>
      <c r="N1724" t="s">
        <v>821</v>
      </c>
      <c r="P1724" t="s">
        <v>2471</v>
      </c>
      <c r="Q1724" t="s">
        <v>1839</v>
      </c>
      <c r="R1724" t="s">
        <v>498</v>
      </c>
      <c r="BI1724" s="34" t="str">
        <f>HYPERLINK("#노임!A15","L085 →")</f>
        <v>L085 →</v>
      </c>
    </row>
    <row r="1725" spans="1:61" ht="18.399999999999999" hidden="1" customHeight="1" x14ac:dyDescent="0.15">
      <c r="A1725" s="2" t="s">
        <v>1613</v>
      </c>
      <c r="B1725" s="87" t="s">
        <v>2462</v>
      </c>
      <c r="C1725" s="2">
        <v>8</v>
      </c>
      <c r="D1725" s="2" t="s">
        <v>2377</v>
      </c>
      <c r="E1725" s="27">
        <f>G1725+I1725+K1725</f>
        <v>90040</v>
      </c>
      <c r="F1725" s="28">
        <f t="shared" si="335"/>
        <v>720320</v>
      </c>
      <c r="G1725" s="27">
        <f>중기사용료목록!E3</f>
        <v>16788</v>
      </c>
      <c r="H1725" s="28">
        <f>TRUNC(G1725*C1725,1)</f>
        <v>134304</v>
      </c>
      <c r="I1725" s="27">
        <f>중기사용료목록!F3</f>
        <v>56874</v>
      </c>
      <c r="J1725" s="28">
        <f>TRUNC(I1725*C1725,1)</f>
        <v>454992</v>
      </c>
      <c r="K1725" s="27">
        <f>중기사용료목록!G3</f>
        <v>16378</v>
      </c>
      <c r="L1725" s="28">
        <f>TRUNC(K1725*C1725,1)</f>
        <v>131024</v>
      </c>
      <c r="M1725" s="86" t="s">
        <v>2856</v>
      </c>
      <c r="N1725" t="s">
        <v>2856</v>
      </c>
      <c r="P1725" t="s">
        <v>1741</v>
      </c>
      <c r="Q1725" t="s">
        <v>1839</v>
      </c>
      <c r="R1725" t="s">
        <v>1823</v>
      </c>
      <c r="AA1725" s="42" t="s">
        <v>917</v>
      </c>
      <c r="AB1725" s="8">
        <f>('일위대가_호표(신규)'!J1723+'일위대가_호표(신규)'!J1724)*2/100</f>
        <v>16500.88</v>
      </c>
      <c r="AC1725" s="42" t="s">
        <v>1546</v>
      </c>
      <c r="AD1725" s="7">
        <f>$AB1725</f>
        <v>16500.88</v>
      </c>
      <c r="BI1725" s="34" t="str">
        <f>HYPERLINK("#중기사용료목록!A3","E0002010040 →")</f>
        <v>E0002010040 →</v>
      </c>
    </row>
    <row r="1726" spans="1:61" ht="18.399999999999999" hidden="1" customHeight="1" x14ac:dyDescent="0.15">
      <c r="A1726" s="2" t="s">
        <v>1232</v>
      </c>
      <c r="B1726" s="87" t="s">
        <v>1493</v>
      </c>
      <c r="C1726" s="2">
        <v>2</v>
      </c>
      <c r="D1726" s="2" t="s">
        <v>588</v>
      </c>
      <c r="E1726" s="27">
        <f>G1726+I1726+K1726</f>
        <v>0</v>
      </c>
      <c r="F1726" s="28">
        <f t="shared" si="335"/>
        <v>16500.8</v>
      </c>
      <c r="G1726" s="1"/>
      <c r="H1726" s="28">
        <v>0</v>
      </c>
      <c r="I1726" s="1"/>
      <c r="J1726" s="28">
        <v>0</v>
      </c>
      <c r="K1726" s="1"/>
      <c r="L1726" s="28">
        <f>TRUNC(((J1723+J1724)*2/100),1)</f>
        <v>16500.8</v>
      </c>
      <c r="M1726" s="86" t="s">
        <v>2856</v>
      </c>
      <c r="N1726" t="s">
        <v>2856</v>
      </c>
      <c r="P1726" t="s">
        <v>1036</v>
      </c>
      <c r="Q1726" t="s">
        <v>1839</v>
      </c>
      <c r="R1726" t="s">
        <v>2405</v>
      </c>
      <c r="X1726" t="s">
        <v>1536</v>
      </c>
      <c r="AA1726" s="42" t="s">
        <v>2127</v>
      </c>
      <c r="AB1726" s="8">
        <f>('일위대가_호표(신규)'!H1723+'일위대가_호표(신규)'!H1724+'일위대가_호표(신규)'!H1725+('일위대가_호표(신규)'!H1726*전역변수!C6))/145</f>
        <v>926.23448275862074</v>
      </c>
      <c r="AC1726" s="42" t="s">
        <v>2369</v>
      </c>
      <c r="AD1726" s="7">
        <f>$AB1726</f>
        <v>926.23448275862074</v>
      </c>
    </row>
    <row r="1727" spans="1:61" ht="18.399999999999999" hidden="1" customHeight="1" x14ac:dyDescent="0.15">
      <c r="A1727" s="2" t="s">
        <v>2240</v>
      </c>
      <c r="B1727" s="87" t="s">
        <v>2856</v>
      </c>
      <c r="C1727" s="2">
        <v>1</v>
      </c>
      <c r="D1727" s="2" t="s">
        <v>2303</v>
      </c>
      <c r="E1727" s="27">
        <f>G1727+I1727+K1727</f>
        <v>0</v>
      </c>
      <c r="F1727" s="28">
        <f t="shared" si="335"/>
        <v>20716</v>
      </c>
      <c r="G1727" s="1"/>
      <c r="H1727" s="28">
        <f>TRUNC(((H1723+H1724+H1725+(H1726*전역변수!C6))/145),1)</f>
        <v>926.2</v>
      </c>
      <c r="I1727" s="1"/>
      <c r="J1727" s="28">
        <f>TRUNC(((J1723+J1724+J1725+(J1726*전역변수!C6))/145),1)</f>
        <v>8827.7999999999993</v>
      </c>
      <c r="K1727" s="1"/>
      <c r="L1727" s="28">
        <f>TRUNC(((L1723+L1724+L1725+(L1726*전역변수!C6))/145),1)</f>
        <v>10962</v>
      </c>
      <c r="M1727" s="86" t="s">
        <v>2856</v>
      </c>
      <c r="N1727" t="s">
        <v>2856</v>
      </c>
      <c r="P1727" t="s">
        <v>286</v>
      </c>
      <c r="Q1727" t="s">
        <v>2856</v>
      </c>
      <c r="R1727" t="s">
        <v>2405</v>
      </c>
      <c r="X1727" t="s">
        <v>2341</v>
      </c>
      <c r="AA1727" s="42" t="s">
        <v>298</v>
      </c>
      <c r="AB1727" s="8">
        <f>('일위대가_호표(신규)'!J1723+'일위대가_호표(신규)'!J1724+'일위대가_호표(신규)'!J1725+('일위대가_호표(신규)'!J1726*전역변수!C6))/145</f>
        <v>8827.8344827586207</v>
      </c>
      <c r="AC1727" s="42" t="s">
        <v>1123</v>
      </c>
      <c r="AD1727" s="7">
        <f>$AB1727</f>
        <v>8827.8344827586207</v>
      </c>
    </row>
    <row r="1728" spans="1:61" ht="18.399999999999999" hidden="1" customHeight="1" x14ac:dyDescent="0.15">
      <c r="A1728" s="1"/>
      <c r="B1728" s="87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87"/>
      <c r="AA1728" s="42" t="s">
        <v>917</v>
      </c>
      <c r="AB1728" s="8">
        <f>('일위대가_호표(신규)'!L1723+'일위대가_호표(신규)'!L1724+'일위대가_호표(신규)'!L1725+('일위대가_호표(신규)'!L1726*전역변수!C6))/145</f>
        <v>10962.04627862069</v>
      </c>
      <c r="AC1728" s="42" t="s">
        <v>1546</v>
      </c>
      <c r="AD1728" s="7">
        <f>$AB1728</f>
        <v>10962.04627862069</v>
      </c>
    </row>
    <row r="1729" spans="1:61" ht="18.399999999999999" hidden="1" customHeight="1" x14ac:dyDescent="0.15">
      <c r="A1729" s="2" t="s">
        <v>258</v>
      </c>
      <c r="B1729" s="87" t="s">
        <v>254</v>
      </c>
      <c r="C1729" s="2">
        <v>1</v>
      </c>
      <c r="D1729" s="2" t="s">
        <v>1670</v>
      </c>
      <c r="E1729" s="184"/>
      <c r="F1729" s="29">
        <f t="shared" ref="F1729:F1734" si="336">H1729+J1729+L1729</f>
        <v>24029</v>
      </c>
      <c r="G1729" s="184"/>
      <c r="H1729" s="29">
        <f>TRUNC(H1734,0)</f>
        <v>1074</v>
      </c>
      <c r="I1729" s="184"/>
      <c r="J1729" s="29">
        <f>TRUNC(J1734,0)</f>
        <v>10240</v>
      </c>
      <c r="K1729" s="184"/>
      <c r="L1729" s="29">
        <f>TRUNC(L1734,0)</f>
        <v>12715</v>
      </c>
      <c r="M1729" s="86" t="s">
        <v>2856</v>
      </c>
      <c r="N1729" t="s">
        <v>2856</v>
      </c>
      <c r="O1729" t="s">
        <v>1312</v>
      </c>
    </row>
    <row r="1730" spans="1:61" ht="18.399999999999999" hidden="1" customHeight="1" x14ac:dyDescent="0.15">
      <c r="A1730" s="2" t="s">
        <v>937</v>
      </c>
      <c r="B1730" s="87" t="s">
        <v>2856</v>
      </c>
      <c r="C1730" s="2">
        <v>3</v>
      </c>
      <c r="D1730" s="2" t="s">
        <v>2652</v>
      </c>
      <c r="E1730" s="27">
        <f>G1730+I1730+K1730</f>
        <v>219321</v>
      </c>
      <c r="F1730" s="28">
        <f t="shared" si="336"/>
        <v>657963</v>
      </c>
      <c r="G1730" s="27">
        <v>0</v>
      </c>
      <c r="H1730" s="28"/>
      <c r="I1730" s="27">
        <f>노임!D14</f>
        <v>219321</v>
      </c>
      <c r="J1730" s="28">
        <f>TRUNC(I1730*C1730,1)</f>
        <v>657963</v>
      </c>
      <c r="K1730" s="27">
        <v>0</v>
      </c>
      <c r="L1730" s="28"/>
      <c r="M1730" s="86" t="s">
        <v>2856</v>
      </c>
      <c r="N1730" t="s">
        <v>1742</v>
      </c>
      <c r="P1730" t="s">
        <v>334</v>
      </c>
      <c r="Q1730" t="s">
        <v>1839</v>
      </c>
      <c r="R1730" t="s">
        <v>2068</v>
      </c>
      <c r="BI1730" s="34" t="str">
        <f>HYPERLINK("#노임!A14","L084 →")</f>
        <v>L084 →</v>
      </c>
    </row>
    <row r="1731" spans="1:61" ht="18.399999999999999" hidden="1" customHeight="1" x14ac:dyDescent="0.15">
      <c r="A1731" s="2" t="s">
        <v>888</v>
      </c>
      <c r="B1731" s="87" t="s">
        <v>2856</v>
      </c>
      <c r="C1731" s="2">
        <v>1</v>
      </c>
      <c r="D1731" s="2" t="s">
        <v>2652</v>
      </c>
      <c r="E1731" s="27">
        <f>G1731+I1731+K1731</f>
        <v>167081</v>
      </c>
      <c r="F1731" s="28">
        <f t="shared" si="336"/>
        <v>167081</v>
      </c>
      <c r="G1731" s="27">
        <v>0</v>
      </c>
      <c r="H1731" s="28"/>
      <c r="I1731" s="27">
        <f>노임!D15</f>
        <v>167081</v>
      </c>
      <c r="J1731" s="28">
        <f>TRUNC(I1731*C1731,1)</f>
        <v>167081</v>
      </c>
      <c r="K1731" s="27">
        <v>0</v>
      </c>
      <c r="L1731" s="28"/>
      <c r="M1731" s="86" t="s">
        <v>2856</v>
      </c>
      <c r="N1731" t="s">
        <v>821</v>
      </c>
      <c r="P1731" t="s">
        <v>2471</v>
      </c>
      <c r="Q1731" t="s">
        <v>1839</v>
      </c>
      <c r="R1731" t="s">
        <v>498</v>
      </c>
      <c r="BI1731" s="34" t="str">
        <f>HYPERLINK("#노임!A15","L085 →")</f>
        <v>L085 →</v>
      </c>
    </row>
    <row r="1732" spans="1:61" ht="18.399999999999999" hidden="1" customHeight="1" x14ac:dyDescent="0.15">
      <c r="A1732" s="2" t="s">
        <v>1613</v>
      </c>
      <c r="B1732" s="87" t="s">
        <v>2462</v>
      </c>
      <c r="C1732" s="2">
        <v>8</v>
      </c>
      <c r="D1732" s="2" t="s">
        <v>2377</v>
      </c>
      <c r="E1732" s="27">
        <f>G1732+I1732+K1732</f>
        <v>90040</v>
      </c>
      <c r="F1732" s="28">
        <f t="shared" si="336"/>
        <v>720320</v>
      </c>
      <c r="G1732" s="27">
        <f>중기사용료목록!E3</f>
        <v>16788</v>
      </c>
      <c r="H1732" s="28">
        <f>TRUNC(G1732*C1732,1)</f>
        <v>134304</v>
      </c>
      <c r="I1732" s="27">
        <f>중기사용료목록!F3</f>
        <v>56874</v>
      </c>
      <c r="J1732" s="28">
        <f>TRUNC(I1732*C1732,1)</f>
        <v>454992</v>
      </c>
      <c r="K1732" s="27">
        <f>중기사용료목록!G3</f>
        <v>16378</v>
      </c>
      <c r="L1732" s="28">
        <f>TRUNC(K1732*C1732,1)</f>
        <v>131024</v>
      </c>
      <c r="M1732" s="86" t="s">
        <v>2856</v>
      </c>
      <c r="N1732" t="s">
        <v>2856</v>
      </c>
      <c r="P1732" t="s">
        <v>1741</v>
      </c>
      <c r="Q1732" t="s">
        <v>1839</v>
      </c>
      <c r="R1732" t="s">
        <v>1823</v>
      </c>
      <c r="AA1732" s="42" t="s">
        <v>917</v>
      </c>
      <c r="AB1732" s="8">
        <f>('일위대가_호표(신규)'!J1730+'일위대가_호표(신규)'!J1731)*2/100</f>
        <v>16500.88</v>
      </c>
      <c r="AC1732" s="42" t="s">
        <v>1546</v>
      </c>
      <c r="AD1732" s="7">
        <f>$AB1732</f>
        <v>16500.88</v>
      </c>
      <c r="BI1732" s="34" t="str">
        <f>HYPERLINK("#중기사용료목록!A3","E0002010040 →")</f>
        <v>E0002010040 →</v>
      </c>
    </row>
    <row r="1733" spans="1:61" ht="18.399999999999999" hidden="1" customHeight="1" x14ac:dyDescent="0.15">
      <c r="A1733" s="2" t="s">
        <v>1232</v>
      </c>
      <c r="B1733" s="87" t="s">
        <v>1493</v>
      </c>
      <c r="C1733" s="2">
        <v>2</v>
      </c>
      <c r="D1733" s="2" t="s">
        <v>588</v>
      </c>
      <c r="E1733" s="27">
        <f>G1733+I1733+K1733</f>
        <v>0</v>
      </c>
      <c r="F1733" s="28">
        <f t="shared" si="336"/>
        <v>16500.8</v>
      </c>
      <c r="G1733" s="1"/>
      <c r="H1733" s="28">
        <v>0</v>
      </c>
      <c r="I1733" s="1"/>
      <c r="J1733" s="28">
        <v>0</v>
      </c>
      <c r="K1733" s="1"/>
      <c r="L1733" s="28">
        <f>TRUNC(((J1730+J1731)*2/100),1)</f>
        <v>16500.8</v>
      </c>
      <c r="M1733" s="86" t="s">
        <v>2856</v>
      </c>
      <c r="N1733" t="s">
        <v>2856</v>
      </c>
      <c r="P1733" t="s">
        <v>1036</v>
      </c>
      <c r="Q1733" t="s">
        <v>1839</v>
      </c>
      <c r="R1733" t="s">
        <v>2405</v>
      </c>
      <c r="X1733" t="s">
        <v>1536</v>
      </c>
      <c r="AA1733" s="42" t="s">
        <v>2127</v>
      </c>
      <c r="AB1733" s="8">
        <f>('일위대가_호표(신규)'!H1730+'일위대가_호표(신규)'!H1731+'일위대가_호표(신규)'!H1732+('일위대가_호표(신규)'!H1733*전역변수!C6))/125</f>
        <v>1074.432</v>
      </c>
      <c r="AC1733" s="42" t="s">
        <v>2369</v>
      </c>
      <c r="AD1733" s="7">
        <f>$AB1733</f>
        <v>1074.432</v>
      </c>
    </row>
    <row r="1734" spans="1:61" ht="18.399999999999999" hidden="1" customHeight="1" x14ac:dyDescent="0.15">
      <c r="A1734" s="2" t="s">
        <v>2384</v>
      </c>
      <c r="B1734" s="87" t="s">
        <v>2856</v>
      </c>
      <c r="C1734" s="2">
        <v>1</v>
      </c>
      <c r="D1734" s="2" t="s">
        <v>2303</v>
      </c>
      <c r="E1734" s="27">
        <f>G1734+I1734+K1734</f>
        <v>0</v>
      </c>
      <c r="F1734" s="28">
        <f t="shared" si="336"/>
        <v>24030.5</v>
      </c>
      <c r="G1734" s="1"/>
      <c r="H1734" s="28">
        <f>TRUNC(((H1730+H1731+H1732+(H1733*전역변수!C6))/125),1)</f>
        <v>1074.4000000000001</v>
      </c>
      <c r="I1734" s="1"/>
      <c r="J1734" s="28">
        <f>TRUNC(((J1730+J1731+J1732+(J1733*전역변수!C6))/125),1)</f>
        <v>10240.200000000001</v>
      </c>
      <c r="K1734" s="1"/>
      <c r="L1734" s="28">
        <f>TRUNC(((L1730+L1731+L1732+(L1733*전역변수!C6))/125),1)</f>
        <v>12715.9</v>
      </c>
      <c r="M1734" s="86" t="s">
        <v>2856</v>
      </c>
      <c r="N1734" t="s">
        <v>2856</v>
      </c>
      <c r="P1734" t="s">
        <v>286</v>
      </c>
      <c r="Q1734" t="s">
        <v>2856</v>
      </c>
      <c r="R1734" t="s">
        <v>2405</v>
      </c>
      <c r="X1734" t="s">
        <v>549</v>
      </c>
      <c r="AA1734" s="42" t="s">
        <v>298</v>
      </c>
      <c r="AB1734" s="8">
        <f>('일위대가_호표(신규)'!J1730+'일위대가_호표(신규)'!J1731+'일위대가_호표(신규)'!J1732+('일위대가_호표(신규)'!J1733*전역변수!C6))/125</f>
        <v>10240.288</v>
      </c>
      <c r="AC1734" s="42" t="s">
        <v>1123</v>
      </c>
      <c r="AD1734" s="7">
        <f>$AB1734</f>
        <v>10240.288</v>
      </c>
    </row>
    <row r="1735" spans="1:61" ht="18.399999999999999" hidden="1" customHeight="1" x14ac:dyDescent="0.15">
      <c r="A1735" s="1"/>
      <c r="B1735" s="87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87"/>
      <c r="AA1735" s="42" t="s">
        <v>917</v>
      </c>
      <c r="AB1735" s="8">
        <f>('일위대가_호표(신규)'!L1730+'일위대가_호표(신규)'!L1731+'일위대가_호표(신규)'!L1732+('일위대가_호표(신규)'!L1733*전역변수!C6))/125</f>
        <v>12715.9736832</v>
      </c>
      <c r="AC1735" s="42" t="s">
        <v>1546</v>
      </c>
      <c r="AD1735" s="7">
        <f>$AB1735</f>
        <v>12715.9736832</v>
      </c>
    </row>
    <row r="1736" spans="1:61" ht="18.399999999999999" hidden="1" customHeight="1" x14ac:dyDescent="0.15">
      <c r="A1736" s="2" t="s">
        <v>2204</v>
      </c>
      <c r="B1736" s="87" t="s">
        <v>2757</v>
      </c>
      <c r="C1736" s="2">
        <v>1</v>
      </c>
      <c r="D1736" s="2" t="s">
        <v>556</v>
      </c>
      <c r="E1736" s="184"/>
      <c r="F1736" s="29">
        <f t="shared" ref="F1736:F1741" si="337">H1736+J1736+L1736</f>
        <v>336879</v>
      </c>
      <c r="G1736" s="184"/>
      <c r="H1736" s="29">
        <f>TRUNC(H1741,0)</f>
        <v>28157</v>
      </c>
      <c r="I1736" s="184"/>
      <c r="J1736" s="29">
        <f>TRUNC(J1741,0)</f>
        <v>249225</v>
      </c>
      <c r="K1736" s="184"/>
      <c r="L1736" s="29">
        <f>TRUNC(L1741,0)</f>
        <v>59497</v>
      </c>
      <c r="M1736" s="86" t="s">
        <v>2856</v>
      </c>
      <c r="N1736" t="s">
        <v>2856</v>
      </c>
      <c r="O1736" t="s">
        <v>558</v>
      </c>
    </row>
    <row r="1737" spans="1:61" ht="18.399999999999999" hidden="1" customHeight="1" x14ac:dyDescent="0.15">
      <c r="A1737" s="2" t="s">
        <v>899</v>
      </c>
      <c r="B1737" s="87" t="s">
        <v>2856</v>
      </c>
      <c r="C1737" s="2">
        <v>3</v>
      </c>
      <c r="D1737" s="2" t="s">
        <v>2652</v>
      </c>
      <c r="E1737" s="27">
        <f>G1737+I1737+K1737</f>
        <v>222504</v>
      </c>
      <c r="F1737" s="28">
        <f t="shared" si="337"/>
        <v>667512</v>
      </c>
      <c r="G1737" s="27">
        <v>0</v>
      </c>
      <c r="H1737" s="28"/>
      <c r="I1737" s="27">
        <f>노임!D12</f>
        <v>222504</v>
      </c>
      <c r="J1737" s="28">
        <f>TRUNC(I1737*C1737,1)</f>
        <v>667512</v>
      </c>
      <c r="K1737" s="27">
        <v>0</v>
      </c>
      <c r="L1737" s="28"/>
      <c r="M1737" s="86" t="s">
        <v>2856</v>
      </c>
      <c r="N1737" t="s">
        <v>2823</v>
      </c>
      <c r="P1737" t="s">
        <v>2471</v>
      </c>
      <c r="Q1737" t="s">
        <v>1839</v>
      </c>
      <c r="R1737" t="s">
        <v>2638</v>
      </c>
      <c r="BI1737" s="34" t="str">
        <f>HYPERLINK("#노임!A12","L050 →")</f>
        <v>L050 →</v>
      </c>
    </row>
    <row r="1738" spans="1:61" ht="18.399999999999999" hidden="1" customHeight="1" x14ac:dyDescent="0.15">
      <c r="A1738" s="2" t="s">
        <v>888</v>
      </c>
      <c r="B1738" s="87" t="s">
        <v>2856</v>
      </c>
      <c r="C1738" s="2">
        <v>1</v>
      </c>
      <c r="D1738" s="2" t="s">
        <v>2652</v>
      </c>
      <c r="E1738" s="27">
        <f>G1738+I1738+K1738</f>
        <v>167081</v>
      </c>
      <c r="F1738" s="28">
        <f t="shared" si="337"/>
        <v>167081</v>
      </c>
      <c r="G1738" s="27">
        <v>0</v>
      </c>
      <c r="H1738" s="28"/>
      <c r="I1738" s="27">
        <f>노임!D15</f>
        <v>167081</v>
      </c>
      <c r="J1738" s="28">
        <f>TRUNC(I1738*C1738,1)</f>
        <v>167081</v>
      </c>
      <c r="K1738" s="27">
        <v>0</v>
      </c>
      <c r="L1738" s="28"/>
      <c r="M1738" s="86" t="s">
        <v>2856</v>
      </c>
      <c r="N1738" t="s">
        <v>821</v>
      </c>
      <c r="P1738" t="s">
        <v>1741</v>
      </c>
      <c r="Q1738" t="s">
        <v>1839</v>
      </c>
      <c r="R1738" t="s">
        <v>498</v>
      </c>
      <c r="BI1738" s="34" t="str">
        <f>HYPERLINK("#노임!A15","L085 →")</f>
        <v>L085 →</v>
      </c>
    </row>
    <row r="1739" spans="1:61" ht="18.399999999999999" hidden="1" customHeight="1" x14ac:dyDescent="0.15">
      <c r="A1739" s="2" t="s">
        <v>1613</v>
      </c>
      <c r="B1739" s="87" t="s">
        <v>986</v>
      </c>
      <c r="C1739" s="2">
        <v>8</v>
      </c>
      <c r="D1739" s="2" t="s">
        <v>2377</v>
      </c>
      <c r="E1739" s="27">
        <f>G1739+I1739+K1739</f>
        <v>96128</v>
      </c>
      <c r="F1739" s="28">
        <f t="shared" si="337"/>
        <v>769024</v>
      </c>
      <c r="G1739" s="27">
        <f>중기사용료목록!E4</f>
        <v>17297</v>
      </c>
      <c r="H1739" s="28">
        <f>TRUNC(G1739*C1739,1)</f>
        <v>138376</v>
      </c>
      <c r="I1739" s="27">
        <f>중기사용료목록!F4</f>
        <v>56874</v>
      </c>
      <c r="J1739" s="28">
        <f>TRUNC(I1739*C1739,1)</f>
        <v>454992</v>
      </c>
      <c r="K1739" s="27">
        <f>중기사용료목록!G4</f>
        <v>21957</v>
      </c>
      <c r="L1739" s="28">
        <f>TRUNC(K1739*C1739,1)</f>
        <v>175656</v>
      </c>
      <c r="M1739" s="86" t="s">
        <v>2856</v>
      </c>
      <c r="N1739" t="s">
        <v>2856</v>
      </c>
      <c r="P1739" t="s">
        <v>1036</v>
      </c>
      <c r="Q1739" t="s">
        <v>1839</v>
      </c>
      <c r="R1739" t="s">
        <v>361</v>
      </c>
      <c r="BI1739" s="34" t="str">
        <f>HYPERLINK("#중기사용료목록!A4","E0002010060 →")</f>
        <v>E0002010060 →</v>
      </c>
    </row>
    <row r="1740" spans="1:61" ht="18.399999999999999" hidden="1" customHeight="1" x14ac:dyDescent="0.15">
      <c r="A1740" s="2" t="s">
        <v>1394</v>
      </c>
      <c r="B1740" s="87" t="s">
        <v>2467</v>
      </c>
      <c r="C1740" s="2">
        <v>8</v>
      </c>
      <c r="D1740" s="2" t="s">
        <v>2377</v>
      </c>
      <c r="E1740" s="27">
        <f>G1740+I1740+K1740</f>
        <v>94318</v>
      </c>
      <c r="F1740" s="28">
        <f t="shared" si="337"/>
        <v>754544</v>
      </c>
      <c r="G1740" s="27">
        <f>중기사용료목록!E8</f>
        <v>7341</v>
      </c>
      <c r="H1740" s="28">
        <f>TRUNC(G1740*C1740,1)</f>
        <v>58728</v>
      </c>
      <c r="I1740" s="27">
        <f>중기사용료목록!F8</f>
        <v>56874</v>
      </c>
      <c r="J1740" s="28">
        <f>TRUNC(I1740*C1740,1)</f>
        <v>454992</v>
      </c>
      <c r="K1740" s="27">
        <f>중기사용료목록!G8</f>
        <v>30103</v>
      </c>
      <c r="L1740" s="28">
        <f>TRUNC(K1740*C1740,1)</f>
        <v>240824</v>
      </c>
      <c r="M1740" s="86" t="s">
        <v>2856</v>
      </c>
      <c r="N1740" t="s">
        <v>2856</v>
      </c>
      <c r="P1740" t="s">
        <v>2374</v>
      </c>
      <c r="Q1740" t="s">
        <v>1839</v>
      </c>
      <c r="R1740" t="s">
        <v>1324</v>
      </c>
      <c r="AA1740" s="42" t="s">
        <v>2127</v>
      </c>
      <c r="AB1740" s="8">
        <f>('일위대가_호표(신규)'!H1737+'일위대가_호표(신규)'!H1738+'일위대가_호표(신규)'!H1739+'일위대가_호표(신규)'!H1740)/7</f>
        <v>28157.714285714286</v>
      </c>
      <c r="AC1740" s="42" t="s">
        <v>2369</v>
      </c>
      <c r="AD1740" s="7">
        <f>$AB1740</f>
        <v>28157.714285714286</v>
      </c>
      <c r="BI1740" s="34" t="str">
        <f>HYPERLINK("#중기사용료목록!A8","E0021040010 →")</f>
        <v>E0021040010 →</v>
      </c>
    </row>
    <row r="1741" spans="1:61" ht="18.399999999999999" hidden="1" customHeight="1" x14ac:dyDescent="0.15">
      <c r="A1741" s="2" t="s">
        <v>1655</v>
      </c>
      <c r="B1741" s="87" t="s">
        <v>2856</v>
      </c>
      <c r="C1741" s="2">
        <v>1</v>
      </c>
      <c r="D1741" s="2" t="s">
        <v>2303</v>
      </c>
      <c r="E1741" s="27">
        <f>G1741+I1741+K1741</f>
        <v>0</v>
      </c>
      <c r="F1741" s="28">
        <f t="shared" si="337"/>
        <v>336880</v>
      </c>
      <c r="G1741" s="1"/>
      <c r="H1741" s="28">
        <f>TRUNC(((H1737+H1738+H1739+H1740)/7),1)</f>
        <v>28157.7</v>
      </c>
      <c r="I1741" s="1"/>
      <c r="J1741" s="28">
        <f>TRUNC(((J1737+J1738+J1739+J1740)/7),1)</f>
        <v>249225.2</v>
      </c>
      <c r="K1741" s="1"/>
      <c r="L1741" s="28">
        <f>TRUNC(((L1737+L1738+L1739+L1740)/7),1)</f>
        <v>59497.1</v>
      </c>
      <c r="M1741" s="86" t="s">
        <v>2856</v>
      </c>
      <c r="N1741" t="s">
        <v>2856</v>
      </c>
      <c r="P1741" t="s">
        <v>286</v>
      </c>
      <c r="Q1741" t="s">
        <v>2856</v>
      </c>
      <c r="R1741" t="s">
        <v>2405</v>
      </c>
      <c r="X1741" t="s">
        <v>2142</v>
      </c>
      <c r="AA1741" s="42" t="s">
        <v>298</v>
      </c>
      <c r="AB1741" s="8">
        <f>('일위대가_호표(신규)'!J1737+'일위대가_호표(신규)'!J1738+'일위대가_호표(신규)'!J1739+'일위대가_호표(신규)'!J1740)/7</f>
        <v>249225.28571428571</v>
      </c>
      <c r="AC1741" s="42" t="s">
        <v>1123</v>
      </c>
      <c r="AD1741" s="7">
        <f>$AB1741</f>
        <v>249225.28571428571</v>
      </c>
    </row>
    <row r="1742" spans="1:61" ht="18.399999999999999" hidden="1" customHeight="1" x14ac:dyDescent="0.15">
      <c r="A1742" s="1"/>
      <c r="B1742" s="87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87"/>
      <c r="AA1742" s="42" t="s">
        <v>917</v>
      </c>
      <c r="AB1742" s="8">
        <f>('일위대가_호표(신규)'!L1737+'일위대가_호표(신규)'!L1738+'일위대가_호표(신규)'!L1739+'일위대가_호표(신규)'!L1740)/7</f>
        <v>59497.142857142855</v>
      </c>
      <c r="AC1742" s="42" t="s">
        <v>1546</v>
      </c>
      <c r="AD1742" s="7">
        <f>$AB1742</f>
        <v>59497.142857142855</v>
      </c>
    </row>
    <row r="1743" spans="1:61" ht="18.399999999999999" hidden="1" customHeight="1" x14ac:dyDescent="0.15">
      <c r="A1743" s="2" t="s">
        <v>921</v>
      </c>
      <c r="B1743" s="87" t="s">
        <v>910</v>
      </c>
      <c r="C1743" s="2">
        <v>1</v>
      </c>
      <c r="D1743" s="2" t="s">
        <v>556</v>
      </c>
      <c r="E1743" s="184"/>
      <c r="F1743" s="29">
        <f t="shared" ref="F1743:F1748" si="338">H1743+J1743+L1743</f>
        <v>650282</v>
      </c>
      <c r="G1743" s="184"/>
      <c r="H1743" s="29">
        <f>TRUNC(H1748,0)</f>
        <v>58164</v>
      </c>
      <c r="I1743" s="184"/>
      <c r="J1743" s="29">
        <f>TRUNC(J1748,0)</f>
        <v>436144</v>
      </c>
      <c r="K1743" s="184"/>
      <c r="L1743" s="29">
        <f>TRUNC(L1748,0)</f>
        <v>155974</v>
      </c>
      <c r="M1743" s="86" t="s">
        <v>2856</v>
      </c>
      <c r="N1743" t="s">
        <v>2856</v>
      </c>
      <c r="O1743" t="s">
        <v>67</v>
      </c>
    </row>
    <row r="1744" spans="1:61" ht="18.399999999999999" hidden="1" customHeight="1" x14ac:dyDescent="0.15">
      <c r="A1744" s="2" t="s">
        <v>899</v>
      </c>
      <c r="B1744" s="87" t="s">
        <v>2856</v>
      </c>
      <c r="C1744" s="2">
        <v>3</v>
      </c>
      <c r="D1744" s="2" t="s">
        <v>2652</v>
      </c>
      <c r="E1744" s="27">
        <f>G1744+I1744+K1744</f>
        <v>222504</v>
      </c>
      <c r="F1744" s="28">
        <f t="shared" si="338"/>
        <v>667512</v>
      </c>
      <c r="G1744" s="27">
        <v>0</v>
      </c>
      <c r="H1744" s="28"/>
      <c r="I1744" s="27">
        <f>노임!D12</f>
        <v>222504</v>
      </c>
      <c r="J1744" s="28">
        <f>TRUNC(I1744*C1744,1)</f>
        <v>667512</v>
      </c>
      <c r="K1744" s="27">
        <v>0</v>
      </c>
      <c r="L1744" s="28"/>
      <c r="M1744" s="86" t="s">
        <v>2856</v>
      </c>
      <c r="N1744" t="s">
        <v>2823</v>
      </c>
      <c r="P1744" t="s">
        <v>2471</v>
      </c>
      <c r="Q1744" t="s">
        <v>1839</v>
      </c>
      <c r="R1744" t="s">
        <v>2638</v>
      </c>
      <c r="BI1744" s="34" t="str">
        <f>HYPERLINK("#노임!A12","L050 →")</f>
        <v>L050 →</v>
      </c>
    </row>
    <row r="1745" spans="1:61" ht="18.399999999999999" hidden="1" customHeight="1" x14ac:dyDescent="0.15">
      <c r="A1745" s="2" t="s">
        <v>888</v>
      </c>
      <c r="B1745" s="87" t="s">
        <v>2856</v>
      </c>
      <c r="C1745" s="2">
        <v>1</v>
      </c>
      <c r="D1745" s="2" t="s">
        <v>2652</v>
      </c>
      <c r="E1745" s="27">
        <f>G1745+I1745+K1745</f>
        <v>167081</v>
      </c>
      <c r="F1745" s="28">
        <f t="shared" si="338"/>
        <v>167081</v>
      </c>
      <c r="G1745" s="27">
        <v>0</v>
      </c>
      <c r="H1745" s="28"/>
      <c r="I1745" s="27">
        <f>노임!D15</f>
        <v>167081</v>
      </c>
      <c r="J1745" s="28">
        <f>TRUNC(I1745*C1745,1)</f>
        <v>167081</v>
      </c>
      <c r="K1745" s="27">
        <v>0</v>
      </c>
      <c r="L1745" s="28"/>
      <c r="M1745" s="86" t="s">
        <v>2856</v>
      </c>
      <c r="N1745" t="s">
        <v>821</v>
      </c>
      <c r="P1745" t="s">
        <v>1741</v>
      </c>
      <c r="Q1745" t="s">
        <v>1839</v>
      </c>
      <c r="R1745" t="s">
        <v>498</v>
      </c>
      <c r="BI1745" s="34" t="str">
        <f>HYPERLINK("#노임!A15","L085 →")</f>
        <v>L085 →</v>
      </c>
    </row>
    <row r="1746" spans="1:61" ht="18.399999999999999" hidden="1" customHeight="1" x14ac:dyDescent="0.15">
      <c r="A1746" s="2" t="s">
        <v>1613</v>
      </c>
      <c r="B1746" s="87" t="s">
        <v>986</v>
      </c>
      <c r="C1746" s="2">
        <v>8</v>
      </c>
      <c r="D1746" s="2" t="s">
        <v>2377</v>
      </c>
      <c r="E1746" s="27">
        <f>G1746+I1746+K1746</f>
        <v>96128</v>
      </c>
      <c r="F1746" s="28">
        <f t="shared" si="338"/>
        <v>769024</v>
      </c>
      <c r="G1746" s="27">
        <f>중기사용료목록!E4</f>
        <v>17297</v>
      </c>
      <c r="H1746" s="28">
        <f>TRUNC(G1746*C1746,1)</f>
        <v>138376</v>
      </c>
      <c r="I1746" s="27">
        <f>중기사용료목록!F4</f>
        <v>56874</v>
      </c>
      <c r="J1746" s="28">
        <f>TRUNC(I1746*C1746,1)</f>
        <v>454992</v>
      </c>
      <c r="K1746" s="27">
        <f>중기사용료목록!G4</f>
        <v>21957</v>
      </c>
      <c r="L1746" s="28">
        <f>TRUNC(K1746*C1746,1)</f>
        <v>175656</v>
      </c>
      <c r="M1746" s="86" t="s">
        <v>2856</v>
      </c>
      <c r="N1746" t="s">
        <v>2856</v>
      </c>
      <c r="P1746" t="s">
        <v>1036</v>
      </c>
      <c r="Q1746" t="s">
        <v>1839</v>
      </c>
      <c r="R1746" t="s">
        <v>361</v>
      </c>
      <c r="BI1746" s="34" t="str">
        <f>HYPERLINK("#중기사용료목록!A4","E0002010060 →")</f>
        <v>E0002010060 →</v>
      </c>
    </row>
    <row r="1747" spans="1:61" ht="18.399999999999999" hidden="1" customHeight="1" x14ac:dyDescent="0.15">
      <c r="A1747" s="2" t="s">
        <v>1394</v>
      </c>
      <c r="B1747" s="87" t="s">
        <v>44</v>
      </c>
      <c r="C1747" s="2">
        <v>8</v>
      </c>
      <c r="D1747" s="2" t="s">
        <v>2377</v>
      </c>
      <c r="E1747" s="27">
        <f>G1747+I1747+K1747</f>
        <v>124689</v>
      </c>
      <c r="F1747" s="28">
        <f t="shared" si="338"/>
        <v>997512</v>
      </c>
      <c r="G1747" s="27">
        <f>중기사용료목록!E10</f>
        <v>11785</v>
      </c>
      <c r="H1747" s="28">
        <f>TRUNC(G1747*C1747,1)</f>
        <v>94280</v>
      </c>
      <c r="I1747" s="27">
        <f>중기사용료목록!F10</f>
        <v>56874</v>
      </c>
      <c r="J1747" s="28">
        <f>TRUNC(I1747*C1747,1)</f>
        <v>454992</v>
      </c>
      <c r="K1747" s="27">
        <f>중기사용료목록!G10</f>
        <v>56030</v>
      </c>
      <c r="L1747" s="28">
        <f>TRUNC(K1747*C1747,1)</f>
        <v>448240</v>
      </c>
      <c r="M1747" s="86" t="s">
        <v>2856</v>
      </c>
      <c r="N1747" t="s">
        <v>2856</v>
      </c>
      <c r="P1747" t="s">
        <v>2374</v>
      </c>
      <c r="Q1747" t="s">
        <v>1839</v>
      </c>
      <c r="R1747" t="s">
        <v>634</v>
      </c>
      <c r="AA1747" s="42" t="s">
        <v>2127</v>
      </c>
      <c r="AB1747" s="8">
        <f>('일위대가_호표(신규)'!H1744+'일위대가_호표(신규)'!H1745+'일위대가_호표(신규)'!H1746+'일위대가_호표(신규)'!H1747)/4</f>
        <v>58164</v>
      </c>
      <c r="AC1747" s="42" t="s">
        <v>2369</v>
      </c>
      <c r="AD1747" s="7">
        <f>$AB1747</f>
        <v>58164</v>
      </c>
      <c r="BI1747" s="34" t="str">
        <f>HYPERLINK("#중기사용료목록!A10","E0021040025 →")</f>
        <v>E0021040025 →</v>
      </c>
    </row>
    <row r="1748" spans="1:61" ht="18.399999999999999" hidden="1" customHeight="1" x14ac:dyDescent="0.15">
      <c r="A1748" s="2" t="s">
        <v>1385</v>
      </c>
      <c r="B1748" s="87" t="s">
        <v>2856</v>
      </c>
      <c r="C1748" s="2">
        <v>1</v>
      </c>
      <c r="D1748" s="2" t="s">
        <v>2303</v>
      </c>
      <c r="E1748" s="27">
        <f>G1748+I1748+K1748</f>
        <v>0</v>
      </c>
      <c r="F1748" s="28">
        <f t="shared" si="338"/>
        <v>650282.19999999995</v>
      </c>
      <c r="G1748" s="1"/>
      <c r="H1748" s="28">
        <f>TRUNC(((H1744+H1745+H1746+H1747)/4),1)</f>
        <v>58164</v>
      </c>
      <c r="I1748" s="1"/>
      <c r="J1748" s="28">
        <f>TRUNC(((J1744+J1745+J1746+J1747)/4),1)</f>
        <v>436144.2</v>
      </c>
      <c r="K1748" s="1"/>
      <c r="L1748" s="28">
        <f>TRUNC(((L1744+L1745+L1746+L1747)/4),1)</f>
        <v>155974</v>
      </c>
      <c r="M1748" s="86" t="s">
        <v>2856</v>
      </c>
      <c r="N1748" t="s">
        <v>2856</v>
      </c>
      <c r="P1748" t="s">
        <v>286</v>
      </c>
      <c r="Q1748" t="s">
        <v>2856</v>
      </c>
      <c r="R1748" t="s">
        <v>2405</v>
      </c>
      <c r="X1748" t="s">
        <v>2286</v>
      </c>
      <c r="AA1748" s="42" t="s">
        <v>298</v>
      </c>
      <c r="AB1748" s="8">
        <f>('일위대가_호표(신규)'!J1744+'일위대가_호표(신규)'!J1745+'일위대가_호표(신규)'!J1746+'일위대가_호표(신규)'!J1747)/4</f>
        <v>436144.25</v>
      </c>
      <c r="AC1748" s="42" t="s">
        <v>1123</v>
      </c>
      <c r="AD1748" s="7">
        <f>$AB1748</f>
        <v>436144.25</v>
      </c>
    </row>
    <row r="1749" spans="1:61" ht="18.399999999999999" hidden="1" customHeight="1" x14ac:dyDescent="0.15">
      <c r="A1749" s="1"/>
      <c r="B1749" s="87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87"/>
      <c r="AA1749" s="42" t="s">
        <v>917</v>
      </c>
      <c r="AB1749" s="8">
        <f>('일위대가_호표(신규)'!L1744+'일위대가_호표(신규)'!L1745+'일위대가_호표(신규)'!L1746+'일위대가_호표(신규)'!L1747)/4</f>
        <v>155974</v>
      </c>
      <c r="AC1749" s="42" t="s">
        <v>1546</v>
      </c>
      <c r="AD1749" s="7">
        <f>$AB1749</f>
        <v>155974</v>
      </c>
    </row>
    <row r="1750" spans="1:61" ht="18.399999999999999" hidden="1" customHeight="1" x14ac:dyDescent="0.15">
      <c r="A1750" s="2" t="s">
        <v>1916</v>
      </c>
      <c r="B1750" s="87" t="s">
        <v>1064</v>
      </c>
      <c r="C1750" s="2">
        <v>1</v>
      </c>
      <c r="D1750" s="2" t="s">
        <v>556</v>
      </c>
      <c r="E1750" s="184"/>
      <c r="F1750" s="29">
        <f t="shared" ref="F1750:F1755" si="339">H1750+J1750+L1750</f>
        <v>520225</v>
      </c>
      <c r="G1750" s="184"/>
      <c r="H1750" s="29">
        <f>TRUNC(H1755,0)</f>
        <v>46531</v>
      </c>
      <c r="I1750" s="184"/>
      <c r="J1750" s="29">
        <f>TRUNC(J1755,0)</f>
        <v>348915</v>
      </c>
      <c r="K1750" s="184"/>
      <c r="L1750" s="29">
        <f>TRUNC(L1755,0)</f>
        <v>124779</v>
      </c>
      <c r="M1750" s="86" t="s">
        <v>2856</v>
      </c>
      <c r="N1750" t="s">
        <v>2856</v>
      </c>
      <c r="O1750" t="s">
        <v>2463</v>
      </c>
    </row>
    <row r="1751" spans="1:61" ht="18.399999999999999" hidden="1" customHeight="1" x14ac:dyDescent="0.15">
      <c r="A1751" s="2" t="s">
        <v>899</v>
      </c>
      <c r="B1751" s="87" t="s">
        <v>2856</v>
      </c>
      <c r="C1751" s="2">
        <v>3</v>
      </c>
      <c r="D1751" s="2" t="s">
        <v>2652</v>
      </c>
      <c r="E1751" s="27">
        <f>G1751+I1751+K1751</f>
        <v>222504</v>
      </c>
      <c r="F1751" s="28">
        <f t="shared" si="339"/>
        <v>667512</v>
      </c>
      <c r="G1751" s="27">
        <v>0</v>
      </c>
      <c r="H1751" s="28"/>
      <c r="I1751" s="27">
        <f>노임!D12</f>
        <v>222504</v>
      </c>
      <c r="J1751" s="28">
        <f>TRUNC(I1751*C1751,1)</f>
        <v>667512</v>
      </c>
      <c r="K1751" s="27">
        <v>0</v>
      </c>
      <c r="L1751" s="28"/>
      <c r="M1751" s="86" t="s">
        <v>2856</v>
      </c>
      <c r="N1751" t="s">
        <v>2823</v>
      </c>
      <c r="P1751" t="s">
        <v>2471</v>
      </c>
      <c r="Q1751" t="s">
        <v>1839</v>
      </c>
      <c r="R1751" t="s">
        <v>2638</v>
      </c>
      <c r="BI1751" s="34" t="str">
        <f>HYPERLINK("#노임!A12","L050 →")</f>
        <v>L050 →</v>
      </c>
    </row>
    <row r="1752" spans="1:61" ht="18.399999999999999" hidden="1" customHeight="1" x14ac:dyDescent="0.15">
      <c r="A1752" s="2" t="s">
        <v>888</v>
      </c>
      <c r="B1752" s="87" t="s">
        <v>2856</v>
      </c>
      <c r="C1752" s="2">
        <v>1</v>
      </c>
      <c r="D1752" s="2" t="s">
        <v>2652</v>
      </c>
      <c r="E1752" s="27">
        <f>G1752+I1752+K1752</f>
        <v>167081</v>
      </c>
      <c r="F1752" s="28">
        <f t="shared" si="339"/>
        <v>167081</v>
      </c>
      <c r="G1752" s="27">
        <v>0</v>
      </c>
      <c r="H1752" s="28"/>
      <c r="I1752" s="27">
        <f>노임!D15</f>
        <v>167081</v>
      </c>
      <c r="J1752" s="28">
        <f>TRUNC(I1752*C1752,1)</f>
        <v>167081</v>
      </c>
      <c r="K1752" s="27">
        <v>0</v>
      </c>
      <c r="L1752" s="28"/>
      <c r="M1752" s="86" t="s">
        <v>2856</v>
      </c>
      <c r="N1752" t="s">
        <v>821</v>
      </c>
      <c r="P1752" t="s">
        <v>1741</v>
      </c>
      <c r="Q1752" t="s">
        <v>1839</v>
      </c>
      <c r="R1752" t="s">
        <v>498</v>
      </c>
      <c r="BI1752" s="34" t="str">
        <f>HYPERLINK("#노임!A15","L085 →")</f>
        <v>L085 →</v>
      </c>
    </row>
    <row r="1753" spans="1:61" ht="18.399999999999999" hidden="1" customHeight="1" x14ac:dyDescent="0.15">
      <c r="A1753" s="2" t="s">
        <v>1613</v>
      </c>
      <c r="B1753" s="87" t="s">
        <v>986</v>
      </c>
      <c r="C1753" s="2">
        <v>8</v>
      </c>
      <c r="D1753" s="2" t="s">
        <v>2377</v>
      </c>
      <c r="E1753" s="27">
        <f>G1753+I1753+K1753</f>
        <v>96128</v>
      </c>
      <c r="F1753" s="28">
        <f t="shared" si="339"/>
        <v>769024</v>
      </c>
      <c r="G1753" s="27">
        <f>중기사용료목록!E4</f>
        <v>17297</v>
      </c>
      <c r="H1753" s="28">
        <f>TRUNC(G1753*C1753,1)</f>
        <v>138376</v>
      </c>
      <c r="I1753" s="27">
        <f>중기사용료목록!F4</f>
        <v>56874</v>
      </c>
      <c r="J1753" s="28">
        <f>TRUNC(I1753*C1753,1)</f>
        <v>454992</v>
      </c>
      <c r="K1753" s="27">
        <f>중기사용료목록!G4</f>
        <v>21957</v>
      </c>
      <c r="L1753" s="28">
        <f>TRUNC(K1753*C1753,1)</f>
        <v>175656</v>
      </c>
      <c r="M1753" s="86" t="s">
        <v>2856</v>
      </c>
      <c r="N1753" t="s">
        <v>2856</v>
      </c>
      <c r="P1753" t="s">
        <v>1036</v>
      </c>
      <c r="Q1753" t="s">
        <v>1839</v>
      </c>
      <c r="R1753" t="s">
        <v>361</v>
      </c>
      <c r="BI1753" s="34" t="str">
        <f>HYPERLINK("#중기사용료목록!A4","E0002010060 →")</f>
        <v>E0002010060 →</v>
      </c>
    </row>
    <row r="1754" spans="1:61" ht="18.399999999999999" hidden="1" customHeight="1" x14ac:dyDescent="0.15">
      <c r="A1754" s="2" t="s">
        <v>1394</v>
      </c>
      <c r="B1754" s="87" t="s">
        <v>44</v>
      </c>
      <c r="C1754" s="2">
        <v>8</v>
      </c>
      <c r="D1754" s="2" t="s">
        <v>2377</v>
      </c>
      <c r="E1754" s="27">
        <f>G1754+I1754+K1754</f>
        <v>124689</v>
      </c>
      <c r="F1754" s="28">
        <f t="shared" si="339"/>
        <v>997512</v>
      </c>
      <c r="G1754" s="27">
        <f>중기사용료목록!E10</f>
        <v>11785</v>
      </c>
      <c r="H1754" s="28">
        <f>TRUNC(G1754*C1754,1)</f>
        <v>94280</v>
      </c>
      <c r="I1754" s="27">
        <f>중기사용료목록!F10</f>
        <v>56874</v>
      </c>
      <c r="J1754" s="28">
        <f>TRUNC(I1754*C1754,1)</f>
        <v>454992</v>
      </c>
      <c r="K1754" s="27">
        <f>중기사용료목록!G10</f>
        <v>56030</v>
      </c>
      <c r="L1754" s="28">
        <f>TRUNC(K1754*C1754,1)</f>
        <v>448240</v>
      </c>
      <c r="M1754" s="86" t="s">
        <v>2856</v>
      </c>
      <c r="N1754" t="s">
        <v>2856</v>
      </c>
      <c r="P1754" t="s">
        <v>286</v>
      </c>
      <c r="Q1754" t="s">
        <v>1839</v>
      </c>
      <c r="R1754" t="s">
        <v>634</v>
      </c>
      <c r="AA1754" s="42" t="s">
        <v>2127</v>
      </c>
      <c r="AB1754" s="8">
        <f>('일위대가_호표(신규)'!H1751+'일위대가_호표(신규)'!H1752+'일위대가_호표(신규)'!H1753+'일위대가_호표(신규)'!H1754)/5</f>
        <v>46531.199999999997</v>
      </c>
      <c r="AC1754" s="42" t="s">
        <v>2369</v>
      </c>
      <c r="AD1754" s="7">
        <f>$AB1754</f>
        <v>46531.199999999997</v>
      </c>
      <c r="BI1754" s="34" t="str">
        <f>HYPERLINK("#중기사용료목록!A10","E0021040025 →")</f>
        <v>E0021040025 →</v>
      </c>
    </row>
    <row r="1755" spans="1:61" ht="18.399999999999999" hidden="1" customHeight="1" x14ac:dyDescent="0.15">
      <c r="A1755" s="2" t="s">
        <v>335</v>
      </c>
      <c r="B1755" s="87" t="s">
        <v>2856</v>
      </c>
      <c r="C1755" s="2">
        <v>1</v>
      </c>
      <c r="D1755" s="2" t="s">
        <v>2303</v>
      </c>
      <c r="E1755" s="27">
        <f>G1755+I1755+K1755</f>
        <v>0</v>
      </c>
      <c r="F1755" s="28">
        <f t="shared" si="339"/>
        <v>520225.80000000005</v>
      </c>
      <c r="G1755" s="1"/>
      <c r="H1755" s="28">
        <f>TRUNC(((H1751+H1752+H1753+H1754)/5),1)</f>
        <v>46531.199999999997</v>
      </c>
      <c r="I1755" s="1"/>
      <c r="J1755" s="28">
        <f>TRUNC(((J1751+J1752+J1753+J1754)/5),1)</f>
        <v>348915.4</v>
      </c>
      <c r="K1755" s="1"/>
      <c r="L1755" s="28">
        <f>TRUNC(((L1751+L1752+L1753+L1754)/5),1)</f>
        <v>124779.2</v>
      </c>
      <c r="M1755" s="86" t="s">
        <v>2856</v>
      </c>
      <c r="N1755" t="s">
        <v>2856</v>
      </c>
      <c r="P1755" t="s">
        <v>2428</v>
      </c>
      <c r="Q1755" t="s">
        <v>2856</v>
      </c>
      <c r="R1755" t="s">
        <v>2405</v>
      </c>
      <c r="X1755" t="s">
        <v>1989</v>
      </c>
      <c r="AA1755" s="42" t="s">
        <v>298</v>
      </c>
      <c r="AB1755" s="8">
        <f>('일위대가_호표(신규)'!J1751+'일위대가_호표(신규)'!J1752+'일위대가_호표(신규)'!J1753+'일위대가_호표(신규)'!J1754)/5</f>
        <v>348915.4</v>
      </c>
      <c r="AC1755" s="42" t="s">
        <v>1123</v>
      </c>
      <c r="AD1755" s="7">
        <f>$AB1755</f>
        <v>348915.4</v>
      </c>
    </row>
    <row r="1756" spans="1:61" ht="18.399999999999999" hidden="1" customHeight="1" x14ac:dyDescent="0.15">
      <c r="A1756" s="1"/>
      <c r="B1756" s="87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87"/>
      <c r="AA1756" s="42" t="s">
        <v>917</v>
      </c>
      <c r="AB1756" s="8">
        <f>('일위대가_호표(신규)'!L1751+'일위대가_호표(신규)'!L1752+'일위대가_호표(신규)'!L1753+'일위대가_호표(신규)'!L1754)/5</f>
        <v>124779.2</v>
      </c>
      <c r="AC1756" s="42" t="s">
        <v>1546</v>
      </c>
      <c r="AD1756" s="7">
        <f>$AB1756</f>
        <v>124779.2</v>
      </c>
    </row>
    <row r="1757" spans="1:61" ht="18.399999999999999" hidden="1" customHeight="1" x14ac:dyDescent="0.15">
      <c r="A1757" s="2" t="s">
        <v>2541</v>
      </c>
      <c r="B1757" s="87" t="s">
        <v>552</v>
      </c>
      <c r="C1757" s="2">
        <v>1</v>
      </c>
      <c r="D1757" s="2" t="s">
        <v>556</v>
      </c>
      <c r="E1757" s="184"/>
      <c r="F1757" s="29">
        <f t="shared" ref="F1757:F1762" si="340">H1757+J1757+L1757</f>
        <v>471631</v>
      </c>
      <c r="G1757" s="184"/>
      <c r="H1757" s="29">
        <f>TRUNC(H1762,0)</f>
        <v>39420</v>
      </c>
      <c r="I1757" s="184"/>
      <c r="J1757" s="29">
        <f>TRUNC(J1762,0)</f>
        <v>348915</v>
      </c>
      <c r="K1757" s="184"/>
      <c r="L1757" s="29">
        <f>TRUNC(L1762,0)</f>
        <v>83296</v>
      </c>
      <c r="M1757" s="86" t="s">
        <v>2856</v>
      </c>
      <c r="N1757" t="s">
        <v>2856</v>
      </c>
      <c r="O1757" t="s">
        <v>1842</v>
      </c>
    </row>
    <row r="1758" spans="1:61" ht="18.399999999999999" hidden="1" customHeight="1" x14ac:dyDescent="0.15">
      <c r="A1758" s="2" t="s">
        <v>899</v>
      </c>
      <c r="B1758" s="87" t="s">
        <v>2856</v>
      </c>
      <c r="C1758" s="2">
        <v>3</v>
      </c>
      <c r="D1758" s="2" t="s">
        <v>2652</v>
      </c>
      <c r="E1758" s="27">
        <f>G1758+I1758+K1758</f>
        <v>222504</v>
      </c>
      <c r="F1758" s="28">
        <f t="shared" si="340"/>
        <v>667512</v>
      </c>
      <c r="G1758" s="27">
        <v>0</v>
      </c>
      <c r="H1758" s="28"/>
      <c r="I1758" s="27">
        <f>노임!D12</f>
        <v>222504</v>
      </c>
      <c r="J1758" s="28">
        <f>TRUNC(I1758*C1758,1)</f>
        <v>667512</v>
      </c>
      <c r="K1758" s="27">
        <v>0</v>
      </c>
      <c r="L1758" s="28"/>
      <c r="M1758" s="86" t="s">
        <v>2856</v>
      </c>
      <c r="N1758" t="s">
        <v>2823</v>
      </c>
      <c r="P1758" t="s">
        <v>2471</v>
      </c>
      <c r="Q1758" t="s">
        <v>1839</v>
      </c>
      <c r="R1758" t="s">
        <v>2638</v>
      </c>
      <c r="BI1758" s="34" t="str">
        <f>HYPERLINK("#노임!A12","L050 →")</f>
        <v>L050 →</v>
      </c>
    </row>
    <row r="1759" spans="1:61" ht="18.399999999999999" hidden="1" customHeight="1" x14ac:dyDescent="0.15">
      <c r="A1759" s="2" t="s">
        <v>888</v>
      </c>
      <c r="B1759" s="87" t="s">
        <v>2856</v>
      </c>
      <c r="C1759" s="2">
        <v>1</v>
      </c>
      <c r="D1759" s="2" t="s">
        <v>2652</v>
      </c>
      <c r="E1759" s="27">
        <f>G1759+I1759+K1759</f>
        <v>167081</v>
      </c>
      <c r="F1759" s="28">
        <f t="shared" si="340"/>
        <v>167081</v>
      </c>
      <c r="G1759" s="27">
        <v>0</v>
      </c>
      <c r="H1759" s="28"/>
      <c r="I1759" s="27">
        <f>노임!D15</f>
        <v>167081</v>
      </c>
      <c r="J1759" s="28">
        <f>TRUNC(I1759*C1759,1)</f>
        <v>167081</v>
      </c>
      <c r="K1759" s="27">
        <v>0</v>
      </c>
      <c r="L1759" s="28"/>
      <c r="M1759" s="86" t="s">
        <v>2856</v>
      </c>
      <c r="N1759" t="s">
        <v>821</v>
      </c>
      <c r="P1759" t="s">
        <v>1741</v>
      </c>
      <c r="Q1759" t="s">
        <v>1839</v>
      </c>
      <c r="R1759" t="s">
        <v>498</v>
      </c>
      <c r="BI1759" s="34" t="str">
        <f>HYPERLINK("#노임!A15","L085 →")</f>
        <v>L085 →</v>
      </c>
    </row>
    <row r="1760" spans="1:61" ht="18.399999999999999" hidden="1" customHeight="1" x14ac:dyDescent="0.15">
      <c r="A1760" s="2" t="s">
        <v>1613</v>
      </c>
      <c r="B1760" s="87" t="s">
        <v>986</v>
      </c>
      <c r="C1760" s="2">
        <v>8</v>
      </c>
      <c r="D1760" s="2" t="s">
        <v>2377</v>
      </c>
      <c r="E1760" s="27">
        <f>G1760+I1760+K1760</f>
        <v>96128</v>
      </c>
      <c r="F1760" s="28">
        <f t="shared" si="340"/>
        <v>769024</v>
      </c>
      <c r="G1760" s="27">
        <f>중기사용료목록!E4</f>
        <v>17297</v>
      </c>
      <c r="H1760" s="28">
        <f>TRUNC(G1760*C1760,1)</f>
        <v>138376</v>
      </c>
      <c r="I1760" s="27">
        <f>중기사용료목록!F4</f>
        <v>56874</v>
      </c>
      <c r="J1760" s="28">
        <f>TRUNC(I1760*C1760,1)</f>
        <v>454992</v>
      </c>
      <c r="K1760" s="27">
        <f>중기사용료목록!G4</f>
        <v>21957</v>
      </c>
      <c r="L1760" s="28">
        <f>TRUNC(K1760*C1760,1)</f>
        <v>175656</v>
      </c>
      <c r="M1760" s="86" t="s">
        <v>2856</v>
      </c>
      <c r="N1760" t="s">
        <v>2856</v>
      </c>
      <c r="P1760" t="s">
        <v>1036</v>
      </c>
      <c r="Q1760" t="s">
        <v>1839</v>
      </c>
      <c r="R1760" t="s">
        <v>361</v>
      </c>
      <c r="BI1760" s="34" t="str">
        <f>HYPERLINK("#중기사용료목록!A4","E0002010060 →")</f>
        <v>E0002010060 →</v>
      </c>
    </row>
    <row r="1761" spans="1:61" ht="18.399999999999999" hidden="1" customHeight="1" x14ac:dyDescent="0.15">
      <c r="A1761" s="2" t="s">
        <v>1394</v>
      </c>
      <c r="B1761" s="87" t="s">
        <v>2467</v>
      </c>
      <c r="C1761" s="2">
        <v>8</v>
      </c>
      <c r="D1761" s="2" t="s">
        <v>2377</v>
      </c>
      <c r="E1761" s="27">
        <f>G1761+I1761+K1761</f>
        <v>94318</v>
      </c>
      <c r="F1761" s="28">
        <f t="shared" si="340"/>
        <v>754544</v>
      </c>
      <c r="G1761" s="27">
        <f>중기사용료목록!E8</f>
        <v>7341</v>
      </c>
      <c r="H1761" s="28">
        <f>TRUNC(G1761*C1761,1)</f>
        <v>58728</v>
      </c>
      <c r="I1761" s="27">
        <f>중기사용료목록!F8</f>
        <v>56874</v>
      </c>
      <c r="J1761" s="28">
        <f>TRUNC(I1761*C1761,1)</f>
        <v>454992</v>
      </c>
      <c r="K1761" s="27">
        <f>중기사용료목록!G8</f>
        <v>30103</v>
      </c>
      <c r="L1761" s="28">
        <f>TRUNC(K1761*C1761,1)</f>
        <v>240824</v>
      </c>
      <c r="M1761" s="86" t="s">
        <v>2856</v>
      </c>
      <c r="N1761" t="s">
        <v>2856</v>
      </c>
      <c r="P1761" t="s">
        <v>2374</v>
      </c>
      <c r="Q1761" t="s">
        <v>1839</v>
      </c>
      <c r="R1761" t="s">
        <v>1324</v>
      </c>
      <c r="AA1761" s="42" t="s">
        <v>2127</v>
      </c>
      <c r="AB1761" s="8">
        <f>('일위대가_호표(신규)'!H1758+'일위대가_호표(신규)'!H1759+'일위대가_호표(신규)'!H1760+'일위대가_호표(신규)'!H1761)/5</f>
        <v>39420.800000000003</v>
      </c>
      <c r="AC1761" s="42" t="s">
        <v>2369</v>
      </c>
      <c r="AD1761" s="7">
        <f>$AB1761</f>
        <v>39420.800000000003</v>
      </c>
      <c r="BI1761" s="34" t="str">
        <f>HYPERLINK("#중기사용료목록!A8","E0021040010 →")</f>
        <v>E0021040010 →</v>
      </c>
    </row>
    <row r="1762" spans="1:61" ht="18.399999999999999" hidden="1" customHeight="1" x14ac:dyDescent="0.15">
      <c r="A1762" s="2" t="s">
        <v>335</v>
      </c>
      <c r="B1762" s="87" t="s">
        <v>2856</v>
      </c>
      <c r="C1762" s="2">
        <v>1</v>
      </c>
      <c r="D1762" s="2" t="s">
        <v>2303</v>
      </c>
      <c r="E1762" s="27">
        <f>G1762+I1762+K1762</f>
        <v>0</v>
      </c>
      <c r="F1762" s="28">
        <f t="shared" si="340"/>
        <v>471632.2</v>
      </c>
      <c r="G1762" s="1"/>
      <c r="H1762" s="28">
        <f>TRUNC(((H1758+H1759+H1760+H1761)/5),1)</f>
        <v>39420.800000000003</v>
      </c>
      <c r="I1762" s="1"/>
      <c r="J1762" s="28">
        <f>TRUNC(((J1758+J1759+J1760+J1761)/5),1)</f>
        <v>348915.4</v>
      </c>
      <c r="K1762" s="1"/>
      <c r="L1762" s="28">
        <f>TRUNC(((L1758+L1759+L1760+L1761)/5),1)</f>
        <v>83296</v>
      </c>
      <c r="M1762" s="86" t="s">
        <v>2856</v>
      </c>
      <c r="N1762" t="s">
        <v>2856</v>
      </c>
      <c r="P1762" t="s">
        <v>286</v>
      </c>
      <c r="Q1762" t="s">
        <v>2856</v>
      </c>
      <c r="R1762" t="s">
        <v>2405</v>
      </c>
      <c r="X1762" t="s">
        <v>314</v>
      </c>
      <c r="AA1762" s="42" t="s">
        <v>298</v>
      </c>
      <c r="AB1762" s="8">
        <f>('일위대가_호표(신규)'!J1758+'일위대가_호표(신규)'!J1759+'일위대가_호표(신규)'!J1760+'일위대가_호표(신규)'!J1761)/5</f>
        <v>348915.4</v>
      </c>
      <c r="AC1762" s="42" t="s">
        <v>1123</v>
      </c>
      <c r="AD1762" s="7">
        <f>$AB1762</f>
        <v>348915.4</v>
      </c>
    </row>
    <row r="1763" spans="1:61" ht="18.399999999999999" hidden="1" customHeight="1" x14ac:dyDescent="0.15">
      <c r="A1763" s="1"/>
      <c r="B1763" s="87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87"/>
      <c r="AA1763" s="42" t="s">
        <v>917</v>
      </c>
      <c r="AB1763" s="8">
        <f>('일위대가_호표(신규)'!L1758+'일위대가_호표(신규)'!L1759+'일위대가_호표(신규)'!L1760+'일위대가_호표(신규)'!L1761)/5</f>
        <v>83296</v>
      </c>
      <c r="AC1763" s="42" t="s">
        <v>1546</v>
      </c>
      <c r="AD1763" s="7">
        <f>$AB1763</f>
        <v>83296</v>
      </c>
    </row>
    <row r="1764" spans="1:61" ht="18.399999999999999" hidden="1" customHeight="1" x14ac:dyDescent="0.15">
      <c r="A1764" s="2" t="s">
        <v>292</v>
      </c>
      <c r="B1764" s="87" t="s">
        <v>2184</v>
      </c>
      <c r="C1764" s="2">
        <v>1</v>
      </c>
      <c r="D1764" s="2" t="s">
        <v>556</v>
      </c>
      <c r="E1764" s="184"/>
      <c r="F1764" s="29">
        <f>H1764+J1764+L1764</f>
        <v>103659</v>
      </c>
      <c r="G1764" s="184"/>
      <c r="H1764" s="29">
        <f>TRUNC(H1768,0)</f>
        <v>8953</v>
      </c>
      <c r="I1764" s="184"/>
      <c r="J1764" s="29">
        <f>TRUNC(J1768,0)</f>
        <v>85972</v>
      </c>
      <c r="K1764" s="184"/>
      <c r="L1764" s="29">
        <f>TRUNC(L1768,0)</f>
        <v>8734</v>
      </c>
      <c r="M1764" s="86" t="s">
        <v>2856</v>
      </c>
      <c r="N1764" t="s">
        <v>2856</v>
      </c>
      <c r="O1764" t="s">
        <v>343</v>
      </c>
    </row>
    <row r="1765" spans="1:61" ht="18.399999999999999" hidden="1" customHeight="1" x14ac:dyDescent="0.15">
      <c r="A1765" s="2" t="s">
        <v>899</v>
      </c>
      <c r="B1765" s="87" t="s">
        <v>2856</v>
      </c>
      <c r="C1765" s="2">
        <v>3</v>
      </c>
      <c r="D1765" s="2" t="s">
        <v>2652</v>
      </c>
      <c r="E1765" s="27">
        <f>G1765+I1765+K1765</f>
        <v>222504</v>
      </c>
      <c r="F1765" s="28">
        <f>H1765+J1765+L1765</f>
        <v>667512</v>
      </c>
      <c r="G1765" s="27">
        <v>0</v>
      </c>
      <c r="H1765" s="28"/>
      <c r="I1765" s="27">
        <f>노임!D12</f>
        <v>222504</v>
      </c>
      <c r="J1765" s="28">
        <f>TRUNC(I1765*C1765,1)</f>
        <v>667512</v>
      </c>
      <c r="K1765" s="27">
        <v>0</v>
      </c>
      <c r="L1765" s="28"/>
      <c r="M1765" s="86" t="s">
        <v>2856</v>
      </c>
      <c r="N1765" t="s">
        <v>2823</v>
      </c>
      <c r="P1765" t="s">
        <v>2471</v>
      </c>
      <c r="Q1765" t="s">
        <v>1839</v>
      </c>
      <c r="R1765" t="s">
        <v>2638</v>
      </c>
      <c r="BI1765" s="34" t="str">
        <f>HYPERLINK("#노임!A12","L050 →")</f>
        <v>L050 →</v>
      </c>
    </row>
    <row r="1766" spans="1:61" ht="18.399999999999999" hidden="1" customHeight="1" x14ac:dyDescent="0.15">
      <c r="A1766" s="2" t="s">
        <v>888</v>
      </c>
      <c r="B1766" s="87" t="s">
        <v>2856</v>
      </c>
      <c r="C1766" s="2">
        <v>1</v>
      </c>
      <c r="D1766" s="2" t="s">
        <v>2652</v>
      </c>
      <c r="E1766" s="27">
        <f>G1766+I1766+K1766</f>
        <v>167081</v>
      </c>
      <c r="F1766" s="28">
        <f>H1766+J1766+L1766</f>
        <v>167081</v>
      </c>
      <c r="G1766" s="27">
        <v>0</v>
      </c>
      <c r="H1766" s="28"/>
      <c r="I1766" s="27">
        <f>노임!D15</f>
        <v>167081</v>
      </c>
      <c r="J1766" s="28">
        <f>TRUNC(I1766*C1766,1)</f>
        <v>167081</v>
      </c>
      <c r="K1766" s="27">
        <v>0</v>
      </c>
      <c r="L1766" s="28"/>
      <c r="M1766" s="86" t="s">
        <v>2856</v>
      </c>
      <c r="N1766" t="s">
        <v>821</v>
      </c>
      <c r="P1766" t="s">
        <v>1741</v>
      </c>
      <c r="Q1766" t="s">
        <v>1839</v>
      </c>
      <c r="R1766" t="s">
        <v>498</v>
      </c>
      <c r="BI1766" s="34" t="str">
        <f>HYPERLINK("#노임!A15","L085 →")</f>
        <v>L085 →</v>
      </c>
    </row>
    <row r="1767" spans="1:61" ht="18.399999999999999" hidden="1" customHeight="1" x14ac:dyDescent="0.15">
      <c r="A1767" s="2" t="s">
        <v>1613</v>
      </c>
      <c r="B1767" s="87" t="s">
        <v>2462</v>
      </c>
      <c r="C1767" s="2">
        <v>8</v>
      </c>
      <c r="D1767" s="2" t="s">
        <v>2377</v>
      </c>
      <c r="E1767" s="27">
        <f>G1767+I1767+K1767</f>
        <v>90040</v>
      </c>
      <c r="F1767" s="28">
        <f>H1767+J1767+L1767</f>
        <v>720320</v>
      </c>
      <c r="G1767" s="27">
        <f>중기사용료목록!E3</f>
        <v>16788</v>
      </c>
      <c r="H1767" s="28">
        <f>TRUNC(G1767*C1767,1)</f>
        <v>134304</v>
      </c>
      <c r="I1767" s="27">
        <f>중기사용료목록!F3</f>
        <v>56874</v>
      </c>
      <c r="J1767" s="28">
        <f>TRUNC(I1767*C1767,1)</f>
        <v>454992</v>
      </c>
      <c r="K1767" s="27">
        <f>중기사용료목록!G3</f>
        <v>16378</v>
      </c>
      <c r="L1767" s="28">
        <f>TRUNC(K1767*C1767,1)</f>
        <v>131024</v>
      </c>
      <c r="M1767" s="86" t="s">
        <v>2856</v>
      </c>
      <c r="N1767" t="s">
        <v>2856</v>
      </c>
      <c r="P1767" t="s">
        <v>1036</v>
      </c>
      <c r="Q1767" t="s">
        <v>1839</v>
      </c>
      <c r="R1767" t="s">
        <v>1823</v>
      </c>
      <c r="AA1767" s="42" t="s">
        <v>2127</v>
      </c>
      <c r="AB1767" s="8">
        <f>('일위대가_호표(신규)'!H1765+'일위대가_호표(신규)'!H1766+'일위대가_호표(신규)'!H1767)/15</f>
        <v>8953.6</v>
      </c>
      <c r="AC1767" s="42" t="s">
        <v>2369</v>
      </c>
      <c r="AD1767" s="7">
        <f>$AB1767</f>
        <v>8953.6</v>
      </c>
      <c r="BI1767" s="34" t="str">
        <f>HYPERLINK("#중기사용료목록!A3","E0002010040 →")</f>
        <v>E0002010040 →</v>
      </c>
    </row>
    <row r="1768" spans="1:61" ht="18.399999999999999" hidden="1" customHeight="1" x14ac:dyDescent="0.15">
      <c r="A1768" s="2" t="s">
        <v>265</v>
      </c>
      <c r="B1768" s="87" t="s">
        <v>2856</v>
      </c>
      <c r="C1768" s="2">
        <v>1</v>
      </c>
      <c r="D1768" s="2" t="s">
        <v>2303</v>
      </c>
      <c r="E1768" s="27">
        <f>G1768+I1768+K1768</f>
        <v>0</v>
      </c>
      <c r="F1768" s="28">
        <f>H1768+J1768+L1768</f>
        <v>103660.8</v>
      </c>
      <c r="G1768" s="1"/>
      <c r="H1768" s="28">
        <f>TRUNC(((H1765+H1766+H1767)/15),1)</f>
        <v>8953.6</v>
      </c>
      <c r="I1768" s="1"/>
      <c r="J1768" s="28">
        <f>TRUNC(((J1765+J1766+J1767)/15),1)</f>
        <v>85972.3</v>
      </c>
      <c r="K1768" s="1"/>
      <c r="L1768" s="28">
        <f>TRUNC(((L1765+L1766+L1767)/15),1)</f>
        <v>8734.9</v>
      </c>
      <c r="M1768" s="86" t="s">
        <v>2856</v>
      </c>
      <c r="N1768" t="s">
        <v>2856</v>
      </c>
      <c r="P1768" t="s">
        <v>286</v>
      </c>
      <c r="Q1768" t="s">
        <v>2856</v>
      </c>
      <c r="R1768" t="s">
        <v>2405</v>
      </c>
      <c r="X1768" t="s">
        <v>992</v>
      </c>
      <c r="AA1768" s="42" t="s">
        <v>298</v>
      </c>
      <c r="AB1768" s="8">
        <f>('일위대가_호표(신규)'!J1765+'일위대가_호표(신규)'!J1766+'일위대가_호표(신규)'!J1767)/15</f>
        <v>85972.333333333328</v>
      </c>
      <c r="AC1768" s="42" t="s">
        <v>1123</v>
      </c>
      <c r="AD1768" s="7">
        <f>$AB1768</f>
        <v>85972.333333333328</v>
      </c>
    </row>
    <row r="1769" spans="1:61" ht="18.399999999999999" hidden="1" customHeight="1" x14ac:dyDescent="0.15">
      <c r="A1769" s="1"/>
      <c r="B1769" s="87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87"/>
      <c r="AA1769" s="42" t="s">
        <v>917</v>
      </c>
      <c r="AB1769" s="8">
        <f>('일위대가_호표(신규)'!L1765+'일위대가_호표(신규)'!L1766+'일위대가_호표(신규)'!L1767)/15</f>
        <v>8734.9333333333325</v>
      </c>
      <c r="AC1769" s="42" t="s">
        <v>1546</v>
      </c>
      <c r="AD1769" s="7">
        <f>$AB1769</f>
        <v>8734.9333333333325</v>
      </c>
    </row>
    <row r="1770" spans="1:61" ht="18.399999999999999" hidden="1" customHeight="1" x14ac:dyDescent="0.15">
      <c r="A1770" s="2" t="s">
        <v>1561</v>
      </c>
      <c r="B1770" s="87" t="s">
        <v>517</v>
      </c>
      <c r="C1770" s="2">
        <v>1</v>
      </c>
      <c r="D1770" s="2" t="s">
        <v>556</v>
      </c>
      <c r="E1770" s="184"/>
      <c r="F1770" s="29">
        <f>H1770+J1770+L1770</f>
        <v>155490</v>
      </c>
      <c r="G1770" s="184"/>
      <c r="H1770" s="29">
        <f>TRUNC(H1774,0)</f>
        <v>13430</v>
      </c>
      <c r="I1770" s="184"/>
      <c r="J1770" s="29">
        <f>TRUNC(J1774,0)</f>
        <v>128958</v>
      </c>
      <c r="K1770" s="184"/>
      <c r="L1770" s="29">
        <f>TRUNC(L1774,0)</f>
        <v>13102</v>
      </c>
      <c r="M1770" s="86" t="s">
        <v>2856</v>
      </c>
      <c r="N1770" t="s">
        <v>2856</v>
      </c>
      <c r="O1770" t="s">
        <v>1526</v>
      </c>
    </row>
    <row r="1771" spans="1:61" ht="18.399999999999999" hidden="1" customHeight="1" x14ac:dyDescent="0.15">
      <c r="A1771" s="2" t="s">
        <v>899</v>
      </c>
      <c r="B1771" s="87" t="s">
        <v>2856</v>
      </c>
      <c r="C1771" s="2">
        <v>3</v>
      </c>
      <c r="D1771" s="2" t="s">
        <v>2652</v>
      </c>
      <c r="E1771" s="27">
        <f>G1771+I1771+K1771</f>
        <v>222504</v>
      </c>
      <c r="F1771" s="28">
        <f>H1771+J1771+L1771</f>
        <v>667512</v>
      </c>
      <c r="G1771" s="27">
        <v>0</v>
      </c>
      <c r="H1771" s="28"/>
      <c r="I1771" s="27">
        <f>노임!D12</f>
        <v>222504</v>
      </c>
      <c r="J1771" s="28">
        <f>TRUNC(I1771*C1771,1)</f>
        <v>667512</v>
      </c>
      <c r="K1771" s="27">
        <v>0</v>
      </c>
      <c r="L1771" s="28"/>
      <c r="M1771" s="86" t="s">
        <v>2856</v>
      </c>
      <c r="N1771" t="s">
        <v>2823</v>
      </c>
      <c r="P1771" t="s">
        <v>2471</v>
      </c>
      <c r="Q1771" t="s">
        <v>1839</v>
      </c>
      <c r="R1771" t="s">
        <v>2638</v>
      </c>
      <c r="BI1771" s="34" t="str">
        <f>HYPERLINK("#노임!A12","L050 →")</f>
        <v>L050 →</v>
      </c>
    </row>
    <row r="1772" spans="1:61" ht="18.399999999999999" hidden="1" customHeight="1" x14ac:dyDescent="0.15">
      <c r="A1772" s="2" t="s">
        <v>888</v>
      </c>
      <c r="B1772" s="87" t="s">
        <v>2856</v>
      </c>
      <c r="C1772" s="2">
        <v>1</v>
      </c>
      <c r="D1772" s="2" t="s">
        <v>2652</v>
      </c>
      <c r="E1772" s="27">
        <f>G1772+I1772+K1772</f>
        <v>167081</v>
      </c>
      <c r="F1772" s="28">
        <f>H1772+J1772+L1772</f>
        <v>167081</v>
      </c>
      <c r="G1772" s="27">
        <v>0</v>
      </c>
      <c r="H1772" s="28"/>
      <c r="I1772" s="27">
        <f>노임!D15</f>
        <v>167081</v>
      </c>
      <c r="J1772" s="28">
        <f>TRUNC(I1772*C1772,1)</f>
        <v>167081</v>
      </c>
      <c r="K1772" s="27">
        <v>0</v>
      </c>
      <c r="L1772" s="28"/>
      <c r="M1772" s="86" t="s">
        <v>2856</v>
      </c>
      <c r="N1772" t="s">
        <v>821</v>
      </c>
      <c r="P1772" t="s">
        <v>1741</v>
      </c>
      <c r="Q1772" t="s">
        <v>1839</v>
      </c>
      <c r="R1772" t="s">
        <v>498</v>
      </c>
      <c r="BI1772" s="34" t="str">
        <f>HYPERLINK("#노임!A15","L085 →")</f>
        <v>L085 →</v>
      </c>
    </row>
    <row r="1773" spans="1:61" ht="18.399999999999999" hidden="1" customHeight="1" x14ac:dyDescent="0.15">
      <c r="A1773" s="2" t="s">
        <v>1613</v>
      </c>
      <c r="B1773" s="87" t="s">
        <v>2462</v>
      </c>
      <c r="C1773" s="2">
        <v>8</v>
      </c>
      <c r="D1773" s="2" t="s">
        <v>2377</v>
      </c>
      <c r="E1773" s="27">
        <f>G1773+I1773+K1773</f>
        <v>90040</v>
      </c>
      <c r="F1773" s="28">
        <f>H1773+J1773+L1773</f>
        <v>720320</v>
      </c>
      <c r="G1773" s="27">
        <f>중기사용료목록!E3</f>
        <v>16788</v>
      </c>
      <c r="H1773" s="28">
        <f>TRUNC(G1773*C1773,1)</f>
        <v>134304</v>
      </c>
      <c r="I1773" s="27">
        <f>중기사용료목록!F3</f>
        <v>56874</v>
      </c>
      <c r="J1773" s="28">
        <f>TRUNC(I1773*C1773,1)</f>
        <v>454992</v>
      </c>
      <c r="K1773" s="27">
        <f>중기사용료목록!G3</f>
        <v>16378</v>
      </c>
      <c r="L1773" s="28">
        <f>TRUNC(K1773*C1773,1)</f>
        <v>131024</v>
      </c>
      <c r="M1773" s="86" t="s">
        <v>2856</v>
      </c>
      <c r="N1773" t="s">
        <v>2856</v>
      </c>
      <c r="P1773" t="s">
        <v>1036</v>
      </c>
      <c r="Q1773" t="s">
        <v>1839</v>
      </c>
      <c r="R1773" t="s">
        <v>1823</v>
      </c>
      <c r="AA1773" s="42" t="s">
        <v>2127</v>
      </c>
      <c r="AB1773" s="8">
        <f>('일위대가_호표(신규)'!H1771+'일위대가_호표(신규)'!H1772+'일위대가_호표(신규)'!H1773)/10</f>
        <v>13430.4</v>
      </c>
      <c r="AC1773" s="42" t="s">
        <v>2369</v>
      </c>
      <c r="AD1773" s="7">
        <f>$AB1773</f>
        <v>13430.4</v>
      </c>
      <c r="BI1773" s="34" t="str">
        <f>HYPERLINK("#중기사용료목록!A3","E0002010040 →")</f>
        <v>E0002010040 →</v>
      </c>
    </row>
    <row r="1774" spans="1:61" ht="18.399999999999999" hidden="1" customHeight="1" x14ac:dyDescent="0.15">
      <c r="A1774" s="2" t="s">
        <v>408</v>
      </c>
      <c r="B1774" s="87" t="s">
        <v>2856</v>
      </c>
      <c r="C1774" s="2">
        <v>1</v>
      </c>
      <c r="D1774" s="2" t="s">
        <v>2303</v>
      </c>
      <c r="E1774" s="27">
        <f>G1774+I1774+K1774</f>
        <v>0</v>
      </c>
      <c r="F1774" s="28">
        <f>H1774+J1774+L1774</f>
        <v>155491.29999999999</v>
      </c>
      <c r="G1774" s="1"/>
      <c r="H1774" s="28">
        <f>TRUNC(((H1771+H1772+H1773)/10),1)</f>
        <v>13430.4</v>
      </c>
      <c r="I1774" s="1"/>
      <c r="J1774" s="28">
        <f>TRUNC(((J1771+J1772+J1773)/10),1)</f>
        <v>128958.5</v>
      </c>
      <c r="K1774" s="1"/>
      <c r="L1774" s="28">
        <f>TRUNC(((L1771+L1772+L1773)/10),1)</f>
        <v>13102.4</v>
      </c>
      <c r="M1774" s="86" t="s">
        <v>2856</v>
      </c>
      <c r="N1774" t="s">
        <v>2856</v>
      </c>
      <c r="P1774" t="s">
        <v>286</v>
      </c>
      <c r="Q1774" t="s">
        <v>2856</v>
      </c>
      <c r="R1774" t="s">
        <v>2405</v>
      </c>
      <c r="X1774" t="s">
        <v>1559</v>
      </c>
      <c r="AA1774" s="42" t="s">
        <v>298</v>
      </c>
      <c r="AB1774" s="8">
        <f>('일위대가_호표(신규)'!J1771+'일위대가_호표(신규)'!J1772+'일위대가_호표(신규)'!J1773)/10</f>
        <v>128958.5</v>
      </c>
      <c r="AC1774" s="42" t="s">
        <v>1123</v>
      </c>
      <c r="AD1774" s="7">
        <f>$AB1774</f>
        <v>128958.5</v>
      </c>
    </row>
    <row r="1775" spans="1:61" ht="18.399999999999999" hidden="1" customHeight="1" x14ac:dyDescent="0.15">
      <c r="A1775" s="1"/>
      <c r="B1775" s="87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87"/>
      <c r="AA1775" s="42" t="s">
        <v>917</v>
      </c>
      <c r="AB1775" s="8">
        <f>('일위대가_호표(신규)'!L1771+'일위대가_호표(신규)'!L1772+'일위대가_호표(신규)'!L1773)/10</f>
        <v>13102.4</v>
      </c>
      <c r="AC1775" s="42" t="s">
        <v>1546</v>
      </c>
      <c r="AD1775" s="7">
        <f>$AB1775</f>
        <v>13102.4</v>
      </c>
    </row>
    <row r="1776" spans="1:61" ht="18.399999999999999" hidden="1" customHeight="1" x14ac:dyDescent="0.15">
      <c r="A1776" s="2" t="s">
        <v>255</v>
      </c>
      <c r="B1776" s="87" t="s">
        <v>2292</v>
      </c>
      <c r="C1776" s="2">
        <v>1</v>
      </c>
      <c r="D1776" s="2" t="s">
        <v>556</v>
      </c>
      <c r="E1776" s="184"/>
      <c r="F1776" s="29">
        <f t="shared" ref="F1776:F1781" si="341">H1776+J1776+L1776</f>
        <v>972863</v>
      </c>
      <c r="G1776" s="184"/>
      <c r="H1776" s="29">
        <f>TRUNC(H1781,0)</f>
        <v>104320</v>
      </c>
      <c r="I1776" s="184"/>
      <c r="J1776" s="29">
        <f>TRUNC(J1781,0)</f>
        <v>581525</v>
      </c>
      <c r="K1776" s="184"/>
      <c r="L1776" s="29">
        <f>TRUNC(L1781,0)</f>
        <v>287018</v>
      </c>
      <c r="M1776" s="86" t="s">
        <v>2856</v>
      </c>
      <c r="N1776" t="s">
        <v>2856</v>
      </c>
      <c r="O1776" t="s">
        <v>1607</v>
      </c>
    </row>
    <row r="1777" spans="1:61" ht="18.399999999999999" hidden="1" customHeight="1" x14ac:dyDescent="0.15">
      <c r="A1777" s="2" t="s">
        <v>899</v>
      </c>
      <c r="B1777" s="87" t="s">
        <v>2856</v>
      </c>
      <c r="C1777" s="2">
        <v>3</v>
      </c>
      <c r="D1777" s="2" t="s">
        <v>2652</v>
      </c>
      <c r="E1777" s="27">
        <f>G1777+I1777+K1777</f>
        <v>222504</v>
      </c>
      <c r="F1777" s="28">
        <f t="shared" si="341"/>
        <v>667512</v>
      </c>
      <c r="G1777" s="27">
        <v>0</v>
      </c>
      <c r="H1777" s="28"/>
      <c r="I1777" s="27">
        <f>노임!D12</f>
        <v>222504</v>
      </c>
      <c r="J1777" s="28">
        <f>TRUNC(I1777*C1777,1)</f>
        <v>667512</v>
      </c>
      <c r="K1777" s="27">
        <v>0</v>
      </c>
      <c r="L1777" s="28"/>
      <c r="M1777" s="86" t="s">
        <v>2856</v>
      </c>
      <c r="N1777" t="s">
        <v>2823</v>
      </c>
      <c r="P1777" t="s">
        <v>2471</v>
      </c>
      <c r="Q1777" t="s">
        <v>1839</v>
      </c>
      <c r="R1777" t="s">
        <v>2638</v>
      </c>
      <c r="BI1777" s="34" t="str">
        <f>HYPERLINK("#노임!A12","L050 →")</f>
        <v>L050 →</v>
      </c>
    </row>
    <row r="1778" spans="1:61" ht="18.399999999999999" hidden="1" customHeight="1" x14ac:dyDescent="0.15">
      <c r="A1778" s="2" t="s">
        <v>888</v>
      </c>
      <c r="B1778" s="87" t="s">
        <v>2856</v>
      </c>
      <c r="C1778" s="2">
        <v>1</v>
      </c>
      <c r="D1778" s="2" t="s">
        <v>2652</v>
      </c>
      <c r="E1778" s="27">
        <f>G1778+I1778+K1778</f>
        <v>167081</v>
      </c>
      <c r="F1778" s="28">
        <f t="shared" si="341"/>
        <v>167081</v>
      </c>
      <c r="G1778" s="27">
        <v>0</v>
      </c>
      <c r="H1778" s="28"/>
      <c r="I1778" s="27">
        <f>노임!D15</f>
        <v>167081</v>
      </c>
      <c r="J1778" s="28">
        <f>TRUNC(I1778*C1778,1)</f>
        <v>167081</v>
      </c>
      <c r="K1778" s="27">
        <v>0</v>
      </c>
      <c r="L1778" s="28"/>
      <c r="M1778" s="86" t="s">
        <v>2856</v>
      </c>
      <c r="N1778" t="s">
        <v>821</v>
      </c>
      <c r="P1778" t="s">
        <v>1741</v>
      </c>
      <c r="Q1778" t="s">
        <v>1839</v>
      </c>
      <c r="R1778" t="s">
        <v>498</v>
      </c>
      <c r="BI1778" s="34" t="str">
        <f>HYPERLINK("#노임!A15","L085 →")</f>
        <v>L085 →</v>
      </c>
    </row>
    <row r="1779" spans="1:61" ht="18.399999999999999" hidden="1" customHeight="1" x14ac:dyDescent="0.15">
      <c r="A1779" s="2" t="s">
        <v>1613</v>
      </c>
      <c r="B1779" s="87" t="s">
        <v>986</v>
      </c>
      <c r="C1779" s="2">
        <v>8</v>
      </c>
      <c r="D1779" s="2" t="s">
        <v>2377</v>
      </c>
      <c r="E1779" s="27">
        <f>G1779+I1779+K1779</f>
        <v>96128</v>
      </c>
      <c r="F1779" s="28">
        <f t="shared" si="341"/>
        <v>769024</v>
      </c>
      <c r="G1779" s="27">
        <f>중기사용료목록!E4</f>
        <v>17297</v>
      </c>
      <c r="H1779" s="28">
        <f>TRUNC(G1779*C1779,1)</f>
        <v>138376</v>
      </c>
      <c r="I1779" s="27">
        <f>중기사용료목록!F4</f>
        <v>56874</v>
      </c>
      <c r="J1779" s="28">
        <f>TRUNC(I1779*C1779,1)</f>
        <v>454992</v>
      </c>
      <c r="K1779" s="27">
        <f>중기사용료목록!G4</f>
        <v>21957</v>
      </c>
      <c r="L1779" s="28">
        <f>TRUNC(K1779*C1779,1)</f>
        <v>175656</v>
      </c>
      <c r="M1779" s="86" t="s">
        <v>2856</v>
      </c>
      <c r="N1779" t="s">
        <v>2856</v>
      </c>
      <c r="P1779" t="s">
        <v>1036</v>
      </c>
      <c r="Q1779" t="s">
        <v>1839</v>
      </c>
      <c r="R1779" t="s">
        <v>361</v>
      </c>
      <c r="BI1779" s="34" t="str">
        <f>HYPERLINK("#중기사용료목록!A4","E0002010060 →")</f>
        <v>E0002010060 →</v>
      </c>
    </row>
    <row r="1780" spans="1:61" ht="18.399999999999999" hidden="1" customHeight="1" x14ac:dyDescent="0.15">
      <c r="A1780" s="2" t="s">
        <v>1394</v>
      </c>
      <c r="B1780" s="87" t="s">
        <v>2270</v>
      </c>
      <c r="C1780" s="2">
        <v>8</v>
      </c>
      <c r="D1780" s="2" t="s">
        <v>2377</v>
      </c>
      <c r="E1780" s="27">
        <f>G1780+I1780+K1780</f>
        <v>164372</v>
      </c>
      <c r="F1780" s="28">
        <f t="shared" si="341"/>
        <v>1314976</v>
      </c>
      <c r="G1780" s="27">
        <f>중기사용료목록!E11</f>
        <v>21823</v>
      </c>
      <c r="H1780" s="28">
        <f>TRUNC(G1780*C1780,1)</f>
        <v>174584</v>
      </c>
      <c r="I1780" s="27">
        <f>중기사용료목록!F11</f>
        <v>56874</v>
      </c>
      <c r="J1780" s="28">
        <f>TRUNC(I1780*C1780,1)</f>
        <v>454992</v>
      </c>
      <c r="K1780" s="27">
        <f>중기사용료목록!G11</f>
        <v>85675</v>
      </c>
      <c r="L1780" s="28">
        <f>TRUNC(K1780*C1780,1)</f>
        <v>685400</v>
      </c>
      <c r="M1780" s="86" t="s">
        <v>2856</v>
      </c>
      <c r="N1780" t="s">
        <v>2856</v>
      </c>
      <c r="P1780" t="s">
        <v>2374</v>
      </c>
      <c r="Q1780" t="s">
        <v>1839</v>
      </c>
      <c r="R1780" t="s">
        <v>1279</v>
      </c>
      <c r="AA1780" s="42" t="s">
        <v>2127</v>
      </c>
      <c r="AB1780" s="8">
        <f>('일위대가_호표(신규)'!H1777+'일위대가_호표(신규)'!H1778+'일위대가_호표(신규)'!H1779+'일위대가_호표(신규)'!H1780)/3</f>
        <v>104320</v>
      </c>
      <c r="AC1780" s="42" t="s">
        <v>2369</v>
      </c>
      <c r="AD1780" s="7">
        <f>$AB1780</f>
        <v>104320</v>
      </c>
      <c r="BI1780" s="34" t="str">
        <f>HYPERLINK("#중기사용료목록!A11","E0021040050 →")</f>
        <v>E0021040050 →</v>
      </c>
    </row>
    <row r="1781" spans="1:61" ht="18.399999999999999" hidden="1" customHeight="1" x14ac:dyDescent="0.15">
      <c r="A1781" s="2" t="s">
        <v>2172</v>
      </c>
      <c r="B1781" s="87" t="s">
        <v>2856</v>
      </c>
      <c r="C1781" s="2">
        <v>1</v>
      </c>
      <c r="D1781" s="2" t="s">
        <v>2303</v>
      </c>
      <c r="E1781" s="27">
        <f>G1781+I1781+K1781</f>
        <v>0</v>
      </c>
      <c r="F1781" s="28">
        <f t="shared" si="341"/>
        <v>972864.2</v>
      </c>
      <c r="G1781" s="1"/>
      <c r="H1781" s="28">
        <f>TRUNC(((H1777+H1778+H1779+H1780)/3),1)</f>
        <v>104320</v>
      </c>
      <c r="I1781" s="1"/>
      <c r="J1781" s="28">
        <f>TRUNC(((J1777+J1778+J1779+J1780)/3),1)</f>
        <v>581525.6</v>
      </c>
      <c r="K1781" s="1"/>
      <c r="L1781" s="28">
        <f>TRUNC(((L1777+L1778+L1779+L1780)/3),1)</f>
        <v>287018.59999999998</v>
      </c>
      <c r="M1781" s="86" t="s">
        <v>2856</v>
      </c>
      <c r="N1781" t="s">
        <v>2856</v>
      </c>
      <c r="P1781" t="s">
        <v>286</v>
      </c>
      <c r="Q1781" t="s">
        <v>2856</v>
      </c>
      <c r="R1781" t="s">
        <v>2405</v>
      </c>
      <c r="X1781" t="s">
        <v>2813</v>
      </c>
      <c r="AA1781" s="42" t="s">
        <v>298</v>
      </c>
      <c r="AB1781" s="8">
        <f>('일위대가_호표(신규)'!J1777+'일위대가_호표(신규)'!J1778+'일위대가_호표(신규)'!J1779+'일위대가_호표(신규)'!J1780)/3</f>
        <v>581525.66666666663</v>
      </c>
      <c r="AC1781" s="42" t="s">
        <v>1123</v>
      </c>
      <c r="AD1781" s="7">
        <f>$AB1781</f>
        <v>581525.66666666663</v>
      </c>
    </row>
    <row r="1782" spans="1:61" ht="18.399999999999999" hidden="1" customHeight="1" x14ac:dyDescent="0.15">
      <c r="A1782" s="1"/>
      <c r="B1782" s="87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87"/>
      <c r="AA1782" s="42" t="s">
        <v>917</v>
      </c>
      <c r="AB1782" s="8">
        <f>('일위대가_호표(신규)'!L1777+'일위대가_호표(신규)'!L1778+'일위대가_호표(신규)'!L1779+'일위대가_호표(신규)'!L1780)/3</f>
        <v>287018.66666666669</v>
      </c>
      <c r="AC1782" s="42" t="s">
        <v>1546</v>
      </c>
      <c r="AD1782" s="7">
        <f>$AB1782</f>
        <v>287018.66666666669</v>
      </c>
    </row>
    <row r="1783" spans="1:61" ht="18.399999999999999" hidden="1" customHeight="1" x14ac:dyDescent="0.15">
      <c r="A1783" s="2" t="s">
        <v>1024</v>
      </c>
      <c r="B1783" s="87" t="s">
        <v>950</v>
      </c>
      <c r="C1783" s="2">
        <v>1</v>
      </c>
      <c r="D1783" s="2" t="s">
        <v>556</v>
      </c>
      <c r="E1783" s="184"/>
      <c r="F1783" s="29">
        <f t="shared" ref="F1783:F1788" si="342">H1783+J1783+L1783</f>
        <v>729648</v>
      </c>
      <c r="G1783" s="184"/>
      <c r="H1783" s="29">
        <f>TRUNC(H1788,0)</f>
        <v>78240</v>
      </c>
      <c r="I1783" s="184"/>
      <c r="J1783" s="29">
        <f>TRUNC(J1788,0)</f>
        <v>436144</v>
      </c>
      <c r="K1783" s="184"/>
      <c r="L1783" s="29">
        <f>TRUNC(L1788,0)</f>
        <v>215264</v>
      </c>
      <c r="M1783" s="86" t="s">
        <v>2856</v>
      </c>
      <c r="N1783" t="s">
        <v>2856</v>
      </c>
      <c r="O1783" t="s">
        <v>1148</v>
      </c>
    </row>
    <row r="1784" spans="1:61" ht="18.399999999999999" hidden="1" customHeight="1" x14ac:dyDescent="0.15">
      <c r="A1784" s="2" t="s">
        <v>899</v>
      </c>
      <c r="B1784" s="87" t="s">
        <v>2856</v>
      </c>
      <c r="C1784" s="2">
        <v>3</v>
      </c>
      <c r="D1784" s="2" t="s">
        <v>2652</v>
      </c>
      <c r="E1784" s="27">
        <f>G1784+I1784+K1784</f>
        <v>222504</v>
      </c>
      <c r="F1784" s="28">
        <f t="shared" si="342"/>
        <v>667512</v>
      </c>
      <c r="G1784" s="27">
        <v>0</v>
      </c>
      <c r="H1784" s="28"/>
      <c r="I1784" s="27">
        <f>노임!D12</f>
        <v>222504</v>
      </c>
      <c r="J1784" s="28">
        <f>TRUNC(I1784*C1784,1)</f>
        <v>667512</v>
      </c>
      <c r="K1784" s="27">
        <v>0</v>
      </c>
      <c r="L1784" s="28"/>
      <c r="M1784" s="86" t="s">
        <v>2856</v>
      </c>
      <c r="N1784" t="s">
        <v>2823</v>
      </c>
      <c r="P1784" t="s">
        <v>2471</v>
      </c>
      <c r="Q1784" t="s">
        <v>1839</v>
      </c>
      <c r="R1784" t="s">
        <v>2638</v>
      </c>
      <c r="BI1784" s="34" t="str">
        <f>HYPERLINK("#노임!A12","L050 →")</f>
        <v>L050 →</v>
      </c>
    </row>
    <row r="1785" spans="1:61" ht="18.399999999999999" hidden="1" customHeight="1" x14ac:dyDescent="0.15">
      <c r="A1785" s="2" t="s">
        <v>888</v>
      </c>
      <c r="B1785" s="87" t="s">
        <v>2856</v>
      </c>
      <c r="C1785" s="2">
        <v>1</v>
      </c>
      <c r="D1785" s="2" t="s">
        <v>2652</v>
      </c>
      <c r="E1785" s="27">
        <f>G1785+I1785+K1785</f>
        <v>167081</v>
      </c>
      <c r="F1785" s="28">
        <f t="shared" si="342"/>
        <v>167081</v>
      </c>
      <c r="G1785" s="27">
        <v>0</v>
      </c>
      <c r="H1785" s="28"/>
      <c r="I1785" s="27">
        <f>노임!D15</f>
        <v>167081</v>
      </c>
      <c r="J1785" s="28">
        <f>TRUNC(I1785*C1785,1)</f>
        <v>167081</v>
      </c>
      <c r="K1785" s="27">
        <v>0</v>
      </c>
      <c r="L1785" s="28"/>
      <c r="M1785" s="86" t="s">
        <v>2856</v>
      </c>
      <c r="N1785" t="s">
        <v>821</v>
      </c>
      <c r="P1785" t="s">
        <v>1741</v>
      </c>
      <c r="Q1785" t="s">
        <v>1839</v>
      </c>
      <c r="R1785" t="s">
        <v>498</v>
      </c>
      <c r="BI1785" s="34" t="str">
        <f>HYPERLINK("#노임!A15","L085 →")</f>
        <v>L085 →</v>
      </c>
    </row>
    <row r="1786" spans="1:61" ht="18.399999999999999" hidden="1" customHeight="1" x14ac:dyDescent="0.15">
      <c r="A1786" s="2" t="s">
        <v>1613</v>
      </c>
      <c r="B1786" s="87" t="s">
        <v>986</v>
      </c>
      <c r="C1786" s="2">
        <v>8</v>
      </c>
      <c r="D1786" s="2" t="s">
        <v>2377</v>
      </c>
      <c r="E1786" s="27">
        <f>G1786+I1786+K1786</f>
        <v>96128</v>
      </c>
      <c r="F1786" s="28">
        <f t="shared" si="342"/>
        <v>769024</v>
      </c>
      <c r="G1786" s="27">
        <f>중기사용료목록!E4</f>
        <v>17297</v>
      </c>
      <c r="H1786" s="28">
        <f>TRUNC(G1786*C1786,1)</f>
        <v>138376</v>
      </c>
      <c r="I1786" s="27">
        <f>중기사용료목록!F4</f>
        <v>56874</v>
      </c>
      <c r="J1786" s="28">
        <f>TRUNC(I1786*C1786,1)</f>
        <v>454992</v>
      </c>
      <c r="K1786" s="27">
        <f>중기사용료목록!G4</f>
        <v>21957</v>
      </c>
      <c r="L1786" s="28">
        <f>TRUNC(K1786*C1786,1)</f>
        <v>175656</v>
      </c>
      <c r="M1786" s="86" t="s">
        <v>2856</v>
      </c>
      <c r="N1786" t="s">
        <v>2856</v>
      </c>
      <c r="P1786" t="s">
        <v>1036</v>
      </c>
      <c r="Q1786" t="s">
        <v>1839</v>
      </c>
      <c r="R1786" t="s">
        <v>361</v>
      </c>
      <c r="BI1786" s="34" t="str">
        <f>HYPERLINK("#중기사용료목록!A4","E0002010060 →")</f>
        <v>E0002010060 →</v>
      </c>
    </row>
    <row r="1787" spans="1:61" ht="18.399999999999999" hidden="1" customHeight="1" x14ac:dyDescent="0.15">
      <c r="A1787" s="2" t="s">
        <v>1394</v>
      </c>
      <c r="B1787" s="87" t="s">
        <v>2270</v>
      </c>
      <c r="C1787" s="2">
        <v>8</v>
      </c>
      <c r="D1787" s="2" t="s">
        <v>2377</v>
      </c>
      <c r="E1787" s="27">
        <f>G1787+I1787+K1787</f>
        <v>164372</v>
      </c>
      <c r="F1787" s="28">
        <f t="shared" si="342"/>
        <v>1314976</v>
      </c>
      <c r="G1787" s="27">
        <f>중기사용료목록!E11</f>
        <v>21823</v>
      </c>
      <c r="H1787" s="28">
        <f>TRUNC(G1787*C1787,1)</f>
        <v>174584</v>
      </c>
      <c r="I1787" s="27">
        <f>중기사용료목록!F11</f>
        <v>56874</v>
      </c>
      <c r="J1787" s="28">
        <f>TRUNC(I1787*C1787,1)</f>
        <v>454992</v>
      </c>
      <c r="K1787" s="27">
        <f>중기사용료목록!G11</f>
        <v>85675</v>
      </c>
      <c r="L1787" s="28">
        <f>TRUNC(K1787*C1787,1)</f>
        <v>685400</v>
      </c>
      <c r="M1787" s="86" t="s">
        <v>2856</v>
      </c>
      <c r="N1787" t="s">
        <v>2856</v>
      </c>
      <c r="P1787" t="s">
        <v>286</v>
      </c>
      <c r="Q1787" t="s">
        <v>1839</v>
      </c>
      <c r="R1787" t="s">
        <v>1279</v>
      </c>
      <c r="AA1787" s="42" t="s">
        <v>2127</v>
      </c>
      <c r="AB1787" s="8">
        <f>('일위대가_호표(신규)'!H1784+'일위대가_호표(신규)'!H1785+'일위대가_호표(신규)'!H1786+'일위대가_호표(신규)'!H1787)/4</f>
        <v>78240</v>
      </c>
      <c r="AC1787" s="42" t="s">
        <v>2369</v>
      </c>
      <c r="AD1787" s="7">
        <f>$AB1787</f>
        <v>78240</v>
      </c>
      <c r="BI1787" s="34" t="str">
        <f>HYPERLINK("#중기사용료목록!A11","E0021040050 →")</f>
        <v>E0021040050 →</v>
      </c>
    </row>
    <row r="1788" spans="1:61" ht="18.399999999999999" hidden="1" customHeight="1" x14ac:dyDescent="0.15">
      <c r="A1788" s="2" t="s">
        <v>1385</v>
      </c>
      <c r="B1788" s="87" t="s">
        <v>2856</v>
      </c>
      <c r="C1788" s="2"/>
      <c r="D1788" s="2" t="s">
        <v>2856</v>
      </c>
      <c r="E1788" s="27">
        <f>G1788+I1788+K1788</f>
        <v>0</v>
      </c>
      <c r="F1788" s="28">
        <f t="shared" si="342"/>
        <v>729648.2</v>
      </c>
      <c r="G1788" s="1"/>
      <c r="H1788" s="28">
        <f>TRUNC(((H1784+H1785+H1786+H1787)/4),1)</f>
        <v>78240</v>
      </c>
      <c r="I1788" s="1"/>
      <c r="J1788" s="28">
        <f>TRUNC(((J1784+J1785+J1786+J1787)/4),1)</f>
        <v>436144.2</v>
      </c>
      <c r="K1788" s="1"/>
      <c r="L1788" s="28">
        <f>TRUNC(((L1784+L1785+L1786+L1787)/4),1)</f>
        <v>215264</v>
      </c>
      <c r="M1788" s="86" t="s">
        <v>2856</v>
      </c>
      <c r="N1788" t="s">
        <v>2856</v>
      </c>
      <c r="P1788" t="s">
        <v>2428</v>
      </c>
      <c r="Q1788" t="s">
        <v>2856</v>
      </c>
      <c r="R1788" t="s">
        <v>2405</v>
      </c>
      <c r="X1788" t="s">
        <v>1113</v>
      </c>
      <c r="AA1788" s="42" t="s">
        <v>298</v>
      </c>
      <c r="AB1788" s="8">
        <f>('일위대가_호표(신규)'!J1784+'일위대가_호표(신규)'!J1785+'일위대가_호표(신규)'!J1786+'일위대가_호표(신규)'!J1787)/4</f>
        <v>436144.25</v>
      </c>
      <c r="AC1788" s="42" t="s">
        <v>1123</v>
      </c>
      <c r="AD1788" s="7">
        <f>$AB1788</f>
        <v>436144.25</v>
      </c>
    </row>
    <row r="1789" spans="1:61" ht="18.399999999999999" hidden="1" customHeight="1" x14ac:dyDescent="0.15">
      <c r="A1789" s="1"/>
      <c r="B1789" s="87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87"/>
      <c r="AA1789" s="42" t="s">
        <v>917</v>
      </c>
      <c r="AB1789" s="8">
        <f>('일위대가_호표(신규)'!L1784+'일위대가_호표(신규)'!L1785+'일위대가_호표(신규)'!L1786+'일위대가_호표(신규)'!L1787)/4</f>
        <v>215264</v>
      </c>
      <c r="AC1789" s="42" t="s">
        <v>1546</v>
      </c>
      <c r="AD1789" s="7">
        <f>$AB1789</f>
        <v>215264</v>
      </c>
    </row>
    <row r="1790" spans="1:61" ht="18.399999999999999" hidden="1" customHeight="1" x14ac:dyDescent="0.15">
      <c r="A1790" s="2" t="s">
        <v>1572</v>
      </c>
      <c r="B1790" s="87" t="s">
        <v>1995</v>
      </c>
      <c r="C1790" s="2">
        <v>1</v>
      </c>
      <c r="D1790" s="2" t="s">
        <v>556</v>
      </c>
      <c r="E1790" s="184"/>
      <c r="F1790" s="29">
        <f>H1790+J1790+L1790</f>
        <v>62195</v>
      </c>
      <c r="G1790" s="184"/>
      <c r="H1790" s="29">
        <f>TRUNC(H1794,0)</f>
        <v>5372</v>
      </c>
      <c r="I1790" s="184"/>
      <c r="J1790" s="29">
        <f>TRUNC(J1794,0)</f>
        <v>51583</v>
      </c>
      <c r="K1790" s="184"/>
      <c r="L1790" s="29">
        <f>TRUNC(L1794,0)</f>
        <v>5240</v>
      </c>
      <c r="M1790" s="86" t="s">
        <v>2856</v>
      </c>
      <c r="N1790" t="s">
        <v>2856</v>
      </c>
      <c r="O1790" t="s">
        <v>1347</v>
      </c>
    </row>
    <row r="1791" spans="1:61" ht="18.399999999999999" hidden="1" customHeight="1" x14ac:dyDescent="0.15">
      <c r="A1791" s="2" t="s">
        <v>899</v>
      </c>
      <c r="B1791" s="87" t="s">
        <v>2856</v>
      </c>
      <c r="C1791" s="2">
        <v>3</v>
      </c>
      <c r="D1791" s="2" t="s">
        <v>2652</v>
      </c>
      <c r="E1791" s="27">
        <f>G1791+I1791+K1791</f>
        <v>222504</v>
      </c>
      <c r="F1791" s="28">
        <f>H1791+J1791+L1791</f>
        <v>667512</v>
      </c>
      <c r="G1791" s="27">
        <v>0</v>
      </c>
      <c r="H1791" s="28"/>
      <c r="I1791" s="27">
        <f>노임!D12</f>
        <v>222504</v>
      </c>
      <c r="J1791" s="28">
        <f>TRUNC(I1791*C1791,1)</f>
        <v>667512</v>
      </c>
      <c r="K1791" s="27">
        <v>0</v>
      </c>
      <c r="L1791" s="28"/>
      <c r="M1791" s="86" t="s">
        <v>2856</v>
      </c>
      <c r="N1791" t="s">
        <v>2823</v>
      </c>
      <c r="P1791" t="s">
        <v>2471</v>
      </c>
      <c r="Q1791" t="s">
        <v>1839</v>
      </c>
      <c r="R1791" t="s">
        <v>2638</v>
      </c>
      <c r="BI1791" s="34" t="str">
        <f>HYPERLINK("#노임!A12","L050 →")</f>
        <v>L050 →</v>
      </c>
    </row>
    <row r="1792" spans="1:61" ht="18.399999999999999" hidden="1" customHeight="1" x14ac:dyDescent="0.15">
      <c r="A1792" s="2" t="s">
        <v>888</v>
      </c>
      <c r="B1792" s="87" t="s">
        <v>2856</v>
      </c>
      <c r="C1792" s="2">
        <v>1</v>
      </c>
      <c r="D1792" s="2" t="s">
        <v>2652</v>
      </c>
      <c r="E1792" s="27">
        <f>G1792+I1792+K1792</f>
        <v>167081</v>
      </c>
      <c r="F1792" s="28">
        <f>H1792+J1792+L1792</f>
        <v>167081</v>
      </c>
      <c r="G1792" s="27">
        <v>0</v>
      </c>
      <c r="H1792" s="28"/>
      <c r="I1792" s="27">
        <f>노임!D15</f>
        <v>167081</v>
      </c>
      <c r="J1792" s="28">
        <f>TRUNC(I1792*C1792,1)</f>
        <v>167081</v>
      </c>
      <c r="K1792" s="27">
        <v>0</v>
      </c>
      <c r="L1792" s="28"/>
      <c r="M1792" s="86" t="s">
        <v>2856</v>
      </c>
      <c r="N1792" t="s">
        <v>821</v>
      </c>
      <c r="P1792" t="s">
        <v>1741</v>
      </c>
      <c r="Q1792" t="s">
        <v>1839</v>
      </c>
      <c r="R1792" t="s">
        <v>498</v>
      </c>
      <c r="BI1792" s="34" t="str">
        <f>HYPERLINK("#노임!A15","L085 →")</f>
        <v>L085 →</v>
      </c>
    </row>
    <row r="1793" spans="1:61" ht="18.399999999999999" hidden="1" customHeight="1" x14ac:dyDescent="0.15">
      <c r="A1793" s="2" t="s">
        <v>1613</v>
      </c>
      <c r="B1793" s="87" t="s">
        <v>2462</v>
      </c>
      <c r="C1793" s="2">
        <v>8</v>
      </c>
      <c r="D1793" s="2" t="s">
        <v>2377</v>
      </c>
      <c r="E1793" s="27">
        <f>G1793+I1793+K1793</f>
        <v>90040</v>
      </c>
      <c r="F1793" s="28">
        <f>H1793+J1793+L1793</f>
        <v>720320</v>
      </c>
      <c r="G1793" s="27">
        <f>중기사용료목록!E3</f>
        <v>16788</v>
      </c>
      <c r="H1793" s="28">
        <f>TRUNC(G1793*C1793,1)</f>
        <v>134304</v>
      </c>
      <c r="I1793" s="27">
        <f>중기사용료목록!F3</f>
        <v>56874</v>
      </c>
      <c r="J1793" s="28">
        <f>TRUNC(I1793*C1793,1)</f>
        <v>454992</v>
      </c>
      <c r="K1793" s="27">
        <f>중기사용료목록!G3</f>
        <v>16378</v>
      </c>
      <c r="L1793" s="28">
        <f>TRUNC(K1793*C1793,1)</f>
        <v>131024</v>
      </c>
      <c r="M1793" s="86" t="s">
        <v>2856</v>
      </c>
      <c r="N1793" t="s">
        <v>2856</v>
      </c>
      <c r="P1793" t="s">
        <v>1036</v>
      </c>
      <c r="Q1793" t="s">
        <v>1839</v>
      </c>
      <c r="R1793" t="s">
        <v>1823</v>
      </c>
      <c r="AA1793" s="42" t="s">
        <v>2127</v>
      </c>
      <c r="AB1793" s="8">
        <f>('일위대가_호표(신규)'!H1791+'일위대가_호표(신규)'!H1792+'일위대가_호표(신규)'!H1793)/25</f>
        <v>5372.16</v>
      </c>
      <c r="AC1793" s="42" t="s">
        <v>2369</v>
      </c>
      <c r="AD1793" s="7">
        <f>$AB1793</f>
        <v>5372.16</v>
      </c>
      <c r="BI1793" s="34" t="str">
        <f>HYPERLINK("#중기사용료목록!A3","E0002010040 →")</f>
        <v>E0002010040 →</v>
      </c>
    </row>
    <row r="1794" spans="1:61" ht="18.399999999999999" hidden="1" customHeight="1" x14ac:dyDescent="0.15">
      <c r="A1794" s="2" t="s">
        <v>2074</v>
      </c>
      <c r="B1794" s="87" t="s">
        <v>2856</v>
      </c>
      <c r="C1794" s="2">
        <v>1</v>
      </c>
      <c r="D1794" s="2" t="s">
        <v>2303</v>
      </c>
      <c r="E1794" s="27">
        <f>G1794+I1794+K1794</f>
        <v>0</v>
      </c>
      <c r="F1794" s="28">
        <f>H1794+J1794+L1794</f>
        <v>62196.4</v>
      </c>
      <c r="G1794" s="1"/>
      <c r="H1794" s="28">
        <f>TRUNC(((H1791+H1792+H1793)/25),1)</f>
        <v>5372.1</v>
      </c>
      <c r="I1794" s="1"/>
      <c r="J1794" s="28">
        <f>TRUNC(((J1791+J1792+J1793)/25),1)</f>
        <v>51583.4</v>
      </c>
      <c r="K1794" s="1"/>
      <c r="L1794" s="28">
        <f>TRUNC(((L1791+L1792+L1793)/25),1)</f>
        <v>5240.8999999999996</v>
      </c>
      <c r="M1794" s="86" t="s">
        <v>2856</v>
      </c>
      <c r="N1794" t="s">
        <v>2856</v>
      </c>
      <c r="P1794" t="s">
        <v>286</v>
      </c>
      <c r="Q1794" t="s">
        <v>2856</v>
      </c>
      <c r="R1794" t="s">
        <v>2405</v>
      </c>
      <c r="X1794" t="s">
        <v>2854</v>
      </c>
      <c r="AA1794" s="42" t="s">
        <v>298</v>
      </c>
      <c r="AB1794" s="8">
        <f>('일위대가_호표(신규)'!J1791+'일위대가_호표(신규)'!J1792+'일위대가_호표(신규)'!J1793)/25</f>
        <v>51583.4</v>
      </c>
      <c r="AC1794" s="42" t="s">
        <v>1123</v>
      </c>
      <c r="AD1794" s="7">
        <f>$AB1794</f>
        <v>51583.4</v>
      </c>
    </row>
    <row r="1795" spans="1:61" ht="18.399999999999999" hidden="1" customHeight="1" x14ac:dyDescent="0.15">
      <c r="A1795" s="1"/>
      <c r="B1795" s="87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87"/>
      <c r="AA1795" s="42" t="s">
        <v>917</v>
      </c>
      <c r="AB1795" s="8">
        <f>('일위대가_호표(신규)'!L1791+'일위대가_호표(신규)'!L1792+'일위대가_호표(신규)'!L1793)/25</f>
        <v>5240.96</v>
      </c>
      <c r="AC1795" s="42" t="s">
        <v>1546</v>
      </c>
      <c r="AD1795" s="7">
        <f>$AB1795</f>
        <v>5240.96</v>
      </c>
    </row>
    <row r="1796" spans="1:61" ht="18.399999999999999" hidden="1" customHeight="1" x14ac:dyDescent="0.15">
      <c r="A1796" s="2" t="s">
        <v>788</v>
      </c>
      <c r="B1796" s="87" t="s">
        <v>1322</v>
      </c>
      <c r="C1796" s="2">
        <v>1</v>
      </c>
      <c r="D1796" s="2" t="s">
        <v>2303</v>
      </c>
      <c r="E1796" s="184"/>
      <c r="F1796" s="29">
        <f>H1796+J1796+L1796</f>
        <v>30804</v>
      </c>
      <c r="G1796" s="184"/>
      <c r="H1796" s="29">
        <f>TRUNC(H1797+H1798+H1799,0)</f>
        <v>30804</v>
      </c>
      <c r="I1796" s="184"/>
      <c r="J1796" s="29">
        <f>TRUNC(J1797+J1798+J1799,0)</f>
        <v>0</v>
      </c>
      <c r="K1796" s="184"/>
      <c r="L1796" s="29">
        <f>TRUNC(L1797+L1798+L1799,0)</f>
        <v>0</v>
      </c>
      <c r="M1796" s="86" t="s">
        <v>2856</v>
      </c>
      <c r="N1796" t="s">
        <v>2856</v>
      </c>
      <c r="O1796" t="s">
        <v>2058</v>
      </c>
    </row>
    <row r="1797" spans="1:61" ht="18.399999999999999" hidden="1" customHeight="1" x14ac:dyDescent="0.15">
      <c r="A1797" s="2" t="s">
        <v>2105</v>
      </c>
      <c r="B1797" s="87" t="s">
        <v>2856</v>
      </c>
      <c r="C1797" s="2">
        <v>0</v>
      </c>
      <c r="D1797" s="2" t="s">
        <v>2856</v>
      </c>
      <c r="E1797" s="27">
        <f>G1797+I1797+K1797</f>
        <v>0</v>
      </c>
      <c r="F1797" s="28">
        <f>H1797+J1797+L1797</f>
        <v>0</v>
      </c>
      <c r="G1797" s="27">
        <f>경비!D3</f>
        <v>0</v>
      </c>
      <c r="H1797" s="28">
        <f>TRUNC(G1797*C1797,1)</f>
        <v>0</v>
      </c>
      <c r="I1797" s="27">
        <f>경비!E3</f>
        <v>0</v>
      </c>
      <c r="J1797" s="28">
        <f>TRUNC(I1797*C1797,1)</f>
        <v>0</v>
      </c>
      <c r="K1797" s="27">
        <f>경비!F3</f>
        <v>0</v>
      </c>
      <c r="L1797" s="28">
        <f>TRUNC(K1797*C1797,1)</f>
        <v>0</v>
      </c>
      <c r="M1797" s="86" t="s">
        <v>2856</v>
      </c>
      <c r="N1797" t="s">
        <v>2856</v>
      </c>
      <c r="P1797" t="s">
        <v>334</v>
      </c>
      <c r="Q1797" t="s">
        <v>2856</v>
      </c>
      <c r="R1797" t="s">
        <v>1832</v>
      </c>
      <c r="BI1797" s="34" t="str">
        <f>HYPERLINK("#경비!A3","G_N →")</f>
        <v>G_N →</v>
      </c>
    </row>
    <row r="1798" spans="1:61" ht="18.399999999999999" hidden="1" customHeight="1" x14ac:dyDescent="0.15">
      <c r="A1798" s="2" t="s">
        <v>880</v>
      </c>
      <c r="B1798" s="87" t="s">
        <v>2372</v>
      </c>
      <c r="C1798" s="2">
        <v>1.03</v>
      </c>
      <c r="D1798" s="2" t="s">
        <v>2124</v>
      </c>
      <c r="E1798" s="27">
        <f>G1798+I1798+K1798</f>
        <v>10422</v>
      </c>
      <c r="F1798" s="28">
        <f>H1798+J1798+L1798</f>
        <v>10734.6</v>
      </c>
      <c r="G1798" s="27">
        <f>자재조서!E7</f>
        <v>10422</v>
      </c>
      <c r="H1798" s="28">
        <f>TRUNC(G1798*C1798,1)</f>
        <v>10734.6</v>
      </c>
      <c r="I1798" s="27">
        <v>0</v>
      </c>
      <c r="J1798" s="28"/>
      <c r="K1798" s="27">
        <v>0</v>
      </c>
      <c r="L1798" s="28"/>
      <c r="M1798" s="86" t="s">
        <v>2856</v>
      </c>
      <c r="N1798" t="s">
        <v>2856</v>
      </c>
      <c r="P1798" t="s">
        <v>2471</v>
      </c>
      <c r="Q1798" t="s">
        <v>2856</v>
      </c>
      <c r="R1798" t="s">
        <v>1667</v>
      </c>
      <c r="BI1798" s="34" t="str">
        <f>HYPERLINK("#자재조서!A6","M-Z-2101 →")</f>
        <v>M-Z-2101 →</v>
      </c>
    </row>
    <row r="1799" spans="1:61" ht="18.399999999999999" hidden="1" customHeight="1" x14ac:dyDescent="0.15">
      <c r="A1799" s="2" t="s">
        <v>1938</v>
      </c>
      <c r="B1799" s="87" t="s">
        <v>309</v>
      </c>
      <c r="C1799" s="2">
        <v>3.7999999999999999E-2</v>
      </c>
      <c r="D1799" s="2" t="s">
        <v>2087</v>
      </c>
      <c r="E1799" s="27">
        <f>G1799+I1799+K1799</f>
        <v>528153</v>
      </c>
      <c r="F1799" s="28">
        <f>H1799+J1799+L1799</f>
        <v>20069.8</v>
      </c>
      <c r="G1799" s="27">
        <f>자재조서!E74</f>
        <v>528153</v>
      </c>
      <c r="H1799" s="28">
        <f>TRUNC(G1799*C1799,1)</f>
        <v>20069.8</v>
      </c>
      <c r="I1799" s="27">
        <v>0</v>
      </c>
      <c r="J1799" s="28"/>
      <c r="K1799" s="27">
        <v>0</v>
      </c>
      <c r="L1799" s="28"/>
      <c r="M1799" s="86" t="s">
        <v>2856</v>
      </c>
      <c r="N1799" t="s">
        <v>2856</v>
      </c>
      <c r="P1799" t="s">
        <v>1741</v>
      </c>
      <c r="Q1799" t="s">
        <v>2856</v>
      </c>
      <c r="R1799" t="s">
        <v>981</v>
      </c>
      <c r="BI1799" s="34" t="str">
        <f>HYPERLINK("#자재조서!A71","MB-2014 →")</f>
        <v>MB-2014 →</v>
      </c>
    </row>
    <row r="1800" spans="1:61" ht="18.399999999999999" hidden="1" customHeight="1" x14ac:dyDescent="0.15">
      <c r="A1800" s="1"/>
      <c r="B1800" s="87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87"/>
    </row>
    <row r="1801" spans="1:61" ht="18.399999999999999" hidden="1" customHeight="1" x14ac:dyDescent="0.15">
      <c r="A1801" s="2" t="s">
        <v>2015</v>
      </c>
      <c r="B1801" s="87" t="s">
        <v>1440</v>
      </c>
      <c r="C1801" s="2">
        <v>1</v>
      </c>
      <c r="D1801" s="2" t="s">
        <v>978</v>
      </c>
      <c r="E1801" s="184"/>
      <c r="F1801" s="29">
        <f>H1801+J1801+L1801</f>
        <v>1896218</v>
      </c>
      <c r="G1801" s="184"/>
      <c r="H1801" s="29">
        <f>TRUNC(H1805,0)</f>
        <v>0</v>
      </c>
      <c r="I1801" s="184"/>
      <c r="J1801" s="29">
        <f>TRUNC(J1805,0)</f>
        <v>211751</v>
      </c>
      <c r="K1801" s="184"/>
      <c r="L1801" s="29">
        <f>TRUNC(L1805,0)</f>
        <v>1684467</v>
      </c>
      <c r="M1801" s="86" t="s">
        <v>2856</v>
      </c>
      <c r="N1801" t="s">
        <v>2856</v>
      </c>
      <c r="O1801" t="s">
        <v>2252</v>
      </c>
    </row>
    <row r="1802" spans="1:61" ht="18.399999999999999" hidden="1" customHeight="1" x14ac:dyDescent="0.15">
      <c r="A1802" s="2" t="s">
        <v>1216</v>
      </c>
      <c r="B1802" s="87" t="s">
        <v>2455</v>
      </c>
      <c r="C1802" s="2">
        <v>3</v>
      </c>
      <c r="D1802" s="2" t="s">
        <v>2652</v>
      </c>
      <c r="E1802" s="27">
        <f>G1802+I1802+K1802</f>
        <v>261934</v>
      </c>
      <c r="F1802" s="28">
        <f>H1802+J1802+L1802</f>
        <v>785802</v>
      </c>
      <c r="G1802" s="27">
        <v>0</v>
      </c>
      <c r="H1802" s="28"/>
      <c r="I1802" s="27">
        <f>노임!D6</f>
        <v>261934</v>
      </c>
      <c r="J1802" s="28">
        <f>TRUNC(I1802*C1802,1)</f>
        <v>785802</v>
      </c>
      <c r="K1802" s="27">
        <v>0</v>
      </c>
      <c r="L1802" s="28"/>
      <c r="M1802" s="86" t="s">
        <v>2856</v>
      </c>
      <c r="N1802" t="s">
        <v>2185</v>
      </c>
      <c r="P1802" t="s">
        <v>1741</v>
      </c>
      <c r="Q1802" t="s">
        <v>1839</v>
      </c>
      <c r="R1802" t="s">
        <v>1722</v>
      </c>
      <c r="BI1802" s="34" t="str">
        <f>HYPERLINK("#노임!A6","L008 →")</f>
        <v>L008 →</v>
      </c>
    </row>
    <row r="1803" spans="1:61" ht="18.399999999999999" hidden="1" customHeight="1" x14ac:dyDescent="0.15">
      <c r="A1803" s="2" t="s">
        <v>888</v>
      </c>
      <c r="B1803" s="87" t="s">
        <v>2455</v>
      </c>
      <c r="C1803" s="2">
        <v>1</v>
      </c>
      <c r="D1803" s="2" t="s">
        <v>2652</v>
      </c>
      <c r="E1803" s="27">
        <f>G1803+I1803+K1803</f>
        <v>167081</v>
      </c>
      <c r="F1803" s="28">
        <f>H1803+J1803+L1803</f>
        <v>167081</v>
      </c>
      <c r="G1803" s="27">
        <v>0</v>
      </c>
      <c r="H1803" s="28"/>
      <c r="I1803" s="27">
        <f>노임!D15</f>
        <v>167081</v>
      </c>
      <c r="J1803" s="28">
        <f>TRUNC(I1803*C1803,1)</f>
        <v>167081</v>
      </c>
      <c r="K1803" s="27">
        <v>0</v>
      </c>
      <c r="L1803" s="28"/>
      <c r="M1803" s="86" t="s">
        <v>2856</v>
      </c>
      <c r="N1803" t="s">
        <v>821</v>
      </c>
      <c r="P1803" t="s">
        <v>1036</v>
      </c>
      <c r="Q1803" t="s">
        <v>1839</v>
      </c>
      <c r="R1803" t="s">
        <v>498</v>
      </c>
      <c r="AA1803" s="42" t="s">
        <v>917</v>
      </c>
      <c r="AB1803" s="8">
        <f>('일위대가_호표(신규)'!J1802+'일위대가_호표(신규)'!J1803)*(9/100)</f>
        <v>85759.47</v>
      </c>
      <c r="AC1803" s="42" t="s">
        <v>1546</v>
      </c>
      <c r="AD1803" s="7">
        <f>$AB1803</f>
        <v>85759.47</v>
      </c>
      <c r="BI1803" s="34" t="str">
        <f>HYPERLINK("#노임!A15","L085 →")</f>
        <v>L085 →</v>
      </c>
    </row>
    <row r="1804" spans="1:61" ht="18.399999999999999" hidden="1" customHeight="1" x14ac:dyDescent="0.15">
      <c r="A1804" s="2" t="s">
        <v>1232</v>
      </c>
      <c r="B1804" s="87" t="s">
        <v>1493</v>
      </c>
      <c r="C1804" s="2">
        <v>9</v>
      </c>
      <c r="D1804" s="2" t="s">
        <v>588</v>
      </c>
      <c r="E1804" s="27">
        <f>G1804+I1804+K1804</f>
        <v>0</v>
      </c>
      <c r="F1804" s="28">
        <f>H1804+J1804+L1804</f>
        <v>85759.4</v>
      </c>
      <c r="G1804" s="1"/>
      <c r="H1804" s="28">
        <v>0</v>
      </c>
      <c r="I1804" s="1"/>
      <c r="J1804" s="28">
        <v>0</v>
      </c>
      <c r="K1804" s="1"/>
      <c r="L1804" s="28">
        <f>TRUNC(((J1802+J1803)*(9/100)),1)</f>
        <v>85759.4</v>
      </c>
      <c r="M1804" s="86" t="s">
        <v>2856</v>
      </c>
      <c r="N1804" t="s">
        <v>2856</v>
      </c>
      <c r="P1804" t="s">
        <v>286</v>
      </c>
      <c r="Q1804" t="s">
        <v>1839</v>
      </c>
      <c r="R1804" t="s">
        <v>2405</v>
      </c>
      <c r="X1804" t="s">
        <v>526</v>
      </c>
      <c r="AA1804" s="42" t="s">
        <v>2127</v>
      </c>
      <c r="AB1804" s="8">
        <f>('일위대가_호표(신규)'!H1802+'일위대가_호표(신규)'!H1803+('일위대가_호표(신규)'!H1804*전역변수!C6))/4.5</f>
        <v>0</v>
      </c>
      <c r="AC1804" s="42" t="s">
        <v>2369</v>
      </c>
      <c r="AD1804" s="7">
        <f>$AB1804</f>
        <v>0</v>
      </c>
    </row>
    <row r="1805" spans="1:61" ht="18.399999999999999" hidden="1" customHeight="1" x14ac:dyDescent="0.15">
      <c r="A1805" s="2" t="s">
        <v>1182</v>
      </c>
      <c r="B1805" s="87" t="s">
        <v>2856</v>
      </c>
      <c r="C1805" s="2">
        <v>1</v>
      </c>
      <c r="D1805" s="2" t="s">
        <v>2303</v>
      </c>
      <c r="E1805" s="27">
        <f>G1805+I1805+K1805</f>
        <v>0</v>
      </c>
      <c r="F1805" s="28">
        <f>H1805+J1805+L1805</f>
        <v>1896218.7</v>
      </c>
      <c r="G1805" s="1"/>
      <c r="H1805" s="28">
        <f>TRUNC(((H1802+H1803+(H1804*전역변수!C6))/4.5),1)</f>
        <v>0</v>
      </c>
      <c r="I1805" s="1"/>
      <c r="J1805" s="28">
        <f>TRUNC(((J1802+J1803+(J1804*전역변수!C6))/4.5),1)</f>
        <v>211751.7</v>
      </c>
      <c r="K1805" s="1"/>
      <c r="L1805" s="28">
        <f>TRUNC(((L1802+L1803+(L1804*전역변수!C6))/4.5),1)</f>
        <v>1684467</v>
      </c>
      <c r="M1805" s="86" t="s">
        <v>2856</v>
      </c>
      <c r="N1805" t="s">
        <v>2856</v>
      </c>
      <c r="P1805" t="s">
        <v>2428</v>
      </c>
      <c r="Q1805" t="s">
        <v>2856</v>
      </c>
      <c r="R1805" t="s">
        <v>2405</v>
      </c>
      <c r="X1805" t="s">
        <v>2542</v>
      </c>
      <c r="AA1805" s="42" t="s">
        <v>298</v>
      </c>
      <c r="AB1805" s="8">
        <f>('일위대가_호표(신규)'!J1802+'일위대가_호표(신규)'!J1803+('일위대가_호표(신규)'!J1804*전역변수!C6))/4.5</f>
        <v>211751.77777777778</v>
      </c>
      <c r="AC1805" s="42" t="s">
        <v>1123</v>
      </c>
      <c r="AD1805" s="7">
        <f>$AB1805</f>
        <v>211751.77777777778</v>
      </c>
    </row>
    <row r="1806" spans="1:61" ht="18.399999999999999" hidden="1" customHeight="1" x14ac:dyDescent="0.15">
      <c r="A1806" s="1"/>
      <c r="B1806" s="87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87"/>
      <c r="AA1806" s="42" t="s">
        <v>917</v>
      </c>
      <c r="AB1806" s="8">
        <f>('일위대가_호표(신규)'!L1802+'일위대가_호표(신규)'!L1803+('일위대가_호표(신규)'!L1804*전역변수!C6))/4.5</f>
        <v>1684467.0771555556</v>
      </c>
      <c r="AC1806" s="42" t="s">
        <v>1546</v>
      </c>
      <c r="AD1806" s="7">
        <f>$AB1806</f>
        <v>1684467.0771555556</v>
      </c>
    </row>
    <row r="1807" spans="1:61" ht="18.399999999999999" hidden="1" customHeight="1" x14ac:dyDescent="0.15">
      <c r="A1807" s="2" t="s">
        <v>2355</v>
      </c>
      <c r="B1807" s="87" t="s">
        <v>1373</v>
      </c>
      <c r="C1807" s="2">
        <v>1</v>
      </c>
      <c r="D1807" s="2" t="s">
        <v>978</v>
      </c>
      <c r="E1807" s="184"/>
      <c r="F1807" s="29">
        <f t="shared" ref="F1807:F1812" si="343">H1807+J1807+L1807</f>
        <v>1517826</v>
      </c>
      <c r="G1807" s="184"/>
      <c r="H1807" s="29">
        <f>TRUNC(H1811+H1812,0)</f>
        <v>10770</v>
      </c>
      <c r="I1807" s="184"/>
      <c r="J1807" s="29">
        <f>TRUNC(J1811+J1812,0)</f>
        <v>544504</v>
      </c>
      <c r="K1807" s="184"/>
      <c r="L1807" s="29">
        <f>TRUNC(L1811+L1812,0)</f>
        <v>962552</v>
      </c>
      <c r="M1807" s="86" t="s">
        <v>2856</v>
      </c>
      <c r="N1807" t="s">
        <v>2856</v>
      </c>
      <c r="O1807" t="s">
        <v>1290</v>
      </c>
    </row>
    <row r="1808" spans="1:61" ht="18.399999999999999" hidden="1" customHeight="1" x14ac:dyDescent="0.15">
      <c r="A1808" s="2" t="s">
        <v>1216</v>
      </c>
      <c r="B1808" s="87" t="s">
        <v>2455</v>
      </c>
      <c r="C1808" s="2">
        <v>6</v>
      </c>
      <c r="D1808" s="2" t="s">
        <v>2652</v>
      </c>
      <c r="E1808" s="27">
        <f>G1808+I1808+K1808</f>
        <v>261934</v>
      </c>
      <c r="F1808" s="28">
        <f t="shared" si="343"/>
        <v>1571604</v>
      </c>
      <c r="G1808" s="27">
        <v>0</v>
      </c>
      <c r="H1808" s="28"/>
      <c r="I1808" s="27">
        <f>노임!D6</f>
        <v>261934</v>
      </c>
      <c r="J1808" s="28">
        <f>TRUNC(I1808*C1808,1)</f>
        <v>1571604</v>
      </c>
      <c r="K1808" s="27">
        <v>0</v>
      </c>
      <c r="L1808" s="28"/>
      <c r="M1808" s="86" t="s">
        <v>2856</v>
      </c>
      <c r="N1808" t="s">
        <v>2185</v>
      </c>
      <c r="P1808" t="s">
        <v>1741</v>
      </c>
      <c r="Q1808" t="s">
        <v>1839</v>
      </c>
      <c r="R1808" t="s">
        <v>1722</v>
      </c>
      <c r="BI1808" s="34" t="str">
        <f>HYPERLINK("#노임!A6","L008 →")</f>
        <v>L008 →</v>
      </c>
    </row>
    <row r="1809" spans="1:61" ht="18.399999999999999" hidden="1" customHeight="1" x14ac:dyDescent="0.15">
      <c r="A1809" s="2" t="s">
        <v>888</v>
      </c>
      <c r="B1809" s="87" t="s">
        <v>2455</v>
      </c>
      <c r="C1809" s="2">
        <v>2</v>
      </c>
      <c r="D1809" s="2" t="s">
        <v>2652</v>
      </c>
      <c r="E1809" s="27">
        <f>G1809+I1809+K1809</f>
        <v>167081</v>
      </c>
      <c r="F1809" s="28">
        <f t="shared" si="343"/>
        <v>334162</v>
      </c>
      <c r="G1809" s="27">
        <v>0</v>
      </c>
      <c r="H1809" s="28"/>
      <c r="I1809" s="27">
        <f>노임!D15</f>
        <v>167081</v>
      </c>
      <c r="J1809" s="28">
        <f>TRUNC(I1809*C1809,1)</f>
        <v>334162</v>
      </c>
      <c r="K1809" s="27">
        <v>0</v>
      </c>
      <c r="L1809" s="28"/>
      <c r="M1809" s="86" t="s">
        <v>2856</v>
      </c>
      <c r="N1809" t="s">
        <v>821</v>
      </c>
      <c r="P1809" t="s">
        <v>1036</v>
      </c>
      <c r="Q1809" t="s">
        <v>1839</v>
      </c>
      <c r="R1809" t="s">
        <v>498</v>
      </c>
      <c r="AA1809" s="42" t="s">
        <v>917</v>
      </c>
      <c r="AB1809" s="8">
        <f>('일위대가_호표(신규)'!J1808+'일위대가_호표(신규)'!J1809)*(2/100)</f>
        <v>38115.32</v>
      </c>
      <c r="AC1809" s="42" t="s">
        <v>1546</v>
      </c>
      <c r="AD1809" s="7">
        <f>$AB1809</f>
        <v>38115.32</v>
      </c>
      <c r="BI1809" s="34" t="str">
        <f>HYPERLINK("#노임!A15","L085 →")</f>
        <v>L085 →</v>
      </c>
    </row>
    <row r="1810" spans="1:61" ht="18.399999999999999" hidden="1" customHeight="1" x14ac:dyDescent="0.15">
      <c r="A1810" s="2" t="s">
        <v>1232</v>
      </c>
      <c r="B1810" s="87" t="s">
        <v>1493</v>
      </c>
      <c r="C1810" s="2">
        <v>2</v>
      </c>
      <c r="D1810" s="2" t="s">
        <v>588</v>
      </c>
      <c r="E1810" s="27">
        <f>G1810+I1810+K1810</f>
        <v>0</v>
      </c>
      <c r="F1810" s="28">
        <f t="shared" si="343"/>
        <v>38115.300000000003</v>
      </c>
      <c r="G1810" s="1"/>
      <c r="H1810" s="28">
        <v>0</v>
      </c>
      <c r="I1810" s="1"/>
      <c r="J1810" s="28">
        <v>0</v>
      </c>
      <c r="K1810" s="1"/>
      <c r="L1810" s="28">
        <f>TRUNC(((J1808+J1809)*(2/100)),1)</f>
        <v>38115.300000000003</v>
      </c>
      <c r="M1810" s="86" t="s">
        <v>2856</v>
      </c>
      <c r="N1810" t="s">
        <v>2856</v>
      </c>
      <c r="P1810" t="s">
        <v>286</v>
      </c>
      <c r="Q1810" t="s">
        <v>1839</v>
      </c>
      <c r="R1810" t="s">
        <v>2405</v>
      </c>
      <c r="X1810" t="s">
        <v>2709</v>
      </c>
      <c r="AA1810" s="42" t="s">
        <v>2127</v>
      </c>
      <c r="AB1810" s="8">
        <f>('일위대가_호표(신규)'!H1808+'일위대가_호표(신규)'!H1809+('일위대가_호표(신규)'!H1810*전역변수!C6))/3.5</f>
        <v>0</v>
      </c>
      <c r="AC1810" s="42" t="s">
        <v>2369</v>
      </c>
      <c r="AD1810" s="7">
        <f>$AB1810</f>
        <v>0</v>
      </c>
    </row>
    <row r="1811" spans="1:61" ht="18.399999999999999" hidden="1" customHeight="1" x14ac:dyDescent="0.15">
      <c r="A1811" s="2" t="s">
        <v>2582</v>
      </c>
      <c r="B1811" s="87" t="s">
        <v>2856</v>
      </c>
      <c r="C1811" s="2">
        <v>1</v>
      </c>
      <c r="D1811" s="2" t="s">
        <v>2303</v>
      </c>
      <c r="E1811" s="27">
        <f>G1811+I1811+K1811</f>
        <v>0</v>
      </c>
      <c r="F1811" s="28">
        <f t="shared" si="343"/>
        <v>1507057.3</v>
      </c>
      <c r="G1811" s="1"/>
      <c r="H1811" s="28">
        <f>TRUNC(((H1808+H1809+(H1810*전역변수!C6))/3.5),1)</f>
        <v>0</v>
      </c>
      <c r="I1811" s="1"/>
      <c r="J1811" s="28">
        <f>TRUNC(((J1808+J1809+(J1810*전역변수!C6))/3.5),1)</f>
        <v>544504.5</v>
      </c>
      <c r="K1811" s="1"/>
      <c r="L1811" s="28">
        <f>TRUNC(((L1808+L1809+(L1810*전역변수!C6))/3.5),1)</f>
        <v>962552.8</v>
      </c>
      <c r="M1811" s="86" t="s">
        <v>2856</v>
      </c>
      <c r="N1811" t="s">
        <v>2856</v>
      </c>
      <c r="P1811" t="s">
        <v>2428</v>
      </c>
      <c r="Q1811" t="s">
        <v>2856</v>
      </c>
      <c r="R1811" t="s">
        <v>2405</v>
      </c>
      <c r="X1811" t="s">
        <v>1171</v>
      </c>
      <c r="AA1811" s="42" t="s">
        <v>298</v>
      </c>
      <c r="AB1811" s="8">
        <f>('일위대가_호표(신규)'!J1808+'일위대가_호표(신규)'!J1809+('일위대가_호표(신규)'!J1810*전역변수!C6))/3.5</f>
        <v>544504.57142857148</v>
      </c>
      <c r="AC1811" s="42" t="s">
        <v>1123</v>
      </c>
      <c r="AD1811" s="7">
        <f>$AB1811</f>
        <v>544504.57142857148</v>
      </c>
    </row>
    <row r="1812" spans="1:61" ht="18.399999999999999" hidden="1" customHeight="1" x14ac:dyDescent="0.15">
      <c r="A1812" s="2" t="s">
        <v>272</v>
      </c>
      <c r="B1812" s="87" t="s">
        <v>1359</v>
      </c>
      <c r="C1812" s="2">
        <v>6.5</v>
      </c>
      <c r="D1812" s="2" t="s">
        <v>1674</v>
      </c>
      <c r="E1812" s="27">
        <f>G1812+I1812+K1812</f>
        <v>1657</v>
      </c>
      <c r="F1812" s="28">
        <f t="shared" si="343"/>
        <v>10770.5</v>
      </c>
      <c r="G1812" s="27">
        <f>자재조서!E8</f>
        <v>1657</v>
      </c>
      <c r="H1812" s="28">
        <f>TRUNC(G1812*C1812,1)</f>
        <v>10770.5</v>
      </c>
      <c r="I1812" s="27">
        <v>0</v>
      </c>
      <c r="J1812" s="28"/>
      <c r="K1812" s="27">
        <v>0</v>
      </c>
      <c r="L1812" s="28"/>
      <c r="M1812" s="86" t="s">
        <v>2856</v>
      </c>
      <c r="N1812" t="s">
        <v>2856</v>
      </c>
      <c r="P1812" t="s">
        <v>1686</v>
      </c>
      <c r="Q1812" t="s">
        <v>2856</v>
      </c>
      <c r="R1812" t="s">
        <v>940</v>
      </c>
      <c r="AA1812" s="42" t="s">
        <v>917</v>
      </c>
      <c r="AB1812" s="8">
        <f>('일위대가_호표(신규)'!L1808+'일위대가_호표(신규)'!L1809+('일위대가_호표(신규)'!L1810*전역변수!C6))/3.5</f>
        <v>962552.89611428592</v>
      </c>
      <c r="AC1812" s="42" t="s">
        <v>1546</v>
      </c>
      <c r="AD1812" s="7">
        <f>$AB1812</f>
        <v>962552.89611428592</v>
      </c>
      <c r="BI1812" s="34" t="str">
        <f>HYPERLINK("#자재조서!A7","M00031 →")</f>
        <v>M00031 →</v>
      </c>
    </row>
    <row r="1813" spans="1:61" ht="18.399999999999999" hidden="1" customHeight="1" x14ac:dyDescent="0.15">
      <c r="A1813" s="1"/>
      <c r="B1813" s="87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87"/>
    </row>
    <row r="1814" spans="1:61" ht="18.399999999999999" hidden="1" customHeight="1" x14ac:dyDescent="0.15">
      <c r="A1814" s="2" t="s">
        <v>939</v>
      </c>
      <c r="B1814" s="87" t="s">
        <v>2856</v>
      </c>
      <c r="C1814" s="2">
        <v>1</v>
      </c>
      <c r="D1814" s="2" t="s">
        <v>1202</v>
      </c>
      <c r="E1814" s="184"/>
      <c r="F1814" s="29">
        <f>H1814+J1814+L1814</f>
        <v>220</v>
      </c>
      <c r="G1814" s="184"/>
      <c r="H1814" s="29">
        <f>TRUNC(H1815+H1816+H1817,0)</f>
        <v>0</v>
      </c>
      <c r="I1814" s="184"/>
      <c r="J1814" s="29">
        <f>TRUNC(J1815+J1816+J1817,0)</f>
        <v>220</v>
      </c>
      <c r="K1814" s="184"/>
      <c r="L1814" s="29">
        <f>TRUNC(L1815+L1816+L1817,0)</f>
        <v>0</v>
      </c>
      <c r="M1814" s="86" t="s">
        <v>2856</v>
      </c>
      <c r="N1814" t="s">
        <v>2856</v>
      </c>
      <c r="O1814" t="s">
        <v>906</v>
      </c>
    </row>
    <row r="1815" spans="1:61" ht="18.399999999999999" hidden="1" customHeight="1" x14ac:dyDescent="0.15">
      <c r="A1815" s="2" t="s">
        <v>365</v>
      </c>
      <c r="B1815" s="87" t="s">
        <v>191</v>
      </c>
      <c r="C1815" s="2">
        <v>0</v>
      </c>
      <c r="D1815" s="2" t="s">
        <v>2856</v>
      </c>
      <c r="E1815" s="27">
        <f>G1815+I1815+K1815</f>
        <v>0</v>
      </c>
      <c r="F1815" s="28">
        <f>H1815+J1815+L1815</f>
        <v>0</v>
      </c>
      <c r="G1815" s="27">
        <f>경비!D3</f>
        <v>0</v>
      </c>
      <c r="H1815" s="28">
        <f>TRUNC(G1815*C1815,1)</f>
        <v>0</v>
      </c>
      <c r="I1815" s="27">
        <f>경비!E3</f>
        <v>0</v>
      </c>
      <c r="J1815" s="28">
        <f>TRUNC(I1815*C1815,1)</f>
        <v>0</v>
      </c>
      <c r="K1815" s="27">
        <f>경비!F3</f>
        <v>0</v>
      </c>
      <c r="L1815" s="28">
        <f>TRUNC(K1815*C1815,1)</f>
        <v>0</v>
      </c>
      <c r="M1815" s="86" t="s">
        <v>2856</v>
      </c>
      <c r="N1815" t="s">
        <v>2856</v>
      </c>
      <c r="P1815" t="s">
        <v>334</v>
      </c>
      <c r="Q1815" t="s">
        <v>2856</v>
      </c>
      <c r="R1815" t="s">
        <v>1832</v>
      </c>
      <c r="BI1815" s="34" t="str">
        <f>HYPERLINK("#경비!A3","G_N →")</f>
        <v>G_N →</v>
      </c>
    </row>
    <row r="1816" spans="1:61" ht="18.399999999999999" hidden="1" customHeight="1" x14ac:dyDescent="0.15">
      <c r="A1816" s="2" t="s">
        <v>937</v>
      </c>
      <c r="B1816" s="87" t="s">
        <v>2856</v>
      </c>
      <c r="C1816" s="2">
        <v>6.9999999999999999E-4</v>
      </c>
      <c r="D1816" s="2" t="s">
        <v>2652</v>
      </c>
      <c r="E1816" s="27">
        <f>G1816+I1816+K1816</f>
        <v>219321</v>
      </c>
      <c r="F1816" s="28">
        <f>H1816+J1816+L1816</f>
        <v>153.5</v>
      </c>
      <c r="G1816" s="27">
        <v>0</v>
      </c>
      <c r="H1816" s="28"/>
      <c r="I1816" s="27">
        <f>노임!D14</f>
        <v>219321</v>
      </c>
      <c r="J1816" s="28">
        <f>TRUNC(I1816*C1816,1)</f>
        <v>153.5</v>
      </c>
      <c r="K1816" s="27">
        <v>0</v>
      </c>
      <c r="L1816" s="28"/>
      <c r="M1816" s="86" t="s">
        <v>2856</v>
      </c>
      <c r="N1816" t="s">
        <v>2856</v>
      </c>
      <c r="P1816" t="s">
        <v>2471</v>
      </c>
      <c r="Q1816" t="s">
        <v>2856</v>
      </c>
      <c r="R1816" t="s">
        <v>2068</v>
      </c>
      <c r="BI1816" s="34" t="str">
        <f>HYPERLINK("#노임!A14","L084 →")</f>
        <v>L084 →</v>
      </c>
    </row>
    <row r="1817" spans="1:61" ht="18.399999999999999" hidden="1" customHeight="1" x14ac:dyDescent="0.15">
      <c r="A1817" s="2" t="s">
        <v>888</v>
      </c>
      <c r="B1817" s="87" t="s">
        <v>2856</v>
      </c>
      <c r="C1817" s="2">
        <v>4.0000000000000002E-4</v>
      </c>
      <c r="D1817" s="2" t="s">
        <v>2652</v>
      </c>
      <c r="E1817" s="27">
        <f>G1817+I1817+K1817</f>
        <v>167081</v>
      </c>
      <c r="F1817" s="28">
        <f>H1817+J1817+L1817</f>
        <v>66.8</v>
      </c>
      <c r="G1817" s="27">
        <v>0</v>
      </c>
      <c r="H1817" s="28"/>
      <c r="I1817" s="27">
        <f>노임!D15</f>
        <v>167081</v>
      </c>
      <c r="J1817" s="28">
        <f>TRUNC(I1817*C1817,1)</f>
        <v>66.8</v>
      </c>
      <c r="K1817" s="27">
        <v>0</v>
      </c>
      <c r="L1817" s="28"/>
      <c r="M1817" s="86" t="s">
        <v>2856</v>
      </c>
      <c r="N1817" t="s">
        <v>821</v>
      </c>
      <c r="P1817" t="s">
        <v>1741</v>
      </c>
      <c r="Q1817" t="s">
        <v>2856</v>
      </c>
      <c r="R1817" t="s">
        <v>498</v>
      </c>
      <c r="BI1817" s="34" t="str">
        <f>HYPERLINK("#노임!A15","L085 →")</f>
        <v>L085 →</v>
      </c>
    </row>
    <row r="1818" spans="1:61" ht="18.399999999999999" hidden="1" customHeight="1" x14ac:dyDescent="0.15">
      <c r="A1818" s="1"/>
      <c r="B1818" s="87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87"/>
    </row>
    <row r="1819" spans="1:61" ht="18.399999999999999" hidden="1" customHeight="1" x14ac:dyDescent="0.15">
      <c r="A1819" s="2" t="s">
        <v>1505</v>
      </c>
      <c r="B1819" s="87" t="s">
        <v>2856</v>
      </c>
      <c r="C1819" s="2">
        <v>1</v>
      </c>
      <c r="D1819" s="2" t="s">
        <v>1202</v>
      </c>
      <c r="E1819" s="184"/>
      <c r="F1819" s="29">
        <f>H1819+J1819+L1819</f>
        <v>3419</v>
      </c>
      <c r="G1819" s="184"/>
      <c r="H1819" s="29">
        <f>TRUNC(H1820+H1821+H1822+H1823,0)</f>
        <v>3419</v>
      </c>
      <c r="I1819" s="184"/>
      <c r="J1819" s="29">
        <f>TRUNC(J1820+J1821+J1822+J1823,0)</f>
        <v>0</v>
      </c>
      <c r="K1819" s="184"/>
      <c r="L1819" s="29">
        <f>TRUNC(L1820+L1821+L1822+L1823,0)</f>
        <v>0</v>
      </c>
      <c r="M1819" s="86" t="s">
        <v>2856</v>
      </c>
      <c r="N1819" t="s">
        <v>2856</v>
      </c>
      <c r="O1819" t="s">
        <v>82</v>
      </c>
    </row>
    <row r="1820" spans="1:61" ht="18.399999999999999" hidden="1" customHeight="1" x14ac:dyDescent="0.15">
      <c r="A1820" s="2" t="s">
        <v>2259</v>
      </c>
      <c r="B1820" s="87" t="s">
        <v>2208</v>
      </c>
      <c r="C1820" s="2">
        <v>8.8999999999999996E-2</v>
      </c>
      <c r="D1820" s="2" t="s">
        <v>2156</v>
      </c>
      <c r="E1820" s="27">
        <f>G1820+I1820+K1820</f>
        <v>29000</v>
      </c>
      <c r="F1820" s="28">
        <f>H1820+J1820+L1820</f>
        <v>2581</v>
      </c>
      <c r="G1820" s="27">
        <f>자재조서!E139</f>
        <v>29000</v>
      </c>
      <c r="H1820" s="28">
        <f>TRUNC(G1820*C1820,1)</f>
        <v>2581</v>
      </c>
      <c r="I1820" s="27">
        <v>0</v>
      </c>
      <c r="J1820" s="28"/>
      <c r="K1820" s="27">
        <v>0</v>
      </c>
      <c r="L1820" s="28"/>
      <c r="M1820" s="86" t="s">
        <v>2856</v>
      </c>
      <c r="N1820" t="s">
        <v>2856</v>
      </c>
      <c r="P1820" t="s">
        <v>334</v>
      </c>
      <c r="Q1820" t="s">
        <v>2856</v>
      </c>
      <c r="R1820" t="s">
        <v>2677</v>
      </c>
      <c r="BI1820" s="34" t="str">
        <f>HYPERLINK("#자재조서!A133","MU-001 →")</f>
        <v>MU-001 →</v>
      </c>
    </row>
    <row r="1821" spans="1:61" ht="18.399999999999999" hidden="1" customHeight="1" x14ac:dyDescent="0.15">
      <c r="A1821" s="2" t="s">
        <v>1609</v>
      </c>
      <c r="B1821" s="87" t="s">
        <v>1118</v>
      </c>
      <c r="C1821" s="2">
        <v>3.0000000000000001E-3</v>
      </c>
      <c r="D1821" s="2" t="s">
        <v>2156</v>
      </c>
      <c r="E1821" s="27">
        <f>G1821+I1821+K1821</f>
        <v>23232</v>
      </c>
      <c r="F1821" s="28">
        <f>H1821+J1821+L1821</f>
        <v>69.599999999999994</v>
      </c>
      <c r="G1821" s="27">
        <f>자재조서!E140</f>
        <v>23232</v>
      </c>
      <c r="H1821" s="28">
        <f>TRUNC(G1821*C1821,1)</f>
        <v>69.599999999999994</v>
      </c>
      <c r="I1821" s="27">
        <v>0</v>
      </c>
      <c r="J1821" s="28"/>
      <c r="K1821" s="27">
        <v>0</v>
      </c>
      <c r="L1821" s="28"/>
      <c r="M1821" s="86" t="s">
        <v>2856</v>
      </c>
      <c r="N1821" t="s">
        <v>2856</v>
      </c>
      <c r="P1821" t="s">
        <v>2471</v>
      </c>
      <c r="Q1821" t="s">
        <v>2856</v>
      </c>
      <c r="R1821" t="s">
        <v>961</v>
      </c>
      <c r="AA1821" s="42" t="s">
        <v>2127</v>
      </c>
      <c r="AB1821" s="8">
        <f>('일위대가_호표(신규)'!H1820+'일위대가_호표(신규)'!H1821)*0.24</f>
        <v>636.14400000000001</v>
      </c>
      <c r="AC1821" s="42" t="s">
        <v>2369</v>
      </c>
      <c r="AD1821" s="7">
        <f>$AB1821</f>
        <v>636.14400000000001</v>
      </c>
      <c r="BI1821" s="34" t="str">
        <f>HYPERLINK("#자재조서!A134","MU-002 →")</f>
        <v>MU-002 →</v>
      </c>
    </row>
    <row r="1822" spans="1:61" ht="18.399999999999999" hidden="1" customHeight="1" x14ac:dyDescent="0.15">
      <c r="A1822" s="2" t="s">
        <v>94</v>
      </c>
      <c r="B1822" s="87" t="s">
        <v>1035</v>
      </c>
      <c r="C1822" s="2">
        <v>24</v>
      </c>
      <c r="D1822" s="2" t="s">
        <v>588</v>
      </c>
      <c r="E1822" s="27">
        <f>G1822+I1822+K1822</f>
        <v>0</v>
      </c>
      <c r="F1822" s="28">
        <f>H1822+J1822+L1822</f>
        <v>636.1</v>
      </c>
      <c r="G1822" s="1"/>
      <c r="H1822" s="28">
        <f>TRUNC(((H1820+H1821)*0.24),1)</f>
        <v>636.1</v>
      </c>
      <c r="I1822" s="1"/>
      <c r="J1822" s="28">
        <v>0</v>
      </c>
      <c r="K1822" s="1"/>
      <c r="L1822" s="28">
        <v>0</v>
      </c>
      <c r="M1822" s="86" t="s">
        <v>2856</v>
      </c>
      <c r="N1822" t="s">
        <v>2856</v>
      </c>
      <c r="P1822" t="s">
        <v>2374</v>
      </c>
      <c r="Q1822" t="s">
        <v>2856</v>
      </c>
      <c r="R1822" t="s">
        <v>2405</v>
      </c>
      <c r="X1822" t="s">
        <v>2722</v>
      </c>
      <c r="AA1822" s="42" t="s">
        <v>2127</v>
      </c>
      <c r="AB1822" s="8">
        <f>('일위대가_호표(신규)'!H1820+'일위대가_호표(신규)'!H1821)*0.05</f>
        <v>132.53</v>
      </c>
      <c r="AC1822" s="42" t="s">
        <v>2369</v>
      </c>
      <c r="AD1822" s="7">
        <f>$AB1822</f>
        <v>132.53</v>
      </c>
    </row>
    <row r="1823" spans="1:61" ht="18.399999999999999" hidden="1" customHeight="1" x14ac:dyDescent="0.15">
      <c r="A1823" s="2" t="s">
        <v>1309</v>
      </c>
      <c r="B1823" s="87" t="s">
        <v>1306</v>
      </c>
      <c r="C1823" s="2">
        <v>5</v>
      </c>
      <c r="D1823" s="2" t="s">
        <v>588</v>
      </c>
      <c r="E1823" s="27">
        <f>G1823+I1823+K1823</f>
        <v>0</v>
      </c>
      <c r="F1823" s="28">
        <f>H1823+J1823+L1823</f>
        <v>132.5</v>
      </c>
      <c r="G1823" s="1"/>
      <c r="H1823" s="28">
        <f>TRUNC(((H1820+H1821)*0.05),1)</f>
        <v>132.5</v>
      </c>
      <c r="I1823" s="1"/>
      <c r="J1823" s="28">
        <v>0</v>
      </c>
      <c r="K1823" s="1"/>
      <c r="L1823" s="28">
        <v>0</v>
      </c>
      <c r="M1823" s="86" t="s">
        <v>2856</v>
      </c>
      <c r="N1823" t="s">
        <v>2856</v>
      </c>
      <c r="P1823" t="s">
        <v>1686</v>
      </c>
      <c r="Q1823" t="s">
        <v>2856</v>
      </c>
      <c r="R1823" t="s">
        <v>2405</v>
      </c>
      <c r="X1823" t="s">
        <v>2003</v>
      </c>
    </row>
    <row r="1824" spans="1:61" ht="18.399999999999999" hidden="1" customHeight="1" x14ac:dyDescent="0.15">
      <c r="A1824" s="1"/>
      <c r="B1824" s="87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87"/>
    </row>
    <row r="1825" spans="1:61" ht="18.399999999999999" hidden="1" customHeight="1" x14ac:dyDescent="0.15">
      <c r="A1825" s="2" t="s">
        <v>732</v>
      </c>
      <c r="B1825" s="87" t="s">
        <v>2856</v>
      </c>
      <c r="C1825" s="2">
        <v>1</v>
      </c>
      <c r="D1825" s="2" t="s">
        <v>1202</v>
      </c>
      <c r="E1825" s="184"/>
      <c r="F1825" s="29">
        <f>H1825+J1825+L1825</f>
        <v>115711</v>
      </c>
      <c r="G1825" s="184"/>
      <c r="H1825" s="29">
        <f>TRUNC(H1829,0)</f>
        <v>0</v>
      </c>
      <c r="I1825" s="184"/>
      <c r="J1825" s="29">
        <f>TRUNC(J1829,0)</f>
        <v>31687</v>
      </c>
      <c r="K1825" s="184"/>
      <c r="L1825" s="29">
        <f>TRUNC(L1829,0)</f>
        <v>84024</v>
      </c>
      <c r="M1825" s="86" t="s">
        <v>2856</v>
      </c>
      <c r="N1825" t="s">
        <v>2856</v>
      </c>
      <c r="O1825" t="s">
        <v>2120</v>
      </c>
    </row>
    <row r="1826" spans="1:61" ht="18.399999999999999" hidden="1" customHeight="1" x14ac:dyDescent="0.15">
      <c r="A1826" s="2" t="s">
        <v>81</v>
      </c>
      <c r="B1826" s="87" t="s">
        <v>2856</v>
      </c>
      <c r="C1826" s="2">
        <v>4</v>
      </c>
      <c r="D1826" s="2" t="s">
        <v>2652</v>
      </c>
      <c r="E1826" s="27">
        <f>G1826+I1826+K1826</f>
        <v>275108</v>
      </c>
      <c r="F1826" s="28">
        <f>H1826+J1826+L1826</f>
        <v>1100432</v>
      </c>
      <c r="G1826" s="27">
        <v>0</v>
      </c>
      <c r="H1826" s="28"/>
      <c r="I1826" s="27">
        <f>노임!D4</f>
        <v>275108</v>
      </c>
      <c r="J1826" s="28">
        <f>TRUNC(I1826*C1826,1)</f>
        <v>1100432</v>
      </c>
      <c r="K1826" s="27">
        <v>0</v>
      </c>
      <c r="L1826" s="28"/>
      <c r="M1826" s="86" t="s">
        <v>2856</v>
      </c>
      <c r="N1826" t="s">
        <v>1593</v>
      </c>
      <c r="P1826" t="s">
        <v>334</v>
      </c>
      <c r="Q1826" t="s">
        <v>1839</v>
      </c>
      <c r="R1826" t="s">
        <v>1964</v>
      </c>
      <c r="BI1826" s="34" t="str">
        <f>HYPERLINK("#노임!A4","L004 →")</f>
        <v>L004 →</v>
      </c>
    </row>
    <row r="1827" spans="1:61" ht="18.399999999999999" hidden="1" customHeight="1" x14ac:dyDescent="0.15">
      <c r="A1827" s="2" t="s">
        <v>888</v>
      </c>
      <c r="B1827" s="87" t="s">
        <v>2856</v>
      </c>
      <c r="C1827" s="2">
        <v>1</v>
      </c>
      <c r="D1827" s="2" t="s">
        <v>2652</v>
      </c>
      <c r="E1827" s="27">
        <f>G1827+I1827+K1827</f>
        <v>167081</v>
      </c>
      <c r="F1827" s="28">
        <f>H1827+J1827+L1827</f>
        <v>167081</v>
      </c>
      <c r="G1827" s="27">
        <v>0</v>
      </c>
      <c r="H1827" s="28"/>
      <c r="I1827" s="27">
        <f>노임!D15</f>
        <v>167081</v>
      </c>
      <c r="J1827" s="28">
        <f>TRUNC(I1827*C1827,1)</f>
        <v>167081</v>
      </c>
      <c r="K1827" s="27">
        <v>0</v>
      </c>
      <c r="L1827" s="28"/>
      <c r="M1827" s="86" t="s">
        <v>2856</v>
      </c>
      <c r="N1827" t="s">
        <v>821</v>
      </c>
      <c r="P1827" t="s">
        <v>2471</v>
      </c>
      <c r="Q1827" t="s">
        <v>1839</v>
      </c>
      <c r="R1827" t="s">
        <v>498</v>
      </c>
      <c r="AA1827" s="42" t="s">
        <v>917</v>
      </c>
      <c r="AB1827" s="8">
        <f>('일위대가_호표(신규)'!J1826+'일위대가_호표(신규)'!J1827)*0.03</f>
        <v>38025.39</v>
      </c>
      <c r="AC1827" s="42" t="s">
        <v>1546</v>
      </c>
      <c r="AD1827" s="7">
        <f>$AB1827</f>
        <v>38025.39</v>
      </c>
      <c r="BI1827" s="34" t="str">
        <f>HYPERLINK("#노임!A15","L085 →")</f>
        <v>L085 →</v>
      </c>
    </row>
    <row r="1828" spans="1:61" ht="18.399999999999999" hidden="1" customHeight="1" x14ac:dyDescent="0.15">
      <c r="A1828" s="2" t="s">
        <v>2380</v>
      </c>
      <c r="B1828" s="87" t="s">
        <v>1798</v>
      </c>
      <c r="C1828" s="2">
        <v>3</v>
      </c>
      <c r="D1828" s="2" t="s">
        <v>588</v>
      </c>
      <c r="E1828" s="27">
        <f>G1828+I1828+K1828</f>
        <v>0</v>
      </c>
      <c r="F1828" s="28">
        <f>H1828+J1828+L1828</f>
        <v>38025.300000000003</v>
      </c>
      <c r="G1828" s="1"/>
      <c r="H1828" s="28">
        <v>0</v>
      </c>
      <c r="I1828" s="1"/>
      <c r="J1828" s="28">
        <v>0</v>
      </c>
      <c r="K1828" s="1"/>
      <c r="L1828" s="28">
        <f>TRUNC(((J1826+J1827)*0.03),1)</f>
        <v>38025.300000000003</v>
      </c>
      <c r="M1828" s="86" t="s">
        <v>2856</v>
      </c>
      <c r="N1828" t="s">
        <v>2856</v>
      </c>
      <c r="P1828" t="s">
        <v>1741</v>
      </c>
      <c r="Q1828" t="s">
        <v>1839</v>
      </c>
      <c r="R1828" t="s">
        <v>2405</v>
      </c>
      <c r="X1828" t="s">
        <v>47</v>
      </c>
      <c r="AA1828" s="42" t="s">
        <v>2127</v>
      </c>
      <c r="AB1828" s="8">
        <f>('일위대가_호표(신규)'!H1826+'일위대가_호표(신규)'!H1827+('일위대가_호표(신규)'!H1828*전역변수!C6))/40</f>
        <v>0</v>
      </c>
      <c r="AC1828" s="42" t="s">
        <v>2369</v>
      </c>
      <c r="AD1828" s="7">
        <f>$AB1828</f>
        <v>0</v>
      </c>
    </row>
    <row r="1829" spans="1:61" ht="18.399999999999999" hidden="1" customHeight="1" x14ac:dyDescent="0.15">
      <c r="A1829" s="2" t="s">
        <v>455</v>
      </c>
      <c r="B1829" s="87" t="s">
        <v>2856</v>
      </c>
      <c r="C1829" s="2">
        <v>1</v>
      </c>
      <c r="D1829" s="2" t="s">
        <v>2303</v>
      </c>
      <c r="E1829" s="27">
        <f>G1829+I1829+K1829</f>
        <v>0</v>
      </c>
      <c r="F1829" s="28">
        <f>H1829+J1829+L1829</f>
        <v>115712.3</v>
      </c>
      <c r="G1829" s="1"/>
      <c r="H1829" s="28">
        <f>TRUNC(((H1826+H1827+(H1828*전역변수!C6))/40),1)</f>
        <v>0</v>
      </c>
      <c r="I1829" s="1"/>
      <c r="J1829" s="28">
        <f>TRUNC(((J1826+J1827+(J1828*전역변수!C6))/40),1)</f>
        <v>31687.8</v>
      </c>
      <c r="K1829" s="1"/>
      <c r="L1829" s="28">
        <f>TRUNC(((L1826+L1827+(L1828*전역변수!C6))/40),1)</f>
        <v>84024.5</v>
      </c>
      <c r="M1829" s="86" t="s">
        <v>2856</v>
      </c>
      <c r="N1829" t="s">
        <v>2856</v>
      </c>
      <c r="P1829" t="s">
        <v>1036</v>
      </c>
      <c r="Q1829" t="s">
        <v>2856</v>
      </c>
      <c r="R1829" t="s">
        <v>2405</v>
      </c>
      <c r="X1829" t="s">
        <v>349</v>
      </c>
      <c r="AA1829" s="42" t="s">
        <v>298</v>
      </c>
      <c r="AB1829" s="8">
        <f>('일위대가_호표(신규)'!J1826+'일위대가_호표(신규)'!J1827+('일위대가_호표(신규)'!J1828*전역변수!C6))/40</f>
        <v>31687.825000000001</v>
      </c>
      <c r="AC1829" s="42" t="s">
        <v>1123</v>
      </c>
      <c r="AD1829" s="7">
        <f>$AB1829</f>
        <v>31687.825000000001</v>
      </c>
    </row>
    <row r="1830" spans="1:61" ht="18.399999999999999" hidden="1" customHeight="1" thickBot="1" x14ac:dyDescent="0.2">
      <c r="A1830" s="56"/>
      <c r="B1830" s="178"/>
      <c r="C1830" s="56"/>
      <c r="D1830" s="56"/>
      <c r="E1830" s="56"/>
      <c r="F1830" s="56"/>
      <c r="G1830" s="56"/>
      <c r="H1830" s="56"/>
      <c r="I1830" s="56"/>
      <c r="J1830" s="56"/>
      <c r="K1830" s="56"/>
      <c r="L1830" s="56"/>
      <c r="M1830" s="178"/>
      <c r="AA1830" s="42" t="s">
        <v>917</v>
      </c>
      <c r="AB1830" s="8">
        <f>('일위대가_호표(신규)'!L1826+'일위대가_호표(신규)'!L1827+('일위대가_호표(신규)'!L1828*전역변수!C6))/40</f>
        <v>84024.505410000012</v>
      </c>
      <c r="AC1830" s="42" t="s">
        <v>1546</v>
      </c>
      <c r="AD1830" s="7">
        <f>$AB1830</f>
        <v>84024.505410000012</v>
      </c>
    </row>
    <row r="1831" spans="1:61" ht="18" customHeight="1" x14ac:dyDescent="0.15">
      <c r="A1831" s="69" t="s">
        <v>3250</v>
      </c>
      <c r="B1831" s="174" t="s">
        <v>3048</v>
      </c>
      <c r="C1831" s="69">
        <v>1</v>
      </c>
      <c r="D1831" s="69" t="s">
        <v>1796</v>
      </c>
      <c r="E1831" s="185"/>
      <c r="F1831" s="70">
        <f t="shared" ref="F1831:F1850" si="344">H1831+J1831+L1831</f>
        <v>5550193</v>
      </c>
      <c r="G1831" s="185"/>
      <c r="H1831" s="70">
        <f>TRUNC(H1832+H1833+H1834+H1835+H1836+H1837+H1839+H1841+H1843+H1844+H1846+H1847+H1848+H1845+H1849,0)</f>
        <v>3097876</v>
      </c>
      <c r="I1831" s="185"/>
      <c r="J1831" s="70">
        <f>TRUNC(J1832+J1833+J1834+J1835+J1836+J1837+J1839+J1841+J1843+J1844+J1846+J1847+J1848+J1845+J1849,0)</f>
        <v>1470701</v>
      </c>
      <c r="K1831" s="185"/>
      <c r="L1831" s="70">
        <f>TRUNC(L1832+L1833+L1834+L1835+L1836+L1837+L1839+L1841+L1843+L1844+L1846+L1847+L1848+L1845+L1849,0)</f>
        <v>981616</v>
      </c>
      <c r="M1831" s="181" t="s">
        <v>2856</v>
      </c>
      <c r="N1831" t="s">
        <v>2856</v>
      </c>
      <c r="O1831" t="s">
        <v>90</v>
      </c>
    </row>
    <row r="1832" spans="1:61" ht="18" customHeight="1" x14ac:dyDescent="0.15">
      <c r="A1832" s="2" t="s">
        <v>1163</v>
      </c>
      <c r="B1832" s="87" t="s">
        <v>576</v>
      </c>
      <c r="C1832" s="2">
        <v>9.52</v>
      </c>
      <c r="D1832" s="2" t="s">
        <v>2825</v>
      </c>
      <c r="E1832" s="27">
        <f t="shared" ref="E1832:E1849" si="345">G1832+I1832+K1832</f>
        <v>5009</v>
      </c>
      <c r="F1832" s="28">
        <f t="shared" si="344"/>
        <v>47685.599999999999</v>
      </c>
      <c r="G1832" s="27">
        <f>일위대가목록!F4</f>
        <v>300</v>
      </c>
      <c r="H1832" s="28">
        <f t="shared" ref="H1832:H1849" si="346">TRUNC(G1832*C1832,1)</f>
        <v>2856</v>
      </c>
      <c r="I1832" s="27">
        <f>일위대가목록!H4</f>
        <v>4328</v>
      </c>
      <c r="J1832" s="28">
        <f>TRUNC(I1832*C1832,1)</f>
        <v>41202.5</v>
      </c>
      <c r="K1832" s="27">
        <f>일위대가목록!J4</f>
        <v>381</v>
      </c>
      <c r="L1832" s="28">
        <f>TRUNC(K1832*C1832,1)</f>
        <v>3627.1</v>
      </c>
      <c r="M1832" s="86" t="s">
        <v>2856</v>
      </c>
      <c r="N1832" t="s">
        <v>2856</v>
      </c>
      <c r="P1832" t="s">
        <v>334</v>
      </c>
      <c r="Q1832" t="s">
        <v>2856</v>
      </c>
      <c r="R1832" t="s">
        <v>69</v>
      </c>
      <c r="T1832" t="s">
        <v>2405</v>
      </c>
    </row>
    <row r="1833" spans="1:61" ht="18" customHeight="1" x14ac:dyDescent="0.15">
      <c r="A1833" s="2" t="s">
        <v>1112</v>
      </c>
      <c r="B1833" s="87" t="s">
        <v>2429</v>
      </c>
      <c r="C1833" s="2">
        <v>8.01</v>
      </c>
      <c r="D1833" s="2" t="s">
        <v>2825</v>
      </c>
      <c r="E1833" s="27">
        <f t="shared" si="345"/>
        <v>1588</v>
      </c>
      <c r="F1833" s="28">
        <f t="shared" si="344"/>
        <v>12719.800000000001</v>
      </c>
      <c r="G1833" s="27">
        <f>일위대가목록!F5</f>
        <v>285</v>
      </c>
      <c r="H1833" s="28">
        <f t="shared" si="346"/>
        <v>2282.8000000000002</v>
      </c>
      <c r="I1833" s="27">
        <f>일위대가목록!H5</f>
        <v>940</v>
      </c>
      <c r="J1833" s="28">
        <f>TRUNC(I1833*C1833,1)</f>
        <v>7529.4</v>
      </c>
      <c r="K1833" s="27">
        <f>일위대가목록!J5</f>
        <v>363</v>
      </c>
      <c r="L1833" s="28">
        <f>TRUNC(K1833*C1833,1)</f>
        <v>2907.6</v>
      </c>
      <c r="M1833" s="86" t="s">
        <v>2856</v>
      </c>
      <c r="N1833" t="s">
        <v>2856</v>
      </c>
      <c r="P1833" t="s">
        <v>2471</v>
      </c>
      <c r="Q1833" t="s">
        <v>2856</v>
      </c>
      <c r="R1833" t="s">
        <v>1705</v>
      </c>
      <c r="T1833" t="s">
        <v>2405</v>
      </c>
    </row>
    <row r="1834" spans="1:61" ht="18" customHeight="1" x14ac:dyDescent="0.15">
      <c r="A1834" s="2" t="s">
        <v>2451</v>
      </c>
      <c r="B1834" s="87" t="s">
        <v>565</v>
      </c>
      <c r="C1834" s="2">
        <v>1.51</v>
      </c>
      <c r="D1834" s="2" t="s">
        <v>2825</v>
      </c>
      <c r="E1834" s="27">
        <f t="shared" si="345"/>
        <v>7144</v>
      </c>
      <c r="F1834" s="28">
        <f t="shared" si="344"/>
        <v>10787.300000000001</v>
      </c>
      <c r="G1834" s="27">
        <f>일위대가목록!F6</f>
        <v>445</v>
      </c>
      <c r="H1834" s="28">
        <f t="shared" si="346"/>
        <v>671.9</v>
      </c>
      <c r="I1834" s="27">
        <f>일위대가목록!H6</f>
        <v>6329</v>
      </c>
      <c r="J1834" s="28">
        <f>TRUNC(I1834*C1834,1)</f>
        <v>9556.7000000000007</v>
      </c>
      <c r="K1834" s="27">
        <f>일위대가목록!J6</f>
        <v>370</v>
      </c>
      <c r="L1834" s="28">
        <f>TRUNC(K1834*C1834,1)</f>
        <v>558.70000000000005</v>
      </c>
      <c r="M1834" s="86" t="s">
        <v>2856</v>
      </c>
      <c r="N1834" t="s">
        <v>2856</v>
      </c>
      <c r="P1834" t="s">
        <v>1741</v>
      </c>
      <c r="Q1834" t="s">
        <v>2856</v>
      </c>
      <c r="R1834" t="s">
        <v>1429</v>
      </c>
      <c r="T1834" t="s">
        <v>2405</v>
      </c>
    </row>
    <row r="1835" spans="1:61" ht="18" customHeight="1" x14ac:dyDescent="0.15">
      <c r="A1835" s="2" t="s">
        <v>296</v>
      </c>
      <c r="B1835" s="87" t="s">
        <v>626</v>
      </c>
      <c r="C1835" s="2">
        <v>3.06</v>
      </c>
      <c r="D1835" s="2" t="s">
        <v>2825</v>
      </c>
      <c r="E1835" s="27">
        <f t="shared" si="345"/>
        <v>24000</v>
      </c>
      <c r="F1835" s="28">
        <f t="shared" si="344"/>
        <v>73440</v>
      </c>
      <c r="G1835" s="27">
        <f>자재조서!E85</f>
        <v>24000</v>
      </c>
      <c r="H1835" s="28">
        <f t="shared" si="346"/>
        <v>73440</v>
      </c>
      <c r="I1835" s="27">
        <v>0</v>
      </c>
      <c r="J1835" s="28"/>
      <c r="K1835" s="27">
        <v>0</v>
      </c>
      <c r="L1835" s="28"/>
      <c r="M1835" s="86" t="s">
        <v>2856</v>
      </c>
      <c r="N1835" t="s">
        <v>2856</v>
      </c>
      <c r="P1835" t="s">
        <v>1036</v>
      </c>
      <c r="Q1835" t="s">
        <v>2856</v>
      </c>
      <c r="R1835" t="s">
        <v>609</v>
      </c>
    </row>
    <row r="1836" spans="1:61" ht="18" customHeight="1" x14ac:dyDescent="0.15">
      <c r="A1836" s="2" t="s">
        <v>467</v>
      </c>
      <c r="B1836" s="87" t="s">
        <v>2010</v>
      </c>
      <c r="C1836" s="2">
        <v>3.06</v>
      </c>
      <c r="D1836" s="2" t="s">
        <v>2825</v>
      </c>
      <c r="E1836" s="27">
        <f t="shared" si="345"/>
        <v>14311</v>
      </c>
      <c r="F1836" s="28">
        <f t="shared" si="344"/>
        <v>43791.6</v>
      </c>
      <c r="G1836" s="27">
        <f>일위대가목록!F239</f>
        <v>1554</v>
      </c>
      <c r="H1836" s="28">
        <f t="shared" si="346"/>
        <v>4755.2</v>
      </c>
      <c r="I1836" s="27">
        <f>일위대가목록!H239</f>
        <v>11235</v>
      </c>
      <c r="J1836" s="28">
        <f>TRUNC(I1836*C1836,1)</f>
        <v>34379.1</v>
      </c>
      <c r="K1836" s="27">
        <f>일위대가목록!J239</f>
        <v>1522</v>
      </c>
      <c r="L1836" s="28">
        <f>TRUNC(K1836*C1836,1)</f>
        <v>4657.3</v>
      </c>
      <c r="M1836" s="86" t="s">
        <v>2856</v>
      </c>
      <c r="N1836" t="s">
        <v>2856</v>
      </c>
      <c r="P1836" t="s">
        <v>286</v>
      </c>
      <c r="Q1836" t="s">
        <v>2856</v>
      </c>
      <c r="R1836" t="s">
        <v>782</v>
      </c>
      <c r="T1836" t="s">
        <v>1778</v>
      </c>
    </row>
    <row r="1837" spans="1:61" ht="18" customHeight="1" x14ac:dyDescent="0.15">
      <c r="A1837" s="2" t="s">
        <v>832</v>
      </c>
      <c r="B1837" s="87" t="s">
        <v>610</v>
      </c>
      <c r="C1837" s="2">
        <v>1.98</v>
      </c>
      <c r="D1837" s="2" t="s">
        <v>1202</v>
      </c>
      <c r="E1837" s="27">
        <f t="shared" si="345"/>
        <v>45715</v>
      </c>
      <c r="F1837" s="28">
        <f t="shared" si="344"/>
        <v>90515.6</v>
      </c>
      <c r="G1837" s="27">
        <f>일위대가목록!F236</f>
        <v>11180</v>
      </c>
      <c r="H1837" s="28">
        <f t="shared" si="346"/>
        <v>22136.400000000001</v>
      </c>
      <c r="I1837" s="27">
        <f>일위대가목록!H236</f>
        <v>34194</v>
      </c>
      <c r="J1837" s="28">
        <f>TRUNC(I1837*C1837,1)</f>
        <v>67704.100000000006</v>
      </c>
      <c r="K1837" s="27">
        <f>일위대가목록!J236</f>
        <v>341</v>
      </c>
      <c r="L1837" s="28">
        <f>TRUNC(K1837*C1837,1)</f>
        <v>675.1</v>
      </c>
      <c r="M1837" s="86" t="s">
        <v>2856</v>
      </c>
      <c r="N1837" t="s">
        <v>2856</v>
      </c>
      <c r="P1837" t="s">
        <v>2428</v>
      </c>
      <c r="Q1837" t="s">
        <v>2856</v>
      </c>
      <c r="R1837" t="s">
        <v>1998</v>
      </c>
      <c r="T1837" t="s">
        <v>1778</v>
      </c>
    </row>
    <row r="1838" spans="1:61" ht="18" customHeight="1" x14ac:dyDescent="0.15">
      <c r="A1838" s="2" t="s">
        <v>1632</v>
      </c>
      <c r="B1838" s="87" t="s">
        <v>2279</v>
      </c>
      <c r="C1838" s="2">
        <v>1.04</v>
      </c>
      <c r="D1838" s="2" t="s">
        <v>2825</v>
      </c>
      <c r="E1838" s="27">
        <f t="shared" si="345"/>
        <v>0</v>
      </c>
      <c r="F1838" s="28">
        <f t="shared" si="344"/>
        <v>0</v>
      </c>
      <c r="G1838" s="27">
        <f>TRUNC([320]자재조서!E881*0,2)</f>
        <v>0</v>
      </c>
      <c r="H1838" s="28">
        <f t="shared" si="346"/>
        <v>0</v>
      </c>
      <c r="I1838" s="27">
        <v>0</v>
      </c>
      <c r="J1838" s="28"/>
      <c r="K1838" s="27">
        <v>0</v>
      </c>
      <c r="L1838" s="28"/>
      <c r="M1838" s="86" t="s">
        <v>1601</v>
      </c>
      <c r="N1838" t="s">
        <v>2856</v>
      </c>
      <c r="P1838" t="s">
        <v>3053</v>
      </c>
      <c r="Q1838" t="s">
        <v>1839</v>
      </c>
      <c r="R1838" t="s">
        <v>2547</v>
      </c>
      <c r="W1838" t="s">
        <v>1601</v>
      </c>
    </row>
    <row r="1839" spans="1:61" ht="18" customHeight="1" x14ac:dyDescent="0.15">
      <c r="A1839" s="2" t="s">
        <v>54</v>
      </c>
      <c r="B1839" s="87" t="s">
        <v>1255</v>
      </c>
      <c r="C1839" s="2">
        <v>1.02</v>
      </c>
      <c r="D1839" s="2" t="s">
        <v>2825</v>
      </c>
      <c r="E1839" s="27">
        <f t="shared" si="345"/>
        <v>55166</v>
      </c>
      <c r="F1839" s="28">
        <f t="shared" si="344"/>
        <v>56269.100000000006</v>
      </c>
      <c r="G1839" s="27">
        <f>일위대가목록!F235</f>
        <v>2538</v>
      </c>
      <c r="H1839" s="28">
        <f t="shared" si="346"/>
        <v>2588.6999999999998</v>
      </c>
      <c r="I1839" s="27">
        <f>일위대가목록!H235</f>
        <v>22449</v>
      </c>
      <c r="J1839" s="28">
        <f>TRUNC(I1839*C1839,1)</f>
        <v>22897.9</v>
      </c>
      <c r="K1839" s="27">
        <f>일위대가목록!J235</f>
        <v>30179</v>
      </c>
      <c r="L1839" s="28">
        <f>TRUNC(K1839*C1839,1)</f>
        <v>30782.5</v>
      </c>
      <c r="M1839" s="86" t="s">
        <v>2856</v>
      </c>
      <c r="N1839" t="s">
        <v>2856</v>
      </c>
      <c r="P1839" t="s">
        <v>2032</v>
      </c>
      <c r="Q1839" t="s">
        <v>2856</v>
      </c>
      <c r="R1839" t="s">
        <v>668</v>
      </c>
      <c r="T1839" t="s">
        <v>1778</v>
      </c>
    </row>
    <row r="1840" spans="1:61" ht="18" customHeight="1" x14ac:dyDescent="0.15">
      <c r="A1840" s="2" t="s">
        <v>1632</v>
      </c>
      <c r="B1840" s="87" t="s">
        <v>2279</v>
      </c>
      <c r="C1840" s="2">
        <v>3</v>
      </c>
      <c r="D1840" s="2" t="s">
        <v>2825</v>
      </c>
      <c r="E1840" s="27">
        <f t="shared" si="345"/>
        <v>0</v>
      </c>
      <c r="F1840" s="28">
        <f t="shared" si="344"/>
        <v>0</v>
      </c>
      <c r="G1840" s="27">
        <f>TRUNC([320]자재조서!E881*0,2)</f>
        <v>0</v>
      </c>
      <c r="H1840" s="28">
        <f t="shared" si="346"/>
        <v>0</v>
      </c>
      <c r="I1840" s="27">
        <v>0</v>
      </c>
      <c r="J1840" s="28"/>
      <c r="K1840" s="27">
        <v>0</v>
      </c>
      <c r="L1840" s="28"/>
      <c r="M1840" s="86" t="s">
        <v>1601</v>
      </c>
      <c r="N1840" t="s">
        <v>2856</v>
      </c>
      <c r="P1840" t="s">
        <v>2035</v>
      </c>
      <c r="Q1840" t="s">
        <v>1839</v>
      </c>
      <c r="R1840" t="s">
        <v>2547</v>
      </c>
      <c r="W1840" t="s">
        <v>1601</v>
      </c>
    </row>
    <row r="1841" spans="1:30" ht="18" customHeight="1" x14ac:dyDescent="0.15">
      <c r="A1841" s="2" t="s">
        <v>54</v>
      </c>
      <c r="B1841" s="87" t="s">
        <v>1057</v>
      </c>
      <c r="C1841" s="2">
        <v>2.97</v>
      </c>
      <c r="D1841" s="2" t="s">
        <v>2825</v>
      </c>
      <c r="E1841" s="27">
        <f t="shared" si="345"/>
        <v>63190</v>
      </c>
      <c r="F1841" s="28">
        <f t="shared" si="344"/>
        <v>187674.09999999998</v>
      </c>
      <c r="G1841" s="27">
        <f>일위대가목록!F240</f>
        <v>2908</v>
      </c>
      <c r="H1841" s="28">
        <f t="shared" si="346"/>
        <v>8636.7000000000007</v>
      </c>
      <c r="I1841" s="27">
        <f>일위대가목록!H240</f>
        <v>25714</v>
      </c>
      <c r="J1841" s="28">
        <f>TRUNC(I1841*C1841,1)</f>
        <v>76370.5</v>
      </c>
      <c r="K1841" s="27">
        <f>일위대가목록!J240</f>
        <v>34568</v>
      </c>
      <c r="L1841" s="28">
        <f>TRUNC(K1841*C1841,1)</f>
        <v>102666.9</v>
      </c>
      <c r="M1841" s="86" t="s">
        <v>2856</v>
      </c>
      <c r="N1841" t="s">
        <v>2856</v>
      </c>
      <c r="P1841" t="s">
        <v>3054</v>
      </c>
      <c r="Q1841" t="s">
        <v>2856</v>
      </c>
      <c r="R1841" t="s">
        <v>170</v>
      </c>
      <c r="T1841" t="s">
        <v>1778</v>
      </c>
    </row>
    <row r="1842" spans="1:30" ht="18" customHeight="1" x14ac:dyDescent="0.15">
      <c r="A1842" s="2" t="s">
        <v>1996</v>
      </c>
      <c r="B1842" s="87" t="s">
        <v>1225</v>
      </c>
      <c r="C1842" s="2">
        <v>0.16900000000000001</v>
      </c>
      <c r="D1842" s="2" t="s">
        <v>978</v>
      </c>
      <c r="E1842" s="27">
        <f t="shared" si="345"/>
        <v>0</v>
      </c>
      <c r="F1842" s="28">
        <f t="shared" si="344"/>
        <v>0</v>
      </c>
      <c r="G1842" s="27">
        <f>TRUNC([320]자재조서!E897*0,2)</f>
        <v>0</v>
      </c>
      <c r="H1842" s="28">
        <f t="shared" si="346"/>
        <v>0</v>
      </c>
      <c r="I1842" s="27">
        <v>0</v>
      </c>
      <c r="J1842" s="28"/>
      <c r="K1842" s="27">
        <v>0</v>
      </c>
      <c r="L1842" s="28"/>
      <c r="M1842" s="86" t="s">
        <v>1601</v>
      </c>
      <c r="N1842" t="s">
        <v>2004</v>
      </c>
      <c r="P1842" t="s">
        <v>1677</v>
      </c>
      <c r="Q1842" t="s">
        <v>1839</v>
      </c>
      <c r="R1842" t="s">
        <v>2422</v>
      </c>
      <c r="W1842" t="s">
        <v>1601</v>
      </c>
    </row>
    <row r="1843" spans="1:30" ht="18" customHeight="1" x14ac:dyDescent="0.15">
      <c r="A1843" s="2" t="s">
        <v>2085</v>
      </c>
      <c r="B1843" s="87" t="s">
        <v>2731</v>
      </c>
      <c r="C1843" s="2">
        <v>0.16400000000000001</v>
      </c>
      <c r="D1843" s="2" t="s">
        <v>978</v>
      </c>
      <c r="E1843" s="27">
        <f t="shared" si="345"/>
        <v>3414044</v>
      </c>
      <c r="F1843" s="28">
        <f t="shared" si="344"/>
        <v>559903.1</v>
      </c>
      <c r="G1843" s="27">
        <f>일위대가목록!F242</f>
        <v>10770</v>
      </c>
      <c r="H1843" s="28">
        <f t="shared" si="346"/>
        <v>1766.2</v>
      </c>
      <c r="I1843" s="27">
        <f>일위대가목록!H242</f>
        <v>756255</v>
      </c>
      <c r="J1843" s="28">
        <f>TRUNC(I1843*C1843,1)</f>
        <v>124025.8</v>
      </c>
      <c r="K1843" s="27">
        <f>일위대가목록!J242</f>
        <v>2647019</v>
      </c>
      <c r="L1843" s="28">
        <f>TRUNC(K1843*C1843,1)</f>
        <v>434111.1</v>
      </c>
      <c r="M1843" s="86" t="s">
        <v>2856</v>
      </c>
      <c r="N1843" t="s">
        <v>2856</v>
      </c>
      <c r="P1843" t="s">
        <v>317</v>
      </c>
      <c r="Q1843" t="s">
        <v>2856</v>
      </c>
      <c r="R1843" t="s">
        <v>1458</v>
      </c>
      <c r="T1843" t="s">
        <v>1778</v>
      </c>
    </row>
    <row r="1844" spans="1:30" ht="18" customHeight="1" x14ac:dyDescent="0.15">
      <c r="A1844" s="2" t="s">
        <v>2073</v>
      </c>
      <c r="B1844" s="87" t="s">
        <v>2856</v>
      </c>
      <c r="C1844" s="2">
        <v>0.96</v>
      </c>
      <c r="D1844" s="2" t="s">
        <v>2825</v>
      </c>
      <c r="E1844" s="27">
        <f t="shared" si="345"/>
        <v>208934</v>
      </c>
      <c r="F1844" s="28">
        <f t="shared" si="344"/>
        <v>200576.59999999998</v>
      </c>
      <c r="G1844" s="27">
        <f>일위대가목록!F237</f>
        <v>137090</v>
      </c>
      <c r="H1844" s="28">
        <f t="shared" si="346"/>
        <v>131606.39999999999</v>
      </c>
      <c r="I1844" s="27">
        <f>일위대가목록!H237</f>
        <v>71844</v>
      </c>
      <c r="J1844" s="28">
        <f>TRUNC(I1844*C1844,1)</f>
        <v>68970.2</v>
      </c>
      <c r="K1844" s="27">
        <f>[320]일위대가목록!H1045</f>
        <v>0</v>
      </c>
      <c r="L1844" s="28">
        <f>TRUNC(K1844*C1844,1)</f>
        <v>0</v>
      </c>
      <c r="M1844" s="86" t="s">
        <v>2856</v>
      </c>
      <c r="N1844" t="s">
        <v>2856</v>
      </c>
      <c r="P1844" t="s">
        <v>1045</v>
      </c>
      <c r="Q1844" t="s">
        <v>2856</v>
      </c>
      <c r="R1844" t="s">
        <v>918</v>
      </c>
      <c r="T1844" t="s">
        <v>1778</v>
      </c>
    </row>
    <row r="1845" spans="1:30" ht="18" customHeight="1" x14ac:dyDescent="0.15">
      <c r="A1845" s="79" t="s">
        <v>3055</v>
      </c>
      <c r="B1845" s="179" t="s">
        <v>3056</v>
      </c>
      <c r="C1845" s="79">
        <v>10.8</v>
      </c>
      <c r="D1845" s="2" t="s">
        <v>1202</v>
      </c>
      <c r="E1845" s="27">
        <f t="shared" si="345"/>
        <v>234500</v>
      </c>
      <c r="F1845" s="28">
        <f t="shared" si="344"/>
        <v>2532600</v>
      </c>
      <c r="G1845" s="27">
        <f>자재조서!E94</f>
        <v>234500</v>
      </c>
      <c r="H1845" s="28">
        <f t="shared" si="346"/>
        <v>2532600</v>
      </c>
      <c r="I1845" s="27">
        <v>0</v>
      </c>
      <c r="J1845" s="28"/>
      <c r="K1845" s="27">
        <v>0</v>
      </c>
      <c r="L1845" s="28"/>
      <c r="M1845" s="86" t="s">
        <v>2856</v>
      </c>
      <c r="N1845" t="s">
        <v>2856</v>
      </c>
      <c r="P1845" t="s">
        <v>847</v>
      </c>
      <c r="Q1845" t="s">
        <v>1839</v>
      </c>
      <c r="R1845" t="s">
        <v>3057</v>
      </c>
    </row>
    <row r="1846" spans="1:30" ht="18" customHeight="1" x14ac:dyDescent="0.15">
      <c r="A1846" s="79" t="s">
        <v>1200</v>
      </c>
      <c r="B1846" s="179" t="s">
        <v>2599</v>
      </c>
      <c r="C1846" s="79">
        <v>36</v>
      </c>
      <c r="D1846" s="2" t="s">
        <v>1670</v>
      </c>
      <c r="E1846" s="27">
        <f t="shared" si="345"/>
        <v>20715</v>
      </c>
      <c r="F1846" s="28">
        <f t="shared" si="344"/>
        <v>745740</v>
      </c>
      <c r="G1846" s="27">
        <f>일위대가목록!F263</f>
        <v>926</v>
      </c>
      <c r="H1846" s="28">
        <f t="shared" si="346"/>
        <v>33336</v>
      </c>
      <c r="I1846" s="27">
        <f>일위대가목록!H263</f>
        <v>8827</v>
      </c>
      <c r="J1846" s="28">
        <f>TRUNC(I1846*C1846,1)</f>
        <v>317772</v>
      </c>
      <c r="K1846" s="27">
        <f>일위대가목록!J263</f>
        <v>10962</v>
      </c>
      <c r="L1846" s="28">
        <f>TRUNC(K1846*C1846,1)</f>
        <v>394632</v>
      </c>
      <c r="M1846" s="86" t="s">
        <v>2856</v>
      </c>
      <c r="N1846" t="s">
        <v>2856</v>
      </c>
      <c r="P1846" t="s">
        <v>140</v>
      </c>
      <c r="Q1846" t="s">
        <v>2856</v>
      </c>
      <c r="R1846" t="s">
        <v>2847</v>
      </c>
      <c r="T1846" t="s">
        <v>1778</v>
      </c>
    </row>
    <row r="1847" spans="1:30" ht="18" customHeight="1" x14ac:dyDescent="0.15">
      <c r="A1847" s="79" t="s">
        <v>2162</v>
      </c>
      <c r="B1847" s="179" t="s">
        <v>2444</v>
      </c>
      <c r="C1847" s="79">
        <v>7.6</v>
      </c>
      <c r="D1847" s="2" t="s">
        <v>1202</v>
      </c>
      <c r="E1847" s="27">
        <f t="shared" si="345"/>
        <v>37000</v>
      </c>
      <c r="F1847" s="28">
        <f t="shared" si="344"/>
        <v>281200</v>
      </c>
      <c r="G1847" s="27">
        <f>자재조서!E95</f>
        <v>37000</v>
      </c>
      <c r="H1847" s="28">
        <f t="shared" si="346"/>
        <v>281200</v>
      </c>
      <c r="I1847" s="27">
        <v>0</v>
      </c>
      <c r="J1847" s="28"/>
      <c r="K1847" s="27">
        <v>0</v>
      </c>
      <c r="L1847" s="28"/>
      <c r="M1847" s="86" t="s">
        <v>2856</v>
      </c>
      <c r="N1847" t="s">
        <v>2856</v>
      </c>
      <c r="P1847" t="s">
        <v>2301</v>
      </c>
      <c r="Q1847" t="s">
        <v>2856</v>
      </c>
      <c r="R1847" t="s">
        <v>1728</v>
      </c>
    </row>
    <row r="1848" spans="1:30" ht="18" customHeight="1" x14ac:dyDescent="0.15">
      <c r="A1848" s="79" t="s">
        <v>721</v>
      </c>
      <c r="B1848" s="179" t="s">
        <v>971</v>
      </c>
      <c r="C1848" s="79">
        <v>7.2</v>
      </c>
      <c r="D1848" s="2" t="s">
        <v>1202</v>
      </c>
      <c r="E1848" s="27">
        <f t="shared" si="345"/>
        <v>98235</v>
      </c>
      <c r="F1848" s="28">
        <f t="shared" si="344"/>
        <v>707292</v>
      </c>
      <c r="G1848" s="27">
        <f>일위대가목록!F245</f>
        <v>0</v>
      </c>
      <c r="H1848" s="28">
        <f t="shared" si="346"/>
        <v>0</v>
      </c>
      <c r="I1848" s="27">
        <f>일위대가목록!H245</f>
        <v>97263</v>
      </c>
      <c r="J1848" s="28">
        <f>TRUNC(I1848*C1848,1)</f>
        <v>700293.6</v>
      </c>
      <c r="K1848" s="27">
        <f>일위대가목록!J245</f>
        <v>972</v>
      </c>
      <c r="L1848" s="28">
        <f>TRUNC(K1848*C1848,1)</f>
        <v>6998.4</v>
      </c>
      <c r="M1848" s="86" t="s">
        <v>2856</v>
      </c>
      <c r="N1848" t="s">
        <v>2856</v>
      </c>
      <c r="P1848" t="s">
        <v>3058</v>
      </c>
      <c r="Q1848" t="s">
        <v>2856</v>
      </c>
      <c r="R1848" t="s">
        <v>669</v>
      </c>
      <c r="T1848" t="s">
        <v>1778</v>
      </c>
    </row>
    <row r="1849" spans="1:30" ht="18" customHeight="1" x14ac:dyDescent="0.15">
      <c r="A1849" s="79" t="s">
        <v>3112</v>
      </c>
      <c r="B1849" s="179" t="s">
        <v>943</v>
      </c>
      <c r="C1849" s="79" t="s">
        <v>3113</v>
      </c>
      <c r="D1849" s="2" t="s">
        <v>3114</v>
      </c>
      <c r="E1849" s="27">
        <f t="shared" si="345"/>
        <v>0</v>
      </c>
      <c r="F1849" s="28">
        <f t="shared" si="344"/>
        <v>0</v>
      </c>
      <c r="G1849" s="27"/>
      <c r="H1849" s="28">
        <f t="shared" si="346"/>
        <v>0</v>
      </c>
      <c r="I1849" s="27">
        <v>0</v>
      </c>
      <c r="J1849" s="28"/>
      <c r="K1849" s="27">
        <v>0</v>
      </c>
      <c r="L1849" s="28"/>
      <c r="M1849" s="86" t="s">
        <v>1601</v>
      </c>
      <c r="N1849" t="s">
        <v>2856</v>
      </c>
      <c r="P1849" t="s">
        <v>3060</v>
      </c>
      <c r="Q1849" t="s">
        <v>1839</v>
      </c>
      <c r="R1849" t="s">
        <v>3061</v>
      </c>
    </row>
    <row r="1850" spans="1:30" ht="18.399999999999999" customHeight="1" x14ac:dyDescent="0.15">
      <c r="A1850" s="66" t="s">
        <v>3046</v>
      </c>
      <c r="B1850" s="175" t="s">
        <v>3245</v>
      </c>
      <c r="C1850" s="63"/>
      <c r="D1850" s="63"/>
      <c r="E1850" s="64"/>
      <c r="F1850" s="65">
        <f t="shared" si="344"/>
        <v>4845039</v>
      </c>
      <c r="G1850" s="66"/>
      <c r="H1850" s="65">
        <f>TRUNC(H1831*$B$1850)</f>
        <v>2704290</v>
      </c>
      <c r="I1850" s="66"/>
      <c r="J1850" s="65">
        <f>TRUNC(J1831*$B$1850)</f>
        <v>1283848</v>
      </c>
      <c r="K1850" s="66"/>
      <c r="L1850" s="65">
        <f>TRUNC(L1831*$B$1850)</f>
        <v>856901</v>
      </c>
      <c r="M1850" s="186"/>
      <c r="AA1850" s="42"/>
      <c r="AB1850" s="8"/>
      <c r="AC1850" s="42"/>
      <c r="AD1850" s="7"/>
    </row>
    <row r="1851" spans="1:30" ht="18" customHeight="1" x14ac:dyDescent="0.15">
      <c r="A1851" s="1"/>
      <c r="B1851" s="87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87"/>
    </row>
    <row r="1852" spans="1:30" ht="18" customHeight="1" x14ac:dyDescent="0.15">
      <c r="A1852" s="69" t="s">
        <v>3251</v>
      </c>
      <c r="B1852" s="174" t="s">
        <v>3049</v>
      </c>
      <c r="C1852" s="69">
        <v>1</v>
      </c>
      <c r="D1852" s="69" t="s">
        <v>1796</v>
      </c>
      <c r="E1852" s="185"/>
      <c r="F1852" s="70">
        <f t="shared" ref="F1852:F1871" si="347">H1852+J1852+L1852</f>
        <v>3874800</v>
      </c>
      <c r="G1852" s="185"/>
      <c r="H1852" s="70">
        <f>TRUNC(H1853+H1854+H1855+H1856+H1857+H1858+H1860+H1862+H1864+H1865+H1867+H1868+H1869+H1866+H1870,0)</f>
        <v>2245764</v>
      </c>
      <c r="I1852" s="185"/>
      <c r="J1852" s="70">
        <f>TRUNC(J1853+J1854+J1855+J1856+J1857+J1858+J1860+J1862+J1864+J1865+J1867+J1868+J1869+J1866+J1870,0)</f>
        <v>939388</v>
      </c>
      <c r="K1852" s="185"/>
      <c r="L1852" s="70">
        <f>TRUNC(L1853+L1854+L1855+L1856+L1857+L1858+L1860+L1862+L1864+L1865+L1867+L1868+L1869+L1866+L1870,0)</f>
        <v>689648</v>
      </c>
      <c r="M1852" s="181" t="s">
        <v>2856</v>
      </c>
      <c r="N1852" t="s">
        <v>2856</v>
      </c>
      <c r="O1852" t="s">
        <v>1994</v>
      </c>
    </row>
    <row r="1853" spans="1:30" ht="18" customHeight="1" x14ac:dyDescent="0.15">
      <c r="A1853" s="2" t="s">
        <v>1163</v>
      </c>
      <c r="B1853" s="87" t="s">
        <v>576</v>
      </c>
      <c r="C1853" s="2">
        <v>6.84</v>
      </c>
      <c r="D1853" s="2" t="s">
        <v>2825</v>
      </c>
      <c r="E1853" s="27">
        <f t="shared" ref="E1853:E1870" si="348">G1853+I1853+K1853</f>
        <v>5009</v>
      </c>
      <c r="F1853" s="28">
        <f t="shared" si="347"/>
        <v>34261.5</v>
      </c>
      <c r="G1853" s="27">
        <f>일위대가목록!F4</f>
        <v>300</v>
      </c>
      <c r="H1853" s="28">
        <f t="shared" ref="H1853:H1870" si="349">TRUNC(G1853*C1853,1)</f>
        <v>2052</v>
      </c>
      <c r="I1853" s="27">
        <f>일위대가목록!H4</f>
        <v>4328</v>
      </c>
      <c r="J1853" s="28">
        <f>TRUNC(I1853*C1853,1)</f>
        <v>29603.5</v>
      </c>
      <c r="K1853" s="27">
        <f>일위대가목록!J4</f>
        <v>381</v>
      </c>
      <c r="L1853" s="28">
        <f>TRUNC(K1853*C1853,1)</f>
        <v>2606</v>
      </c>
      <c r="M1853" s="86" t="s">
        <v>2856</v>
      </c>
      <c r="N1853" t="s">
        <v>2856</v>
      </c>
      <c r="P1853" t="s">
        <v>334</v>
      </c>
      <c r="Q1853" t="s">
        <v>2856</v>
      </c>
      <c r="R1853" t="s">
        <v>69</v>
      </c>
      <c r="T1853" t="s">
        <v>2405</v>
      </c>
    </row>
    <row r="1854" spans="1:30" ht="18" customHeight="1" x14ac:dyDescent="0.15">
      <c r="A1854" s="2" t="s">
        <v>1112</v>
      </c>
      <c r="B1854" s="87" t="s">
        <v>2429</v>
      </c>
      <c r="C1854" s="2">
        <v>5.24</v>
      </c>
      <c r="D1854" s="2" t="s">
        <v>2825</v>
      </c>
      <c r="E1854" s="27">
        <f t="shared" si="348"/>
        <v>1588</v>
      </c>
      <c r="F1854" s="28">
        <f t="shared" si="347"/>
        <v>8321.1</v>
      </c>
      <c r="G1854" s="27">
        <f>일위대가목록!F5</f>
        <v>285</v>
      </c>
      <c r="H1854" s="28">
        <f t="shared" si="349"/>
        <v>1493.4</v>
      </c>
      <c r="I1854" s="27">
        <f>일위대가목록!H5</f>
        <v>940</v>
      </c>
      <c r="J1854" s="28">
        <f>TRUNC(I1854*C1854,1)</f>
        <v>4925.6000000000004</v>
      </c>
      <c r="K1854" s="27">
        <f>일위대가목록!J5</f>
        <v>363</v>
      </c>
      <c r="L1854" s="28">
        <f>TRUNC(K1854*C1854,1)</f>
        <v>1902.1</v>
      </c>
      <c r="M1854" s="86" t="s">
        <v>2856</v>
      </c>
      <c r="N1854" t="s">
        <v>2856</v>
      </c>
      <c r="P1854" t="s">
        <v>2471</v>
      </c>
      <c r="Q1854" t="s">
        <v>2856</v>
      </c>
      <c r="R1854" t="s">
        <v>1705</v>
      </c>
      <c r="T1854" t="s">
        <v>2405</v>
      </c>
    </row>
    <row r="1855" spans="1:30" ht="18" customHeight="1" x14ac:dyDescent="0.15">
      <c r="A1855" s="2" t="s">
        <v>2451</v>
      </c>
      <c r="B1855" s="87" t="s">
        <v>565</v>
      </c>
      <c r="C1855" s="2">
        <v>1.6</v>
      </c>
      <c r="D1855" s="2" t="s">
        <v>2825</v>
      </c>
      <c r="E1855" s="27">
        <f t="shared" si="348"/>
        <v>7144</v>
      </c>
      <c r="F1855" s="28">
        <f t="shared" si="347"/>
        <v>11430.4</v>
      </c>
      <c r="G1855" s="27">
        <f>일위대가목록!F6</f>
        <v>445</v>
      </c>
      <c r="H1855" s="28">
        <f t="shared" si="349"/>
        <v>712</v>
      </c>
      <c r="I1855" s="27">
        <f>일위대가목록!H6</f>
        <v>6329</v>
      </c>
      <c r="J1855" s="28">
        <f>TRUNC(I1855*C1855,1)</f>
        <v>10126.4</v>
      </c>
      <c r="K1855" s="27">
        <f>일위대가목록!J6</f>
        <v>370</v>
      </c>
      <c r="L1855" s="28">
        <f>TRUNC(K1855*C1855,1)</f>
        <v>592</v>
      </c>
      <c r="M1855" s="86" t="s">
        <v>2856</v>
      </c>
      <c r="N1855" t="s">
        <v>2856</v>
      </c>
      <c r="P1855" t="s">
        <v>1741</v>
      </c>
      <c r="Q1855" t="s">
        <v>2856</v>
      </c>
      <c r="R1855" t="s">
        <v>1429</v>
      </c>
      <c r="T1855" t="s">
        <v>2405</v>
      </c>
    </row>
    <row r="1856" spans="1:30" ht="18" customHeight="1" x14ac:dyDescent="0.15">
      <c r="A1856" s="2" t="s">
        <v>296</v>
      </c>
      <c r="B1856" s="87" t="s">
        <v>626</v>
      </c>
      <c r="C1856" s="2">
        <v>2</v>
      </c>
      <c r="D1856" s="2" t="s">
        <v>2825</v>
      </c>
      <c r="E1856" s="27">
        <f t="shared" si="348"/>
        <v>24000</v>
      </c>
      <c r="F1856" s="28">
        <f t="shared" si="347"/>
        <v>48000</v>
      </c>
      <c r="G1856" s="27">
        <f>자재조서!E85</f>
        <v>24000</v>
      </c>
      <c r="H1856" s="28">
        <f t="shared" si="349"/>
        <v>48000</v>
      </c>
      <c r="I1856" s="27">
        <v>0</v>
      </c>
      <c r="J1856" s="28"/>
      <c r="K1856" s="27">
        <v>0</v>
      </c>
      <c r="L1856" s="28"/>
      <c r="M1856" s="86" t="s">
        <v>2856</v>
      </c>
      <c r="N1856" t="s">
        <v>2856</v>
      </c>
      <c r="P1856" t="s">
        <v>1036</v>
      </c>
      <c r="Q1856" t="s">
        <v>2856</v>
      </c>
      <c r="R1856" t="s">
        <v>609</v>
      </c>
    </row>
    <row r="1857" spans="1:30" ht="18" customHeight="1" x14ac:dyDescent="0.15">
      <c r="A1857" s="2" t="s">
        <v>467</v>
      </c>
      <c r="B1857" s="87" t="s">
        <v>2010</v>
      </c>
      <c r="C1857" s="2">
        <v>2</v>
      </c>
      <c r="D1857" s="2" t="s">
        <v>2825</v>
      </c>
      <c r="E1857" s="27">
        <f t="shared" si="348"/>
        <v>14311</v>
      </c>
      <c r="F1857" s="28">
        <f t="shared" si="347"/>
        <v>28622</v>
      </c>
      <c r="G1857" s="27">
        <f>일위대가목록!F239</f>
        <v>1554</v>
      </c>
      <c r="H1857" s="28">
        <f t="shared" si="349"/>
        <v>3108</v>
      </c>
      <c r="I1857" s="27">
        <f>일위대가목록!H239</f>
        <v>11235</v>
      </c>
      <c r="J1857" s="28">
        <f>TRUNC(I1857*C1857,1)</f>
        <v>22470</v>
      </c>
      <c r="K1857" s="27">
        <f>일위대가목록!J239</f>
        <v>1522</v>
      </c>
      <c r="L1857" s="28">
        <f>TRUNC(K1857*C1857,1)</f>
        <v>3044</v>
      </c>
      <c r="M1857" s="86" t="s">
        <v>2856</v>
      </c>
      <c r="N1857" t="s">
        <v>2856</v>
      </c>
      <c r="P1857" t="s">
        <v>286</v>
      </c>
      <c r="Q1857" t="s">
        <v>2856</v>
      </c>
      <c r="R1857" t="s">
        <v>782</v>
      </c>
      <c r="T1857" t="s">
        <v>1778</v>
      </c>
    </row>
    <row r="1858" spans="1:30" ht="18" customHeight="1" x14ac:dyDescent="0.15">
      <c r="A1858" s="2" t="s">
        <v>832</v>
      </c>
      <c r="B1858" s="87" t="s">
        <v>610</v>
      </c>
      <c r="C1858" s="2">
        <v>2.6</v>
      </c>
      <c r="D1858" s="2" t="s">
        <v>1202</v>
      </c>
      <c r="E1858" s="27">
        <f t="shared" si="348"/>
        <v>45715</v>
      </c>
      <c r="F1858" s="28">
        <f t="shared" si="347"/>
        <v>118859</v>
      </c>
      <c r="G1858" s="27">
        <f>일위대가목록!F236</f>
        <v>11180</v>
      </c>
      <c r="H1858" s="28">
        <f t="shared" si="349"/>
        <v>29068</v>
      </c>
      <c r="I1858" s="27">
        <f>일위대가목록!H236</f>
        <v>34194</v>
      </c>
      <c r="J1858" s="28">
        <f>TRUNC(I1858*C1858,1)</f>
        <v>88904.4</v>
      </c>
      <c r="K1858" s="27">
        <f>일위대가목록!J236</f>
        <v>341</v>
      </c>
      <c r="L1858" s="28">
        <f>TRUNC(K1858*C1858,1)</f>
        <v>886.6</v>
      </c>
      <c r="M1858" s="86" t="s">
        <v>2856</v>
      </c>
      <c r="N1858" t="s">
        <v>2856</v>
      </c>
      <c r="P1858" t="s">
        <v>2428</v>
      </c>
      <c r="Q1858" t="s">
        <v>2856</v>
      </c>
      <c r="R1858" t="s">
        <v>1998</v>
      </c>
      <c r="T1858" t="s">
        <v>1778</v>
      </c>
    </row>
    <row r="1859" spans="1:30" ht="18" customHeight="1" x14ac:dyDescent="0.15">
      <c r="A1859" s="2" t="s">
        <v>1632</v>
      </c>
      <c r="B1859" s="87" t="s">
        <v>2279</v>
      </c>
      <c r="C1859" s="2">
        <v>0.67</v>
      </c>
      <c r="D1859" s="2" t="s">
        <v>2825</v>
      </c>
      <c r="E1859" s="27">
        <f t="shared" si="348"/>
        <v>0</v>
      </c>
      <c r="F1859" s="28">
        <f t="shared" si="347"/>
        <v>0</v>
      </c>
      <c r="G1859" s="27">
        <f>TRUNC([320]자재조서!E881*0,2)</f>
        <v>0</v>
      </c>
      <c r="H1859" s="28">
        <f t="shared" si="349"/>
        <v>0</v>
      </c>
      <c r="I1859" s="27">
        <v>0</v>
      </c>
      <c r="J1859" s="28"/>
      <c r="K1859" s="27">
        <v>0</v>
      </c>
      <c r="L1859" s="28"/>
      <c r="M1859" s="86" t="s">
        <v>1601</v>
      </c>
      <c r="N1859" t="s">
        <v>2856</v>
      </c>
      <c r="P1859" t="s">
        <v>1686</v>
      </c>
      <c r="Q1859" t="s">
        <v>1839</v>
      </c>
      <c r="R1859" t="s">
        <v>2547</v>
      </c>
      <c r="W1859" t="s">
        <v>1601</v>
      </c>
    </row>
    <row r="1860" spans="1:30" ht="18" customHeight="1" x14ac:dyDescent="0.15">
      <c r="A1860" s="2" t="s">
        <v>54</v>
      </c>
      <c r="B1860" s="87" t="s">
        <v>1255</v>
      </c>
      <c r="C1860" s="2">
        <v>0.66</v>
      </c>
      <c r="D1860" s="2" t="s">
        <v>2825</v>
      </c>
      <c r="E1860" s="27">
        <f t="shared" si="348"/>
        <v>55166</v>
      </c>
      <c r="F1860" s="28">
        <f t="shared" si="347"/>
        <v>36409.399999999994</v>
      </c>
      <c r="G1860" s="27">
        <f>일위대가목록!F235</f>
        <v>2538</v>
      </c>
      <c r="H1860" s="28">
        <f t="shared" si="349"/>
        <v>1675</v>
      </c>
      <c r="I1860" s="27">
        <f>일위대가목록!H235</f>
        <v>22449</v>
      </c>
      <c r="J1860" s="28">
        <f>TRUNC(I1860*C1860,1)</f>
        <v>14816.3</v>
      </c>
      <c r="K1860" s="27">
        <f>일위대가목록!J235</f>
        <v>30179</v>
      </c>
      <c r="L1860" s="28">
        <f>TRUNC(K1860*C1860,1)</f>
        <v>19918.099999999999</v>
      </c>
      <c r="M1860" s="86" t="s">
        <v>2856</v>
      </c>
      <c r="N1860" t="s">
        <v>2856</v>
      </c>
      <c r="P1860" t="s">
        <v>983</v>
      </c>
      <c r="Q1860" t="s">
        <v>2856</v>
      </c>
      <c r="R1860" t="s">
        <v>668</v>
      </c>
      <c r="T1860" t="s">
        <v>1778</v>
      </c>
    </row>
    <row r="1861" spans="1:30" ht="18" customHeight="1" x14ac:dyDescent="0.15">
      <c r="A1861" s="2" t="s">
        <v>1632</v>
      </c>
      <c r="B1861" s="87" t="s">
        <v>2279</v>
      </c>
      <c r="C1861" s="2">
        <v>1.97</v>
      </c>
      <c r="D1861" s="2" t="s">
        <v>2825</v>
      </c>
      <c r="E1861" s="27">
        <f t="shared" si="348"/>
        <v>0</v>
      </c>
      <c r="F1861" s="28">
        <f t="shared" si="347"/>
        <v>0</v>
      </c>
      <c r="G1861" s="27">
        <f>TRUNC([320]자재조서!E881*0,2)</f>
        <v>0</v>
      </c>
      <c r="H1861" s="28">
        <f t="shared" si="349"/>
        <v>0</v>
      </c>
      <c r="I1861" s="27">
        <v>0</v>
      </c>
      <c r="J1861" s="28"/>
      <c r="K1861" s="27">
        <v>0</v>
      </c>
      <c r="L1861" s="28"/>
      <c r="M1861" s="86" t="s">
        <v>1601</v>
      </c>
      <c r="N1861" t="s">
        <v>2856</v>
      </c>
      <c r="P1861" t="s">
        <v>248</v>
      </c>
      <c r="Q1861" t="s">
        <v>1839</v>
      </c>
      <c r="R1861" t="s">
        <v>2547</v>
      </c>
      <c r="W1861" t="s">
        <v>1601</v>
      </c>
    </row>
    <row r="1862" spans="1:30" ht="18" customHeight="1" x14ac:dyDescent="0.15">
      <c r="A1862" s="2" t="s">
        <v>54</v>
      </c>
      <c r="B1862" s="87" t="s">
        <v>1057</v>
      </c>
      <c r="C1862" s="2">
        <v>1.95</v>
      </c>
      <c r="D1862" s="2" t="s">
        <v>2825</v>
      </c>
      <c r="E1862" s="27">
        <f t="shared" si="348"/>
        <v>63190</v>
      </c>
      <c r="F1862" s="28">
        <f t="shared" si="347"/>
        <v>123220.5</v>
      </c>
      <c r="G1862" s="27">
        <f>일위대가목록!F240</f>
        <v>2908</v>
      </c>
      <c r="H1862" s="28">
        <f t="shared" si="349"/>
        <v>5670.6</v>
      </c>
      <c r="I1862" s="27">
        <f>일위대가목록!H240</f>
        <v>25714</v>
      </c>
      <c r="J1862" s="28">
        <f>TRUNC(I1862*C1862,1)</f>
        <v>50142.3</v>
      </c>
      <c r="K1862" s="27">
        <f>일위대가목록!J240</f>
        <v>34568</v>
      </c>
      <c r="L1862" s="28">
        <f>TRUNC(K1862*C1862,1)</f>
        <v>67407.600000000006</v>
      </c>
      <c r="M1862" s="86" t="s">
        <v>2856</v>
      </c>
      <c r="N1862" t="s">
        <v>2856</v>
      </c>
      <c r="P1862" t="s">
        <v>241</v>
      </c>
      <c r="Q1862" t="s">
        <v>2856</v>
      </c>
      <c r="R1862" t="s">
        <v>170</v>
      </c>
      <c r="T1862" t="s">
        <v>1778</v>
      </c>
    </row>
    <row r="1863" spans="1:30" ht="18" customHeight="1" x14ac:dyDescent="0.15">
      <c r="A1863" s="2" t="s">
        <v>1996</v>
      </c>
      <c r="B1863" s="87" t="s">
        <v>1225</v>
      </c>
      <c r="C1863" s="2">
        <v>0.114</v>
      </c>
      <c r="D1863" s="2" t="s">
        <v>978</v>
      </c>
      <c r="E1863" s="27">
        <f t="shared" si="348"/>
        <v>0</v>
      </c>
      <c r="F1863" s="28">
        <f t="shared" si="347"/>
        <v>0</v>
      </c>
      <c r="G1863" s="27">
        <f>TRUNC([320]자재조서!E897*0,2)</f>
        <v>0</v>
      </c>
      <c r="H1863" s="28">
        <f t="shared" si="349"/>
        <v>0</v>
      </c>
      <c r="I1863" s="27">
        <v>0</v>
      </c>
      <c r="J1863" s="28"/>
      <c r="K1863" s="27">
        <v>0</v>
      </c>
      <c r="L1863" s="28"/>
      <c r="M1863" s="86" t="s">
        <v>1601</v>
      </c>
      <c r="N1863" t="s">
        <v>2004</v>
      </c>
      <c r="P1863" t="s">
        <v>954</v>
      </c>
      <c r="Q1863" t="s">
        <v>1839</v>
      </c>
      <c r="R1863" t="s">
        <v>2422</v>
      </c>
      <c r="W1863" t="s">
        <v>1601</v>
      </c>
    </row>
    <row r="1864" spans="1:30" ht="18" customHeight="1" x14ac:dyDescent="0.15">
      <c r="A1864" s="2" t="s">
        <v>2085</v>
      </c>
      <c r="B1864" s="87" t="s">
        <v>2731</v>
      </c>
      <c r="C1864" s="2">
        <v>0.111</v>
      </c>
      <c r="D1864" s="2" t="s">
        <v>978</v>
      </c>
      <c r="E1864" s="27">
        <f t="shared" si="348"/>
        <v>3414044</v>
      </c>
      <c r="F1864" s="28">
        <f t="shared" si="347"/>
        <v>378958.8</v>
      </c>
      <c r="G1864" s="27">
        <f>일위대가목록!F242</f>
        <v>10770</v>
      </c>
      <c r="H1864" s="28">
        <f t="shared" si="349"/>
        <v>1195.4000000000001</v>
      </c>
      <c r="I1864" s="27">
        <f>일위대가목록!H242</f>
        <v>756255</v>
      </c>
      <c r="J1864" s="28">
        <f>TRUNC(I1864*C1864,1)</f>
        <v>83944.3</v>
      </c>
      <c r="K1864" s="27">
        <f>일위대가목록!J242</f>
        <v>2647019</v>
      </c>
      <c r="L1864" s="28">
        <f>TRUNC(K1864*C1864,1)</f>
        <v>293819.09999999998</v>
      </c>
      <c r="M1864" s="86" t="s">
        <v>2856</v>
      </c>
      <c r="N1864" t="s">
        <v>2856</v>
      </c>
      <c r="P1864" t="s">
        <v>1677</v>
      </c>
      <c r="Q1864" t="s">
        <v>2856</v>
      </c>
      <c r="R1864" t="s">
        <v>1458</v>
      </c>
      <c r="T1864" t="s">
        <v>1778</v>
      </c>
    </row>
    <row r="1865" spans="1:30" ht="18" customHeight="1" x14ac:dyDescent="0.15">
      <c r="A1865" s="2" t="s">
        <v>2073</v>
      </c>
      <c r="B1865" s="87" t="s">
        <v>2856</v>
      </c>
      <c r="C1865" s="2">
        <v>0.64</v>
      </c>
      <c r="D1865" s="2" t="s">
        <v>2825</v>
      </c>
      <c r="E1865" s="27">
        <f t="shared" si="348"/>
        <v>208934</v>
      </c>
      <c r="F1865" s="28">
        <f t="shared" si="347"/>
        <v>133717.70000000001</v>
      </c>
      <c r="G1865" s="27">
        <f>일위대가목록!F237</f>
        <v>137090</v>
      </c>
      <c r="H1865" s="28">
        <f t="shared" si="349"/>
        <v>87737.600000000006</v>
      </c>
      <c r="I1865" s="27">
        <f>일위대가목록!H237</f>
        <v>71844</v>
      </c>
      <c r="J1865" s="28">
        <f>TRUNC(I1865*C1865,1)</f>
        <v>45980.1</v>
      </c>
      <c r="K1865" s="27">
        <f>일위대가목록!J237</f>
        <v>0</v>
      </c>
      <c r="L1865" s="28">
        <f>TRUNC(K1865*C1865,1)</f>
        <v>0</v>
      </c>
      <c r="M1865" s="86" t="s">
        <v>2856</v>
      </c>
      <c r="N1865" t="s">
        <v>2856</v>
      </c>
      <c r="P1865" t="s">
        <v>2389</v>
      </c>
      <c r="Q1865" t="s">
        <v>2856</v>
      </c>
      <c r="R1865" t="s">
        <v>918</v>
      </c>
      <c r="T1865" t="s">
        <v>1778</v>
      </c>
    </row>
    <row r="1866" spans="1:30" ht="18" customHeight="1" x14ac:dyDescent="0.15">
      <c r="A1866" s="79" t="s">
        <v>3055</v>
      </c>
      <c r="B1866" s="179" t="s">
        <v>3056</v>
      </c>
      <c r="C1866" s="79">
        <v>8.1</v>
      </c>
      <c r="D1866" s="2" t="s">
        <v>1202</v>
      </c>
      <c r="E1866" s="27">
        <f t="shared" si="348"/>
        <v>234500</v>
      </c>
      <c r="F1866" s="28">
        <f t="shared" si="347"/>
        <v>1899450</v>
      </c>
      <c r="G1866" s="27">
        <f>자재조서!E94</f>
        <v>234500</v>
      </c>
      <c r="H1866" s="28">
        <f t="shared" si="349"/>
        <v>1899450</v>
      </c>
      <c r="I1866" s="27">
        <v>0</v>
      </c>
      <c r="J1866" s="28"/>
      <c r="K1866" s="27">
        <v>0</v>
      </c>
      <c r="L1866" s="28"/>
      <c r="M1866" s="86" t="s">
        <v>2856</v>
      </c>
      <c r="N1866" t="s">
        <v>2856</v>
      </c>
      <c r="P1866" t="s">
        <v>189</v>
      </c>
      <c r="Q1866" t="s">
        <v>1839</v>
      </c>
      <c r="R1866" t="s">
        <v>3057</v>
      </c>
    </row>
    <row r="1867" spans="1:30" ht="18" customHeight="1" x14ac:dyDescent="0.15">
      <c r="A1867" s="79" t="s">
        <v>1200</v>
      </c>
      <c r="B1867" s="179" t="s">
        <v>2599</v>
      </c>
      <c r="C1867" s="79">
        <v>27</v>
      </c>
      <c r="D1867" s="2" t="s">
        <v>1670</v>
      </c>
      <c r="E1867" s="27">
        <f t="shared" si="348"/>
        <v>20715</v>
      </c>
      <c r="F1867" s="28">
        <f t="shared" si="347"/>
        <v>559305</v>
      </c>
      <c r="G1867" s="27">
        <f>일위대가목록!F263</f>
        <v>926</v>
      </c>
      <c r="H1867" s="28">
        <f t="shared" si="349"/>
        <v>25002</v>
      </c>
      <c r="I1867" s="27">
        <f>일위대가목록!H263</f>
        <v>8827</v>
      </c>
      <c r="J1867" s="28">
        <f>TRUNC(I1867*C1867,1)</f>
        <v>238329</v>
      </c>
      <c r="K1867" s="27">
        <f>일위대가목록!J263</f>
        <v>10962</v>
      </c>
      <c r="L1867" s="28">
        <f>TRUNC(K1867*C1867,1)</f>
        <v>295974</v>
      </c>
      <c r="M1867" s="86" t="s">
        <v>2856</v>
      </c>
      <c r="N1867" t="s">
        <v>2856</v>
      </c>
      <c r="P1867" t="s">
        <v>904</v>
      </c>
      <c r="Q1867" t="s">
        <v>2856</v>
      </c>
      <c r="R1867" t="s">
        <v>2847</v>
      </c>
      <c r="T1867" t="s">
        <v>1778</v>
      </c>
    </row>
    <row r="1868" spans="1:30" ht="18" customHeight="1" x14ac:dyDescent="0.15">
      <c r="A1868" s="79" t="s">
        <v>2162</v>
      </c>
      <c r="B1868" s="179" t="s">
        <v>2444</v>
      </c>
      <c r="C1868" s="79">
        <v>3.8</v>
      </c>
      <c r="D1868" s="2" t="s">
        <v>1202</v>
      </c>
      <c r="E1868" s="27">
        <f t="shared" si="348"/>
        <v>37000</v>
      </c>
      <c r="F1868" s="28">
        <f t="shared" si="347"/>
        <v>140600</v>
      </c>
      <c r="G1868" s="27">
        <f>자재조서!E95</f>
        <v>37000</v>
      </c>
      <c r="H1868" s="28">
        <f t="shared" si="349"/>
        <v>140600</v>
      </c>
      <c r="I1868" s="27">
        <v>0</v>
      </c>
      <c r="J1868" s="28"/>
      <c r="K1868" s="27">
        <v>0</v>
      </c>
      <c r="L1868" s="28"/>
      <c r="M1868" s="86" t="s">
        <v>2856</v>
      </c>
      <c r="N1868" t="s">
        <v>2856</v>
      </c>
      <c r="P1868" t="s">
        <v>1640</v>
      </c>
      <c r="Q1868" t="s">
        <v>2856</v>
      </c>
      <c r="R1868" t="s">
        <v>1728</v>
      </c>
    </row>
    <row r="1869" spans="1:30" ht="18" customHeight="1" x14ac:dyDescent="0.15">
      <c r="A1869" s="79" t="s">
        <v>721</v>
      </c>
      <c r="B1869" s="179" t="s">
        <v>971</v>
      </c>
      <c r="C1869" s="79">
        <v>3.6</v>
      </c>
      <c r="D1869" s="2" t="s">
        <v>1202</v>
      </c>
      <c r="E1869" s="27">
        <f t="shared" si="348"/>
        <v>98235</v>
      </c>
      <c r="F1869" s="28">
        <f t="shared" si="347"/>
        <v>353646</v>
      </c>
      <c r="G1869" s="27">
        <f>일위대가목록!F245</f>
        <v>0</v>
      </c>
      <c r="H1869" s="28">
        <f t="shared" si="349"/>
        <v>0</v>
      </c>
      <c r="I1869" s="27">
        <f>일위대가목록!H245</f>
        <v>97263</v>
      </c>
      <c r="J1869" s="28">
        <f>TRUNC(I1869*C1869,1)</f>
        <v>350146.8</v>
      </c>
      <c r="K1869" s="27">
        <f>일위대가목록!J245</f>
        <v>972</v>
      </c>
      <c r="L1869" s="28">
        <f>TRUNC(K1869*C1869,1)</f>
        <v>3499.2</v>
      </c>
      <c r="M1869" s="86" t="s">
        <v>2856</v>
      </c>
      <c r="N1869" t="s">
        <v>2856</v>
      </c>
      <c r="P1869" t="s">
        <v>2340</v>
      </c>
      <c r="Q1869" t="s">
        <v>2856</v>
      </c>
      <c r="R1869" t="s">
        <v>669</v>
      </c>
      <c r="T1869" t="s">
        <v>1778</v>
      </c>
    </row>
    <row r="1870" spans="1:30" ht="18" customHeight="1" x14ac:dyDescent="0.15">
      <c r="A1870" s="79" t="s">
        <v>1590</v>
      </c>
      <c r="B1870" s="179" t="s">
        <v>943</v>
      </c>
      <c r="C1870" s="81" t="s">
        <v>3115</v>
      </c>
      <c r="D1870" s="2" t="s">
        <v>1160</v>
      </c>
      <c r="E1870" s="27">
        <f t="shared" si="348"/>
        <v>0</v>
      </c>
      <c r="F1870" s="28">
        <f t="shared" si="347"/>
        <v>0</v>
      </c>
      <c r="G1870" s="27"/>
      <c r="H1870" s="28">
        <f t="shared" si="349"/>
        <v>0</v>
      </c>
      <c r="I1870" s="27">
        <v>0</v>
      </c>
      <c r="J1870" s="28"/>
      <c r="K1870" s="27">
        <v>0</v>
      </c>
      <c r="L1870" s="28"/>
      <c r="M1870" s="86" t="s">
        <v>1601</v>
      </c>
      <c r="N1870" t="s">
        <v>2856</v>
      </c>
      <c r="P1870" t="s">
        <v>317</v>
      </c>
      <c r="Q1870" t="s">
        <v>1839</v>
      </c>
      <c r="R1870" t="s">
        <v>3061</v>
      </c>
    </row>
    <row r="1871" spans="1:30" ht="18.399999999999999" customHeight="1" x14ac:dyDescent="0.15">
      <c r="A1871" s="66" t="s">
        <v>3046</v>
      </c>
      <c r="B1871" s="175" t="s">
        <v>3245</v>
      </c>
      <c r="C1871" s="80"/>
      <c r="D1871" s="63"/>
      <c r="E1871" s="64"/>
      <c r="F1871" s="65">
        <f t="shared" si="347"/>
        <v>3382505</v>
      </c>
      <c r="G1871" s="66"/>
      <c r="H1871" s="65">
        <f>TRUNC(H1852*$B$1871)</f>
        <v>1960439</v>
      </c>
      <c r="I1871" s="66"/>
      <c r="J1871" s="65">
        <f>TRUNC(J1852*$B$1871)</f>
        <v>820038</v>
      </c>
      <c r="K1871" s="66"/>
      <c r="L1871" s="65">
        <f>TRUNC(L1852*$B$1871)</f>
        <v>602028</v>
      </c>
      <c r="M1871" s="186"/>
      <c r="AA1871" s="42"/>
      <c r="AB1871" s="8"/>
      <c r="AC1871" s="42"/>
      <c r="AD1871" s="7"/>
    </row>
    <row r="1872" spans="1:30" ht="18" customHeight="1" x14ac:dyDescent="0.15">
      <c r="A1872" s="1"/>
      <c r="B1872" s="87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87"/>
    </row>
    <row r="1873" spans="1:23" ht="18" customHeight="1" x14ac:dyDescent="0.15">
      <c r="A1873" s="69" t="s">
        <v>3252</v>
      </c>
      <c r="B1873" s="174" t="s">
        <v>3050</v>
      </c>
      <c r="C1873" s="69">
        <v>1</v>
      </c>
      <c r="D1873" s="69" t="s">
        <v>1796</v>
      </c>
      <c r="E1873" s="185"/>
      <c r="F1873" s="70">
        <f t="shared" ref="F1873:F1890" si="350">H1873+J1873+L1873</f>
        <v>936505</v>
      </c>
      <c r="G1873" s="185"/>
      <c r="H1873" s="70">
        <f>TRUNC(H1874+H1875+H1876+H1877+H1878+H1879+H1881+H1883+H1885+H1886+H1888+H1887+H1889,0)</f>
        <v>610953</v>
      </c>
      <c r="I1873" s="185"/>
      <c r="J1873" s="70">
        <f>TRUNC(J1874+J1875+J1876+J1877+J1878+J1879+J1881+J1883+J1885+J1886+J1888+J1887+J1889,0)</f>
        <v>148132</v>
      </c>
      <c r="K1873" s="185"/>
      <c r="L1873" s="70">
        <f>TRUNC(L1874+L1875+L1876+L1877+L1878+L1879+L1881+L1883+L1885+L1886+L1888+L1887+L1889,0)</f>
        <v>177420</v>
      </c>
      <c r="M1873" s="181" t="s">
        <v>2856</v>
      </c>
      <c r="N1873" t="s">
        <v>2856</v>
      </c>
      <c r="O1873" t="s">
        <v>396</v>
      </c>
    </row>
    <row r="1874" spans="1:23" ht="18" customHeight="1" x14ac:dyDescent="0.15">
      <c r="A1874" s="2" t="s">
        <v>1163</v>
      </c>
      <c r="B1874" s="87" t="s">
        <v>576</v>
      </c>
      <c r="C1874" s="2">
        <v>1.7</v>
      </c>
      <c r="D1874" s="2" t="s">
        <v>2825</v>
      </c>
      <c r="E1874" s="27">
        <f t="shared" ref="E1874:E1889" si="351">G1874+I1874+K1874</f>
        <v>5009</v>
      </c>
      <c r="F1874" s="28">
        <f t="shared" si="350"/>
        <v>8515.3000000000011</v>
      </c>
      <c r="G1874" s="27">
        <f>일위대가목록!F4</f>
        <v>300</v>
      </c>
      <c r="H1874" s="28">
        <f t="shared" ref="H1874:H1889" si="352">TRUNC(G1874*C1874,1)</f>
        <v>510</v>
      </c>
      <c r="I1874" s="27">
        <f>일위대가목록!H4</f>
        <v>4328</v>
      </c>
      <c r="J1874" s="28">
        <f>TRUNC(I1874*C1874,1)</f>
        <v>7357.6</v>
      </c>
      <c r="K1874" s="27">
        <f>일위대가목록!J4</f>
        <v>381</v>
      </c>
      <c r="L1874" s="28">
        <f>TRUNC(K1874*C1874,1)</f>
        <v>647.70000000000005</v>
      </c>
      <c r="M1874" s="86" t="s">
        <v>2856</v>
      </c>
      <c r="N1874" t="s">
        <v>2856</v>
      </c>
      <c r="P1874" t="s">
        <v>334</v>
      </c>
      <c r="Q1874" t="s">
        <v>2856</v>
      </c>
      <c r="R1874" t="s">
        <v>69</v>
      </c>
      <c r="T1874" t="s">
        <v>2405</v>
      </c>
    </row>
    <row r="1875" spans="1:23" ht="18" customHeight="1" x14ac:dyDescent="0.15">
      <c r="A1875" s="2" t="s">
        <v>1112</v>
      </c>
      <c r="B1875" s="87" t="s">
        <v>2429</v>
      </c>
      <c r="C1875" s="2">
        <v>1.3</v>
      </c>
      <c r="D1875" s="2" t="s">
        <v>2825</v>
      </c>
      <c r="E1875" s="27">
        <f t="shared" si="351"/>
        <v>1588</v>
      </c>
      <c r="F1875" s="28">
        <f t="shared" si="350"/>
        <v>2064.4</v>
      </c>
      <c r="G1875" s="27">
        <f>일위대가목록!F5</f>
        <v>285</v>
      </c>
      <c r="H1875" s="28">
        <f t="shared" si="352"/>
        <v>370.5</v>
      </c>
      <c r="I1875" s="27">
        <f>일위대가목록!H5</f>
        <v>940</v>
      </c>
      <c r="J1875" s="28">
        <f>TRUNC(I1875*C1875,1)</f>
        <v>1222</v>
      </c>
      <c r="K1875" s="27">
        <f>일위대가목록!J5</f>
        <v>363</v>
      </c>
      <c r="L1875" s="28">
        <f>TRUNC(K1875*C1875,1)</f>
        <v>471.9</v>
      </c>
      <c r="M1875" s="86" t="s">
        <v>2856</v>
      </c>
      <c r="N1875" t="s">
        <v>2856</v>
      </c>
      <c r="P1875" t="s">
        <v>2471</v>
      </c>
      <c r="Q1875" t="s">
        <v>2856</v>
      </c>
      <c r="R1875" t="s">
        <v>1705</v>
      </c>
      <c r="T1875" t="s">
        <v>2405</v>
      </c>
    </row>
    <row r="1876" spans="1:23" ht="18" customHeight="1" x14ac:dyDescent="0.15">
      <c r="A1876" s="2" t="s">
        <v>2451</v>
      </c>
      <c r="B1876" s="87" t="s">
        <v>565</v>
      </c>
      <c r="C1876" s="2">
        <v>0.4</v>
      </c>
      <c r="D1876" s="2" t="s">
        <v>2825</v>
      </c>
      <c r="E1876" s="27">
        <f t="shared" si="351"/>
        <v>7144</v>
      </c>
      <c r="F1876" s="28">
        <f t="shared" si="350"/>
        <v>2857.6</v>
      </c>
      <c r="G1876" s="27">
        <f>일위대가목록!F6</f>
        <v>445</v>
      </c>
      <c r="H1876" s="28">
        <f t="shared" si="352"/>
        <v>178</v>
      </c>
      <c r="I1876" s="27">
        <f>일위대가목록!H6</f>
        <v>6329</v>
      </c>
      <c r="J1876" s="28">
        <f>TRUNC(I1876*C1876,1)</f>
        <v>2531.6</v>
      </c>
      <c r="K1876" s="27">
        <f>일위대가목록!J6</f>
        <v>370</v>
      </c>
      <c r="L1876" s="28">
        <f>TRUNC(K1876*C1876,1)</f>
        <v>148</v>
      </c>
      <c r="M1876" s="86" t="s">
        <v>2856</v>
      </c>
      <c r="N1876" t="s">
        <v>2856</v>
      </c>
      <c r="P1876" t="s">
        <v>1741</v>
      </c>
      <c r="Q1876" t="s">
        <v>2856</v>
      </c>
      <c r="R1876" t="s">
        <v>1429</v>
      </c>
      <c r="T1876" t="s">
        <v>2405</v>
      </c>
    </row>
    <row r="1877" spans="1:23" ht="18" customHeight="1" x14ac:dyDescent="0.15">
      <c r="A1877" s="2" t="s">
        <v>296</v>
      </c>
      <c r="B1877" s="87" t="s">
        <v>626</v>
      </c>
      <c r="C1877" s="2">
        <v>0.52</v>
      </c>
      <c r="D1877" s="2" t="s">
        <v>2825</v>
      </c>
      <c r="E1877" s="27">
        <f t="shared" si="351"/>
        <v>24000</v>
      </c>
      <c r="F1877" s="28">
        <f t="shared" si="350"/>
        <v>12480</v>
      </c>
      <c r="G1877" s="27">
        <f>자재조서!E85</f>
        <v>24000</v>
      </c>
      <c r="H1877" s="28">
        <f t="shared" si="352"/>
        <v>12480</v>
      </c>
      <c r="I1877" s="27">
        <v>0</v>
      </c>
      <c r="J1877" s="28"/>
      <c r="K1877" s="27">
        <v>0</v>
      </c>
      <c r="L1877" s="28"/>
      <c r="M1877" s="86" t="s">
        <v>2856</v>
      </c>
      <c r="N1877" t="s">
        <v>2856</v>
      </c>
      <c r="P1877" t="s">
        <v>1036</v>
      </c>
      <c r="Q1877" t="s">
        <v>2856</v>
      </c>
      <c r="R1877" t="s">
        <v>609</v>
      </c>
    </row>
    <row r="1878" spans="1:23" ht="18" customHeight="1" x14ac:dyDescent="0.15">
      <c r="A1878" s="2" t="s">
        <v>467</v>
      </c>
      <c r="B1878" s="87" t="s">
        <v>2010</v>
      </c>
      <c r="C1878" s="2">
        <v>0.52</v>
      </c>
      <c r="D1878" s="2" t="s">
        <v>2825</v>
      </c>
      <c r="E1878" s="27">
        <f t="shared" si="351"/>
        <v>14311</v>
      </c>
      <c r="F1878" s="28">
        <f t="shared" si="350"/>
        <v>7441.5999999999995</v>
      </c>
      <c r="G1878" s="27">
        <f>일위대가목록!F239</f>
        <v>1554</v>
      </c>
      <c r="H1878" s="28">
        <f t="shared" si="352"/>
        <v>808</v>
      </c>
      <c r="I1878" s="27">
        <f>일위대가목록!H239</f>
        <v>11235</v>
      </c>
      <c r="J1878" s="28">
        <f>TRUNC(I1878*C1878,1)</f>
        <v>5842.2</v>
      </c>
      <c r="K1878" s="27">
        <f>일위대가목록!J239</f>
        <v>1522</v>
      </c>
      <c r="L1878" s="28">
        <f>TRUNC(K1878*C1878,1)</f>
        <v>791.4</v>
      </c>
      <c r="M1878" s="86" t="s">
        <v>2856</v>
      </c>
      <c r="N1878" t="s">
        <v>2856</v>
      </c>
      <c r="P1878" t="s">
        <v>286</v>
      </c>
      <c r="Q1878" t="s">
        <v>2856</v>
      </c>
      <c r="R1878" t="s">
        <v>782</v>
      </c>
      <c r="T1878" t="s">
        <v>1778</v>
      </c>
    </row>
    <row r="1879" spans="1:23" ht="18" customHeight="1" x14ac:dyDescent="0.15">
      <c r="A1879" s="2" t="s">
        <v>832</v>
      </c>
      <c r="B1879" s="87" t="s">
        <v>610</v>
      </c>
      <c r="C1879" s="2">
        <v>0.46</v>
      </c>
      <c r="D1879" s="2" t="s">
        <v>1202</v>
      </c>
      <c r="E1879" s="27">
        <f t="shared" si="351"/>
        <v>45715</v>
      </c>
      <c r="F1879" s="28">
        <f t="shared" si="350"/>
        <v>21028.799999999999</v>
      </c>
      <c r="G1879" s="27">
        <f>일위대가목록!F236</f>
        <v>11180</v>
      </c>
      <c r="H1879" s="28">
        <f t="shared" si="352"/>
        <v>5142.8</v>
      </c>
      <c r="I1879" s="27">
        <f>일위대가목록!H236</f>
        <v>34194</v>
      </c>
      <c r="J1879" s="28">
        <f>TRUNC(I1879*C1879,1)</f>
        <v>15729.2</v>
      </c>
      <c r="K1879" s="27">
        <f>일위대가목록!J236</f>
        <v>341</v>
      </c>
      <c r="L1879" s="28">
        <f>TRUNC(K1879*C1879,1)</f>
        <v>156.80000000000001</v>
      </c>
      <c r="M1879" s="86" t="s">
        <v>2856</v>
      </c>
      <c r="N1879" t="s">
        <v>2856</v>
      </c>
      <c r="P1879" t="s">
        <v>2428</v>
      </c>
      <c r="Q1879" t="s">
        <v>2856</v>
      </c>
      <c r="R1879" t="s">
        <v>1998</v>
      </c>
      <c r="T1879" t="s">
        <v>1778</v>
      </c>
    </row>
    <row r="1880" spans="1:23" ht="18" customHeight="1" x14ac:dyDescent="0.15">
      <c r="A1880" s="2" t="s">
        <v>1632</v>
      </c>
      <c r="B1880" s="87" t="s">
        <v>2279</v>
      </c>
      <c r="C1880" s="2">
        <v>0.18</v>
      </c>
      <c r="D1880" s="2" t="s">
        <v>2825</v>
      </c>
      <c r="E1880" s="27">
        <f t="shared" si="351"/>
        <v>0</v>
      </c>
      <c r="F1880" s="28">
        <f t="shared" si="350"/>
        <v>0</v>
      </c>
      <c r="G1880" s="27">
        <f>TRUNC([320]자재조서!E881*0,2)</f>
        <v>0</v>
      </c>
      <c r="H1880" s="28">
        <f t="shared" si="352"/>
        <v>0</v>
      </c>
      <c r="I1880" s="27">
        <v>0</v>
      </c>
      <c r="J1880" s="28"/>
      <c r="K1880" s="27">
        <v>0</v>
      </c>
      <c r="L1880" s="28"/>
      <c r="M1880" s="86" t="s">
        <v>1601</v>
      </c>
      <c r="N1880" t="s">
        <v>2856</v>
      </c>
      <c r="P1880" t="s">
        <v>1686</v>
      </c>
      <c r="Q1880" t="s">
        <v>1839</v>
      </c>
      <c r="R1880" t="s">
        <v>2547</v>
      </c>
      <c r="W1880" t="s">
        <v>1601</v>
      </c>
    </row>
    <row r="1881" spans="1:23" ht="18" customHeight="1" x14ac:dyDescent="0.15">
      <c r="A1881" s="2" t="s">
        <v>54</v>
      </c>
      <c r="B1881" s="87" t="s">
        <v>1255</v>
      </c>
      <c r="C1881" s="2">
        <v>0.18</v>
      </c>
      <c r="D1881" s="2" t="s">
        <v>2825</v>
      </c>
      <c r="E1881" s="27">
        <f t="shared" si="351"/>
        <v>55166</v>
      </c>
      <c r="F1881" s="28">
        <f t="shared" si="350"/>
        <v>9929.7999999999993</v>
      </c>
      <c r="G1881" s="27">
        <f>일위대가목록!F235</f>
        <v>2538</v>
      </c>
      <c r="H1881" s="28">
        <f t="shared" si="352"/>
        <v>456.8</v>
      </c>
      <c r="I1881" s="27">
        <f>일위대가목록!H235</f>
        <v>22449</v>
      </c>
      <c r="J1881" s="28">
        <f>TRUNC(I1881*C1881,1)</f>
        <v>4040.8</v>
      </c>
      <c r="K1881" s="27">
        <f>일위대가목록!J235</f>
        <v>30179</v>
      </c>
      <c r="L1881" s="28">
        <f>TRUNC(K1881*C1881,1)</f>
        <v>5432.2</v>
      </c>
      <c r="M1881" s="86" t="s">
        <v>2856</v>
      </c>
      <c r="N1881" t="s">
        <v>2856</v>
      </c>
      <c r="P1881" t="s">
        <v>983</v>
      </c>
      <c r="Q1881" t="s">
        <v>2856</v>
      </c>
      <c r="R1881" t="s">
        <v>668</v>
      </c>
      <c r="T1881" t="s">
        <v>1778</v>
      </c>
    </row>
    <row r="1882" spans="1:23" ht="18" customHeight="1" x14ac:dyDescent="0.15">
      <c r="A1882" s="2" t="s">
        <v>1632</v>
      </c>
      <c r="B1882" s="87" t="s">
        <v>2279</v>
      </c>
      <c r="C1882" s="2">
        <v>0.46</v>
      </c>
      <c r="D1882" s="2" t="s">
        <v>2825</v>
      </c>
      <c r="E1882" s="27">
        <f t="shared" si="351"/>
        <v>0</v>
      </c>
      <c r="F1882" s="28">
        <f t="shared" si="350"/>
        <v>0</v>
      </c>
      <c r="G1882" s="27">
        <f>TRUNC([320]자재조서!E881*0,2)</f>
        <v>0</v>
      </c>
      <c r="H1882" s="28">
        <f t="shared" si="352"/>
        <v>0</v>
      </c>
      <c r="I1882" s="27">
        <v>0</v>
      </c>
      <c r="J1882" s="28"/>
      <c r="K1882" s="27">
        <v>0</v>
      </c>
      <c r="L1882" s="28"/>
      <c r="M1882" s="86" t="s">
        <v>1601</v>
      </c>
      <c r="N1882" t="s">
        <v>2856</v>
      </c>
      <c r="P1882" t="s">
        <v>248</v>
      </c>
      <c r="Q1882" t="s">
        <v>1839</v>
      </c>
      <c r="R1882" t="s">
        <v>2547</v>
      </c>
      <c r="W1882" t="s">
        <v>1601</v>
      </c>
    </row>
    <row r="1883" spans="1:23" ht="18" customHeight="1" x14ac:dyDescent="0.15">
      <c r="A1883" s="2" t="s">
        <v>54</v>
      </c>
      <c r="B1883" s="87" t="s">
        <v>1057</v>
      </c>
      <c r="C1883" s="2">
        <v>0.46</v>
      </c>
      <c r="D1883" s="2" t="s">
        <v>2825</v>
      </c>
      <c r="E1883" s="27">
        <f t="shared" si="351"/>
        <v>63190</v>
      </c>
      <c r="F1883" s="28">
        <f t="shared" si="350"/>
        <v>29067.200000000001</v>
      </c>
      <c r="G1883" s="27">
        <f>일위대가목록!F240</f>
        <v>2908</v>
      </c>
      <c r="H1883" s="28">
        <f t="shared" si="352"/>
        <v>1337.6</v>
      </c>
      <c r="I1883" s="27">
        <f>일위대가목록!H240</f>
        <v>25714</v>
      </c>
      <c r="J1883" s="28">
        <f>TRUNC(I1883*C1883,1)</f>
        <v>11828.4</v>
      </c>
      <c r="K1883" s="27">
        <f>일위대가목록!J240</f>
        <v>34568</v>
      </c>
      <c r="L1883" s="28">
        <f>TRUNC(K1883*C1883,1)</f>
        <v>15901.2</v>
      </c>
      <c r="M1883" s="86" t="s">
        <v>2856</v>
      </c>
      <c r="N1883" t="s">
        <v>2856</v>
      </c>
      <c r="P1883" t="s">
        <v>241</v>
      </c>
      <c r="Q1883" t="s">
        <v>2856</v>
      </c>
      <c r="R1883" t="s">
        <v>170</v>
      </c>
      <c r="T1883" t="s">
        <v>1778</v>
      </c>
    </row>
    <row r="1884" spans="1:23" ht="18" customHeight="1" x14ac:dyDescent="0.15">
      <c r="A1884" s="2" t="s">
        <v>1996</v>
      </c>
      <c r="B1884" s="87" t="s">
        <v>1225</v>
      </c>
      <c r="C1884" s="2">
        <v>2.5999999999999999E-2</v>
      </c>
      <c r="D1884" s="2" t="s">
        <v>978</v>
      </c>
      <c r="E1884" s="27">
        <f t="shared" si="351"/>
        <v>0</v>
      </c>
      <c r="F1884" s="28">
        <f t="shared" si="350"/>
        <v>0</v>
      </c>
      <c r="G1884" s="27">
        <f>TRUNC([320]자재조서!E897*0,2)</f>
        <v>0</v>
      </c>
      <c r="H1884" s="28">
        <f t="shared" si="352"/>
        <v>0</v>
      </c>
      <c r="I1884" s="27">
        <v>0</v>
      </c>
      <c r="J1884" s="28"/>
      <c r="K1884" s="27">
        <v>0</v>
      </c>
      <c r="L1884" s="28"/>
      <c r="M1884" s="86" t="s">
        <v>1601</v>
      </c>
      <c r="N1884" t="s">
        <v>2004</v>
      </c>
      <c r="P1884" t="s">
        <v>954</v>
      </c>
      <c r="Q1884" t="s">
        <v>1839</v>
      </c>
      <c r="R1884" t="s">
        <v>2422</v>
      </c>
      <c r="W1884" t="s">
        <v>1601</v>
      </c>
    </row>
    <row r="1885" spans="1:23" ht="18" customHeight="1" x14ac:dyDescent="0.15">
      <c r="A1885" s="2" t="s">
        <v>2085</v>
      </c>
      <c r="B1885" s="87" t="s">
        <v>2731</v>
      </c>
      <c r="C1885" s="2">
        <v>2.5000000000000001E-2</v>
      </c>
      <c r="D1885" s="2" t="s">
        <v>978</v>
      </c>
      <c r="E1885" s="27">
        <f t="shared" si="351"/>
        <v>3414044</v>
      </c>
      <c r="F1885" s="28">
        <f t="shared" si="350"/>
        <v>85350.9</v>
      </c>
      <c r="G1885" s="27">
        <f>일위대가목록!F242</f>
        <v>10770</v>
      </c>
      <c r="H1885" s="28">
        <f t="shared" si="352"/>
        <v>269.2</v>
      </c>
      <c r="I1885" s="27">
        <f>일위대가목록!H242</f>
        <v>756255</v>
      </c>
      <c r="J1885" s="28">
        <f>TRUNC(I1885*C1885,1)</f>
        <v>18906.3</v>
      </c>
      <c r="K1885" s="27">
        <f>일위대가목록!J242</f>
        <v>2647019</v>
      </c>
      <c r="L1885" s="28">
        <f>TRUNC(K1885*C1885,1)</f>
        <v>66175.399999999994</v>
      </c>
      <c r="M1885" s="86" t="s">
        <v>2856</v>
      </c>
      <c r="N1885" t="s">
        <v>2856</v>
      </c>
      <c r="P1885" t="s">
        <v>1677</v>
      </c>
      <c r="Q1885" t="s">
        <v>2856</v>
      </c>
      <c r="R1885" t="s">
        <v>1458</v>
      </c>
      <c r="T1885" t="s">
        <v>1778</v>
      </c>
    </row>
    <row r="1886" spans="1:23" ht="18" customHeight="1" x14ac:dyDescent="0.15">
      <c r="A1886" s="2" t="s">
        <v>2073</v>
      </c>
      <c r="B1886" s="87" t="s">
        <v>2856</v>
      </c>
      <c r="C1886" s="2">
        <v>0.14000000000000001</v>
      </c>
      <c r="D1886" s="2" t="s">
        <v>2825</v>
      </c>
      <c r="E1886" s="27">
        <f t="shared" si="351"/>
        <v>208934</v>
      </c>
      <c r="F1886" s="28">
        <f t="shared" si="350"/>
        <v>29250.699999999997</v>
      </c>
      <c r="G1886" s="27">
        <f>일위대가목록!F237</f>
        <v>137090</v>
      </c>
      <c r="H1886" s="28">
        <f t="shared" si="352"/>
        <v>19192.599999999999</v>
      </c>
      <c r="I1886" s="27">
        <f>일위대가목록!H237</f>
        <v>71844</v>
      </c>
      <c r="J1886" s="28">
        <f>TRUNC(I1886*C1886,1)</f>
        <v>10058.1</v>
      </c>
      <c r="K1886" s="27">
        <f>일위대가목록!J237</f>
        <v>0</v>
      </c>
      <c r="L1886" s="28">
        <f>TRUNC(K1886*C1886,1)</f>
        <v>0</v>
      </c>
      <c r="M1886" s="86" t="s">
        <v>2856</v>
      </c>
      <c r="N1886" t="s">
        <v>2856</v>
      </c>
      <c r="P1886" t="s">
        <v>2389</v>
      </c>
      <c r="Q1886" t="s">
        <v>2856</v>
      </c>
      <c r="R1886" t="s">
        <v>918</v>
      </c>
      <c r="T1886" t="s">
        <v>1778</v>
      </c>
    </row>
    <row r="1887" spans="1:23" ht="18" customHeight="1" x14ac:dyDescent="0.15">
      <c r="A1887" s="79" t="s">
        <v>3055</v>
      </c>
      <c r="B1887" s="179" t="s">
        <v>3056</v>
      </c>
      <c r="C1887" s="79">
        <v>2.4</v>
      </c>
      <c r="D1887" s="2" t="s">
        <v>1202</v>
      </c>
      <c r="E1887" s="27">
        <f t="shared" si="351"/>
        <v>234500</v>
      </c>
      <c r="F1887" s="28">
        <f t="shared" si="350"/>
        <v>562800</v>
      </c>
      <c r="G1887" s="27">
        <f>자재조서!E94</f>
        <v>234500</v>
      </c>
      <c r="H1887" s="28">
        <f t="shared" si="352"/>
        <v>562800</v>
      </c>
      <c r="I1887" s="27">
        <v>0</v>
      </c>
      <c r="J1887" s="28"/>
      <c r="K1887" s="27">
        <v>0</v>
      </c>
      <c r="L1887" s="28"/>
      <c r="M1887" s="86" t="s">
        <v>2856</v>
      </c>
      <c r="N1887" t="s">
        <v>2856</v>
      </c>
      <c r="P1887" t="s">
        <v>189</v>
      </c>
      <c r="Q1887" t="s">
        <v>1839</v>
      </c>
      <c r="R1887" t="s">
        <v>3057</v>
      </c>
    </row>
    <row r="1888" spans="1:23" ht="18" customHeight="1" x14ac:dyDescent="0.15">
      <c r="A1888" s="79" t="s">
        <v>1200</v>
      </c>
      <c r="B1888" s="179" t="s">
        <v>2599</v>
      </c>
      <c r="C1888" s="79">
        <v>8</v>
      </c>
      <c r="D1888" s="2" t="s">
        <v>1670</v>
      </c>
      <c r="E1888" s="27">
        <f t="shared" si="351"/>
        <v>20715</v>
      </c>
      <c r="F1888" s="28">
        <f t="shared" si="350"/>
        <v>165720</v>
      </c>
      <c r="G1888" s="27">
        <f>일위대가목록!F263</f>
        <v>926</v>
      </c>
      <c r="H1888" s="28">
        <f t="shared" si="352"/>
        <v>7408</v>
      </c>
      <c r="I1888" s="27">
        <f>일위대가목록!H263</f>
        <v>8827</v>
      </c>
      <c r="J1888" s="28">
        <f>TRUNC(I1888*C1888,1)</f>
        <v>70616</v>
      </c>
      <c r="K1888" s="27">
        <f>일위대가목록!J263</f>
        <v>10962</v>
      </c>
      <c r="L1888" s="28">
        <f>TRUNC(K1888*C1888,1)</f>
        <v>87696</v>
      </c>
      <c r="M1888" s="86" t="s">
        <v>2856</v>
      </c>
      <c r="N1888" t="s">
        <v>2856</v>
      </c>
      <c r="P1888" t="s">
        <v>904</v>
      </c>
      <c r="Q1888" t="s">
        <v>2856</v>
      </c>
      <c r="R1888" t="s">
        <v>2847</v>
      </c>
      <c r="T1888" t="s">
        <v>1778</v>
      </c>
    </row>
    <row r="1889" spans="1:30" ht="18" customHeight="1" x14ac:dyDescent="0.15">
      <c r="A1889" s="79" t="s">
        <v>1590</v>
      </c>
      <c r="B1889" s="179" t="s">
        <v>943</v>
      </c>
      <c r="C1889" s="81" t="s">
        <v>3116</v>
      </c>
      <c r="D1889" s="2" t="s">
        <v>1160</v>
      </c>
      <c r="E1889" s="27">
        <f t="shared" si="351"/>
        <v>0</v>
      </c>
      <c r="F1889" s="28">
        <f t="shared" si="350"/>
        <v>0</v>
      </c>
      <c r="G1889" s="27"/>
      <c r="H1889" s="28">
        <f t="shared" si="352"/>
        <v>0</v>
      </c>
      <c r="I1889" s="27">
        <v>0</v>
      </c>
      <c r="J1889" s="28"/>
      <c r="K1889" s="27">
        <v>0</v>
      </c>
      <c r="L1889" s="28"/>
      <c r="M1889" s="86" t="s">
        <v>1601</v>
      </c>
      <c r="N1889" t="s">
        <v>2856</v>
      </c>
      <c r="P1889" t="s">
        <v>317</v>
      </c>
      <c r="Q1889" t="s">
        <v>1839</v>
      </c>
      <c r="R1889" t="s">
        <v>3061</v>
      </c>
    </row>
    <row r="1890" spans="1:30" ht="18.399999999999999" customHeight="1" x14ac:dyDescent="0.15">
      <c r="A1890" s="66" t="s">
        <v>3046</v>
      </c>
      <c r="B1890" s="175" t="s">
        <v>3245</v>
      </c>
      <c r="C1890" s="63"/>
      <c r="D1890" s="63"/>
      <c r="E1890" s="64"/>
      <c r="F1890" s="65">
        <f t="shared" si="350"/>
        <v>817520</v>
      </c>
      <c r="G1890" s="66"/>
      <c r="H1890" s="65">
        <f>TRUNC(H1873*$B$1890)</f>
        <v>533331</v>
      </c>
      <c r="I1890" s="66"/>
      <c r="J1890" s="65">
        <f>TRUNC(J1873*$B$1890)</f>
        <v>129311</v>
      </c>
      <c r="K1890" s="66"/>
      <c r="L1890" s="65">
        <f>TRUNC(L1873*$B$1890)</f>
        <v>154878</v>
      </c>
      <c r="M1890" s="186"/>
      <c r="AA1890" s="42"/>
      <c r="AB1890" s="8"/>
      <c r="AC1890" s="42"/>
      <c r="AD1890" s="7"/>
    </row>
    <row r="1891" spans="1:30" ht="18" customHeight="1" x14ac:dyDescent="0.15">
      <c r="A1891" s="1"/>
      <c r="B1891" s="87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87"/>
    </row>
    <row r="1892" spans="1:30" ht="18" customHeight="1" x14ac:dyDescent="0.15">
      <c r="A1892" s="69" t="s">
        <v>3253</v>
      </c>
      <c r="B1892" s="174" t="s">
        <v>3051</v>
      </c>
      <c r="C1892" s="69">
        <v>1</v>
      </c>
      <c r="D1892" s="69" t="s">
        <v>1796</v>
      </c>
      <c r="E1892" s="185"/>
      <c r="F1892" s="70">
        <f t="shared" ref="F1892:F1911" si="353">H1892+J1892+L1892</f>
        <v>3030063</v>
      </c>
      <c r="G1892" s="185"/>
      <c r="H1892" s="70">
        <f>TRUNC(H1893+H1894+H1895+H1896+H1897+H1898+H1900+H1902+H1904+H1905+H1907+H1908+H1909+H1906+H1910,0)</f>
        <v>1796641</v>
      </c>
      <c r="I1892" s="185"/>
      <c r="J1892" s="70">
        <f>TRUNC(J1893+J1894+J1895+J1896+J1897+J1898+J1900+J1902+J1904+J1905+J1907+J1908+J1909+J1906+J1910,0)</f>
        <v>683916</v>
      </c>
      <c r="K1892" s="185"/>
      <c r="L1892" s="70">
        <f>TRUNC(L1893+L1894+L1895+L1896+L1897+L1898+L1900+L1902+L1904+L1905+L1907+L1908+L1909+L1906+L1910,0)</f>
        <v>549506</v>
      </c>
      <c r="M1892" s="181" t="s">
        <v>2856</v>
      </c>
      <c r="N1892" t="s">
        <v>2856</v>
      </c>
      <c r="O1892" t="s">
        <v>1504</v>
      </c>
    </row>
    <row r="1893" spans="1:30" ht="18" customHeight="1" x14ac:dyDescent="0.15">
      <c r="A1893" s="2" t="s">
        <v>1163</v>
      </c>
      <c r="B1893" s="87" t="s">
        <v>576</v>
      </c>
      <c r="C1893" s="2">
        <v>5.18</v>
      </c>
      <c r="D1893" s="2" t="s">
        <v>2825</v>
      </c>
      <c r="E1893" s="27">
        <f t="shared" ref="E1893:E1910" si="354">G1893+I1893+K1893</f>
        <v>5009</v>
      </c>
      <c r="F1893" s="28">
        <f t="shared" si="353"/>
        <v>25946.5</v>
      </c>
      <c r="G1893" s="27">
        <f>일위대가목록!F4</f>
        <v>300</v>
      </c>
      <c r="H1893" s="28">
        <f t="shared" ref="H1893:H1910" si="355">TRUNC(G1893*C1893,1)</f>
        <v>1554</v>
      </c>
      <c r="I1893" s="27">
        <f>일위대가목록!H4</f>
        <v>4328</v>
      </c>
      <c r="J1893" s="28">
        <f>TRUNC(I1893*C1893,1)</f>
        <v>22419</v>
      </c>
      <c r="K1893" s="27">
        <f>일위대가목록!J4</f>
        <v>381</v>
      </c>
      <c r="L1893" s="28">
        <f>TRUNC(K1893*C1893,1)</f>
        <v>1973.5</v>
      </c>
      <c r="M1893" s="86" t="s">
        <v>2856</v>
      </c>
      <c r="N1893" t="s">
        <v>2856</v>
      </c>
      <c r="P1893" t="s">
        <v>334</v>
      </c>
      <c r="Q1893" t="s">
        <v>2856</v>
      </c>
      <c r="R1893" t="s">
        <v>69</v>
      </c>
      <c r="T1893" t="s">
        <v>2405</v>
      </c>
    </row>
    <row r="1894" spans="1:30" ht="18" customHeight="1" x14ac:dyDescent="0.15">
      <c r="A1894" s="2" t="s">
        <v>1112</v>
      </c>
      <c r="B1894" s="87" t="s">
        <v>2429</v>
      </c>
      <c r="C1894" s="2">
        <v>4.1399999999999997</v>
      </c>
      <c r="D1894" s="2" t="s">
        <v>2825</v>
      </c>
      <c r="E1894" s="27">
        <f t="shared" si="354"/>
        <v>1588</v>
      </c>
      <c r="F1894" s="28">
        <f t="shared" si="353"/>
        <v>6574.3</v>
      </c>
      <c r="G1894" s="27">
        <f>일위대가목록!F5</f>
        <v>285</v>
      </c>
      <c r="H1894" s="28">
        <f t="shared" si="355"/>
        <v>1179.9000000000001</v>
      </c>
      <c r="I1894" s="27">
        <f>일위대가목록!H5</f>
        <v>940</v>
      </c>
      <c r="J1894" s="28">
        <f>TRUNC(I1894*C1894,1)</f>
        <v>3891.6</v>
      </c>
      <c r="K1894" s="27">
        <f>일위대가목록!J5</f>
        <v>363</v>
      </c>
      <c r="L1894" s="28">
        <f>TRUNC(K1894*C1894,1)</f>
        <v>1502.8</v>
      </c>
      <c r="M1894" s="86" t="s">
        <v>2856</v>
      </c>
      <c r="N1894" t="s">
        <v>2856</v>
      </c>
      <c r="P1894" t="s">
        <v>2471</v>
      </c>
      <c r="Q1894" t="s">
        <v>2856</v>
      </c>
      <c r="R1894" t="s">
        <v>1705</v>
      </c>
      <c r="T1894" t="s">
        <v>2405</v>
      </c>
    </row>
    <row r="1895" spans="1:30" ht="18" customHeight="1" x14ac:dyDescent="0.15">
      <c r="A1895" s="2" t="s">
        <v>2451</v>
      </c>
      <c r="B1895" s="87" t="s">
        <v>565</v>
      </c>
      <c r="C1895" s="2">
        <v>1.04</v>
      </c>
      <c r="D1895" s="2" t="s">
        <v>2825</v>
      </c>
      <c r="E1895" s="27">
        <f t="shared" si="354"/>
        <v>7144</v>
      </c>
      <c r="F1895" s="28">
        <f t="shared" si="353"/>
        <v>7429.7000000000007</v>
      </c>
      <c r="G1895" s="27">
        <f>일위대가목록!F6</f>
        <v>445</v>
      </c>
      <c r="H1895" s="28">
        <f t="shared" si="355"/>
        <v>462.8</v>
      </c>
      <c r="I1895" s="27">
        <f>일위대가목록!H6</f>
        <v>6329</v>
      </c>
      <c r="J1895" s="28">
        <f>TRUNC(I1895*C1895,1)</f>
        <v>6582.1</v>
      </c>
      <c r="K1895" s="27">
        <f>일위대가목록!J6</f>
        <v>370</v>
      </c>
      <c r="L1895" s="28">
        <f>TRUNC(K1895*C1895,1)</f>
        <v>384.8</v>
      </c>
      <c r="M1895" s="86" t="s">
        <v>2856</v>
      </c>
      <c r="N1895" t="s">
        <v>2856</v>
      </c>
      <c r="P1895" t="s">
        <v>1741</v>
      </c>
      <c r="Q1895" t="s">
        <v>2856</v>
      </c>
      <c r="R1895" t="s">
        <v>1429</v>
      </c>
      <c r="T1895" t="s">
        <v>2405</v>
      </c>
    </row>
    <row r="1896" spans="1:30" ht="18" customHeight="1" x14ac:dyDescent="0.15">
      <c r="A1896" s="2" t="s">
        <v>296</v>
      </c>
      <c r="B1896" s="87" t="s">
        <v>626</v>
      </c>
      <c r="C1896" s="2">
        <v>1.58</v>
      </c>
      <c r="D1896" s="2" t="s">
        <v>2825</v>
      </c>
      <c r="E1896" s="27">
        <f t="shared" si="354"/>
        <v>24000</v>
      </c>
      <c r="F1896" s="28">
        <f t="shared" si="353"/>
        <v>37920</v>
      </c>
      <c r="G1896" s="27">
        <f>자재조서!E85</f>
        <v>24000</v>
      </c>
      <c r="H1896" s="28">
        <f t="shared" si="355"/>
        <v>37920</v>
      </c>
      <c r="I1896" s="27">
        <v>0</v>
      </c>
      <c r="J1896" s="28"/>
      <c r="K1896" s="27">
        <v>0</v>
      </c>
      <c r="L1896" s="28"/>
      <c r="M1896" s="86" t="s">
        <v>2856</v>
      </c>
      <c r="N1896" t="s">
        <v>2856</v>
      </c>
      <c r="P1896" t="s">
        <v>1036</v>
      </c>
      <c r="Q1896" t="s">
        <v>2856</v>
      </c>
      <c r="R1896" t="s">
        <v>609</v>
      </c>
    </row>
    <row r="1897" spans="1:30" ht="18" customHeight="1" x14ac:dyDescent="0.15">
      <c r="A1897" s="2" t="s">
        <v>467</v>
      </c>
      <c r="B1897" s="87" t="s">
        <v>2010</v>
      </c>
      <c r="C1897" s="2">
        <v>1.58</v>
      </c>
      <c r="D1897" s="2" t="s">
        <v>2825</v>
      </c>
      <c r="E1897" s="27">
        <f t="shared" si="354"/>
        <v>14311</v>
      </c>
      <c r="F1897" s="28">
        <f t="shared" si="353"/>
        <v>22611.3</v>
      </c>
      <c r="G1897" s="27">
        <f>일위대가목록!F239</f>
        <v>1554</v>
      </c>
      <c r="H1897" s="28">
        <f t="shared" si="355"/>
        <v>2455.3000000000002</v>
      </c>
      <c r="I1897" s="27">
        <f>일위대가목록!H239</f>
        <v>11235</v>
      </c>
      <c r="J1897" s="28">
        <f>TRUNC(I1897*C1897,1)</f>
        <v>17751.3</v>
      </c>
      <c r="K1897" s="27">
        <f>일위대가목록!J239</f>
        <v>1522</v>
      </c>
      <c r="L1897" s="28">
        <f>TRUNC(K1897*C1897,1)</f>
        <v>2404.6999999999998</v>
      </c>
      <c r="M1897" s="86" t="s">
        <v>2856</v>
      </c>
      <c r="N1897" t="s">
        <v>2856</v>
      </c>
      <c r="P1897" t="s">
        <v>286</v>
      </c>
      <c r="Q1897" t="s">
        <v>2856</v>
      </c>
      <c r="R1897" t="s">
        <v>782</v>
      </c>
      <c r="T1897" t="s">
        <v>1778</v>
      </c>
    </row>
    <row r="1898" spans="1:30" ht="18" customHeight="1" x14ac:dyDescent="0.15">
      <c r="A1898" s="2" t="s">
        <v>832</v>
      </c>
      <c r="B1898" s="87" t="s">
        <v>610</v>
      </c>
      <c r="C1898" s="2">
        <v>1.54</v>
      </c>
      <c r="D1898" s="2" t="s">
        <v>1202</v>
      </c>
      <c r="E1898" s="27">
        <f t="shared" si="354"/>
        <v>45715</v>
      </c>
      <c r="F1898" s="28">
        <f t="shared" si="353"/>
        <v>70401</v>
      </c>
      <c r="G1898" s="27">
        <f>일위대가목록!F236</f>
        <v>11180</v>
      </c>
      <c r="H1898" s="28">
        <f t="shared" si="355"/>
        <v>17217.2</v>
      </c>
      <c r="I1898" s="27">
        <f>일위대가목록!H236</f>
        <v>34194</v>
      </c>
      <c r="J1898" s="28">
        <f>TRUNC(I1898*C1898,1)</f>
        <v>52658.7</v>
      </c>
      <c r="K1898" s="27">
        <f>일위대가목록!J236</f>
        <v>341</v>
      </c>
      <c r="L1898" s="28">
        <f>TRUNC(K1898*C1898,1)</f>
        <v>525.1</v>
      </c>
      <c r="M1898" s="86" t="s">
        <v>2856</v>
      </c>
      <c r="N1898" t="s">
        <v>2856</v>
      </c>
      <c r="P1898" t="s">
        <v>2428</v>
      </c>
      <c r="Q1898" t="s">
        <v>2856</v>
      </c>
      <c r="R1898" t="s">
        <v>1998</v>
      </c>
      <c r="T1898" t="s">
        <v>1778</v>
      </c>
    </row>
    <row r="1899" spans="1:30" ht="18" customHeight="1" x14ac:dyDescent="0.15">
      <c r="A1899" s="2" t="s">
        <v>1632</v>
      </c>
      <c r="B1899" s="87" t="s">
        <v>2279</v>
      </c>
      <c r="C1899" s="2">
        <v>0.53</v>
      </c>
      <c r="D1899" s="2" t="s">
        <v>2825</v>
      </c>
      <c r="E1899" s="27">
        <f t="shared" si="354"/>
        <v>0</v>
      </c>
      <c r="F1899" s="28">
        <f t="shared" si="353"/>
        <v>0</v>
      </c>
      <c r="G1899" s="27"/>
      <c r="H1899" s="28">
        <f t="shared" si="355"/>
        <v>0</v>
      </c>
      <c r="I1899" s="27">
        <v>0</v>
      </c>
      <c r="J1899" s="28"/>
      <c r="K1899" s="27">
        <v>0</v>
      </c>
      <c r="L1899" s="28"/>
      <c r="M1899" s="86" t="s">
        <v>1601</v>
      </c>
      <c r="N1899" t="s">
        <v>2856</v>
      </c>
      <c r="P1899" t="s">
        <v>1686</v>
      </c>
      <c r="Q1899" t="s">
        <v>1839</v>
      </c>
      <c r="R1899" t="s">
        <v>2547</v>
      </c>
      <c r="W1899" t="s">
        <v>1601</v>
      </c>
    </row>
    <row r="1900" spans="1:30" ht="18" customHeight="1" x14ac:dyDescent="0.15">
      <c r="A1900" s="2" t="s">
        <v>54</v>
      </c>
      <c r="B1900" s="87" t="s">
        <v>1255</v>
      </c>
      <c r="C1900" s="2">
        <v>0.52</v>
      </c>
      <c r="D1900" s="2" t="s">
        <v>2825</v>
      </c>
      <c r="E1900" s="27">
        <f t="shared" si="354"/>
        <v>55166</v>
      </c>
      <c r="F1900" s="28">
        <f t="shared" si="353"/>
        <v>28686.1</v>
      </c>
      <c r="G1900" s="27">
        <f>일위대가목록!F235</f>
        <v>2538</v>
      </c>
      <c r="H1900" s="28">
        <f t="shared" si="355"/>
        <v>1319.7</v>
      </c>
      <c r="I1900" s="27">
        <f>일위대가목록!H235</f>
        <v>22449</v>
      </c>
      <c r="J1900" s="28">
        <f>TRUNC(I1900*C1900,1)</f>
        <v>11673.4</v>
      </c>
      <c r="K1900" s="27">
        <f>일위대가목록!J235</f>
        <v>30179</v>
      </c>
      <c r="L1900" s="28">
        <f>TRUNC(K1900*C1900,1)</f>
        <v>15693</v>
      </c>
      <c r="M1900" s="86" t="s">
        <v>2856</v>
      </c>
      <c r="N1900" t="s">
        <v>2856</v>
      </c>
      <c r="P1900" t="s">
        <v>983</v>
      </c>
      <c r="Q1900" t="s">
        <v>2856</v>
      </c>
      <c r="R1900" t="s">
        <v>668</v>
      </c>
      <c r="T1900" t="s">
        <v>1778</v>
      </c>
    </row>
    <row r="1901" spans="1:30" ht="18" customHeight="1" x14ac:dyDescent="0.15">
      <c r="A1901" s="2" t="s">
        <v>1632</v>
      </c>
      <c r="B1901" s="87" t="s">
        <v>2279</v>
      </c>
      <c r="C1901" s="2">
        <v>1.56</v>
      </c>
      <c r="D1901" s="2" t="s">
        <v>2825</v>
      </c>
      <c r="E1901" s="27">
        <f t="shared" si="354"/>
        <v>0</v>
      </c>
      <c r="F1901" s="28">
        <f t="shared" si="353"/>
        <v>0</v>
      </c>
      <c r="G1901" s="27">
        <f>TRUNC([320]자재조서!E881*0,2)</f>
        <v>0</v>
      </c>
      <c r="H1901" s="28"/>
      <c r="I1901" s="27">
        <v>0</v>
      </c>
      <c r="J1901" s="28"/>
      <c r="K1901" s="27">
        <v>0</v>
      </c>
      <c r="L1901" s="28"/>
      <c r="M1901" s="86" t="s">
        <v>1601</v>
      </c>
      <c r="N1901" t="s">
        <v>2856</v>
      </c>
      <c r="P1901" t="s">
        <v>248</v>
      </c>
      <c r="Q1901" t="s">
        <v>1839</v>
      </c>
      <c r="R1901" t="s">
        <v>2547</v>
      </c>
      <c r="W1901" t="s">
        <v>1601</v>
      </c>
    </row>
    <row r="1902" spans="1:30" ht="18" customHeight="1" x14ac:dyDescent="0.15">
      <c r="A1902" s="2" t="s">
        <v>54</v>
      </c>
      <c r="B1902" s="87" t="s">
        <v>1057</v>
      </c>
      <c r="C1902" s="2">
        <v>1.54</v>
      </c>
      <c r="D1902" s="2" t="s">
        <v>2825</v>
      </c>
      <c r="E1902" s="27">
        <f t="shared" si="354"/>
        <v>63190</v>
      </c>
      <c r="F1902" s="28">
        <f t="shared" si="353"/>
        <v>97312.5</v>
      </c>
      <c r="G1902" s="27">
        <f>일위대가목록!F240</f>
        <v>2908</v>
      </c>
      <c r="H1902" s="28">
        <f t="shared" si="355"/>
        <v>4478.3</v>
      </c>
      <c r="I1902" s="27">
        <f>일위대가목록!H240</f>
        <v>25714</v>
      </c>
      <c r="J1902" s="28">
        <f>TRUNC(I1902*C1902,1)</f>
        <v>39599.5</v>
      </c>
      <c r="K1902" s="27">
        <f>일위대가목록!J240</f>
        <v>34568</v>
      </c>
      <c r="L1902" s="28">
        <f>TRUNC(K1902*C1902,1)</f>
        <v>53234.7</v>
      </c>
      <c r="M1902" s="86" t="s">
        <v>2856</v>
      </c>
      <c r="N1902" t="s">
        <v>2856</v>
      </c>
      <c r="P1902" t="s">
        <v>241</v>
      </c>
      <c r="Q1902" t="s">
        <v>2856</v>
      </c>
      <c r="R1902" t="s">
        <v>170</v>
      </c>
      <c r="T1902" t="s">
        <v>1778</v>
      </c>
    </row>
    <row r="1903" spans="1:30" ht="18" customHeight="1" x14ac:dyDescent="0.15">
      <c r="A1903" s="2" t="s">
        <v>1996</v>
      </c>
      <c r="B1903" s="87" t="s">
        <v>1225</v>
      </c>
      <c r="C1903" s="2">
        <v>8.8999999999999996E-2</v>
      </c>
      <c r="D1903" s="2" t="s">
        <v>978</v>
      </c>
      <c r="E1903" s="27">
        <f t="shared" si="354"/>
        <v>0</v>
      </c>
      <c r="F1903" s="28">
        <f t="shared" si="353"/>
        <v>0</v>
      </c>
      <c r="G1903" s="27">
        <f>TRUNC([320]자재조서!E897*0,2)</f>
        <v>0</v>
      </c>
      <c r="H1903" s="28"/>
      <c r="I1903" s="27">
        <v>0</v>
      </c>
      <c r="J1903" s="28"/>
      <c r="K1903" s="27">
        <v>0</v>
      </c>
      <c r="L1903" s="28"/>
      <c r="M1903" s="86" t="s">
        <v>1601</v>
      </c>
      <c r="N1903" t="s">
        <v>2004</v>
      </c>
      <c r="P1903" t="s">
        <v>954</v>
      </c>
      <c r="Q1903" t="s">
        <v>1839</v>
      </c>
      <c r="R1903" t="s">
        <v>2422</v>
      </c>
      <c r="W1903" t="s">
        <v>1601</v>
      </c>
    </row>
    <row r="1904" spans="1:30" ht="18" customHeight="1" x14ac:dyDescent="0.15">
      <c r="A1904" s="2" t="s">
        <v>2085</v>
      </c>
      <c r="B1904" s="87" t="s">
        <v>2731</v>
      </c>
      <c r="C1904" s="2">
        <v>8.6999999999999994E-2</v>
      </c>
      <c r="D1904" s="2" t="s">
        <v>978</v>
      </c>
      <c r="E1904" s="27">
        <f t="shared" si="354"/>
        <v>3414044</v>
      </c>
      <c r="F1904" s="28">
        <f t="shared" si="353"/>
        <v>297021.59999999998</v>
      </c>
      <c r="G1904" s="27">
        <f>일위대가목록!F242</f>
        <v>10770</v>
      </c>
      <c r="H1904" s="28">
        <f t="shared" si="355"/>
        <v>936.9</v>
      </c>
      <c r="I1904" s="27">
        <f>일위대가목록!H242</f>
        <v>756255</v>
      </c>
      <c r="J1904" s="28">
        <f>TRUNC(I1904*C1904,1)</f>
        <v>65794.100000000006</v>
      </c>
      <c r="K1904" s="27">
        <f>일위대가목록!J242</f>
        <v>2647019</v>
      </c>
      <c r="L1904" s="28">
        <f>TRUNC(K1904*C1904,1)</f>
        <v>230290.6</v>
      </c>
      <c r="M1904" s="86" t="s">
        <v>2856</v>
      </c>
      <c r="N1904" t="s">
        <v>2856</v>
      </c>
      <c r="P1904" t="s">
        <v>1677</v>
      </c>
      <c r="Q1904" t="s">
        <v>2856</v>
      </c>
      <c r="R1904" t="s">
        <v>1458</v>
      </c>
      <c r="T1904" t="s">
        <v>1778</v>
      </c>
    </row>
    <row r="1905" spans="1:30" ht="18" customHeight="1" x14ac:dyDescent="0.15">
      <c r="A1905" s="2" t="s">
        <v>2073</v>
      </c>
      <c r="B1905" s="87" t="s">
        <v>2856</v>
      </c>
      <c r="C1905" s="2">
        <v>0.5</v>
      </c>
      <c r="D1905" s="2" t="s">
        <v>2825</v>
      </c>
      <c r="E1905" s="27">
        <f t="shared" si="354"/>
        <v>208934</v>
      </c>
      <c r="F1905" s="28">
        <f t="shared" si="353"/>
        <v>104467</v>
      </c>
      <c r="G1905" s="27">
        <f>일위대가목록!F237</f>
        <v>137090</v>
      </c>
      <c r="H1905" s="28">
        <f t="shared" si="355"/>
        <v>68545</v>
      </c>
      <c r="I1905" s="27">
        <f>일위대가목록!H237</f>
        <v>71844</v>
      </c>
      <c r="J1905" s="28">
        <f>TRUNC(I1905*C1905,1)</f>
        <v>35922</v>
      </c>
      <c r="K1905" s="27">
        <f>일위대가목록!J237</f>
        <v>0</v>
      </c>
      <c r="L1905" s="28">
        <f>TRUNC(K1905*C1905,1)</f>
        <v>0</v>
      </c>
      <c r="M1905" s="86" t="s">
        <v>2856</v>
      </c>
      <c r="N1905" t="s">
        <v>2856</v>
      </c>
      <c r="P1905" t="s">
        <v>2389</v>
      </c>
      <c r="Q1905" t="s">
        <v>2856</v>
      </c>
      <c r="R1905" t="s">
        <v>918</v>
      </c>
      <c r="T1905" t="s">
        <v>1778</v>
      </c>
    </row>
    <row r="1906" spans="1:30" ht="18" customHeight="1" x14ac:dyDescent="0.15">
      <c r="A1906" s="79" t="s">
        <v>3055</v>
      </c>
      <c r="B1906" s="179" t="s">
        <v>3056</v>
      </c>
      <c r="C1906" s="2">
        <v>6.6</v>
      </c>
      <c r="D1906" s="2" t="s">
        <v>1202</v>
      </c>
      <c r="E1906" s="27">
        <f t="shared" si="354"/>
        <v>234500</v>
      </c>
      <c r="F1906" s="28">
        <f t="shared" si="353"/>
        <v>1547700</v>
      </c>
      <c r="G1906" s="27">
        <f>자재조서!E94</f>
        <v>234500</v>
      </c>
      <c r="H1906" s="28">
        <f t="shared" si="355"/>
        <v>1547700</v>
      </c>
      <c r="I1906" s="27">
        <v>0</v>
      </c>
      <c r="J1906" s="28"/>
      <c r="K1906" s="27">
        <v>0</v>
      </c>
      <c r="L1906" s="28"/>
      <c r="M1906" s="86" t="s">
        <v>2856</v>
      </c>
      <c r="N1906" t="s">
        <v>2856</v>
      </c>
      <c r="P1906" t="s">
        <v>189</v>
      </c>
      <c r="Q1906" t="s">
        <v>1839</v>
      </c>
      <c r="R1906" t="s">
        <v>3057</v>
      </c>
    </row>
    <row r="1907" spans="1:30" ht="18" customHeight="1" x14ac:dyDescent="0.15">
      <c r="A1907" s="79" t="s">
        <v>1200</v>
      </c>
      <c r="B1907" s="179" t="s">
        <v>2599</v>
      </c>
      <c r="C1907" s="2">
        <v>22</v>
      </c>
      <c r="D1907" s="2" t="s">
        <v>1670</v>
      </c>
      <c r="E1907" s="27">
        <f t="shared" si="354"/>
        <v>20715</v>
      </c>
      <c r="F1907" s="28">
        <f t="shared" si="353"/>
        <v>455730</v>
      </c>
      <c r="G1907" s="27">
        <f>일위대가목록!F263</f>
        <v>926</v>
      </c>
      <c r="H1907" s="28">
        <f t="shared" si="355"/>
        <v>20372</v>
      </c>
      <c r="I1907" s="27">
        <f>일위대가목록!H263</f>
        <v>8827</v>
      </c>
      <c r="J1907" s="28">
        <f>TRUNC(I1907*C1907,1)</f>
        <v>194194</v>
      </c>
      <c r="K1907" s="27">
        <f>일위대가목록!J263</f>
        <v>10962</v>
      </c>
      <c r="L1907" s="28">
        <f>TRUNC(K1907*C1907,1)</f>
        <v>241164</v>
      </c>
      <c r="M1907" s="86" t="s">
        <v>2856</v>
      </c>
      <c r="N1907" t="s">
        <v>2856</v>
      </c>
      <c r="P1907" t="s">
        <v>904</v>
      </c>
      <c r="Q1907" t="s">
        <v>2856</v>
      </c>
      <c r="R1907" t="s">
        <v>2847</v>
      </c>
      <c r="T1907" t="s">
        <v>1778</v>
      </c>
    </row>
    <row r="1908" spans="1:30" ht="18" customHeight="1" x14ac:dyDescent="0.15">
      <c r="A1908" s="79" t="s">
        <v>2162</v>
      </c>
      <c r="B1908" s="179" t="s">
        <v>2444</v>
      </c>
      <c r="C1908" s="2">
        <v>2.5</v>
      </c>
      <c r="D1908" s="2" t="s">
        <v>1202</v>
      </c>
      <c r="E1908" s="27">
        <f t="shared" si="354"/>
        <v>37000</v>
      </c>
      <c r="F1908" s="28">
        <f t="shared" si="353"/>
        <v>92500</v>
      </c>
      <c r="G1908" s="27">
        <f>자재조서!E95</f>
        <v>37000</v>
      </c>
      <c r="H1908" s="28">
        <f t="shared" si="355"/>
        <v>92500</v>
      </c>
      <c r="I1908" s="27">
        <v>0</v>
      </c>
      <c r="J1908" s="28"/>
      <c r="K1908" s="27">
        <v>0</v>
      </c>
      <c r="L1908" s="28"/>
      <c r="M1908" s="86" t="s">
        <v>2856</v>
      </c>
      <c r="N1908" t="s">
        <v>2856</v>
      </c>
      <c r="P1908" t="s">
        <v>1640</v>
      </c>
      <c r="Q1908" t="s">
        <v>2856</v>
      </c>
      <c r="R1908" t="s">
        <v>1728</v>
      </c>
    </row>
    <row r="1909" spans="1:30" ht="18" customHeight="1" x14ac:dyDescent="0.15">
      <c r="A1909" s="79" t="s">
        <v>721</v>
      </c>
      <c r="B1909" s="179" t="s">
        <v>971</v>
      </c>
      <c r="C1909" s="2">
        <v>2.4</v>
      </c>
      <c r="D1909" s="2" t="s">
        <v>1202</v>
      </c>
      <c r="E1909" s="27">
        <f t="shared" si="354"/>
        <v>98235</v>
      </c>
      <c r="F1909" s="28">
        <f t="shared" si="353"/>
        <v>235764</v>
      </c>
      <c r="G1909" s="27">
        <f>일위대가목록!F245</f>
        <v>0</v>
      </c>
      <c r="H1909" s="28">
        <f t="shared" si="355"/>
        <v>0</v>
      </c>
      <c r="I1909" s="27">
        <f>일위대가목록!H245</f>
        <v>97263</v>
      </c>
      <c r="J1909" s="28">
        <f>TRUNC(I1909*C1909,1)</f>
        <v>233431.2</v>
      </c>
      <c r="K1909" s="27">
        <f>일위대가목록!J245</f>
        <v>972</v>
      </c>
      <c r="L1909" s="28">
        <f>TRUNC(K1909*C1909,1)</f>
        <v>2332.8000000000002</v>
      </c>
      <c r="M1909" s="86" t="s">
        <v>2856</v>
      </c>
      <c r="N1909" t="s">
        <v>2856</v>
      </c>
      <c r="P1909" t="s">
        <v>2340</v>
      </c>
      <c r="Q1909" t="s">
        <v>2856</v>
      </c>
      <c r="R1909" t="s">
        <v>669</v>
      </c>
      <c r="T1909" t="s">
        <v>1778</v>
      </c>
    </row>
    <row r="1910" spans="1:30" ht="18" customHeight="1" x14ac:dyDescent="0.15">
      <c r="A1910" s="79" t="s">
        <v>1590</v>
      </c>
      <c r="B1910" s="179" t="s">
        <v>943</v>
      </c>
      <c r="C1910" s="82" t="s">
        <v>3117</v>
      </c>
      <c r="D1910" s="2" t="s">
        <v>1160</v>
      </c>
      <c r="E1910" s="27">
        <f t="shared" si="354"/>
        <v>0</v>
      </c>
      <c r="F1910" s="28">
        <f t="shared" si="353"/>
        <v>0</v>
      </c>
      <c r="G1910" s="27"/>
      <c r="H1910" s="28">
        <f t="shared" si="355"/>
        <v>0</v>
      </c>
      <c r="I1910" s="27">
        <v>0</v>
      </c>
      <c r="J1910" s="28"/>
      <c r="K1910" s="27">
        <v>0</v>
      </c>
      <c r="L1910" s="28"/>
      <c r="M1910" s="86" t="s">
        <v>1601</v>
      </c>
      <c r="N1910" t="s">
        <v>2856</v>
      </c>
      <c r="P1910" t="s">
        <v>317</v>
      </c>
      <c r="Q1910" t="s">
        <v>1839</v>
      </c>
      <c r="R1910" t="s">
        <v>3061</v>
      </c>
    </row>
    <row r="1911" spans="1:30" ht="18.399999999999999" customHeight="1" x14ac:dyDescent="0.15">
      <c r="A1911" s="66" t="s">
        <v>3046</v>
      </c>
      <c r="B1911" s="175" t="s">
        <v>3245</v>
      </c>
      <c r="C1911" s="63"/>
      <c r="D1911" s="63"/>
      <c r="E1911" s="64"/>
      <c r="F1911" s="65">
        <f t="shared" si="353"/>
        <v>2645092</v>
      </c>
      <c r="G1911" s="66"/>
      <c r="H1911" s="65">
        <f>TRUNC(H1892*$B$1911)</f>
        <v>1568377</v>
      </c>
      <c r="I1911" s="66"/>
      <c r="J1911" s="65">
        <f>TRUNC(J1892*$B$1911)</f>
        <v>597024</v>
      </c>
      <c r="K1911" s="66"/>
      <c r="L1911" s="65">
        <f>TRUNC(L1892*$B$1911)</f>
        <v>479691</v>
      </c>
      <c r="M1911" s="186"/>
      <c r="AA1911" s="42"/>
      <c r="AB1911" s="8"/>
      <c r="AC1911" s="42"/>
      <c r="AD1911" s="7"/>
    </row>
    <row r="1912" spans="1:30" ht="18" customHeight="1" x14ac:dyDescent="0.15">
      <c r="A1912" s="1"/>
      <c r="B1912" s="87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87"/>
    </row>
    <row r="1913" spans="1:30" ht="18" customHeight="1" x14ac:dyDescent="0.15">
      <c r="A1913" s="69" t="s">
        <v>3254</v>
      </c>
      <c r="B1913" s="174" t="s">
        <v>171</v>
      </c>
      <c r="C1913" s="69">
        <v>1</v>
      </c>
      <c r="D1913" s="69" t="s">
        <v>1796</v>
      </c>
      <c r="E1913" s="185"/>
      <c r="F1913" s="70">
        <f t="shared" ref="F1913:F1932" si="356">H1913+J1913+L1913</f>
        <v>5493166</v>
      </c>
      <c r="G1913" s="185"/>
      <c r="H1913" s="70">
        <f>TRUNC(H1914+H1915+H1916+H1917+H1919+H1923+H188+H1920+H1921+H1922+H1924+H1925+H1927+H1928+H1929+H1931,0)</f>
        <v>1184854</v>
      </c>
      <c r="I1913" s="185"/>
      <c r="J1913" s="70">
        <f>TRUNC(J1914+J1915+J1916+J1917+J1919+J1923+J188+J1920+J1921+J1922+J1924+J1925+J1927+J1928+J1929+J1931,0)</f>
        <v>4238498</v>
      </c>
      <c r="K1913" s="185"/>
      <c r="L1913" s="70">
        <f>TRUNC(L1914+L1915+L1916+L1917+L1919+L1923+L188+L1920+L1921+L1922+L1924+L1925+L1927+L1928+L1929+L1931,0)</f>
        <v>69814</v>
      </c>
      <c r="M1913" s="181" t="s">
        <v>2856</v>
      </c>
      <c r="N1913" t="s">
        <v>2856</v>
      </c>
      <c r="O1913" t="s">
        <v>843</v>
      </c>
    </row>
    <row r="1914" spans="1:30" ht="18" customHeight="1" x14ac:dyDescent="0.15">
      <c r="A1914" s="2" t="s">
        <v>1163</v>
      </c>
      <c r="B1914" s="87" t="s">
        <v>1879</v>
      </c>
      <c r="C1914" s="2">
        <v>3.53</v>
      </c>
      <c r="D1914" s="2" t="s">
        <v>2825</v>
      </c>
      <c r="E1914" s="27">
        <f t="shared" ref="E1914:E1931" si="357">G1914+I1914+K1914</f>
        <v>33416</v>
      </c>
      <c r="F1914" s="28">
        <f t="shared" si="356"/>
        <v>117958.39999999999</v>
      </c>
      <c r="G1914" s="27">
        <f>일위대가목록!F249</f>
        <v>0</v>
      </c>
      <c r="H1914" s="28">
        <f t="shared" ref="H1914:H1926" si="358">TRUNC(G1914*C1914,1)</f>
        <v>0</v>
      </c>
      <c r="I1914" s="27">
        <f>일위대가목록!H249</f>
        <v>33416</v>
      </c>
      <c r="J1914" s="28">
        <f>TRUNC(I1914*C1914,1)</f>
        <v>117958.39999999999</v>
      </c>
      <c r="K1914" s="27">
        <f>일위대가목록!J249</f>
        <v>0</v>
      </c>
      <c r="L1914" s="28">
        <f>TRUNC(K1914*C1914,1)</f>
        <v>0</v>
      </c>
      <c r="M1914" s="86" t="s">
        <v>2856</v>
      </c>
      <c r="N1914" t="s">
        <v>2856</v>
      </c>
      <c r="P1914" t="s">
        <v>334</v>
      </c>
      <c r="Q1914" t="s">
        <v>2856</v>
      </c>
      <c r="R1914" t="s">
        <v>69</v>
      </c>
      <c r="T1914" t="s">
        <v>2405</v>
      </c>
    </row>
    <row r="1915" spans="1:30" ht="18" customHeight="1" x14ac:dyDescent="0.15">
      <c r="A1915" s="2" t="s">
        <v>1112</v>
      </c>
      <c r="B1915" s="87" t="s">
        <v>394</v>
      </c>
      <c r="C1915" s="2">
        <v>0.49</v>
      </c>
      <c r="D1915" s="2" t="s">
        <v>2825</v>
      </c>
      <c r="E1915" s="27">
        <f t="shared" si="357"/>
        <v>33416</v>
      </c>
      <c r="F1915" s="28">
        <f t="shared" si="356"/>
        <v>16373.8</v>
      </c>
      <c r="G1915" s="27">
        <f>일위대가목록!F250</f>
        <v>0</v>
      </c>
      <c r="H1915" s="28">
        <f t="shared" si="358"/>
        <v>0</v>
      </c>
      <c r="I1915" s="27">
        <f>일위대가목록!H250</f>
        <v>33416</v>
      </c>
      <c r="J1915" s="28">
        <f>TRUNC(I1915*C1915,1)</f>
        <v>16373.8</v>
      </c>
      <c r="K1915" s="27">
        <f>일위대가목록!J250</f>
        <v>0</v>
      </c>
      <c r="L1915" s="28">
        <f>TRUNC(K1915*C1915,1)</f>
        <v>0</v>
      </c>
      <c r="M1915" s="86" t="s">
        <v>2856</v>
      </c>
      <c r="N1915" t="s">
        <v>2856</v>
      </c>
      <c r="P1915" t="s">
        <v>2471</v>
      </c>
      <c r="Q1915" t="s">
        <v>2856</v>
      </c>
      <c r="R1915" t="s">
        <v>1705</v>
      </c>
      <c r="T1915" t="s">
        <v>2405</v>
      </c>
    </row>
    <row r="1916" spans="1:30" ht="18" customHeight="1" x14ac:dyDescent="0.15">
      <c r="A1916" s="2" t="s">
        <v>2451</v>
      </c>
      <c r="B1916" s="87" t="s">
        <v>129</v>
      </c>
      <c r="C1916" s="2">
        <v>3.04</v>
      </c>
      <c r="D1916" s="2" t="s">
        <v>2825</v>
      </c>
      <c r="E1916" s="27">
        <f t="shared" si="357"/>
        <v>16708</v>
      </c>
      <c r="F1916" s="28">
        <f t="shared" si="356"/>
        <v>50792.3</v>
      </c>
      <c r="G1916" s="27">
        <f>일위대가목록!F251</f>
        <v>0</v>
      </c>
      <c r="H1916" s="28">
        <f t="shared" si="358"/>
        <v>0</v>
      </c>
      <c r="I1916" s="27">
        <f>일위대가목록!H251</f>
        <v>16708</v>
      </c>
      <c r="J1916" s="28">
        <f>TRUNC(I1916*C1916,1)</f>
        <v>50792.3</v>
      </c>
      <c r="K1916" s="27">
        <f>일위대가목록!J251</f>
        <v>0</v>
      </c>
      <c r="L1916" s="28">
        <f>TRUNC(K1916*C1916,1)</f>
        <v>0</v>
      </c>
      <c r="M1916" s="86" t="s">
        <v>2856</v>
      </c>
      <c r="N1916" t="s">
        <v>2856</v>
      </c>
      <c r="P1916" t="s">
        <v>1741</v>
      </c>
      <c r="Q1916" t="s">
        <v>2856</v>
      </c>
      <c r="R1916" t="s">
        <v>1429</v>
      </c>
      <c r="T1916" t="s">
        <v>2405</v>
      </c>
    </row>
    <row r="1917" spans="1:30" ht="18" customHeight="1" x14ac:dyDescent="0.15">
      <c r="A1917" s="2" t="s">
        <v>832</v>
      </c>
      <c r="B1917" s="87" t="s">
        <v>610</v>
      </c>
      <c r="C1917" s="2">
        <v>6.48</v>
      </c>
      <c r="D1917" s="2" t="s">
        <v>1202</v>
      </c>
      <c r="E1917" s="27">
        <f t="shared" si="357"/>
        <v>45715</v>
      </c>
      <c r="F1917" s="28">
        <f t="shared" si="356"/>
        <v>296233.09999999998</v>
      </c>
      <c r="G1917" s="27">
        <f>일위대가목록!F236</f>
        <v>11180</v>
      </c>
      <c r="H1917" s="28">
        <f t="shared" si="358"/>
        <v>72446.399999999994</v>
      </c>
      <c r="I1917" s="27">
        <f>일위대가목록!H236</f>
        <v>34194</v>
      </c>
      <c r="J1917" s="28">
        <f>TRUNC(I1917*C1917,1)</f>
        <v>221577.1</v>
      </c>
      <c r="K1917" s="27">
        <f>일위대가목록!J236</f>
        <v>341</v>
      </c>
      <c r="L1917" s="28">
        <f>TRUNC(K1917*C1917,1)</f>
        <v>2209.6</v>
      </c>
      <c r="M1917" s="86" t="s">
        <v>2856</v>
      </c>
      <c r="N1917" t="s">
        <v>2856</v>
      </c>
      <c r="P1917" t="s">
        <v>2428</v>
      </c>
      <c r="Q1917" t="s">
        <v>2856</v>
      </c>
      <c r="R1917" t="s">
        <v>1998</v>
      </c>
      <c r="T1917" t="s">
        <v>1778</v>
      </c>
    </row>
    <row r="1918" spans="1:30" ht="18" customHeight="1" x14ac:dyDescent="0.15">
      <c r="A1918" s="2" t="s">
        <v>1632</v>
      </c>
      <c r="B1918" s="87" t="s">
        <v>2279</v>
      </c>
      <c r="C1918" s="2">
        <v>0.5</v>
      </c>
      <c r="D1918" s="2" t="s">
        <v>2825</v>
      </c>
      <c r="E1918" s="27">
        <f t="shared" si="357"/>
        <v>0</v>
      </c>
      <c r="F1918" s="28">
        <f t="shared" si="356"/>
        <v>0</v>
      </c>
      <c r="G1918" s="27">
        <f>TRUNC([320]자재조서!E881*0,2)</f>
        <v>0</v>
      </c>
      <c r="H1918" s="28">
        <f t="shared" si="358"/>
        <v>0</v>
      </c>
      <c r="I1918" s="27">
        <v>0</v>
      </c>
      <c r="J1918" s="28"/>
      <c r="K1918" s="27">
        <v>0</v>
      </c>
      <c r="L1918" s="28"/>
      <c r="M1918" s="86" t="s">
        <v>1601</v>
      </c>
      <c r="N1918" t="s">
        <v>2856</v>
      </c>
      <c r="P1918" t="s">
        <v>1686</v>
      </c>
      <c r="Q1918" t="s">
        <v>1839</v>
      </c>
      <c r="R1918" t="s">
        <v>2547</v>
      </c>
      <c r="W1918" t="s">
        <v>1601</v>
      </c>
    </row>
    <row r="1919" spans="1:30" ht="18" customHeight="1" x14ac:dyDescent="0.15">
      <c r="A1919" s="2" t="s">
        <v>54</v>
      </c>
      <c r="B1919" s="87" t="s">
        <v>1255</v>
      </c>
      <c r="C1919" s="2">
        <v>0.49</v>
      </c>
      <c r="D1919" s="2" t="s">
        <v>2825</v>
      </c>
      <c r="E1919" s="27">
        <f t="shared" si="357"/>
        <v>55166</v>
      </c>
      <c r="F1919" s="28">
        <f t="shared" si="356"/>
        <v>27031.300000000003</v>
      </c>
      <c r="G1919" s="27">
        <f>일위대가목록!F235</f>
        <v>2538</v>
      </c>
      <c r="H1919" s="28">
        <f t="shared" si="358"/>
        <v>1243.5999999999999</v>
      </c>
      <c r="I1919" s="27">
        <f>일위대가목록!H235</f>
        <v>22449</v>
      </c>
      <c r="J1919" s="28">
        <f>TRUNC(I1919*C1919,1)</f>
        <v>11000</v>
      </c>
      <c r="K1919" s="27">
        <f>일위대가목록!J235</f>
        <v>30179</v>
      </c>
      <c r="L1919" s="28">
        <f>TRUNC(K1919*C1919,1)</f>
        <v>14787.7</v>
      </c>
      <c r="M1919" s="86" t="s">
        <v>2856</v>
      </c>
      <c r="N1919" t="s">
        <v>2856</v>
      </c>
      <c r="P1919" t="s">
        <v>983</v>
      </c>
      <c r="Q1919" t="s">
        <v>2856</v>
      </c>
      <c r="R1919" t="s">
        <v>668</v>
      </c>
      <c r="T1919" t="s">
        <v>1778</v>
      </c>
    </row>
    <row r="1920" spans="1:30" ht="18" customHeight="1" x14ac:dyDescent="0.15">
      <c r="A1920" s="2" t="s">
        <v>485</v>
      </c>
      <c r="B1920" s="87" t="s">
        <v>1172</v>
      </c>
      <c r="C1920" s="2">
        <v>56.524999999999999</v>
      </c>
      <c r="D1920" s="2" t="s">
        <v>1674</v>
      </c>
      <c r="E1920" s="27">
        <f t="shared" si="357"/>
        <v>1210</v>
      </c>
      <c r="F1920" s="28">
        <f t="shared" si="356"/>
        <v>68395.199999999997</v>
      </c>
      <c r="G1920" s="27">
        <f>자재조서!E76</f>
        <v>1210</v>
      </c>
      <c r="H1920" s="28">
        <f t="shared" si="358"/>
        <v>68395.199999999997</v>
      </c>
      <c r="I1920" s="27">
        <v>0</v>
      </c>
      <c r="J1920" s="28"/>
      <c r="K1920" s="27">
        <v>0</v>
      </c>
      <c r="L1920" s="28"/>
      <c r="M1920" s="86" t="s">
        <v>2856</v>
      </c>
      <c r="N1920" t="s">
        <v>2856</v>
      </c>
      <c r="P1920" t="s">
        <v>1686</v>
      </c>
      <c r="Q1920" t="s">
        <v>2856</v>
      </c>
      <c r="R1920" t="s">
        <v>1687</v>
      </c>
    </row>
    <row r="1921" spans="1:30" ht="18" customHeight="1" x14ac:dyDescent="0.15">
      <c r="A1921" s="2" t="s">
        <v>1877</v>
      </c>
      <c r="B1921" s="87" t="s">
        <v>2492</v>
      </c>
      <c r="C1921" s="2">
        <v>1.5549999999999999</v>
      </c>
      <c r="D1921" s="2" t="s">
        <v>1202</v>
      </c>
      <c r="E1921" s="27">
        <f t="shared" si="357"/>
        <v>10589</v>
      </c>
      <c r="F1921" s="28">
        <f t="shared" si="356"/>
        <v>16465.8</v>
      </c>
      <c r="G1921" s="27">
        <f>일위대가목록!F252</f>
        <v>1881</v>
      </c>
      <c r="H1921" s="28">
        <f t="shared" si="358"/>
        <v>2924.9</v>
      </c>
      <c r="I1921" s="27">
        <f>일위대가목록!H252</f>
        <v>8708</v>
      </c>
      <c r="J1921" s="28">
        <f>TRUNC(I1921*C1921,1)</f>
        <v>13540.9</v>
      </c>
      <c r="K1921" s="27">
        <f>[321]일위대가목록!H1828</f>
        <v>0</v>
      </c>
      <c r="L1921" s="28">
        <f>TRUNC(K1921*C1921,1)</f>
        <v>0</v>
      </c>
      <c r="M1921" s="86" t="s">
        <v>2856</v>
      </c>
      <c r="N1921" t="s">
        <v>2856</v>
      </c>
      <c r="P1921" t="s">
        <v>983</v>
      </c>
      <c r="Q1921" t="s">
        <v>2856</v>
      </c>
      <c r="R1921" t="s">
        <v>799</v>
      </c>
      <c r="T1921" t="s">
        <v>1778</v>
      </c>
    </row>
    <row r="1922" spans="1:30" ht="18" customHeight="1" x14ac:dyDescent="0.15">
      <c r="A1922" s="2" t="s">
        <v>1065</v>
      </c>
      <c r="B1922" s="87" t="s">
        <v>1019</v>
      </c>
      <c r="C1922" s="2">
        <v>76</v>
      </c>
      <c r="D1922" s="2" t="s">
        <v>773</v>
      </c>
      <c r="E1922" s="27">
        <f t="shared" si="357"/>
        <v>990</v>
      </c>
      <c r="F1922" s="28">
        <f t="shared" si="356"/>
        <v>75240</v>
      </c>
      <c r="G1922" s="27">
        <f>자재조서!E75</f>
        <v>990</v>
      </c>
      <c r="H1922" s="28">
        <f t="shared" si="358"/>
        <v>75240</v>
      </c>
      <c r="I1922" s="27">
        <v>0</v>
      </c>
      <c r="J1922" s="28"/>
      <c r="K1922" s="27">
        <v>0</v>
      </c>
      <c r="L1922" s="28"/>
      <c r="M1922" s="86" t="s">
        <v>2856</v>
      </c>
      <c r="N1922" t="s">
        <v>2856</v>
      </c>
      <c r="P1922" t="s">
        <v>248</v>
      </c>
      <c r="Q1922" t="s">
        <v>2856</v>
      </c>
      <c r="R1922" t="s">
        <v>141</v>
      </c>
    </row>
    <row r="1923" spans="1:30" ht="18" customHeight="1" x14ac:dyDescent="0.15">
      <c r="A1923" s="2" t="s">
        <v>331</v>
      </c>
      <c r="B1923" s="87" t="s">
        <v>33</v>
      </c>
      <c r="C1923" s="2">
        <v>35.28</v>
      </c>
      <c r="D1923" s="2" t="s">
        <v>1670</v>
      </c>
      <c r="E1923" s="27">
        <f t="shared" si="357"/>
        <v>9550</v>
      </c>
      <c r="F1923" s="28">
        <f t="shared" si="356"/>
        <v>336924</v>
      </c>
      <c r="G1923" s="27">
        <f>자재조서!E51</f>
        <v>9550</v>
      </c>
      <c r="H1923" s="28">
        <f t="shared" si="358"/>
        <v>336924</v>
      </c>
      <c r="I1923" s="27">
        <v>0</v>
      </c>
      <c r="J1923" s="28"/>
      <c r="K1923" s="27">
        <v>0</v>
      </c>
      <c r="L1923" s="28"/>
      <c r="M1923" s="86" t="s">
        <v>2856</v>
      </c>
      <c r="N1923" t="s">
        <v>2856</v>
      </c>
      <c r="P1923" t="s">
        <v>248</v>
      </c>
      <c r="Q1923" t="s">
        <v>2856</v>
      </c>
      <c r="R1923" t="s">
        <v>587</v>
      </c>
    </row>
    <row r="1924" spans="1:30" ht="18" customHeight="1" x14ac:dyDescent="0.15">
      <c r="A1924" s="2" t="s">
        <v>331</v>
      </c>
      <c r="B1924" s="87" t="s">
        <v>850</v>
      </c>
      <c r="C1924" s="2">
        <v>95.03</v>
      </c>
      <c r="D1924" s="2" t="s">
        <v>1670</v>
      </c>
      <c r="E1924" s="27">
        <f t="shared" si="357"/>
        <v>4610</v>
      </c>
      <c r="F1924" s="28">
        <f t="shared" si="356"/>
        <v>438088.3</v>
      </c>
      <c r="G1924" s="27">
        <f>자재조서!E52</f>
        <v>4610</v>
      </c>
      <c r="H1924" s="28">
        <f t="shared" si="358"/>
        <v>438088.3</v>
      </c>
      <c r="I1924" s="27">
        <v>0</v>
      </c>
      <c r="J1924" s="28"/>
      <c r="K1924" s="27">
        <v>0</v>
      </c>
      <c r="L1924" s="28"/>
      <c r="M1924" s="86" t="s">
        <v>2856</v>
      </c>
      <c r="N1924" t="s">
        <v>2856</v>
      </c>
      <c r="P1924" t="s">
        <v>954</v>
      </c>
      <c r="Q1924" t="s">
        <v>2856</v>
      </c>
      <c r="R1924" t="s">
        <v>1596</v>
      </c>
    </row>
    <row r="1925" spans="1:30" ht="18" customHeight="1" x14ac:dyDescent="0.15">
      <c r="A1925" s="79" t="s">
        <v>567</v>
      </c>
      <c r="B1925" s="87" t="s">
        <v>3074</v>
      </c>
      <c r="C1925" s="2">
        <v>0.58699999999999997</v>
      </c>
      <c r="D1925" s="2" t="s">
        <v>978</v>
      </c>
      <c r="E1925" s="27">
        <f t="shared" si="357"/>
        <v>2661254</v>
      </c>
      <c r="F1925" s="28">
        <f t="shared" si="356"/>
        <v>1562156</v>
      </c>
      <c r="G1925" s="27">
        <f>일위대가목록!F280</f>
        <v>0</v>
      </c>
      <c r="H1925" s="28">
        <f t="shared" si="358"/>
        <v>0</v>
      </c>
      <c r="I1925" s="27">
        <f>일위대가목록!H280</f>
        <v>2599062</v>
      </c>
      <c r="J1925" s="28">
        <f>TRUNC(I1925*C1925,1)</f>
        <v>1525649.3</v>
      </c>
      <c r="K1925" s="27">
        <f>일위대가목록!J280</f>
        <v>62192</v>
      </c>
      <c r="L1925" s="28">
        <f>TRUNC(K1925*C1925,1)</f>
        <v>36506.699999999997</v>
      </c>
      <c r="M1925" s="86" t="s">
        <v>2856</v>
      </c>
      <c r="N1925" t="s">
        <v>2856</v>
      </c>
      <c r="P1925" t="s">
        <v>241</v>
      </c>
      <c r="Q1925" t="s">
        <v>2856</v>
      </c>
      <c r="R1925" t="s">
        <v>3063</v>
      </c>
      <c r="T1925" t="s">
        <v>1778</v>
      </c>
    </row>
    <row r="1926" spans="1:30" ht="18" customHeight="1" x14ac:dyDescent="0.15">
      <c r="A1926" s="2" t="s">
        <v>1470</v>
      </c>
      <c r="B1926" s="87" t="s">
        <v>1226</v>
      </c>
      <c r="C1926" s="2">
        <v>23.76</v>
      </c>
      <c r="D1926" s="2" t="s">
        <v>1202</v>
      </c>
      <c r="E1926" s="27">
        <f t="shared" si="357"/>
        <v>66000</v>
      </c>
      <c r="F1926" s="28">
        <f t="shared" si="356"/>
        <v>1568160</v>
      </c>
      <c r="G1926" s="27">
        <f>자재조서!E56</f>
        <v>66000</v>
      </c>
      <c r="H1926" s="28">
        <f t="shared" si="358"/>
        <v>1568160</v>
      </c>
      <c r="I1926" s="27">
        <v>0</v>
      </c>
      <c r="J1926" s="28"/>
      <c r="K1926" s="27">
        <v>0</v>
      </c>
      <c r="L1926" s="28"/>
      <c r="M1926" s="86" t="s">
        <v>1601</v>
      </c>
      <c r="N1926" t="s">
        <v>2856</v>
      </c>
      <c r="P1926" t="s">
        <v>2389</v>
      </c>
      <c r="Q1926" t="s">
        <v>1839</v>
      </c>
      <c r="R1926" t="s">
        <v>936</v>
      </c>
      <c r="W1926" t="s">
        <v>1601</v>
      </c>
    </row>
    <row r="1927" spans="1:30" ht="18" customHeight="1" x14ac:dyDescent="0.15">
      <c r="A1927" s="2" t="s">
        <v>323</v>
      </c>
      <c r="B1927" s="87" t="s">
        <v>503</v>
      </c>
      <c r="C1927" s="2">
        <v>6</v>
      </c>
      <c r="D1927" s="2" t="s">
        <v>588</v>
      </c>
      <c r="E1927" s="27">
        <f t="shared" si="357"/>
        <v>0</v>
      </c>
      <c r="F1927" s="28">
        <f t="shared" si="356"/>
        <v>94089.600000000006</v>
      </c>
      <c r="G1927" s="1"/>
      <c r="H1927" s="28">
        <f>TRUNC((H1926*0.06),1)</f>
        <v>94089.600000000006</v>
      </c>
      <c r="I1927" s="1"/>
      <c r="J1927" s="28">
        <v>0</v>
      </c>
      <c r="K1927" s="1"/>
      <c r="L1927" s="28">
        <v>0</v>
      </c>
      <c r="M1927" s="86" t="s">
        <v>2856</v>
      </c>
      <c r="N1927" t="s">
        <v>2856</v>
      </c>
      <c r="P1927" t="s">
        <v>189</v>
      </c>
      <c r="Q1927" t="s">
        <v>2856</v>
      </c>
      <c r="R1927" t="s">
        <v>2405</v>
      </c>
      <c r="X1927" t="s">
        <v>2552</v>
      </c>
      <c r="AA1927" s="83" t="s">
        <v>2127</v>
      </c>
      <c r="AB1927" s="72">
        <f>[321]일위대가_호표!H1880*0.06</f>
        <v>0</v>
      </c>
      <c r="AC1927" s="83" t="s">
        <v>2369</v>
      </c>
      <c r="AD1927" s="73">
        <f>$AB1926</f>
        <v>0</v>
      </c>
    </row>
    <row r="1928" spans="1:30" ht="18" customHeight="1" x14ac:dyDescent="0.15">
      <c r="A1928" s="2" t="s">
        <v>982</v>
      </c>
      <c r="B1928" s="87" t="s">
        <v>3132</v>
      </c>
      <c r="C1928" s="2">
        <v>21.6</v>
      </c>
      <c r="D1928" s="2" t="s">
        <v>1202</v>
      </c>
      <c r="E1928" s="27">
        <f t="shared" si="357"/>
        <v>55826</v>
      </c>
      <c r="F1928" s="28">
        <f t="shared" si="356"/>
        <v>1205841.6000000001</v>
      </c>
      <c r="G1928" s="27">
        <f>일위대가목록!F254</f>
        <v>0</v>
      </c>
      <c r="H1928" s="28">
        <f>TRUNC(G1928*C1928,1)</f>
        <v>0</v>
      </c>
      <c r="I1928" s="27">
        <f>일위대가목록!H254</f>
        <v>55826</v>
      </c>
      <c r="J1928" s="28">
        <f>TRUNC(I1928*C1928,1)</f>
        <v>1205841.6000000001</v>
      </c>
      <c r="K1928" s="27">
        <f>일위대가목록!J254</f>
        <v>0</v>
      </c>
      <c r="L1928" s="28">
        <f>TRUNC(K1928*C1928,1)</f>
        <v>0</v>
      </c>
      <c r="M1928" s="86" t="s">
        <v>2856</v>
      </c>
      <c r="N1928" t="s">
        <v>2856</v>
      </c>
      <c r="P1928" t="s">
        <v>904</v>
      </c>
      <c r="Q1928" t="s">
        <v>2856</v>
      </c>
      <c r="R1928" t="s">
        <v>1522</v>
      </c>
      <c r="T1928" t="s">
        <v>1778</v>
      </c>
    </row>
    <row r="1929" spans="1:30" ht="18" customHeight="1" x14ac:dyDescent="0.15">
      <c r="A1929" s="2" t="s">
        <v>1188</v>
      </c>
      <c r="B1929" s="87" t="s">
        <v>2848</v>
      </c>
      <c r="C1929" s="2">
        <v>54</v>
      </c>
      <c r="D1929" s="2" t="s">
        <v>1202</v>
      </c>
      <c r="E1929" s="27">
        <f t="shared" si="357"/>
        <v>12165</v>
      </c>
      <c r="F1929" s="28">
        <f t="shared" si="356"/>
        <v>656910</v>
      </c>
      <c r="G1929" s="27">
        <f>일위대가목록!F255</f>
        <v>1188</v>
      </c>
      <c r="H1929" s="28">
        <f>TRUNC(G1929*C1929,1)</f>
        <v>64152</v>
      </c>
      <c r="I1929" s="27">
        <f>일위대가목록!H255</f>
        <v>10762</v>
      </c>
      <c r="J1929" s="28">
        <f>TRUNC(I1929*C1929,1)</f>
        <v>581148</v>
      </c>
      <c r="K1929" s="27">
        <f>일위대가목록!J255</f>
        <v>215</v>
      </c>
      <c r="L1929" s="28">
        <f>TRUNC(K1929*C1929,1)</f>
        <v>11610</v>
      </c>
      <c r="M1929" s="86" t="s">
        <v>2856</v>
      </c>
      <c r="N1929" t="s">
        <v>2856</v>
      </c>
      <c r="P1929" t="s">
        <v>1640</v>
      </c>
      <c r="Q1929" t="s">
        <v>2856</v>
      </c>
      <c r="R1929" t="s">
        <v>1058</v>
      </c>
      <c r="T1929" t="s">
        <v>1778</v>
      </c>
    </row>
    <row r="1930" spans="1:30" ht="18" customHeight="1" x14ac:dyDescent="0.15">
      <c r="A1930" s="2" t="s">
        <v>3118</v>
      </c>
      <c r="B1930" s="87" t="s">
        <v>3119</v>
      </c>
      <c r="C1930" s="2">
        <v>10</v>
      </c>
      <c r="D1930" s="2" t="s">
        <v>1160</v>
      </c>
      <c r="E1930" s="27">
        <f t="shared" si="357"/>
        <v>0</v>
      </c>
      <c r="F1930" s="28">
        <f t="shared" si="356"/>
        <v>0</v>
      </c>
      <c r="G1930" s="27"/>
      <c r="H1930" s="28">
        <f>TRUNC(G1930*C1930,1)</f>
        <v>0</v>
      </c>
      <c r="I1930" s="27">
        <v>0</v>
      </c>
      <c r="J1930" s="28"/>
      <c r="K1930" s="27">
        <v>0</v>
      </c>
      <c r="L1930" s="28"/>
      <c r="M1930" s="86" t="s">
        <v>1601</v>
      </c>
      <c r="N1930" t="s">
        <v>2856</v>
      </c>
      <c r="P1930" t="s">
        <v>2340</v>
      </c>
      <c r="Q1930" t="s">
        <v>1839</v>
      </c>
      <c r="R1930" t="s">
        <v>3120</v>
      </c>
    </row>
    <row r="1931" spans="1:30" ht="18" customHeight="1" x14ac:dyDescent="0.15">
      <c r="A1931" s="2" t="s">
        <v>3121</v>
      </c>
      <c r="B1931" s="87" t="s">
        <v>3119</v>
      </c>
      <c r="C1931" s="2">
        <v>10</v>
      </c>
      <c r="D1931" s="2" t="s">
        <v>1160</v>
      </c>
      <c r="E1931" s="27">
        <f t="shared" si="357"/>
        <v>47118</v>
      </c>
      <c r="F1931" s="28">
        <f t="shared" si="356"/>
        <v>471180</v>
      </c>
      <c r="G1931" s="27">
        <f>일위대가목록!F284</f>
        <v>3042</v>
      </c>
      <c r="H1931" s="28">
        <f>TRUNC(G1931*C1931,1)</f>
        <v>30420</v>
      </c>
      <c r="I1931" s="27">
        <f>일위대가목록!H284</f>
        <v>43636</v>
      </c>
      <c r="J1931" s="28">
        <f>TRUNC(I1931*C1931,1)</f>
        <v>436360</v>
      </c>
      <c r="K1931" s="27">
        <f>일위대가목록!J284</f>
        <v>440</v>
      </c>
      <c r="L1931" s="28">
        <f>TRUNC(K1931*C1931,1)</f>
        <v>4400</v>
      </c>
      <c r="M1931" s="86" t="s">
        <v>2856</v>
      </c>
      <c r="N1931" t="s">
        <v>2856</v>
      </c>
      <c r="P1931" t="s">
        <v>317</v>
      </c>
      <c r="Q1931" t="s">
        <v>2856</v>
      </c>
      <c r="R1931" t="s">
        <v>3122</v>
      </c>
      <c r="T1931" t="s">
        <v>1778</v>
      </c>
    </row>
    <row r="1932" spans="1:30" ht="18.399999999999999" customHeight="1" x14ac:dyDescent="0.15">
      <c r="A1932" s="66" t="s">
        <v>3046</v>
      </c>
      <c r="B1932" s="175" t="s">
        <v>3245</v>
      </c>
      <c r="C1932" s="63"/>
      <c r="D1932" s="63"/>
      <c r="E1932" s="64"/>
      <c r="F1932" s="65">
        <f t="shared" si="356"/>
        <v>4795258</v>
      </c>
      <c r="G1932" s="66"/>
      <c r="H1932" s="65">
        <f>TRUNC(H1913*$B$1932)</f>
        <v>1034318</v>
      </c>
      <c r="I1932" s="66"/>
      <c r="J1932" s="65">
        <f>TRUNC(J1913*$B$1932)</f>
        <v>3699996</v>
      </c>
      <c r="K1932" s="66"/>
      <c r="L1932" s="65">
        <f>TRUNC(L1913*$B$1932)</f>
        <v>60944</v>
      </c>
      <c r="M1932" s="186"/>
      <c r="AA1932" s="42"/>
      <c r="AB1932" s="8"/>
      <c r="AC1932" s="42"/>
      <c r="AD1932" s="7"/>
    </row>
    <row r="1933" spans="1:30" ht="18" customHeight="1" x14ac:dyDescent="0.15">
      <c r="A1933" s="1"/>
      <c r="B1933" s="87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87"/>
    </row>
    <row r="1934" spans="1:30" ht="18" customHeight="1" x14ac:dyDescent="0.15">
      <c r="A1934" s="69" t="s">
        <v>3255</v>
      </c>
      <c r="B1934" s="174" t="s">
        <v>1937</v>
      </c>
      <c r="C1934" s="69">
        <v>1</v>
      </c>
      <c r="D1934" s="69" t="s">
        <v>1796</v>
      </c>
      <c r="E1934" s="185"/>
      <c r="F1934" s="70">
        <f t="shared" ref="F1934:F1953" si="359">H1934+J1934+L1934</f>
        <v>4672951</v>
      </c>
      <c r="G1934" s="185"/>
      <c r="H1934" s="70">
        <f>TRUNC(H1935+H1936+H1937+H1938+H1940+H1944+H1946+H1941+H1942+H1943+H1945+H1948+H1949+H1950+H1952,0)</f>
        <v>1031895</v>
      </c>
      <c r="I1934" s="185"/>
      <c r="J1934" s="70">
        <f>TRUNC(J1935+J1936+J1937+J1938+J1940+J1944+J1946+J1941+J1942+J1943+J1945+J1948+J1949+J1950+J1952,0)</f>
        <v>3579119</v>
      </c>
      <c r="K1934" s="185"/>
      <c r="L1934" s="70">
        <f>TRUNC(L1935+L1936+L1937+L1938+L1940+L1944+L1946+L1941+L1942+L1943+L1945+L1948+L1949+L1950+L1952,0)</f>
        <v>61937</v>
      </c>
      <c r="M1934" s="181" t="s">
        <v>2856</v>
      </c>
      <c r="N1934" t="s">
        <v>2856</v>
      </c>
      <c r="O1934" t="s">
        <v>1892</v>
      </c>
    </row>
    <row r="1935" spans="1:30" ht="18" customHeight="1" x14ac:dyDescent="0.15">
      <c r="A1935" s="2" t="s">
        <v>1163</v>
      </c>
      <c r="B1935" s="87" t="s">
        <v>1879</v>
      </c>
      <c r="C1935" s="2">
        <v>3.53</v>
      </c>
      <c r="D1935" s="2" t="s">
        <v>2825</v>
      </c>
      <c r="E1935" s="27">
        <f t="shared" ref="E1935:E1952" si="360">G1935+I1935+K1935</f>
        <v>33416</v>
      </c>
      <c r="F1935" s="28">
        <f t="shared" si="359"/>
        <v>117958.39999999999</v>
      </c>
      <c r="G1935" s="27">
        <f>일위대가목록!F249</f>
        <v>0</v>
      </c>
      <c r="H1935" s="28">
        <f t="shared" ref="H1935:H1947" si="361">TRUNC(G1935*C1935,1)</f>
        <v>0</v>
      </c>
      <c r="I1935" s="27">
        <f>일위대가목록!H249</f>
        <v>33416</v>
      </c>
      <c r="J1935" s="28">
        <f>TRUNC(I1935*C1935,1)</f>
        <v>117958.39999999999</v>
      </c>
      <c r="K1935" s="27">
        <f>일위대가목록!J249</f>
        <v>0</v>
      </c>
      <c r="L1935" s="28">
        <f>TRUNC(K1935*C1935,1)</f>
        <v>0</v>
      </c>
      <c r="M1935" s="86" t="s">
        <v>2856</v>
      </c>
      <c r="N1935" t="s">
        <v>2856</v>
      </c>
      <c r="P1935" t="s">
        <v>334</v>
      </c>
      <c r="Q1935" t="s">
        <v>2856</v>
      </c>
      <c r="R1935" t="s">
        <v>69</v>
      </c>
      <c r="T1935" t="s">
        <v>2405</v>
      </c>
    </row>
    <row r="1936" spans="1:30" ht="18" customHeight="1" x14ac:dyDescent="0.15">
      <c r="A1936" s="2" t="s">
        <v>1112</v>
      </c>
      <c r="B1936" s="87" t="s">
        <v>394</v>
      </c>
      <c r="C1936" s="2">
        <v>0.49</v>
      </c>
      <c r="D1936" s="2" t="s">
        <v>2825</v>
      </c>
      <c r="E1936" s="27">
        <f t="shared" si="360"/>
        <v>33416</v>
      </c>
      <c r="F1936" s="28">
        <f t="shared" si="359"/>
        <v>16373.8</v>
      </c>
      <c r="G1936" s="27">
        <f>일위대가목록!F250</f>
        <v>0</v>
      </c>
      <c r="H1936" s="28">
        <f t="shared" si="361"/>
        <v>0</v>
      </c>
      <c r="I1936" s="27">
        <f>일위대가목록!H250</f>
        <v>33416</v>
      </c>
      <c r="J1936" s="28">
        <f>TRUNC(I1936*C1936,1)</f>
        <v>16373.8</v>
      </c>
      <c r="K1936" s="27">
        <f>일위대가목록!J250</f>
        <v>0</v>
      </c>
      <c r="L1936" s="28">
        <f>TRUNC(K1936*C1936,1)</f>
        <v>0</v>
      </c>
      <c r="M1936" s="86" t="s">
        <v>2856</v>
      </c>
      <c r="N1936" t="s">
        <v>2856</v>
      </c>
      <c r="P1936" t="s">
        <v>2471</v>
      </c>
      <c r="Q1936" t="s">
        <v>2856</v>
      </c>
      <c r="R1936" t="s">
        <v>1705</v>
      </c>
      <c r="T1936" t="s">
        <v>2405</v>
      </c>
    </row>
    <row r="1937" spans="1:30" ht="18" customHeight="1" x14ac:dyDescent="0.15">
      <c r="A1937" s="2" t="s">
        <v>2451</v>
      </c>
      <c r="B1937" s="87" t="s">
        <v>129</v>
      </c>
      <c r="C1937" s="2">
        <v>3.04</v>
      </c>
      <c r="D1937" s="2" t="s">
        <v>2825</v>
      </c>
      <c r="E1937" s="27">
        <f t="shared" si="360"/>
        <v>16708</v>
      </c>
      <c r="F1937" s="28">
        <f t="shared" si="359"/>
        <v>50792.3</v>
      </c>
      <c r="G1937" s="27">
        <f>일위대가목록!F251</f>
        <v>0</v>
      </c>
      <c r="H1937" s="28">
        <f t="shared" si="361"/>
        <v>0</v>
      </c>
      <c r="I1937" s="27">
        <f>일위대가목록!H251</f>
        <v>16708</v>
      </c>
      <c r="J1937" s="28">
        <f>TRUNC(I1937*C1937,1)</f>
        <v>50792.3</v>
      </c>
      <c r="K1937" s="27">
        <f>일위대가목록!J251</f>
        <v>0</v>
      </c>
      <c r="L1937" s="28">
        <f>TRUNC(K1937*C1937,1)</f>
        <v>0</v>
      </c>
      <c r="M1937" s="86" t="s">
        <v>2856</v>
      </c>
      <c r="N1937" t="s">
        <v>2856</v>
      </c>
      <c r="P1937" t="s">
        <v>1741</v>
      </c>
      <c r="Q1937" t="s">
        <v>2856</v>
      </c>
      <c r="R1937" t="s">
        <v>1429</v>
      </c>
      <c r="T1937" t="s">
        <v>2405</v>
      </c>
    </row>
    <row r="1938" spans="1:30" ht="18" customHeight="1" x14ac:dyDescent="0.15">
      <c r="A1938" s="2" t="s">
        <v>832</v>
      </c>
      <c r="B1938" s="87" t="s">
        <v>610</v>
      </c>
      <c r="C1938" s="2">
        <v>6.48</v>
      </c>
      <c r="D1938" s="2" t="s">
        <v>1202</v>
      </c>
      <c r="E1938" s="27">
        <f t="shared" si="360"/>
        <v>45715</v>
      </c>
      <c r="F1938" s="28">
        <f t="shared" si="359"/>
        <v>296233.09999999998</v>
      </c>
      <c r="G1938" s="27">
        <f>일위대가목록!F236</f>
        <v>11180</v>
      </c>
      <c r="H1938" s="28">
        <f t="shared" si="361"/>
        <v>72446.399999999994</v>
      </c>
      <c r="I1938" s="27">
        <f>일위대가목록!H236</f>
        <v>34194</v>
      </c>
      <c r="J1938" s="28">
        <f>TRUNC(I1938*C1938,1)</f>
        <v>221577.1</v>
      </c>
      <c r="K1938" s="27">
        <f>일위대가목록!J236</f>
        <v>341</v>
      </c>
      <c r="L1938" s="28">
        <f>TRUNC(K1938*C1938,1)</f>
        <v>2209.6</v>
      </c>
      <c r="M1938" s="86" t="s">
        <v>2856</v>
      </c>
      <c r="N1938" t="s">
        <v>2856</v>
      </c>
      <c r="P1938" t="s">
        <v>1036</v>
      </c>
      <c r="Q1938" t="s">
        <v>2856</v>
      </c>
      <c r="R1938" t="s">
        <v>1998</v>
      </c>
      <c r="T1938" t="s">
        <v>1778</v>
      </c>
    </row>
    <row r="1939" spans="1:30" ht="18" customHeight="1" x14ac:dyDescent="0.15">
      <c r="A1939" s="2" t="s">
        <v>1632</v>
      </c>
      <c r="B1939" s="87" t="s">
        <v>2279</v>
      </c>
      <c r="C1939" s="2">
        <v>0.5</v>
      </c>
      <c r="D1939" s="2" t="s">
        <v>2825</v>
      </c>
      <c r="E1939" s="27">
        <f t="shared" si="360"/>
        <v>0</v>
      </c>
      <c r="F1939" s="28">
        <f t="shared" si="359"/>
        <v>0</v>
      </c>
      <c r="G1939" s="27">
        <f>TRUNC([320]자재조서!E881*0,2)</f>
        <v>0</v>
      </c>
      <c r="H1939" s="28">
        <f t="shared" si="361"/>
        <v>0</v>
      </c>
      <c r="I1939" s="27">
        <v>0</v>
      </c>
      <c r="J1939" s="28"/>
      <c r="K1939" s="27">
        <v>0</v>
      </c>
      <c r="L1939" s="28"/>
      <c r="M1939" s="86" t="s">
        <v>1601</v>
      </c>
      <c r="N1939" t="s">
        <v>2856</v>
      </c>
      <c r="P1939" t="s">
        <v>286</v>
      </c>
      <c r="Q1939" t="s">
        <v>1839</v>
      </c>
      <c r="R1939" t="s">
        <v>2547</v>
      </c>
      <c r="W1939" t="s">
        <v>1601</v>
      </c>
    </row>
    <row r="1940" spans="1:30" ht="18" customHeight="1" x14ac:dyDescent="0.15">
      <c r="A1940" s="2" t="s">
        <v>54</v>
      </c>
      <c r="B1940" s="87" t="s">
        <v>1255</v>
      </c>
      <c r="C1940" s="2">
        <v>0.49</v>
      </c>
      <c r="D1940" s="2" t="s">
        <v>2825</v>
      </c>
      <c r="E1940" s="27">
        <f t="shared" si="360"/>
        <v>55166</v>
      </c>
      <c r="F1940" s="28">
        <f t="shared" si="359"/>
        <v>27031.300000000003</v>
      </c>
      <c r="G1940" s="27">
        <f>일위대가목록!F235</f>
        <v>2538</v>
      </c>
      <c r="H1940" s="28">
        <f t="shared" si="361"/>
        <v>1243.5999999999999</v>
      </c>
      <c r="I1940" s="27">
        <f>일위대가목록!H235</f>
        <v>22449</v>
      </c>
      <c r="J1940" s="28">
        <f>TRUNC(I1940*C1940,1)</f>
        <v>11000</v>
      </c>
      <c r="K1940" s="27">
        <f>일위대가목록!J235</f>
        <v>30179</v>
      </c>
      <c r="L1940" s="28">
        <f>TRUNC(K1940*C1940,1)</f>
        <v>14787.7</v>
      </c>
      <c r="M1940" s="86" t="s">
        <v>2856</v>
      </c>
      <c r="N1940" t="s">
        <v>2856</v>
      </c>
      <c r="P1940" t="s">
        <v>2428</v>
      </c>
      <c r="Q1940" t="s">
        <v>2856</v>
      </c>
      <c r="R1940" t="s">
        <v>668</v>
      </c>
      <c r="T1940" t="s">
        <v>1778</v>
      </c>
    </row>
    <row r="1941" spans="1:30" ht="18" customHeight="1" x14ac:dyDescent="0.15">
      <c r="A1941" s="2" t="s">
        <v>485</v>
      </c>
      <c r="B1941" s="87" t="s">
        <v>1172</v>
      </c>
      <c r="C1941" s="2">
        <v>56.524999999999999</v>
      </c>
      <c r="D1941" s="2" t="s">
        <v>1674</v>
      </c>
      <c r="E1941" s="27">
        <f t="shared" si="360"/>
        <v>1210</v>
      </c>
      <c r="F1941" s="28">
        <f t="shared" si="359"/>
        <v>68395.199999999997</v>
      </c>
      <c r="G1941" s="27">
        <f>자재조서!E76</f>
        <v>1210</v>
      </c>
      <c r="H1941" s="28">
        <f t="shared" si="361"/>
        <v>68395.199999999997</v>
      </c>
      <c r="I1941" s="27">
        <v>0</v>
      </c>
      <c r="J1941" s="28"/>
      <c r="K1941" s="27">
        <v>0</v>
      </c>
      <c r="L1941" s="28"/>
      <c r="M1941" s="86" t="s">
        <v>2856</v>
      </c>
      <c r="N1941" t="s">
        <v>2856</v>
      </c>
      <c r="P1941" t="s">
        <v>1686</v>
      </c>
      <c r="Q1941" t="s">
        <v>2856</v>
      </c>
      <c r="R1941" t="s">
        <v>1687</v>
      </c>
    </row>
    <row r="1942" spans="1:30" ht="18" customHeight="1" x14ac:dyDescent="0.15">
      <c r="A1942" s="2" t="s">
        <v>1877</v>
      </c>
      <c r="B1942" s="87" t="s">
        <v>2492</v>
      </c>
      <c r="C1942" s="2">
        <v>1.5549999999999999</v>
      </c>
      <c r="D1942" s="2" t="s">
        <v>1202</v>
      </c>
      <c r="E1942" s="27">
        <f t="shared" si="360"/>
        <v>10589</v>
      </c>
      <c r="F1942" s="28">
        <f t="shared" si="359"/>
        <v>16465.8</v>
      </c>
      <c r="G1942" s="27">
        <f>일위대가목록!F252</f>
        <v>1881</v>
      </c>
      <c r="H1942" s="28">
        <f t="shared" si="361"/>
        <v>2924.9</v>
      </c>
      <c r="I1942" s="27">
        <f>일위대가목록!H252</f>
        <v>8708</v>
      </c>
      <c r="J1942" s="28">
        <f>TRUNC(I1942*C1942,1)</f>
        <v>13540.9</v>
      </c>
      <c r="K1942" s="27">
        <f>일위대가목록!J252</f>
        <v>0</v>
      </c>
      <c r="L1942" s="28">
        <f>TRUNC(K1942*C1942,1)</f>
        <v>0</v>
      </c>
      <c r="M1942" s="86" t="s">
        <v>2856</v>
      </c>
      <c r="N1942" t="s">
        <v>2856</v>
      </c>
      <c r="P1942" t="s">
        <v>983</v>
      </c>
      <c r="Q1942" t="s">
        <v>2856</v>
      </c>
      <c r="R1942" t="s">
        <v>799</v>
      </c>
      <c r="T1942" t="s">
        <v>1778</v>
      </c>
    </row>
    <row r="1943" spans="1:30" ht="18" customHeight="1" x14ac:dyDescent="0.15">
      <c r="A1943" s="2" t="s">
        <v>1065</v>
      </c>
      <c r="B1943" s="87" t="s">
        <v>1019</v>
      </c>
      <c r="C1943" s="2">
        <v>76</v>
      </c>
      <c r="D1943" s="2" t="s">
        <v>773</v>
      </c>
      <c r="E1943" s="27">
        <f t="shared" si="360"/>
        <v>990</v>
      </c>
      <c r="F1943" s="28">
        <f t="shared" si="359"/>
        <v>75240</v>
      </c>
      <c r="G1943" s="27">
        <f>자재조서!E75</f>
        <v>990</v>
      </c>
      <c r="H1943" s="28">
        <f t="shared" si="361"/>
        <v>75240</v>
      </c>
      <c r="I1943" s="27">
        <v>0</v>
      </c>
      <c r="J1943" s="28"/>
      <c r="K1943" s="27">
        <v>0</v>
      </c>
      <c r="L1943" s="28"/>
      <c r="M1943" s="86" t="s">
        <v>2856</v>
      </c>
      <c r="N1943" t="s">
        <v>2856</v>
      </c>
      <c r="P1943" t="s">
        <v>248</v>
      </c>
      <c r="Q1943" t="s">
        <v>2856</v>
      </c>
      <c r="R1943" t="s">
        <v>141</v>
      </c>
    </row>
    <row r="1944" spans="1:30" ht="18" customHeight="1" x14ac:dyDescent="0.15">
      <c r="A1944" s="2" t="s">
        <v>331</v>
      </c>
      <c r="B1944" s="87" t="s">
        <v>33</v>
      </c>
      <c r="C1944" s="2">
        <v>31.4</v>
      </c>
      <c r="D1944" s="2" t="s">
        <v>1670</v>
      </c>
      <c r="E1944" s="27">
        <f t="shared" si="360"/>
        <v>9550</v>
      </c>
      <c r="F1944" s="28">
        <f t="shared" si="359"/>
        <v>299870</v>
      </c>
      <c r="G1944" s="27">
        <f>자재조서!E51</f>
        <v>9550</v>
      </c>
      <c r="H1944" s="28">
        <f t="shared" si="361"/>
        <v>299870</v>
      </c>
      <c r="I1944" s="27">
        <v>0</v>
      </c>
      <c r="J1944" s="28"/>
      <c r="K1944" s="27">
        <v>0</v>
      </c>
      <c r="L1944" s="28"/>
      <c r="M1944" s="86" t="s">
        <v>2856</v>
      </c>
      <c r="N1944" t="s">
        <v>2856</v>
      </c>
      <c r="P1944" t="s">
        <v>1686</v>
      </c>
      <c r="Q1944" t="s">
        <v>2856</v>
      </c>
      <c r="R1944" t="s">
        <v>587</v>
      </c>
    </row>
    <row r="1945" spans="1:30" ht="18" customHeight="1" x14ac:dyDescent="0.15">
      <c r="A1945" s="2" t="s">
        <v>331</v>
      </c>
      <c r="B1945" s="87" t="s">
        <v>850</v>
      </c>
      <c r="C1945" s="2">
        <v>77.599999999999994</v>
      </c>
      <c r="D1945" s="2" t="s">
        <v>1670</v>
      </c>
      <c r="E1945" s="27">
        <f t="shared" si="360"/>
        <v>4610</v>
      </c>
      <c r="F1945" s="28">
        <f t="shared" si="359"/>
        <v>357736</v>
      </c>
      <c r="G1945" s="27">
        <f>자재조서!E52</f>
        <v>4610</v>
      </c>
      <c r="H1945" s="28">
        <f t="shared" si="361"/>
        <v>357736</v>
      </c>
      <c r="I1945" s="27">
        <v>0</v>
      </c>
      <c r="J1945" s="28"/>
      <c r="K1945" s="27">
        <v>0</v>
      </c>
      <c r="L1945" s="28"/>
      <c r="M1945" s="86" t="s">
        <v>2856</v>
      </c>
      <c r="N1945" t="s">
        <v>2856</v>
      </c>
      <c r="P1945" t="s">
        <v>954</v>
      </c>
      <c r="Q1945" t="s">
        <v>2856</v>
      </c>
      <c r="R1945" t="s">
        <v>1596</v>
      </c>
    </row>
    <row r="1946" spans="1:30" ht="18" customHeight="1" x14ac:dyDescent="0.15">
      <c r="A1946" s="79" t="s">
        <v>567</v>
      </c>
      <c r="B1946" s="87" t="s">
        <v>3074</v>
      </c>
      <c r="C1946" s="2">
        <v>0.50600000000000001</v>
      </c>
      <c r="D1946" s="2" t="s">
        <v>978</v>
      </c>
      <c r="E1946" s="27">
        <f t="shared" si="360"/>
        <v>2661254</v>
      </c>
      <c r="F1946" s="28">
        <f t="shared" si="359"/>
        <v>1346594.4000000001</v>
      </c>
      <c r="G1946" s="27">
        <f>일위대가목록!F280</f>
        <v>0</v>
      </c>
      <c r="H1946" s="28">
        <f t="shared" si="361"/>
        <v>0</v>
      </c>
      <c r="I1946" s="27">
        <f>일위대가목록!H280</f>
        <v>2599062</v>
      </c>
      <c r="J1946" s="28">
        <f>TRUNC(I1946*C1946,1)</f>
        <v>1315125.3</v>
      </c>
      <c r="K1946" s="27">
        <f>일위대가목록!J280</f>
        <v>62192</v>
      </c>
      <c r="L1946" s="28">
        <f>TRUNC(K1946*C1946,1)</f>
        <v>31469.1</v>
      </c>
      <c r="M1946" s="86" t="s">
        <v>2856</v>
      </c>
      <c r="N1946" t="s">
        <v>2856</v>
      </c>
      <c r="P1946" t="s">
        <v>983</v>
      </c>
      <c r="Q1946" t="s">
        <v>2856</v>
      </c>
      <c r="R1946" t="s">
        <v>3063</v>
      </c>
      <c r="T1946" t="s">
        <v>1778</v>
      </c>
    </row>
    <row r="1947" spans="1:30" ht="18" customHeight="1" x14ac:dyDescent="0.15">
      <c r="A1947" s="2" t="s">
        <v>1470</v>
      </c>
      <c r="B1947" s="87" t="s">
        <v>1226</v>
      </c>
      <c r="C1947" s="2">
        <v>18.559999999999999</v>
      </c>
      <c r="D1947" s="2" t="s">
        <v>1202</v>
      </c>
      <c r="E1947" s="27">
        <f t="shared" si="360"/>
        <v>66000</v>
      </c>
      <c r="F1947" s="28">
        <f t="shared" si="359"/>
        <v>1224960</v>
      </c>
      <c r="G1947" s="27">
        <f>자재조서!E56</f>
        <v>66000</v>
      </c>
      <c r="H1947" s="28">
        <f t="shared" si="361"/>
        <v>1224960</v>
      </c>
      <c r="I1947" s="27">
        <v>0</v>
      </c>
      <c r="J1947" s="28"/>
      <c r="K1947" s="27">
        <v>0</v>
      </c>
      <c r="L1947" s="28"/>
      <c r="M1947" s="86" t="s">
        <v>1601</v>
      </c>
      <c r="N1947" t="s">
        <v>2856</v>
      </c>
      <c r="P1947" t="s">
        <v>2389</v>
      </c>
      <c r="Q1947" t="s">
        <v>1839</v>
      </c>
      <c r="R1947" t="s">
        <v>936</v>
      </c>
      <c r="W1947" t="s">
        <v>1601</v>
      </c>
    </row>
    <row r="1948" spans="1:30" ht="18" customHeight="1" x14ac:dyDescent="0.15">
      <c r="A1948" s="2" t="s">
        <v>323</v>
      </c>
      <c r="B1948" s="87" t="s">
        <v>503</v>
      </c>
      <c r="C1948" s="2">
        <v>6</v>
      </c>
      <c r="D1948" s="2" t="s">
        <v>588</v>
      </c>
      <c r="E1948" s="27">
        <f t="shared" si="360"/>
        <v>0</v>
      </c>
      <c r="F1948" s="28">
        <f t="shared" si="359"/>
        <v>73497.600000000006</v>
      </c>
      <c r="G1948" s="1"/>
      <c r="H1948" s="28">
        <f>TRUNC((H1947*0.06),1)</f>
        <v>73497.600000000006</v>
      </c>
      <c r="I1948" s="1"/>
      <c r="J1948" s="28">
        <v>0</v>
      </c>
      <c r="K1948" s="1"/>
      <c r="L1948" s="28">
        <v>0</v>
      </c>
      <c r="M1948" s="86" t="s">
        <v>2856</v>
      </c>
      <c r="N1948" t="s">
        <v>2856</v>
      </c>
      <c r="P1948" t="s">
        <v>189</v>
      </c>
      <c r="Q1948" t="s">
        <v>2856</v>
      </c>
      <c r="R1948" t="s">
        <v>2405</v>
      </c>
      <c r="X1948" t="s">
        <v>2552</v>
      </c>
      <c r="AA1948" s="83" t="s">
        <v>2127</v>
      </c>
      <c r="AB1948" s="72">
        <f>[321]일위대가_호표!H1901*0.06</f>
        <v>0</v>
      </c>
      <c r="AC1948" s="83" t="s">
        <v>2369</v>
      </c>
      <c r="AD1948" s="73">
        <f>$AB1947</f>
        <v>0</v>
      </c>
    </row>
    <row r="1949" spans="1:30" ht="18" customHeight="1" x14ac:dyDescent="0.15">
      <c r="A1949" s="2" t="s">
        <v>982</v>
      </c>
      <c r="B1949" s="87" t="s">
        <v>2232</v>
      </c>
      <c r="C1949" s="2">
        <v>16.88</v>
      </c>
      <c r="D1949" s="2" t="s">
        <v>1202</v>
      </c>
      <c r="E1949" s="27">
        <f t="shared" si="360"/>
        <v>55826</v>
      </c>
      <c r="F1949" s="28">
        <f t="shared" si="359"/>
        <v>942342.8</v>
      </c>
      <c r="G1949" s="27">
        <f>일위대가목록!F254</f>
        <v>0</v>
      </c>
      <c r="H1949" s="28">
        <f>TRUNC(G1949*C1949,1)</f>
        <v>0</v>
      </c>
      <c r="I1949" s="27">
        <f>일위대가목록!H254</f>
        <v>55826</v>
      </c>
      <c r="J1949" s="28">
        <f>TRUNC(I1949*C1949,1)</f>
        <v>942342.8</v>
      </c>
      <c r="K1949" s="27">
        <f>일위대가목록!J254</f>
        <v>0</v>
      </c>
      <c r="L1949" s="28">
        <f>TRUNC(K1949*C1949,1)</f>
        <v>0</v>
      </c>
      <c r="M1949" s="86" t="s">
        <v>2856</v>
      </c>
      <c r="N1949" t="s">
        <v>2856</v>
      </c>
      <c r="P1949" t="s">
        <v>904</v>
      </c>
      <c r="Q1949" t="s">
        <v>2856</v>
      </c>
      <c r="R1949" t="s">
        <v>1522</v>
      </c>
      <c r="T1949" t="s">
        <v>1778</v>
      </c>
    </row>
    <row r="1950" spans="1:30" ht="18" customHeight="1" x14ac:dyDescent="0.15">
      <c r="A1950" s="2" t="s">
        <v>1188</v>
      </c>
      <c r="B1950" s="87" t="s">
        <v>2848</v>
      </c>
      <c r="C1950" s="2">
        <v>42.19</v>
      </c>
      <c r="D1950" s="2" t="s">
        <v>1202</v>
      </c>
      <c r="E1950" s="27">
        <f t="shared" si="360"/>
        <v>12165</v>
      </c>
      <c r="F1950" s="28">
        <f t="shared" si="359"/>
        <v>513241.2</v>
      </c>
      <c r="G1950" s="27">
        <f>일위대가목록!F255</f>
        <v>1188</v>
      </c>
      <c r="H1950" s="28">
        <f>TRUNC(G1950*C1950,1)</f>
        <v>50121.7</v>
      </c>
      <c r="I1950" s="27">
        <f>일위대가목록!H255</f>
        <v>10762</v>
      </c>
      <c r="J1950" s="28">
        <f>TRUNC(I1950*C1950,1)</f>
        <v>454048.7</v>
      </c>
      <c r="K1950" s="27">
        <f>일위대가목록!J255</f>
        <v>215</v>
      </c>
      <c r="L1950" s="28">
        <f>TRUNC(K1950*C1950,1)</f>
        <v>9070.7999999999993</v>
      </c>
      <c r="M1950" s="86" t="s">
        <v>2856</v>
      </c>
      <c r="N1950" t="s">
        <v>2856</v>
      </c>
      <c r="P1950" t="s">
        <v>1640</v>
      </c>
      <c r="Q1950" t="s">
        <v>2856</v>
      </c>
      <c r="R1950" t="s">
        <v>1058</v>
      </c>
      <c r="T1950" t="s">
        <v>1778</v>
      </c>
    </row>
    <row r="1951" spans="1:30" ht="18" customHeight="1" x14ac:dyDescent="0.15">
      <c r="A1951" s="2" t="s">
        <v>3118</v>
      </c>
      <c r="B1951" s="87" t="s">
        <v>3119</v>
      </c>
      <c r="C1951" s="2">
        <v>10</v>
      </c>
      <c r="D1951" s="2" t="s">
        <v>1160</v>
      </c>
      <c r="E1951" s="27">
        <f t="shared" si="360"/>
        <v>0</v>
      </c>
      <c r="F1951" s="28">
        <f t="shared" si="359"/>
        <v>0</v>
      </c>
      <c r="G1951" s="27">
        <f>[321]자재조서!E1798</f>
        <v>0</v>
      </c>
      <c r="H1951" s="28">
        <f>TRUNC(G1951*C1951,1)</f>
        <v>0</v>
      </c>
      <c r="I1951" s="27">
        <v>0</v>
      </c>
      <c r="J1951" s="28"/>
      <c r="K1951" s="27">
        <v>0</v>
      </c>
      <c r="L1951" s="28"/>
      <c r="M1951" s="86" t="s">
        <v>1601</v>
      </c>
      <c r="N1951" t="s">
        <v>2856</v>
      </c>
      <c r="P1951" t="s">
        <v>2340</v>
      </c>
      <c r="Q1951" t="s">
        <v>1839</v>
      </c>
      <c r="R1951" t="s">
        <v>3120</v>
      </c>
    </row>
    <row r="1952" spans="1:30" ht="18" customHeight="1" x14ac:dyDescent="0.15">
      <c r="A1952" s="2" t="s">
        <v>3121</v>
      </c>
      <c r="B1952" s="87" t="s">
        <v>3119</v>
      </c>
      <c r="C1952" s="2">
        <v>10</v>
      </c>
      <c r="D1952" s="2" t="s">
        <v>1160</v>
      </c>
      <c r="E1952" s="27">
        <f t="shared" si="360"/>
        <v>47118</v>
      </c>
      <c r="F1952" s="28">
        <f t="shared" si="359"/>
        <v>471180</v>
      </c>
      <c r="G1952" s="27">
        <f>일위대가목록!F284</f>
        <v>3042</v>
      </c>
      <c r="H1952" s="28">
        <f>TRUNC(G1952*C1952,1)</f>
        <v>30420</v>
      </c>
      <c r="I1952" s="27">
        <f>일위대가목록!H284</f>
        <v>43636</v>
      </c>
      <c r="J1952" s="28">
        <f>TRUNC(I1952*C1952,1)</f>
        <v>436360</v>
      </c>
      <c r="K1952" s="27">
        <f>일위대가목록!J284</f>
        <v>440</v>
      </c>
      <c r="L1952" s="28">
        <f>TRUNC(K1952*C1952,1)</f>
        <v>4400</v>
      </c>
      <c r="M1952" s="86" t="s">
        <v>2856</v>
      </c>
      <c r="N1952" t="s">
        <v>2856</v>
      </c>
      <c r="P1952" t="s">
        <v>317</v>
      </c>
      <c r="Q1952" t="s">
        <v>2856</v>
      </c>
      <c r="R1952" t="s">
        <v>3122</v>
      </c>
      <c r="T1952" t="s">
        <v>1778</v>
      </c>
    </row>
    <row r="1953" spans="1:30" ht="18.399999999999999" customHeight="1" x14ac:dyDescent="0.15">
      <c r="A1953" s="66" t="s">
        <v>3046</v>
      </c>
      <c r="B1953" s="175" t="s">
        <v>3245</v>
      </c>
      <c r="C1953" s="63"/>
      <c r="D1953" s="63"/>
      <c r="E1953" s="64"/>
      <c r="F1953" s="65">
        <f t="shared" si="359"/>
        <v>4079250</v>
      </c>
      <c r="G1953" s="66"/>
      <c r="H1953" s="65">
        <f>TRUNC(H1934*$B$1953)</f>
        <v>900792</v>
      </c>
      <c r="I1953" s="66"/>
      <c r="J1953" s="65">
        <f>TRUNC(J1934*$B$1953)</f>
        <v>3124391</v>
      </c>
      <c r="K1953" s="66"/>
      <c r="L1953" s="65">
        <f>TRUNC(L1934*$B$1953)</f>
        <v>54067</v>
      </c>
      <c r="M1953" s="186"/>
      <c r="AA1953" s="42"/>
      <c r="AB1953" s="8"/>
      <c r="AC1953" s="42"/>
      <c r="AD1953" s="7"/>
    </row>
    <row r="1954" spans="1:30" ht="18" customHeight="1" x14ac:dyDescent="0.15">
      <c r="A1954" s="1"/>
      <c r="B1954" s="87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87"/>
    </row>
    <row r="1955" spans="1:30" ht="18" customHeight="1" x14ac:dyDescent="0.15">
      <c r="A1955" s="69" t="s">
        <v>3256</v>
      </c>
      <c r="B1955" s="174" t="s">
        <v>171</v>
      </c>
      <c r="C1955" s="69">
        <v>1</v>
      </c>
      <c r="D1955" s="69" t="s">
        <v>1796</v>
      </c>
      <c r="E1955" s="185"/>
      <c r="F1955" s="70">
        <f t="shared" ref="F1955:F1974" si="362">H1955+J1955+L1955</f>
        <v>6265033</v>
      </c>
      <c r="G1955" s="185"/>
      <c r="H1955" s="70">
        <f>TRUNC(H1956+H1957+H1958+H1959+H1961+H1965+H1967+H1962+H1963+H1964+H1966+H1969+H1970+H1971+H1973,0)</f>
        <v>1356114</v>
      </c>
      <c r="I1955" s="185"/>
      <c r="J1955" s="70">
        <f>TRUNC(J1956+J1957+J1958+J1959+J1961+J1965+J1967+J1962+J1963+J1964+J1966+J1969+J1970+J1971+J1973,0)</f>
        <v>4828848</v>
      </c>
      <c r="K1955" s="185"/>
      <c r="L1955" s="70">
        <f>TRUNC(L1956+L1957+L1958+L1959+L1961+L1965+L1967+L1962+L1963+L1964+L1966+L1969+L1970+L1971+L1973,0)</f>
        <v>80071</v>
      </c>
      <c r="M1955" s="181" t="s">
        <v>2856</v>
      </c>
      <c r="N1955" t="s">
        <v>2856</v>
      </c>
      <c r="O1955" t="s">
        <v>3064</v>
      </c>
    </row>
    <row r="1956" spans="1:30" ht="18" customHeight="1" x14ac:dyDescent="0.15">
      <c r="A1956" s="2" t="s">
        <v>1163</v>
      </c>
      <c r="B1956" s="87" t="s">
        <v>1879</v>
      </c>
      <c r="C1956" s="2">
        <v>4.12</v>
      </c>
      <c r="D1956" s="2" t="s">
        <v>2825</v>
      </c>
      <c r="E1956" s="27">
        <f t="shared" ref="E1956:E1973" si="363">G1956+I1956+K1956</f>
        <v>33416</v>
      </c>
      <c r="F1956" s="28">
        <f t="shared" si="362"/>
        <v>137673.9</v>
      </c>
      <c r="G1956" s="27">
        <f>일위대가목록!F249</f>
        <v>0</v>
      </c>
      <c r="H1956" s="28">
        <f t="shared" ref="H1956:H1968" si="364">TRUNC(G1956*C1956,1)</f>
        <v>0</v>
      </c>
      <c r="I1956" s="27">
        <f>일위대가목록!H249</f>
        <v>33416</v>
      </c>
      <c r="J1956" s="28">
        <f>TRUNC(I1956*C1956,1)</f>
        <v>137673.9</v>
      </c>
      <c r="K1956" s="27">
        <f>일위대가목록!J249</f>
        <v>0</v>
      </c>
      <c r="L1956" s="28">
        <f>TRUNC(K1956*C1956,1)</f>
        <v>0</v>
      </c>
      <c r="M1956" s="86" t="s">
        <v>2856</v>
      </c>
      <c r="N1956" t="s">
        <v>2856</v>
      </c>
      <c r="P1956" t="s">
        <v>334</v>
      </c>
      <c r="Q1956" t="s">
        <v>2856</v>
      </c>
      <c r="R1956" t="s">
        <v>69</v>
      </c>
      <c r="T1956" t="s">
        <v>2405</v>
      </c>
    </row>
    <row r="1957" spans="1:30" ht="18" customHeight="1" x14ac:dyDescent="0.15">
      <c r="A1957" s="2" t="s">
        <v>1112</v>
      </c>
      <c r="B1957" s="87" t="s">
        <v>394</v>
      </c>
      <c r="C1957" s="2">
        <v>0.56999999999999995</v>
      </c>
      <c r="D1957" s="2" t="s">
        <v>2825</v>
      </c>
      <c r="E1957" s="27">
        <f t="shared" si="363"/>
        <v>33416</v>
      </c>
      <c r="F1957" s="28">
        <f t="shared" si="362"/>
        <v>19047.099999999999</v>
      </c>
      <c r="G1957" s="27">
        <f>일위대가목록!F250</f>
        <v>0</v>
      </c>
      <c r="H1957" s="28">
        <f t="shared" si="364"/>
        <v>0</v>
      </c>
      <c r="I1957" s="27">
        <f>일위대가목록!H250</f>
        <v>33416</v>
      </c>
      <c r="J1957" s="28">
        <f>TRUNC(I1957*C1957,1)</f>
        <v>19047.099999999999</v>
      </c>
      <c r="K1957" s="27">
        <f>일위대가목록!J250</f>
        <v>0</v>
      </c>
      <c r="L1957" s="28">
        <f>TRUNC(K1957*C1957,1)</f>
        <v>0</v>
      </c>
      <c r="M1957" s="86" t="s">
        <v>2856</v>
      </c>
      <c r="N1957" t="s">
        <v>2856</v>
      </c>
      <c r="P1957" t="s">
        <v>2471</v>
      </c>
      <c r="Q1957" t="s">
        <v>2856</v>
      </c>
      <c r="R1957" t="s">
        <v>1705</v>
      </c>
      <c r="T1957" t="s">
        <v>2405</v>
      </c>
    </row>
    <row r="1958" spans="1:30" ht="18" customHeight="1" x14ac:dyDescent="0.15">
      <c r="A1958" s="2" t="s">
        <v>2451</v>
      </c>
      <c r="B1958" s="87" t="s">
        <v>129</v>
      </c>
      <c r="C1958" s="2">
        <v>3.55</v>
      </c>
      <c r="D1958" s="2" t="s">
        <v>2825</v>
      </c>
      <c r="E1958" s="27">
        <f t="shared" si="363"/>
        <v>16708</v>
      </c>
      <c r="F1958" s="28">
        <f t="shared" si="362"/>
        <v>59313.4</v>
      </c>
      <c r="G1958" s="27">
        <f>일위대가목록!F251</f>
        <v>0</v>
      </c>
      <c r="H1958" s="28">
        <f t="shared" si="364"/>
        <v>0</v>
      </c>
      <c r="I1958" s="27">
        <f>일위대가목록!H251</f>
        <v>16708</v>
      </c>
      <c r="J1958" s="28">
        <f>TRUNC(I1958*C1958,1)</f>
        <v>59313.4</v>
      </c>
      <c r="K1958" s="27">
        <f>일위대가목록!J251</f>
        <v>0</v>
      </c>
      <c r="L1958" s="28">
        <f>TRUNC(K1958*C1958,1)</f>
        <v>0</v>
      </c>
      <c r="M1958" s="86" t="s">
        <v>2856</v>
      </c>
      <c r="N1958" t="s">
        <v>2856</v>
      </c>
      <c r="P1958" t="s">
        <v>1741</v>
      </c>
      <c r="Q1958" t="s">
        <v>2856</v>
      </c>
      <c r="R1958" t="s">
        <v>1429</v>
      </c>
      <c r="T1958" t="s">
        <v>2405</v>
      </c>
    </row>
    <row r="1959" spans="1:30" ht="18" customHeight="1" x14ac:dyDescent="0.15">
      <c r="A1959" s="2" t="s">
        <v>832</v>
      </c>
      <c r="B1959" s="87" t="s">
        <v>610</v>
      </c>
      <c r="C1959" s="2">
        <v>7.56</v>
      </c>
      <c r="D1959" s="2" t="s">
        <v>1202</v>
      </c>
      <c r="E1959" s="27">
        <f t="shared" si="363"/>
        <v>45715</v>
      </c>
      <c r="F1959" s="28">
        <f t="shared" si="362"/>
        <v>345605.30000000005</v>
      </c>
      <c r="G1959" s="27">
        <f>일위대가목록!F236</f>
        <v>11180</v>
      </c>
      <c r="H1959" s="28">
        <f t="shared" si="364"/>
        <v>84520.8</v>
      </c>
      <c r="I1959" s="27">
        <f>일위대가목록!H236</f>
        <v>34194</v>
      </c>
      <c r="J1959" s="28">
        <f>TRUNC(I1959*C1959,1)</f>
        <v>258506.6</v>
      </c>
      <c r="K1959" s="27">
        <f>일위대가목록!J236</f>
        <v>341</v>
      </c>
      <c r="L1959" s="28">
        <f>TRUNC(K1959*C1959,1)</f>
        <v>2577.9</v>
      </c>
      <c r="M1959" s="86" t="s">
        <v>2856</v>
      </c>
      <c r="N1959" t="s">
        <v>2856</v>
      </c>
      <c r="P1959" t="s">
        <v>1036</v>
      </c>
      <c r="Q1959" t="s">
        <v>2856</v>
      </c>
      <c r="R1959" t="s">
        <v>1998</v>
      </c>
      <c r="T1959" t="s">
        <v>1778</v>
      </c>
    </row>
    <row r="1960" spans="1:30" ht="18" customHeight="1" x14ac:dyDescent="0.15">
      <c r="A1960" s="2" t="s">
        <v>1632</v>
      </c>
      <c r="B1960" s="87" t="s">
        <v>2279</v>
      </c>
      <c r="C1960" s="2">
        <v>0.57999999999999996</v>
      </c>
      <c r="D1960" s="2" t="s">
        <v>2825</v>
      </c>
      <c r="E1960" s="27">
        <f t="shared" si="363"/>
        <v>0</v>
      </c>
      <c r="F1960" s="28">
        <f t="shared" si="362"/>
        <v>0</v>
      </c>
      <c r="G1960" s="27">
        <f>TRUNC([320]자재조서!E881*0,2)</f>
        <v>0</v>
      </c>
      <c r="H1960" s="28">
        <f t="shared" si="364"/>
        <v>0</v>
      </c>
      <c r="I1960" s="27">
        <v>0</v>
      </c>
      <c r="J1960" s="28"/>
      <c r="K1960" s="27">
        <v>0</v>
      </c>
      <c r="L1960" s="28"/>
      <c r="M1960" s="86" t="s">
        <v>1601</v>
      </c>
      <c r="N1960" t="s">
        <v>2856</v>
      </c>
      <c r="P1960" t="s">
        <v>286</v>
      </c>
      <c r="Q1960" t="s">
        <v>1839</v>
      </c>
      <c r="R1960" t="s">
        <v>2547</v>
      </c>
      <c r="W1960" t="s">
        <v>1601</v>
      </c>
    </row>
    <row r="1961" spans="1:30" ht="18" customHeight="1" x14ac:dyDescent="0.15">
      <c r="A1961" s="2" t="s">
        <v>54</v>
      </c>
      <c r="B1961" s="87" t="s">
        <v>1255</v>
      </c>
      <c r="C1961" s="2">
        <v>0.56999999999999995</v>
      </c>
      <c r="D1961" s="2" t="s">
        <v>2825</v>
      </c>
      <c r="E1961" s="27">
        <f t="shared" si="363"/>
        <v>55166</v>
      </c>
      <c r="F1961" s="28">
        <f t="shared" si="362"/>
        <v>31444.5</v>
      </c>
      <c r="G1961" s="27">
        <f>일위대가목록!F235</f>
        <v>2538</v>
      </c>
      <c r="H1961" s="28">
        <f t="shared" si="364"/>
        <v>1446.6</v>
      </c>
      <c r="I1961" s="27">
        <f>일위대가목록!H235</f>
        <v>22449</v>
      </c>
      <c r="J1961" s="28">
        <f>TRUNC(I1961*C1961,1)</f>
        <v>12795.9</v>
      </c>
      <c r="K1961" s="27">
        <f>일위대가목록!J235</f>
        <v>30179</v>
      </c>
      <c r="L1961" s="28">
        <f>TRUNC(K1961*C1961,1)</f>
        <v>17202</v>
      </c>
      <c r="M1961" s="86" t="s">
        <v>2856</v>
      </c>
      <c r="N1961" t="s">
        <v>2856</v>
      </c>
      <c r="P1961" t="s">
        <v>2428</v>
      </c>
      <c r="Q1961" t="s">
        <v>2856</v>
      </c>
      <c r="R1961" t="s">
        <v>668</v>
      </c>
      <c r="T1961" t="s">
        <v>1778</v>
      </c>
    </row>
    <row r="1962" spans="1:30" ht="18" customHeight="1" x14ac:dyDescent="0.15">
      <c r="A1962" s="2" t="s">
        <v>485</v>
      </c>
      <c r="B1962" s="87" t="s">
        <v>1172</v>
      </c>
      <c r="C1962" s="2">
        <v>65.945999999999998</v>
      </c>
      <c r="D1962" s="2" t="s">
        <v>1674</v>
      </c>
      <c r="E1962" s="27">
        <f t="shared" si="363"/>
        <v>1210</v>
      </c>
      <c r="F1962" s="28">
        <f t="shared" si="362"/>
        <v>79794.600000000006</v>
      </c>
      <c r="G1962" s="27">
        <f>자재조서!E76</f>
        <v>1210</v>
      </c>
      <c r="H1962" s="28">
        <f t="shared" si="364"/>
        <v>79794.600000000006</v>
      </c>
      <c r="I1962" s="27">
        <v>0</v>
      </c>
      <c r="J1962" s="28"/>
      <c r="K1962" s="27">
        <v>0</v>
      </c>
      <c r="L1962" s="28"/>
      <c r="M1962" s="86" t="s">
        <v>2856</v>
      </c>
      <c r="N1962" t="s">
        <v>2856</v>
      </c>
      <c r="P1962" t="s">
        <v>1686</v>
      </c>
      <c r="Q1962" t="s">
        <v>2856</v>
      </c>
      <c r="R1962" t="s">
        <v>1687</v>
      </c>
    </row>
    <row r="1963" spans="1:30" ht="18" customHeight="1" x14ac:dyDescent="0.15">
      <c r="A1963" s="2" t="s">
        <v>1877</v>
      </c>
      <c r="B1963" s="87" t="s">
        <v>2492</v>
      </c>
      <c r="C1963" s="2">
        <v>1.8140000000000001</v>
      </c>
      <c r="D1963" s="2" t="s">
        <v>1202</v>
      </c>
      <c r="E1963" s="27">
        <f t="shared" si="363"/>
        <v>10589</v>
      </c>
      <c r="F1963" s="28">
        <f t="shared" si="362"/>
        <v>19208.399999999998</v>
      </c>
      <c r="G1963" s="27">
        <f>일위대가목록!F252</f>
        <v>1881</v>
      </c>
      <c r="H1963" s="28">
        <f t="shared" si="364"/>
        <v>3412.1</v>
      </c>
      <c r="I1963" s="27">
        <f>일위대가목록!H252</f>
        <v>8708</v>
      </c>
      <c r="J1963" s="28">
        <f>TRUNC(I1963*C1963,1)</f>
        <v>15796.3</v>
      </c>
      <c r="K1963" s="27">
        <f>일위대가목록!J252</f>
        <v>0</v>
      </c>
      <c r="L1963" s="28">
        <f>TRUNC(K1963*C1963,1)</f>
        <v>0</v>
      </c>
      <c r="M1963" s="86" t="s">
        <v>2856</v>
      </c>
      <c r="N1963" t="s">
        <v>2856</v>
      </c>
      <c r="P1963" t="s">
        <v>983</v>
      </c>
      <c r="Q1963" t="s">
        <v>2856</v>
      </c>
      <c r="R1963" t="s">
        <v>799</v>
      </c>
      <c r="T1963" t="s">
        <v>1778</v>
      </c>
    </row>
    <row r="1964" spans="1:30" ht="18" customHeight="1" x14ac:dyDescent="0.15">
      <c r="A1964" s="2" t="s">
        <v>1065</v>
      </c>
      <c r="B1964" s="87" t="s">
        <v>1019</v>
      </c>
      <c r="C1964" s="2">
        <v>88</v>
      </c>
      <c r="D1964" s="2" t="s">
        <v>773</v>
      </c>
      <c r="E1964" s="27">
        <f t="shared" si="363"/>
        <v>990</v>
      </c>
      <c r="F1964" s="28">
        <f t="shared" si="362"/>
        <v>87120</v>
      </c>
      <c r="G1964" s="27">
        <f>자재조서!E75</f>
        <v>990</v>
      </c>
      <c r="H1964" s="28">
        <f t="shared" si="364"/>
        <v>87120</v>
      </c>
      <c r="I1964" s="27">
        <v>0</v>
      </c>
      <c r="J1964" s="28"/>
      <c r="K1964" s="27">
        <v>0</v>
      </c>
      <c r="L1964" s="28"/>
      <c r="M1964" s="86" t="s">
        <v>2856</v>
      </c>
      <c r="N1964" t="s">
        <v>2856</v>
      </c>
      <c r="P1964" t="s">
        <v>248</v>
      </c>
      <c r="Q1964" t="s">
        <v>2856</v>
      </c>
      <c r="R1964" t="s">
        <v>141</v>
      </c>
    </row>
    <row r="1965" spans="1:30" ht="18" customHeight="1" x14ac:dyDescent="0.15">
      <c r="A1965" s="2" t="s">
        <v>331</v>
      </c>
      <c r="B1965" s="87" t="s">
        <v>33</v>
      </c>
      <c r="C1965" s="2">
        <v>41.27</v>
      </c>
      <c r="D1965" s="2" t="s">
        <v>1670</v>
      </c>
      <c r="E1965" s="27">
        <f t="shared" si="363"/>
        <v>9550</v>
      </c>
      <c r="F1965" s="28">
        <f t="shared" si="362"/>
        <v>394128.5</v>
      </c>
      <c r="G1965" s="27">
        <f>자재조서!E51</f>
        <v>9550</v>
      </c>
      <c r="H1965" s="28">
        <f t="shared" si="364"/>
        <v>394128.5</v>
      </c>
      <c r="I1965" s="27">
        <v>0</v>
      </c>
      <c r="J1965" s="28"/>
      <c r="K1965" s="27">
        <v>0</v>
      </c>
      <c r="L1965" s="28"/>
      <c r="M1965" s="86" t="s">
        <v>2856</v>
      </c>
      <c r="N1965" t="s">
        <v>2856</v>
      </c>
      <c r="P1965" t="s">
        <v>1686</v>
      </c>
      <c r="Q1965" t="s">
        <v>2856</v>
      </c>
      <c r="R1965" t="s">
        <v>587</v>
      </c>
    </row>
    <row r="1966" spans="1:30" ht="18" customHeight="1" x14ac:dyDescent="0.15">
      <c r="A1966" s="2" t="s">
        <v>331</v>
      </c>
      <c r="B1966" s="87" t="s">
        <v>850</v>
      </c>
      <c r="C1966" s="2">
        <v>105.53</v>
      </c>
      <c r="D1966" s="2" t="s">
        <v>1670</v>
      </c>
      <c r="E1966" s="27">
        <f t="shared" si="363"/>
        <v>4610</v>
      </c>
      <c r="F1966" s="28">
        <f t="shared" si="362"/>
        <v>486493.3</v>
      </c>
      <c r="G1966" s="27">
        <f>자재조서!E52</f>
        <v>4610</v>
      </c>
      <c r="H1966" s="28">
        <f t="shared" si="364"/>
        <v>486493.3</v>
      </c>
      <c r="I1966" s="27">
        <v>0</v>
      </c>
      <c r="J1966" s="28"/>
      <c r="K1966" s="27">
        <v>0</v>
      </c>
      <c r="L1966" s="28"/>
      <c r="M1966" s="86" t="s">
        <v>2856</v>
      </c>
      <c r="N1966" t="s">
        <v>2856</v>
      </c>
      <c r="P1966" t="s">
        <v>954</v>
      </c>
      <c r="Q1966" t="s">
        <v>2856</v>
      </c>
      <c r="R1966" t="s">
        <v>1596</v>
      </c>
    </row>
    <row r="1967" spans="1:30" ht="18" customHeight="1" x14ac:dyDescent="0.15">
      <c r="A1967" s="79" t="s">
        <v>567</v>
      </c>
      <c r="B1967" s="87" t="s">
        <v>3074</v>
      </c>
      <c r="C1967" s="2">
        <v>0.66900000000000004</v>
      </c>
      <c r="D1967" s="2" t="s">
        <v>978</v>
      </c>
      <c r="E1967" s="27">
        <f t="shared" si="363"/>
        <v>2661254</v>
      </c>
      <c r="F1967" s="28">
        <f t="shared" si="362"/>
        <v>1780378.7999999998</v>
      </c>
      <c r="G1967" s="27">
        <f>일위대가목록!F280</f>
        <v>0</v>
      </c>
      <c r="H1967" s="28">
        <f t="shared" si="364"/>
        <v>0</v>
      </c>
      <c r="I1967" s="27">
        <f>일위대가목록!H280</f>
        <v>2599062</v>
      </c>
      <c r="J1967" s="28">
        <f>TRUNC(I1967*C1967,1)</f>
        <v>1738772.4</v>
      </c>
      <c r="K1967" s="27">
        <f>일위대가목록!J280</f>
        <v>62192</v>
      </c>
      <c r="L1967" s="28">
        <f>TRUNC(K1967*C1967,1)</f>
        <v>41606.400000000001</v>
      </c>
      <c r="M1967" s="86" t="s">
        <v>2856</v>
      </c>
      <c r="N1967" t="s">
        <v>2856</v>
      </c>
      <c r="P1967" t="s">
        <v>983</v>
      </c>
      <c r="Q1967" t="s">
        <v>2856</v>
      </c>
      <c r="R1967" t="s">
        <v>3063</v>
      </c>
      <c r="T1967" t="s">
        <v>1778</v>
      </c>
    </row>
    <row r="1968" spans="1:30" ht="18" customHeight="1" x14ac:dyDescent="0.15">
      <c r="A1968" s="2" t="s">
        <v>1470</v>
      </c>
      <c r="B1968" s="87" t="s">
        <v>1226</v>
      </c>
      <c r="C1968" s="2">
        <v>27.43</v>
      </c>
      <c r="D1968" s="2" t="s">
        <v>1202</v>
      </c>
      <c r="E1968" s="27">
        <f t="shared" si="363"/>
        <v>66000</v>
      </c>
      <c r="F1968" s="28">
        <f t="shared" si="362"/>
        <v>1810380</v>
      </c>
      <c r="G1968" s="27">
        <f>자재조서!E56</f>
        <v>66000</v>
      </c>
      <c r="H1968" s="28">
        <f t="shared" si="364"/>
        <v>1810380</v>
      </c>
      <c r="I1968" s="27">
        <v>0</v>
      </c>
      <c r="J1968" s="28"/>
      <c r="K1968" s="27">
        <v>0</v>
      </c>
      <c r="L1968" s="28"/>
      <c r="M1968" s="86" t="s">
        <v>1601</v>
      </c>
      <c r="N1968" t="s">
        <v>2856</v>
      </c>
      <c r="P1968" t="s">
        <v>2389</v>
      </c>
      <c r="Q1968" t="s">
        <v>1839</v>
      </c>
      <c r="R1968" t="s">
        <v>936</v>
      </c>
      <c r="W1968" t="s">
        <v>1601</v>
      </c>
    </row>
    <row r="1969" spans="1:30" ht="18" customHeight="1" x14ac:dyDescent="0.15">
      <c r="A1969" s="2" t="s">
        <v>323</v>
      </c>
      <c r="B1969" s="87" t="s">
        <v>503</v>
      </c>
      <c r="C1969" s="2">
        <v>6</v>
      </c>
      <c r="D1969" s="2" t="s">
        <v>588</v>
      </c>
      <c r="E1969" s="27">
        <f t="shared" si="363"/>
        <v>0</v>
      </c>
      <c r="F1969" s="28">
        <f t="shared" si="362"/>
        <v>108622.8</v>
      </c>
      <c r="G1969" s="1"/>
      <c r="H1969" s="28">
        <f>TRUNC((H1968*0.06),1)</f>
        <v>108622.8</v>
      </c>
      <c r="I1969" s="1"/>
      <c r="J1969" s="28">
        <v>0</v>
      </c>
      <c r="K1969" s="1"/>
      <c r="L1969" s="28">
        <v>0</v>
      </c>
      <c r="M1969" s="86" t="s">
        <v>2856</v>
      </c>
      <c r="N1969" t="s">
        <v>2856</v>
      </c>
      <c r="P1969" t="s">
        <v>189</v>
      </c>
      <c r="Q1969" t="s">
        <v>2856</v>
      </c>
      <c r="R1969" t="s">
        <v>2405</v>
      </c>
      <c r="X1969" t="s">
        <v>2552</v>
      </c>
      <c r="AA1969" s="83" t="s">
        <v>2127</v>
      </c>
      <c r="AB1969" s="72">
        <f>[321]일위대가_호표!H1922*0.06</f>
        <v>0</v>
      </c>
      <c r="AC1969" s="83" t="s">
        <v>2369</v>
      </c>
      <c r="AD1969" s="73">
        <f>$AB1968</f>
        <v>0</v>
      </c>
    </row>
    <row r="1970" spans="1:30" ht="18" customHeight="1" x14ac:dyDescent="0.15">
      <c r="A1970" s="2" t="s">
        <v>982</v>
      </c>
      <c r="B1970" s="87" t="s">
        <v>2232</v>
      </c>
      <c r="C1970" s="2">
        <v>24.94</v>
      </c>
      <c r="D1970" s="2" t="s">
        <v>1202</v>
      </c>
      <c r="E1970" s="27">
        <f t="shared" si="363"/>
        <v>55826</v>
      </c>
      <c r="F1970" s="28">
        <f t="shared" si="362"/>
        <v>1392300.4</v>
      </c>
      <c r="G1970" s="27">
        <f>일위대가목록!F254</f>
        <v>0</v>
      </c>
      <c r="H1970" s="28">
        <f>TRUNC(G1970*C1970,1)</f>
        <v>0</v>
      </c>
      <c r="I1970" s="27">
        <f>일위대가목록!H254</f>
        <v>55826</v>
      </c>
      <c r="J1970" s="28">
        <f>TRUNC(I1970*C1970,1)</f>
        <v>1392300.4</v>
      </c>
      <c r="K1970" s="27">
        <f>일위대가목록!J254</f>
        <v>0</v>
      </c>
      <c r="L1970" s="28">
        <f>TRUNC(K1970*C1970,1)</f>
        <v>0</v>
      </c>
      <c r="M1970" s="86" t="s">
        <v>2856</v>
      </c>
      <c r="N1970" t="s">
        <v>2856</v>
      </c>
      <c r="P1970" t="s">
        <v>904</v>
      </c>
      <c r="Q1970" t="s">
        <v>2856</v>
      </c>
      <c r="R1970" t="s">
        <v>1522</v>
      </c>
      <c r="T1970" t="s">
        <v>1778</v>
      </c>
    </row>
    <row r="1971" spans="1:30" ht="18" customHeight="1" x14ac:dyDescent="0.15">
      <c r="A1971" s="2" t="s">
        <v>1188</v>
      </c>
      <c r="B1971" s="87" t="s">
        <v>2848</v>
      </c>
      <c r="C1971" s="2">
        <v>62.35</v>
      </c>
      <c r="D1971" s="2" t="s">
        <v>1202</v>
      </c>
      <c r="E1971" s="27">
        <f t="shared" si="363"/>
        <v>12165</v>
      </c>
      <c r="F1971" s="28">
        <f t="shared" si="362"/>
        <v>758487.7</v>
      </c>
      <c r="G1971" s="27">
        <f>일위대가목록!F255</f>
        <v>1188</v>
      </c>
      <c r="H1971" s="28">
        <f>TRUNC(G1971*C1971,1)</f>
        <v>74071.8</v>
      </c>
      <c r="I1971" s="27">
        <f>일위대가목록!H255</f>
        <v>10762</v>
      </c>
      <c r="J1971" s="28">
        <f>TRUNC(I1971*C1971,1)</f>
        <v>671010.69999999995</v>
      </c>
      <c r="K1971" s="27">
        <f>일위대가목록!J255</f>
        <v>215</v>
      </c>
      <c r="L1971" s="28">
        <f>TRUNC(K1971*C1971,1)</f>
        <v>13405.2</v>
      </c>
      <c r="M1971" s="86" t="s">
        <v>2856</v>
      </c>
      <c r="N1971" t="s">
        <v>2856</v>
      </c>
      <c r="P1971" t="s">
        <v>1640</v>
      </c>
      <c r="Q1971" t="s">
        <v>2856</v>
      </c>
      <c r="R1971" t="s">
        <v>1058</v>
      </c>
      <c r="T1971" t="s">
        <v>1778</v>
      </c>
    </row>
    <row r="1972" spans="1:30" ht="18" customHeight="1" x14ac:dyDescent="0.15">
      <c r="A1972" s="2" t="s">
        <v>3118</v>
      </c>
      <c r="B1972" s="87" t="s">
        <v>3119</v>
      </c>
      <c r="C1972" s="2">
        <v>12</v>
      </c>
      <c r="D1972" s="2" t="s">
        <v>1160</v>
      </c>
      <c r="E1972" s="27">
        <f t="shared" si="363"/>
        <v>0</v>
      </c>
      <c r="F1972" s="28">
        <f t="shared" si="362"/>
        <v>0</v>
      </c>
      <c r="G1972" s="27">
        <f>[321]자재조서!E1799</f>
        <v>0</v>
      </c>
      <c r="H1972" s="28">
        <f>TRUNC(G1972*C1972,1)</f>
        <v>0</v>
      </c>
      <c r="I1972" s="27">
        <v>0</v>
      </c>
      <c r="J1972" s="28"/>
      <c r="K1972" s="27">
        <v>0</v>
      </c>
      <c r="L1972" s="28"/>
      <c r="M1972" s="86" t="s">
        <v>1601</v>
      </c>
      <c r="N1972" t="s">
        <v>2856</v>
      </c>
      <c r="P1972" t="s">
        <v>2340</v>
      </c>
      <c r="Q1972" t="s">
        <v>1839</v>
      </c>
      <c r="R1972" t="s">
        <v>3120</v>
      </c>
    </row>
    <row r="1973" spans="1:30" ht="18" customHeight="1" x14ac:dyDescent="0.15">
      <c r="A1973" s="2" t="s">
        <v>3121</v>
      </c>
      <c r="B1973" s="87" t="s">
        <v>3119</v>
      </c>
      <c r="C1973" s="2">
        <v>12</v>
      </c>
      <c r="D1973" s="2" t="s">
        <v>1160</v>
      </c>
      <c r="E1973" s="27">
        <f t="shared" si="363"/>
        <v>47118</v>
      </c>
      <c r="F1973" s="28">
        <f t="shared" si="362"/>
        <v>565416</v>
      </c>
      <c r="G1973" s="27">
        <f>일위대가목록!F284</f>
        <v>3042</v>
      </c>
      <c r="H1973" s="28">
        <f>TRUNC(G1973*C1973,1)</f>
        <v>36504</v>
      </c>
      <c r="I1973" s="27">
        <f>일위대가목록!H284</f>
        <v>43636</v>
      </c>
      <c r="J1973" s="28">
        <f>TRUNC(I1973*C1973,1)</f>
        <v>523632</v>
      </c>
      <c r="K1973" s="27">
        <f>일위대가목록!J284</f>
        <v>440</v>
      </c>
      <c r="L1973" s="28">
        <f>TRUNC(K1973*C1973,1)</f>
        <v>5280</v>
      </c>
      <c r="M1973" s="86" t="s">
        <v>2856</v>
      </c>
      <c r="N1973" t="s">
        <v>2856</v>
      </c>
      <c r="P1973" t="s">
        <v>317</v>
      </c>
      <c r="Q1973" t="s">
        <v>2856</v>
      </c>
      <c r="R1973" t="s">
        <v>3122</v>
      </c>
      <c r="T1973" t="s">
        <v>1778</v>
      </c>
    </row>
    <row r="1974" spans="1:30" ht="18.399999999999999" customHeight="1" x14ac:dyDescent="0.15">
      <c r="A1974" s="66" t="s">
        <v>3046</v>
      </c>
      <c r="B1974" s="175" t="s">
        <v>3245</v>
      </c>
      <c r="C1974" s="63"/>
      <c r="D1974" s="63"/>
      <c r="E1974" s="64"/>
      <c r="F1974" s="65">
        <f t="shared" si="362"/>
        <v>5469058</v>
      </c>
      <c r="G1974" s="66"/>
      <c r="H1974" s="65">
        <f>TRUNC(H1955*$B$1974)</f>
        <v>1183819</v>
      </c>
      <c r="I1974" s="66"/>
      <c r="J1974" s="65">
        <f>TRUNC(J1955*$B$1974)</f>
        <v>4215342</v>
      </c>
      <c r="K1974" s="66"/>
      <c r="L1974" s="65">
        <f>TRUNC(L1955*$B$1974)</f>
        <v>69897</v>
      </c>
      <c r="M1974" s="186"/>
      <c r="AA1974" s="42"/>
      <c r="AB1974" s="8"/>
      <c r="AC1974" s="42"/>
      <c r="AD1974" s="7"/>
    </row>
    <row r="1975" spans="1:30" ht="18" customHeight="1" x14ac:dyDescent="0.15">
      <c r="A1975" s="1"/>
      <c r="B1975" s="87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87"/>
    </row>
    <row r="1976" spans="1:30" ht="18" customHeight="1" x14ac:dyDescent="0.15">
      <c r="A1976" s="69" t="s">
        <v>3257</v>
      </c>
      <c r="B1976" s="174" t="s">
        <v>1937</v>
      </c>
      <c r="C1976" s="69">
        <v>1</v>
      </c>
      <c r="D1976" s="69" t="s">
        <v>1796</v>
      </c>
      <c r="E1976" s="185"/>
      <c r="F1976" s="70">
        <f t="shared" ref="F1976:F1995" si="365">H1976+J1976+L1976</f>
        <v>2209081</v>
      </c>
      <c r="G1976" s="185"/>
      <c r="H1976" s="70">
        <f>TRUNC(H1977+H1978+H1979+H1980+H1982+H1986+H1988+H1983+H1984+H1985+H1987+H1990+H1991+H1992+H1994,0)</f>
        <v>469281</v>
      </c>
      <c r="I1976" s="185"/>
      <c r="J1976" s="70">
        <f>TRUNC(J1977+J1978+J1979+J1980+J1982+J1986+J1988+J1983+J1984+J1985+J1987+J1990+J1991+J1992+J1994,0)</f>
        <v>1711130</v>
      </c>
      <c r="K1976" s="185"/>
      <c r="L1976" s="70">
        <f>TRUNC(L1977+L1978+L1979+L1980+L1982+L1986+L1988+L1983+L1984+L1985+L1987+L1990+L1991+L1992+L1994,0)</f>
        <v>28670</v>
      </c>
      <c r="M1976" s="181" t="s">
        <v>2856</v>
      </c>
      <c r="N1976" t="s">
        <v>2856</v>
      </c>
      <c r="O1976" t="s">
        <v>3065</v>
      </c>
    </row>
    <row r="1977" spans="1:30" ht="18" customHeight="1" x14ac:dyDescent="0.15">
      <c r="A1977" s="2" t="s">
        <v>1163</v>
      </c>
      <c r="B1977" s="87" t="s">
        <v>1879</v>
      </c>
      <c r="C1977" s="2">
        <v>1.57</v>
      </c>
      <c r="D1977" s="2" t="s">
        <v>2825</v>
      </c>
      <c r="E1977" s="27">
        <f t="shared" ref="E1977:E1994" si="366">G1977+I1977+K1977</f>
        <v>33416</v>
      </c>
      <c r="F1977" s="28">
        <f t="shared" si="365"/>
        <v>52463.1</v>
      </c>
      <c r="G1977" s="27">
        <f>일위대가목록!F249</f>
        <v>0</v>
      </c>
      <c r="H1977" s="28">
        <f t="shared" ref="H1977:H1989" si="367">TRUNC(G1977*C1977,1)</f>
        <v>0</v>
      </c>
      <c r="I1977" s="27">
        <f>일위대가목록!H249</f>
        <v>33416</v>
      </c>
      <c r="J1977" s="28">
        <f>TRUNC(I1977*C1977,1)</f>
        <v>52463.1</v>
      </c>
      <c r="K1977" s="27">
        <f>일위대가목록!J249</f>
        <v>0</v>
      </c>
      <c r="L1977" s="28">
        <f>TRUNC(K1977*C1977,1)</f>
        <v>0</v>
      </c>
      <c r="M1977" s="86" t="s">
        <v>2856</v>
      </c>
      <c r="N1977" t="s">
        <v>2856</v>
      </c>
      <c r="P1977" t="s">
        <v>334</v>
      </c>
      <c r="Q1977" t="s">
        <v>2856</v>
      </c>
      <c r="R1977" t="s">
        <v>69</v>
      </c>
      <c r="T1977" t="s">
        <v>2405</v>
      </c>
    </row>
    <row r="1978" spans="1:30" ht="18" customHeight="1" x14ac:dyDescent="0.15">
      <c r="A1978" s="2" t="s">
        <v>1112</v>
      </c>
      <c r="B1978" s="87" t="s">
        <v>394</v>
      </c>
      <c r="C1978" s="2">
        <v>0.22</v>
      </c>
      <c r="D1978" s="2" t="s">
        <v>2825</v>
      </c>
      <c r="E1978" s="27">
        <f t="shared" si="366"/>
        <v>33416</v>
      </c>
      <c r="F1978" s="28">
        <f t="shared" si="365"/>
        <v>7351.5</v>
      </c>
      <c r="G1978" s="27">
        <f>일위대가목록!F250</f>
        <v>0</v>
      </c>
      <c r="H1978" s="28">
        <f t="shared" si="367"/>
        <v>0</v>
      </c>
      <c r="I1978" s="27">
        <f>일위대가목록!H250</f>
        <v>33416</v>
      </c>
      <c r="J1978" s="28">
        <f>TRUNC(I1978*C1978,1)</f>
        <v>7351.5</v>
      </c>
      <c r="K1978" s="27">
        <f>일위대가목록!J250</f>
        <v>0</v>
      </c>
      <c r="L1978" s="28">
        <f>TRUNC(K1978*C1978,1)</f>
        <v>0</v>
      </c>
      <c r="M1978" s="86" t="s">
        <v>2856</v>
      </c>
      <c r="N1978" t="s">
        <v>2856</v>
      </c>
      <c r="P1978" t="s">
        <v>2471</v>
      </c>
      <c r="Q1978" t="s">
        <v>2856</v>
      </c>
      <c r="R1978" t="s">
        <v>1705</v>
      </c>
      <c r="T1978" t="s">
        <v>2405</v>
      </c>
    </row>
    <row r="1979" spans="1:30" ht="18" customHeight="1" x14ac:dyDescent="0.15">
      <c r="A1979" s="2" t="s">
        <v>2451</v>
      </c>
      <c r="B1979" s="87" t="s">
        <v>129</v>
      </c>
      <c r="C1979" s="2">
        <v>1.35</v>
      </c>
      <c r="D1979" s="2" t="s">
        <v>2825</v>
      </c>
      <c r="E1979" s="27">
        <f t="shared" si="366"/>
        <v>16708</v>
      </c>
      <c r="F1979" s="28">
        <f t="shared" si="365"/>
        <v>22555.8</v>
      </c>
      <c r="G1979" s="27">
        <f>일위대가목록!F251</f>
        <v>0</v>
      </c>
      <c r="H1979" s="28">
        <f t="shared" si="367"/>
        <v>0</v>
      </c>
      <c r="I1979" s="27">
        <f>일위대가목록!H251</f>
        <v>16708</v>
      </c>
      <c r="J1979" s="28">
        <f>TRUNC(I1979*C1979,1)</f>
        <v>22555.8</v>
      </c>
      <c r="K1979" s="27">
        <f>일위대가목록!J251</f>
        <v>0</v>
      </c>
      <c r="L1979" s="28">
        <f>TRUNC(K1979*C1979,1)</f>
        <v>0</v>
      </c>
      <c r="M1979" s="86" t="s">
        <v>2856</v>
      </c>
      <c r="N1979" t="s">
        <v>2856</v>
      </c>
      <c r="P1979" t="s">
        <v>1741</v>
      </c>
      <c r="Q1979" t="s">
        <v>2856</v>
      </c>
      <c r="R1979" t="s">
        <v>1429</v>
      </c>
      <c r="T1979" t="s">
        <v>2405</v>
      </c>
    </row>
    <row r="1980" spans="1:30" ht="18" customHeight="1" x14ac:dyDescent="0.15">
      <c r="A1980" s="2" t="s">
        <v>832</v>
      </c>
      <c r="B1980" s="87" t="s">
        <v>610</v>
      </c>
      <c r="C1980" s="2">
        <v>2.88</v>
      </c>
      <c r="D1980" s="2" t="s">
        <v>1202</v>
      </c>
      <c r="E1980" s="27">
        <f t="shared" si="366"/>
        <v>45715</v>
      </c>
      <c r="F1980" s="28">
        <f t="shared" si="365"/>
        <v>131659.1</v>
      </c>
      <c r="G1980" s="27">
        <f>일위대가목록!F236</f>
        <v>11180</v>
      </c>
      <c r="H1980" s="28">
        <f t="shared" si="367"/>
        <v>32198.400000000001</v>
      </c>
      <c r="I1980" s="27">
        <f>일위대가목록!H236</f>
        <v>34194</v>
      </c>
      <c r="J1980" s="28">
        <f>TRUNC(I1980*C1980,1)</f>
        <v>98478.7</v>
      </c>
      <c r="K1980" s="27">
        <f>일위대가목록!J236</f>
        <v>341</v>
      </c>
      <c r="L1980" s="28">
        <f>TRUNC(K1980*C1980,1)</f>
        <v>982</v>
      </c>
      <c r="M1980" s="86" t="s">
        <v>2856</v>
      </c>
      <c r="N1980" t="s">
        <v>2856</v>
      </c>
      <c r="P1980" t="s">
        <v>1036</v>
      </c>
      <c r="Q1980" t="s">
        <v>2856</v>
      </c>
      <c r="R1980" t="s">
        <v>1998</v>
      </c>
      <c r="T1980" t="s">
        <v>1778</v>
      </c>
    </row>
    <row r="1981" spans="1:30" ht="18" customHeight="1" x14ac:dyDescent="0.15">
      <c r="A1981" s="2" t="s">
        <v>1632</v>
      </c>
      <c r="B1981" s="87" t="s">
        <v>2279</v>
      </c>
      <c r="C1981" s="2">
        <v>0.22</v>
      </c>
      <c r="D1981" s="2" t="s">
        <v>2825</v>
      </c>
      <c r="E1981" s="27">
        <f t="shared" si="366"/>
        <v>0</v>
      </c>
      <c r="F1981" s="28">
        <f t="shared" si="365"/>
        <v>0</v>
      </c>
      <c r="G1981" s="27">
        <f>TRUNC([320]자재조서!E881*0,2)</f>
        <v>0</v>
      </c>
      <c r="H1981" s="28">
        <f t="shared" si="367"/>
        <v>0</v>
      </c>
      <c r="I1981" s="27">
        <v>0</v>
      </c>
      <c r="J1981" s="28"/>
      <c r="K1981" s="27">
        <v>0</v>
      </c>
      <c r="L1981" s="28"/>
      <c r="M1981" s="86" t="s">
        <v>1601</v>
      </c>
      <c r="N1981" t="s">
        <v>2856</v>
      </c>
      <c r="P1981" t="s">
        <v>286</v>
      </c>
      <c r="Q1981" t="s">
        <v>1839</v>
      </c>
      <c r="R1981" t="s">
        <v>2547</v>
      </c>
      <c r="W1981" t="s">
        <v>1601</v>
      </c>
    </row>
    <row r="1982" spans="1:30" ht="18" customHeight="1" x14ac:dyDescent="0.15">
      <c r="A1982" s="2" t="s">
        <v>54</v>
      </c>
      <c r="B1982" s="87" t="s">
        <v>1255</v>
      </c>
      <c r="C1982" s="2">
        <v>0.22</v>
      </c>
      <c r="D1982" s="2" t="s">
        <v>2825</v>
      </c>
      <c r="E1982" s="27">
        <f t="shared" si="366"/>
        <v>55166</v>
      </c>
      <c r="F1982" s="28">
        <f t="shared" si="365"/>
        <v>12136.3</v>
      </c>
      <c r="G1982" s="27">
        <f>일위대가목록!F235</f>
        <v>2538</v>
      </c>
      <c r="H1982" s="28">
        <f t="shared" si="367"/>
        <v>558.29999999999995</v>
      </c>
      <c r="I1982" s="27">
        <f>일위대가목록!H235</f>
        <v>22449</v>
      </c>
      <c r="J1982" s="28">
        <f>TRUNC(I1982*C1982,1)</f>
        <v>4938.7</v>
      </c>
      <c r="K1982" s="27">
        <f>일위대가목록!J235</f>
        <v>30179</v>
      </c>
      <c r="L1982" s="28">
        <f>TRUNC(K1982*C1982,1)</f>
        <v>6639.3</v>
      </c>
      <c r="M1982" s="86" t="s">
        <v>2856</v>
      </c>
      <c r="N1982" t="s">
        <v>2856</v>
      </c>
      <c r="P1982" t="s">
        <v>2428</v>
      </c>
      <c r="Q1982" t="s">
        <v>2856</v>
      </c>
      <c r="R1982" t="s">
        <v>668</v>
      </c>
      <c r="T1982" t="s">
        <v>1778</v>
      </c>
    </row>
    <row r="1983" spans="1:30" ht="18" customHeight="1" x14ac:dyDescent="0.15">
      <c r="A1983" s="2" t="s">
        <v>485</v>
      </c>
      <c r="B1983" s="87" t="s">
        <v>1172</v>
      </c>
      <c r="C1983" s="2">
        <v>25.122</v>
      </c>
      <c r="D1983" s="2" t="s">
        <v>1674</v>
      </c>
      <c r="E1983" s="27">
        <f t="shared" si="366"/>
        <v>1210</v>
      </c>
      <c r="F1983" s="28">
        <f t="shared" si="365"/>
        <v>30397.599999999999</v>
      </c>
      <c r="G1983" s="27">
        <f>자재조서!E76</f>
        <v>1210</v>
      </c>
      <c r="H1983" s="28">
        <f t="shared" si="367"/>
        <v>30397.599999999999</v>
      </c>
      <c r="I1983" s="27">
        <v>0</v>
      </c>
      <c r="J1983" s="28"/>
      <c r="K1983" s="27">
        <v>0</v>
      </c>
      <c r="L1983" s="28"/>
      <c r="M1983" s="86" t="s">
        <v>2856</v>
      </c>
      <c r="N1983" t="s">
        <v>2856</v>
      </c>
      <c r="P1983" t="s">
        <v>1686</v>
      </c>
      <c r="Q1983" t="s">
        <v>2856</v>
      </c>
      <c r="R1983" t="s">
        <v>1687</v>
      </c>
    </row>
    <row r="1984" spans="1:30" ht="18" customHeight="1" x14ac:dyDescent="0.15">
      <c r="A1984" s="2" t="s">
        <v>1877</v>
      </c>
      <c r="B1984" s="87" t="s">
        <v>2492</v>
      </c>
      <c r="C1984" s="2">
        <v>0.69099999999999995</v>
      </c>
      <c r="D1984" s="2" t="s">
        <v>1202</v>
      </c>
      <c r="E1984" s="27">
        <f t="shared" si="366"/>
        <v>10589</v>
      </c>
      <c r="F1984" s="28">
        <f t="shared" si="365"/>
        <v>7316.9</v>
      </c>
      <c r="G1984" s="27">
        <f>일위대가목록!F252</f>
        <v>1881</v>
      </c>
      <c r="H1984" s="28">
        <f t="shared" si="367"/>
        <v>1299.7</v>
      </c>
      <c r="I1984" s="27">
        <f>일위대가목록!H252</f>
        <v>8708</v>
      </c>
      <c r="J1984" s="28">
        <f>TRUNC(I1984*C1984,1)</f>
        <v>6017.2</v>
      </c>
      <c r="K1984" s="27">
        <f>일위대가목록!J252</f>
        <v>0</v>
      </c>
      <c r="L1984" s="28">
        <f>TRUNC(K1984*C1984,1)</f>
        <v>0</v>
      </c>
      <c r="M1984" s="86" t="s">
        <v>2856</v>
      </c>
      <c r="N1984" t="s">
        <v>2856</v>
      </c>
      <c r="P1984" t="s">
        <v>983</v>
      </c>
      <c r="Q1984" t="s">
        <v>2856</v>
      </c>
      <c r="R1984" t="s">
        <v>799</v>
      </c>
      <c r="T1984" t="s">
        <v>1778</v>
      </c>
    </row>
    <row r="1985" spans="1:30" ht="18" customHeight="1" x14ac:dyDescent="0.15">
      <c r="A1985" s="2" t="s">
        <v>1065</v>
      </c>
      <c r="B1985" s="87" t="s">
        <v>1019</v>
      </c>
      <c r="C1985" s="2">
        <v>34</v>
      </c>
      <c r="D1985" s="2" t="s">
        <v>773</v>
      </c>
      <c r="E1985" s="27">
        <f t="shared" si="366"/>
        <v>990</v>
      </c>
      <c r="F1985" s="28">
        <f t="shared" si="365"/>
        <v>33660</v>
      </c>
      <c r="G1985" s="27">
        <f>자재조서!E75</f>
        <v>990</v>
      </c>
      <c r="H1985" s="28">
        <f t="shared" si="367"/>
        <v>33660</v>
      </c>
      <c r="I1985" s="27">
        <v>0</v>
      </c>
      <c r="J1985" s="28"/>
      <c r="K1985" s="27">
        <v>0</v>
      </c>
      <c r="L1985" s="28"/>
      <c r="M1985" s="86" t="s">
        <v>2856</v>
      </c>
      <c r="N1985" t="s">
        <v>2856</v>
      </c>
      <c r="P1985" t="s">
        <v>248</v>
      </c>
      <c r="Q1985" t="s">
        <v>2856</v>
      </c>
      <c r="R1985" t="s">
        <v>141</v>
      </c>
    </row>
    <row r="1986" spans="1:30" ht="18" customHeight="1" x14ac:dyDescent="0.15">
      <c r="A1986" s="2" t="s">
        <v>331</v>
      </c>
      <c r="B1986" s="87" t="s">
        <v>33</v>
      </c>
      <c r="C1986" s="2">
        <v>13.86</v>
      </c>
      <c r="D1986" s="2" t="s">
        <v>1670</v>
      </c>
      <c r="E1986" s="27">
        <f t="shared" si="366"/>
        <v>9550</v>
      </c>
      <c r="F1986" s="28">
        <f t="shared" si="365"/>
        <v>132363</v>
      </c>
      <c r="G1986" s="27">
        <f>자재조서!E51</f>
        <v>9550</v>
      </c>
      <c r="H1986" s="28">
        <f t="shared" si="367"/>
        <v>132363</v>
      </c>
      <c r="I1986" s="27">
        <v>0</v>
      </c>
      <c r="J1986" s="28"/>
      <c r="K1986" s="27">
        <v>0</v>
      </c>
      <c r="L1986" s="28"/>
      <c r="M1986" s="86" t="s">
        <v>2856</v>
      </c>
      <c r="N1986" t="s">
        <v>2856</v>
      </c>
      <c r="P1986" t="s">
        <v>1686</v>
      </c>
      <c r="Q1986" t="s">
        <v>2856</v>
      </c>
      <c r="R1986" t="s">
        <v>587</v>
      </c>
    </row>
    <row r="1987" spans="1:30" ht="18" customHeight="1" x14ac:dyDescent="0.15">
      <c r="A1987" s="2" t="s">
        <v>331</v>
      </c>
      <c r="B1987" s="87" t="s">
        <v>850</v>
      </c>
      <c r="C1987" s="2">
        <v>34.97</v>
      </c>
      <c r="D1987" s="2" t="s">
        <v>1670</v>
      </c>
      <c r="E1987" s="27">
        <f t="shared" si="366"/>
        <v>4610</v>
      </c>
      <c r="F1987" s="28">
        <f t="shared" si="365"/>
        <v>161211.70000000001</v>
      </c>
      <c r="G1987" s="27">
        <f>자재조서!E52</f>
        <v>4610</v>
      </c>
      <c r="H1987" s="28">
        <f t="shared" si="367"/>
        <v>161211.70000000001</v>
      </c>
      <c r="I1987" s="27">
        <v>0</v>
      </c>
      <c r="J1987" s="28"/>
      <c r="K1987" s="27">
        <v>0</v>
      </c>
      <c r="L1987" s="28"/>
      <c r="M1987" s="86" t="s">
        <v>2856</v>
      </c>
      <c r="N1987" t="s">
        <v>2856</v>
      </c>
      <c r="P1987" t="s">
        <v>954</v>
      </c>
      <c r="Q1987" t="s">
        <v>2856</v>
      </c>
      <c r="R1987" t="s">
        <v>1596</v>
      </c>
    </row>
    <row r="1988" spans="1:30" ht="18" customHeight="1" x14ac:dyDescent="0.15">
      <c r="A1988" s="79" t="s">
        <v>567</v>
      </c>
      <c r="B1988" s="87" t="s">
        <v>3147</v>
      </c>
      <c r="C1988" s="2">
        <v>0.22600000000000001</v>
      </c>
      <c r="D1988" s="2" t="s">
        <v>978</v>
      </c>
      <c r="E1988" s="27">
        <f t="shared" si="366"/>
        <v>2661254</v>
      </c>
      <c r="F1988" s="28">
        <f t="shared" si="365"/>
        <v>601443.30000000005</v>
      </c>
      <c r="G1988" s="27">
        <f>일위대가목록!F280</f>
        <v>0</v>
      </c>
      <c r="H1988" s="28">
        <f t="shared" si="367"/>
        <v>0</v>
      </c>
      <c r="I1988" s="27">
        <f>일위대가목록!H280</f>
        <v>2599062</v>
      </c>
      <c r="J1988" s="28">
        <f>TRUNC(I1988*C1988,1)</f>
        <v>587388</v>
      </c>
      <c r="K1988" s="27">
        <f>일위대가목록!J280</f>
        <v>62192</v>
      </c>
      <c r="L1988" s="28">
        <f>TRUNC(K1988*C1988,1)</f>
        <v>14055.3</v>
      </c>
      <c r="M1988" s="86" t="s">
        <v>2856</v>
      </c>
      <c r="N1988" t="s">
        <v>2856</v>
      </c>
      <c r="P1988" t="s">
        <v>983</v>
      </c>
      <c r="Q1988" t="s">
        <v>2856</v>
      </c>
      <c r="R1988" t="s">
        <v>3063</v>
      </c>
      <c r="T1988" t="s">
        <v>1778</v>
      </c>
    </row>
    <row r="1989" spans="1:30" ht="18" customHeight="1" x14ac:dyDescent="0.15">
      <c r="A1989" s="2" t="s">
        <v>1470</v>
      </c>
      <c r="B1989" s="87" t="s">
        <v>1226</v>
      </c>
      <c r="C1989" s="2">
        <v>8.91</v>
      </c>
      <c r="D1989" s="2" t="s">
        <v>1202</v>
      </c>
      <c r="E1989" s="27">
        <f t="shared" si="366"/>
        <v>66000</v>
      </c>
      <c r="F1989" s="28">
        <f t="shared" si="365"/>
        <v>588060</v>
      </c>
      <c r="G1989" s="27">
        <f>자재조서!E56</f>
        <v>66000</v>
      </c>
      <c r="H1989" s="28">
        <f t="shared" si="367"/>
        <v>588060</v>
      </c>
      <c r="I1989" s="27">
        <v>0</v>
      </c>
      <c r="J1989" s="28"/>
      <c r="K1989" s="27">
        <v>0</v>
      </c>
      <c r="L1989" s="28"/>
      <c r="M1989" s="86" t="s">
        <v>1601</v>
      </c>
      <c r="N1989" t="s">
        <v>2856</v>
      </c>
      <c r="P1989" t="s">
        <v>2389</v>
      </c>
      <c r="Q1989" t="s">
        <v>1839</v>
      </c>
      <c r="R1989" t="s">
        <v>936</v>
      </c>
      <c r="W1989" t="s">
        <v>1601</v>
      </c>
    </row>
    <row r="1990" spans="1:30" ht="18" customHeight="1" x14ac:dyDescent="0.15">
      <c r="A1990" s="2" t="s">
        <v>323</v>
      </c>
      <c r="B1990" s="87" t="s">
        <v>503</v>
      </c>
      <c r="C1990" s="2">
        <v>6</v>
      </c>
      <c r="D1990" s="2" t="s">
        <v>588</v>
      </c>
      <c r="E1990" s="27">
        <f t="shared" si="366"/>
        <v>0</v>
      </c>
      <c r="F1990" s="28">
        <f t="shared" si="365"/>
        <v>35283.599999999999</v>
      </c>
      <c r="G1990" s="1"/>
      <c r="H1990" s="28">
        <f>TRUNC((H1989*0.06),1)</f>
        <v>35283.599999999999</v>
      </c>
      <c r="I1990" s="1"/>
      <c r="J1990" s="28">
        <v>0</v>
      </c>
      <c r="K1990" s="1"/>
      <c r="L1990" s="28">
        <v>0</v>
      </c>
      <c r="M1990" s="86" t="s">
        <v>2856</v>
      </c>
      <c r="N1990" t="s">
        <v>2856</v>
      </c>
      <c r="P1990" t="s">
        <v>189</v>
      </c>
      <c r="Q1990" t="s">
        <v>2856</v>
      </c>
      <c r="R1990" t="s">
        <v>2405</v>
      </c>
      <c r="X1990" t="s">
        <v>2552</v>
      </c>
      <c r="AA1990" s="83" t="s">
        <v>2127</v>
      </c>
      <c r="AB1990" s="72">
        <f>[321]일위대가_호표!H1943*0.06</f>
        <v>0</v>
      </c>
      <c r="AC1990" s="83" t="s">
        <v>2369</v>
      </c>
      <c r="AD1990" s="73">
        <f>$AB1989</f>
        <v>0</v>
      </c>
    </row>
    <row r="1991" spans="1:30" ht="18" customHeight="1" x14ac:dyDescent="0.15">
      <c r="A1991" s="2" t="s">
        <v>982</v>
      </c>
      <c r="B1991" s="87" t="s">
        <v>2232</v>
      </c>
      <c r="C1991" s="2">
        <v>8.1</v>
      </c>
      <c r="D1991" s="2" t="s">
        <v>1202</v>
      </c>
      <c r="E1991" s="27">
        <f t="shared" si="366"/>
        <v>55826</v>
      </c>
      <c r="F1991" s="28">
        <f t="shared" si="365"/>
        <v>452190.6</v>
      </c>
      <c r="G1991" s="27">
        <f>일위대가목록!F254</f>
        <v>0</v>
      </c>
      <c r="H1991" s="28">
        <f>TRUNC(G1991*C1991,1)</f>
        <v>0</v>
      </c>
      <c r="I1991" s="27">
        <f>일위대가목록!H254</f>
        <v>55826</v>
      </c>
      <c r="J1991" s="28">
        <f>TRUNC(I1991*C1991,1)</f>
        <v>452190.6</v>
      </c>
      <c r="K1991" s="27">
        <f>일위대가목록!J254</f>
        <v>0</v>
      </c>
      <c r="L1991" s="28">
        <f>TRUNC(K1991*C1991,1)</f>
        <v>0</v>
      </c>
      <c r="M1991" s="86" t="s">
        <v>2856</v>
      </c>
      <c r="N1991" t="s">
        <v>2856</v>
      </c>
      <c r="P1991" t="s">
        <v>904</v>
      </c>
      <c r="Q1991" t="s">
        <v>2856</v>
      </c>
      <c r="R1991" t="s">
        <v>1522</v>
      </c>
      <c r="T1991" t="s">
        <v>1778</v>
      </c>
    </row>
    <row r="1992" spans="1:30" ht="18" customHeight="1" x14ac:dyDescent="0.15">
      <c r="A1992" s="2" t="s">
        <v>1188</v>
      </c>
      <c r="B1992" s="87" t="s">
        <v>2848</v>
      </c>
      <c r="C1992" s="2">
        <v>20.25</v>
      </c>
      <c r="D1992" s="2" t="s">
        <v>1202</v>
      </c>
      <c r="E1992" s="27">
        <f t="shared" si="366"/>
        <v>12165</v>
      </c>
      <c r="F1992" s="28">
        <f t="shared" si="365"/>
        <v>246341.2</v>
      </c>
      <c r="G1992" s="27">
        <f>일위대가목록!F255</f>
        <v>1188</v>
      </c>
      <c r="H1992" s="28">
        <f>TRUNC(G1992*C1992,1)</f>
        <v>24057</v>
      </c>
      <c r="I1992" s="27">
        <f>일위대가목록!H255</f>
        <v>10762</v>
      </c>
      <c r="J1992" s="28">
        <f>TRUNC(I1992*C1992,1)</f>
        <v>217930.5</v>
      </c>
      <c r="K1992" s="27">
        <f>일위대가목록!J255</f>
        <v>215</v>
      </c>
      <c r="L1992" s="28">
        <f>TRUNC(K1992*C1992,1)</f>
        <v>4353.7</v>
      </c>
      <c r="M1992" s="86" t="s">
        <v>2856</v>
      </c>
      <c r="N1992" t="s">
        <v>2856</v>
      </c>
      <c r="P1992" t="s">
        <v>1640</v>
      </c>
      <c r="Q1992" t="s">
        <v>2856</v>
      </c>
      <c r="R1992" t="s">
        <v>1058</v>
      </c>
      <c r="T1992" t="s">
        <v>1778</v>
      </c>
    </row>
    <row r="1993" spans="1:30" ht="18" customHeight="1" x14ac:dyDescent="0.15">
      <c r="A1993" s="2" t="s">
        <v>3118</v>
      </c>
      <c r="B1993" s="87" t="s">
        <v>3119</v>
      </c>
      <c r="C1993" s="2">
        <v>6</v>
      </c>
      <c r="D1993" s="2" t="s">
        <v>1160</v>
      </c>
      <c r="E1993" s="27">
        <f t="shared" si="366"/>
        <v>0</v>
      </c>
      <c r="F1993" s="28">
        <f t="shared" si="365"/>
        <v>0</v>
      </c>
      <c r="G1993" s="27">
        <f>[321]자재조서!E1800</f>
        <v>0</v>
      </c>
      <c r="H1993" s="28">
        <f>TRUNC(G1993*C1993,1)</f>
        <v>0</v>
      </c>
      <c r="I1993" s="27">
        <v>0</v>
      </c>
      <c r="J1993" s="28"/>
      <c r="K1993" s="27">
        <v>0</v>
      </c>
      <c r="L1993" s="28"/>
      <c r="M1993" s="86" t="s">
        <v>1601</v>
      </c>
      <c r="N1993" t="s">
        <v>2856</v>
      </c>
      <c r="P1993" t="s">
        <v>2340</v>
      </c>
      <c r="Q1993" t="s">
        <v>1839</v>
      </c>
      <c r="R1993" t="s">
        <v>3120</v>
      </c>
    </row>
    <row r="1994" spans="1:30" ht="18" customHeight="1" x14ac:dyDescent="0.15">
      <c r="A1994" s="2" t="s">
        <v>3121</v>
      </c>
      <c r="B1994" s="87" t="s">
        <v>3119</v>
      </c>
      <c r="C1994" s="2">
        <v>6</v>
      </c>
      <c r="D1994" s="2" t="s">
        <v>1160</v>
      </c>
      <c r="E1994" s="27">
        <f t="shared" si="366"/>
        <v>47118</v>
      </c>
      <c r="F1994" s="28">
        <f t="shared" si="365"/>
        <v>282708</v>
      </c>
      <c r="G1994" s="27">
        <f>일위대가목록!F284</f>
        <v>3042</v>
      </c>
      <c r="H1994" s="28">
        <f>TRUNC(G1994*C1994,1)</f>
        <v>18252</v>
      </c>
      <c r="I1994" s="27">
        <f>일위대가목록!H284</f>
        <v>43636</v>
      </c>
      <c r="J1994" s="28">
        <f>TRUNC(I1994*C1994,1)</f>
        <v>261816</v>
      </c>
      <c r="K1994" s="27">
        <f>일위대가목록!J284</f>
        <v>440</v>
      </c>
      <c r="L1994" s="28">
        <f>TRUNC(K1994*C1994,1)</f>
        <v>2640</v>
      </c>
      <c r="M1994" s="86" t="s">
        <v>2856</v>
      </c>
      <c r="N1994" t="s">
        <v>2856</v>
      </c>
      <c r="P1994" t="s">
        <v>317</v>
      </c>
      <c r="Q1994" t="s">
        <v>2856</v>
      </c>
      <c r="R1994" t="s">
        <v>3122</v>
      </c>
      <c r="T1994" t="s">
        <v>1778</v>
      </c>
    </row>
    <row r="1995" spans="1:30" ht="18.399999999999999" customHeight="1" x14ac:dyDescent="0.15">
      <c r="A1995" s="66" t="s">
        <v>3046</v>
      </c>
      <c r="B1995" s="175" t="s">
        <v>3245</v>
      </c>
      <c r="C1995" s="63"/>
      <c r="D1995" s="63"/>
      <c r="E1995" s="64"/>
      <c r="F1995" s="65">
        <f t="shared" si="365"/>
        <v>1928415</v>
      </c>
      <c r="G1995" s="66"/>
      <c r="H1995" s="65">
        <f>TRUNC(H1976*$B$1995)</f>
        <v>409658</v>
      </c>
      <c r="I1995" s="66"/>
      <c r="J1995" s="65">
        <f>TRUNC(J1976*$B$1995)</f>
        <v>1493730</v>
      </c>
      <c r="K1995" s="66"/>
      <c r="L1995" s="65">
        <f>TRUNC(L1976*$B$1995)</f>
        <v>25027</v>
      </c>
      <c r="M1995" s="186"/>
      <c r="AA1995" s="42"/>
      <c r="AB1995" s="8"/>
      <c r="AC1995" s="42"/>
      <c r="AD1995" s="7"/>
    </row>
    <row r="1996" spans="1:30" ht="18" customHeight="1" x14ac:dyDescent="0.15">
      <c r="A1996" s="1"/>
      <c r="B1996" s="87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87"/>
    </row>
    <row r="1997" spans="1:30" ht="18" customHeight="1" x14ac:dyDescent="0.15">
      <c r="A1997" s="69" t="s">
        <v>3258</v>
      </c>
      <c r="B1997" s="174" t="s">
        <v>171</v>
      </c>
      <c r="C1997" s="69">
        <v>1</v>
      </c>
      <c r="D1997" s="69" t="s">
        <v>1796</v>
      </c>
      <c r="E1997" s="185"/>
      <c r="F1997" s="70">
        <f t="shared" ref="F1997:F2016" si="368">H1997+J1997+L1997</f>
        <v>1503664</v>
      </c>
      <c r="G1997" s="185"/>
      <c r="H1997" s="70">
        <f>TRUNC(H1998+H1999+H2000+H2001+H2003+H2007+H2009+H2004+H2005+H2006+H2008+H2011+H2012+H2013+H2015,0)</f>
        <v>321361</v>
      </c>
      <c r="I1997" s="185"/>
      <c r="J1997" s="70">
        <f>TRUNC(J1998+J1999+J2000+J2001+J2003+J2007+J2009+J2004+J2005+J2006+J2008+J2011+J2012+J2013+J2015,0)</f>
        <v>1162561</v>
      </c>
      <c r="K1997" s="185"/>
      <c r="L1997" s="70">
        <f>TRUNC(L1998+L1999+L2000+L2001+L2003+L2007+L2009+L2004+L2005+L2006+L2008+L2011+L2012+L2013+L2015,0)</f>
        <v>19742</v>
      </c>
      <c r="M1997" s="181" t="s">
        <v>2856</v>
      </c>
      <c r="N1997" t="s">
        <v>2856</v>
      </c>
      <c r="O1997" t="s">
        <v>3066</v>
      </c>
    </row>
    <row r="1998" spans="1:30" ht="18" customHeight="1" x14ac:dyDescent="0.15">
      <c r="A1998" s="2" t="s">
        <v>1163</v>
      </c>
      <c r="B1998" s="87" t="s">
        <v>1879</v>
      </c>
      <c r="C1998" s="2">
        <v>1.18</v>
      </c>
      <c r="D1998" s="2" t="s">
        <v>2825</v>
      </c>
      <c r="E1998" s="27">
        <f t="shared" ref="E1998:E2015" si="369">G1998+I1998+K1998</f>
        <v>33416</v>
      </c>
      <c r="F1998" s="28">
        <f t="shared" si="368"/>
        <v>39430.800000000003</v>
      </c>
      <c r="G1998" s="27">
        <f>일위대가목록!F249</f>
        <v>0</v>
      </c>
      <c r="H1998" s="28">
        <f t="shared" ref="H1998:H2010" si="370">TRUNC(G1998*C1998,1)</f>
        <v>0</v>
      </c>
      <c r="I1998" s="27">
        <f>일위대가목록!H249</f>
        <v>33416</v>
      </c>
      <c r="J1998" s="28">
        <f>TRUNC(I1998*C1998,1)</f>
        <v>39430.800000000003</v>
      </c>
      <c r="K1998" s="27">
        <f>일위대가목록!J249</f>
        <v>0</v>
      </c>
      <c r="L1998" s="28">
        <f>TRUNC(K1998*C1998,1)</f>
        <v>0</v>
      </c>
      <c r="M1998" s="86" t="s">
        <v>2856</v>
      </c>
      <c r="N1998" t="s">
        <v>2856</v>
      </c>
      <c r="P1998" t="s">
        <v>334</v>
      </c>
      <c r="Q1998" t="s">
        <v>2856</v>
      </c>
      <c r="R1998" t="s">
        <v>69</v>
      </c>
      <c r="T1998" t="s">
        <v>2405</v>
      </c>
    </row>
    <row r="1999" spans="1:30" ht="18" customHeight="1" x14ac:dyDescent="0.15">
      <c r="A1999" s="2" t="s">
        <v>1112</v>
      </c>
      <c r="B1999" s="87" t="s">
        <v>394</v>
      </c>
      <c r="C1999" s="2">
        <v>0.16</v>
      </c>
      <c r="D1999" s="2" t="s">
        <v>2825</v>
      </c>
      <c r="E1999" s="27">
        <f t="shared" si="369"/>
        <v>33416</v>
      </c>
      <c r="F1999" s="28">
        <f t="shared" si="368"/>
        <v>5346.5</v>
      </c>
      <c r="G1999" s="27">
        <f>일위대가목록!F250</f>
        <v>0</v>
      </c>
      <c r="H1999" s="28">
        <f t="shared" si="370"/>
        <v>0</v>
      </c>
      <c r="I1999" s="27">
        <f>일위대가목록!H250</f>
        <v>33416</v>
      </c>
      <c r="J1999" s="28">
        <f>TRUNC(I1999*C1999,1)</f>
        <v>5346.5</v>
      </c>
      <c r="K1999" s="27">
        <f>일위대가목록!J250</f>
        <v>0</v>
      </c>
      <c r="L1999" s="28">
        <f>TRUNC(K1999*C1999,1)</f>
        <v>0</v>
      </c>
      <c r="M1999" s="86" t="s">
        <v>2856</v>
      </c>
      <c r="N1999" t="s">
        <v>2856</v>
      </c>
      <c r="P1999" t="s">
        <v>2471</v>
      </c>
      <c r="Q1999" t="s">
        <v>2856</v>
      </c>
      <c r="R1999" t="s">
        <v>1705</v>
      </c>
      <c r="T1999" t="s">
        <v>2405</v>
      </c>
    </row>
    <row r="2000" spans="1:30" ht="18" customHeight="1" x14ac:dyDescent="0.15">
      <c r="A2000" s="2" t="s">
        <v>2451</v>
      </c>
      <c r="B2000" s="87" t="s">
        <v>129</v>
      </c>
      <c r="C2000" s="2">
        <v>1.01</v>
      </c>
      <c r="D2000" s="2" t="s">
        <v>2825</v>
      </c>
      <c r="E2000" s="27">
        <f t="shared" si="369"/>
        <v>16708</v>
      </c>
      <c r="F2000" s="28">
        <f t="shared" si="368"/>
        <v>16875</v>
      </c>
      <c r="G2000" s="27">
        <f>일위대가목록!F251</f>
        <v>0</v>
      </c>
      <c r="H2000" s="28">
        <f t="shared" si="370"/>
        <v>0</v>
      </c>
      <c r="I2000" s="27">
        <f>일위대가목록!H251</f>
        <v>16708</v>
      </c>
      <c r="J2000" s="28">
        <f>TRUNC(I2000*C2000,1)</f>
        <v>16875</v>
      </c>
      <c r="K2000" s="27">
        <f>일위대가목록!J251</f>
        <v>0</v>
      </c>
      <c r="L2000" s="28">
        <f>TRUNC(K2000*C2000,1)</f>
        <v>0</v>
      </c>
      <c r="M2000" s="86" t="s">
        <v>2856</v>
      </c>
      <c r="N2000" t="s">
        <v>2856</v>
      </c>
      <c r="P2000" t="s">
        <v>1741</v>
      </c>
      <c r="Q2000" t="s">
        <v>2856</v>
      </c>
      <c r="R2000" t="s">
        <v>1429</v>
      </c>
      <c r="T2000" t="s">
        <v>2405</v>
      </c>
    </row>
    <row r="2001" spans="1:30" ht="18" customHeight="1" x14ac:dyDescent="0.15">
      <c r="A2001" s="2" t="s">
        <v>832</v>
      </c>
      <c r="B2001" s="87" t="s">
        <v>610</v>
      </c>
      <c r="C2001" s="2">
        <v>2.16</v>
      </c>
      <c r="D2001" s="2" t="s">
        <v>1202</v>
      </c>
      <c r="E2001" s="27">
        <f t="shared" si="369"/>
        <v>45715</v>
      </c>
      <c r="F2001" s="28">
        <f t="shared" si="368"/>
        <v>98744.3</v>
      </c>
      <c r="G2001" s="27">
        <f>일위대가목록!F236</f>
        <v>11180</v>
      </c>
      <c r="H2001" s="28">
        <f t="shared" si="370"/>
        <v>24148.799999999999</v>
      </c>
      <c r="I2001" s="27">
        <f>일위대가목록!H236</f>
        <v>34194</v>
      </c>
      <c r="J2001" s="28">
        <f>TRUNC(I2001*C2001,1)</f>
        <v>73859</v>
      </c>
      <c r="K2001" s="27">
        <f>일위대가목록!J236</f>
        <v>341</v>
      </c>
      <c r="L2001" s="28">
        <f>TRUNC(K2001*C2001,1)</f>
        <v>736.5</v>
      </c>
      <c r="M2001" s="86" t="s">
        <v>2856</v>
      </c>
      <c r="N2001" t="s">
        <v>2856</v>
      </c>
      <c r="P2001" t="s">
        <v>1036</v>
      </c>
      <c r="Q2001" t="s">
        <v>2856</v>
      </c>
      <c r="R2001" t="s">
        <v>1998</v>
      </c>
      <c r="T2001" t="s">
        <v>1778</v>
      </c>
    </row>
    <row r="2002" spans="1:30" ht="18" customHeight="1" x14ac:dyDescent="0.15">
      <c r="A2002" s="2" t="s">
        <v>1632</v>
      </c>
      <c r="B2002" s="87" t="s">
        <v>2279</v>
      </c>
      <c r="C2002" s="2">
        <v>0.17</v>
      </c>
      <c r="D2002" s="2" t="s">
        <v>2825</v>
      </c>
      <c r="E2002" s="27">
        <f t="shared" si="369"/>
        <v>0</v>
      </c>
      <c r="F2002" s="28">
        <f t="shared" si="368"/>
        <v>0</v>
      </c>
      <c r="G2002" s="27">
        <f>TRUNC([320]자재조서!E881*0,2)</f>
        <v>0</v>
      </c>
      <c r="H2002" s="28">
        <f t="shared" si="370"/>
        <v>0</v>
      </c>
      <c r="I2002" s="27">
        <v>0</v>
      </c>
      <c r="J2002" s="28"/>
      <c r="K2002" s="27">
        <v>0</v>
      </c>
      <c r="L2002" s="28"/>
      <c r="M2002" s="86" t="s">
        <v>1601</v>
      </c>
      <c r="N2002" t="s">
        <v>2856</v>
      </c>
      <c r="P2002" t="s">
        <v>286</v>
      </c>
      <c r="Q2002" t="s">
        <v>1839</v>
      </c>
      <c r="R2002" t="s">
        <v>2547</v>
      </c>
      <c r="W2002" t="s">
        <v>1601</v>
      </c>
    </row>
    <row r="2003" spans="1:30" ht="18" customHeight="1" x14ac:dyDescent="0.15">
      <c r="A2003" s="2" t="s">
        <v>54</v>
      </c>
      <c r="B2003" s="87" t="s">
        <v>1255</v>
      </c>
      <c r="C2003" s="2">
        <v>0.16</v>
      </c>
      <c r="D2003" s="2" t="s">
        <v>2825</v>
      </c>
      <c r="E2003" s="27">
        <f t="shared" si="369"/>
        <v>55166</v>
      </c>
      <c r="F2003" s="28">
        <f t="shared" si="368"/>
        <v>8826.4000000000015</v>
      </c>
      <c r="G2003" s="27">
        <f>일위대가목록!F235</f>
        <v>2538</v>
      </c>
      <c r="H2003" s="28">
        <f t="shared" si="370"/>
        <v>406</v>
      </c>
      <c r="I2003" s="27">
        <f>일위대가목록!H235</f>
        <v>22449</v>
      </c>
      <c r="J2003" s="28">
        <f>TRUNC(I2003*C2003,1)</f>
        <v>3591.8</v>
      </c>
      <c r="K2003" s="27">
        <f>일위대가목록!J235</f>
        <v>30179</v>
      </c>
      <c r="L2003" s="28">
        <f>TRUNC(K2003*C2003,1)</f>
        <v>4828.6000000000004</v>
      </c>
      <c r="M2003" s="86" t="s">
        <v>2856</v>
      </c>
      <c r="N2003" t="s">
        <v>2856</v>
      </c>
      <c r="P2003" t="s">
        <v>2428</v>
      </c>
      <c r="Q2003" t="s">
        <v>2856</v>
      </c>
      <c r="R2003" t="s">
        <v>668</v>
      </c>
      <c r="T2003" t="s">
        <v>1778</v>
      </c>
    </row>
    <row r="2004" spans="1:30" ht="18" customHeight="1" x14ac:dyDescent="0.15">
      <c r="A2004" s="2" t="s">
        <v>485</v>
      </c>
      <c r="B2004" s="87" t="s">
        <v>1172</v>
      </c>
      <c r="C2004" s="2">
        <v>18.841999999999999</v>
      </c>
      <c r="D2004" s="2" t="s">
        <v>1674</v>
      </c>
      <c r="E2004" s="27">
        <f t="shared" si="369"/>
        <v>1210</v>
      </c>
      <c r="F2004" s="28">
        <f t="shared" si="368"/>
        <v>22798.799999999999</v>
      </c>
      <c r="G2004" s="27">
        <f>자재조서!E76</f>
        <v>1210</v>
      </c>
      <c r="H2004" s="28">
        <f t="shared" si="370"/>
        <v>22798.799999999999</v>
      </c>
      <c r="I2004" s="27">
        <v>0</v>
      </c>
      <c r="J2004" s="28"/>
      <c r="K2004" s="27">
        <v>0</v>
      </c>
      <c r="L2004" s="28"/>
      <c r="M2004" s="86" t="s">
        <v>2856</v>
      </c>
      <c r="N2004" t="s">
        <v>2856</v>
      </c>
      <c r="P2004" t="s">
        <v>1686</v>
      </c>
      <c r="Q2004" t="s">
        <v>2856</v>
      </c>
      <c r="R2004" t="s">
        <v>1687</v>
      </c>
    </row>
    <row r="2005" spans="1:30" ht="18" customHeight="1" x14ac:dyDescent="0.15">
      <c r="A2005" s="2" t="s">
        <v>1877</v>
      </c>
      <c r="B2005" s="87" t="s">
        <v>2492</v>
      </c>
      <c r="C2005" s="2">
        <v>0.51800000000000002</v>
      </c>
      <c r="D2005" s="2" t="s">
        <v>1202</v>
      </c>
      <c r="E2005" s="27">
        <f t="shared" si="369"/>
        <v>10589</v>
      </c>
      <c r="F2005" s="28">
        <f t="shared" si="368"/>
        <v>5485</v>
      </c>
      <c r="G2005" s="27">
        <f>일위대가목록!F252</f>
        <v>1881</v>
      </c>
      <c r="H2005" s="28">
        <f t="shared" si="370"/>
        <v>974.3</v>
      </c>
      <c r="I2005" s="27">
        <f>일위대가목록!H252</f>
        <v>8708</v>
      </c>
      <c r="J2005" s="28">
        <f>TRUNC(I2005*C2005,1)</f>
        <v>4510.7</v>
      </c>
      <c r="K2005" s="27">
        <f>일위대가목록!J252</f>
        <v>0</v>
      </c>
      <c r="L2005" s="28">
        <f>TRUNC(K2005*C2005,1)</f>
        <v>0</v>
      </c>
      <c r="M2005" s="86" t="s">
        <v>2856</v>
      </c>
      <c r="N2005" t="s">
        <v>2856</v>
      </c>
      <c r="P2005" t="s">
        <v>983</v>
      </c>
      <c r="Q2005" t="s">
        <v>2856</v>
      </c>
      <c r="R2005" t="s">
        <v>799</v>
      </c>
      <c r="T2005" t="s">
        <v>1778</v>
      </c>
    </row>
    <row r="2006" spans="1:30" ht="18" customHeight="1" x14ac:dyDescent="0.15">
      <c r="A2006" s="2" t="s">
        <v>1065</v>
      </c>
      <c r="B2006" s="87" t="s">
        <v>1019</v>
      </c>
      <c r="C2006" s="2">
        <v>25</v>
      </c>
      <c r="D2006" s="2" t="s">
        <v>773</v>
      </c>
      <c r="E2006" s="27">
        <f t="shared" si="369"/>
        <v>990</v>
      </c>
      <c r="F2006" s="28">
        <f t="shared" si="368"/>
        <v>24750</v>
      </c>
      <c r="G2006" s="27">
        <f>자재조서!E75</f>
        <v>990</v>
      </c>
      <c r="H2006" s="28">
        <f t="shared" si="370"/>
        <v>24750</v>
      </c>
      <c r="I2006" s="27">
        <v>0</v>
      </c>
      <c r="J2006" s="28"/>
      <c r="K2006" s="27">
        <v>0</v>
      </c>
      <c r="L2006" s="28"/>
      <c r="M2006" s="86" t="s">
        <v>2856</v>
      </c>
      <c r="N2006" t="s">
        <v>2856</v>
      </c>
      <c r="P2006" t="s">
        <v>248</v>
      </c>
      <c r="Q2006" t="s">
        <v>2856</v>
      </c>
      <c r="R2006" t="s">
        <v>141</v>
      </c>
    </row>
    <row r="2007" spans="1:30" ht="18" customHeight="1" x14ac:dyDescent="0.15">
      <c r="A2007" s="2" t="s">
        <v>331</v>
      </c>
      <c r="B2007" s="87" t="s">
        <v>33</v>
      </c>
      <c r="C2007" s="2">
        <v>10.29</v>
      </c>
      <c r="D2007" s="2" t="s">
        <v>1670</v>
      </c>
      <c r="E2007" s="27">
        <f t="shared" si="369"/>
        <v>9550</v>
      </c>
      <c r="F2007" s="28">
        <f t="shared" si="368"/>
        <v>98269.5</v>
      </c>
      <c r="G2007" s="27">
        <f>자재조서!E51</f>
        <v>9550</v>
      </c>
      <c r="H2007" s="28">
        <f t="shared" si="370"/>
        <v>98269.5</v>
      </c>
      <c r="I2007" s="27">
        <v>0</v>
      </c>
      <c r="J2007" s="28"/>
      <c r="K2007" s="27">
        <v>0</v>
      </c>
      <c r="L2007" s="28"/>
      <c r="M2007" s="86" t="s">
        <v>2856</v>
      </c>
      <c r="N2007" t="s">
        <v>2856</v>
      </c>
      <c r="P2007" t="s">
        <v>1686</v>
      </c>
      <c r="Q2007" t="s">
        <v>2856</v>
      </c>
      <c r="R2007" t="s">
        <v>587</v>
      </c>
    </row>
    <row r="2008" spans="1:30" ht="18" customHeight="1" x14ac:dyDescent="0.15">
      <c r="A2008" s="2" t="s">
        <v>331</v>
      </c>
      <c r="B2008" s="87" t="s">
        <v>850</v>
      </c>
      <c r="C2008" s="2">
        <v>21.32</v>
      </c>
      <c r="D2008" s="2" t="s">
        <v>1670</v>
      </c>
      <c r="E2008" s="27">
        <f t="shared" si="369"/>
        <v>4610</v>
      </c>
      <c r="F2008" s="28">
        <f t="shared" si="368"/>
        <v>98285.2</v>
      </c>
      <c r="G2008" s="27">
        <f>자재조서!E52</f>
        <v>4610</v>
      </c>
      <c r="H2008" s="28">
        <f t="shared" si="370"/>
        <v>98285.2</v>
      </c>
      <c r="I2008" s="27">
        <v>0</v>
      </c>
      <c r="J2008" s="28"/>
      <c r="K2008" s="27">
        <v>0</v>
      </c>
      <c r="L2008" s="28"/>
      <c r="M2008" s="86" t="s">
        <v>2856</v>
      </c>
      <c r="N2008" t="s">
        <v>2856</v>
      </c>
      <c r="P2008" t="s">
        <v>954</v>
      </c>
      <c r="Q2008" t="s">
        <v>2856</v>
      </c>
      <c r="R2008" t="s">
        <v>1596</v>
      </c>
    </row>
    <row r="2009" spans="1:30" ht="18" customHeight="1" x14ac:dyDescent="0.15">
      <c r="A2009" s="79" t="s">
        <v>567</v>
      </c>
      <c r="B2009" s="87" t="s">
        <v>3074</v>
      </c>
      <c r="C2009" s="2">
        <v>0.153</v>
      </c>
      <c r="D2009" s="2" t="s">
        <v>978</v>
      </c>
      <c r="E2009" s="27">
        <f t="shared" si="369"/>
        <v>2661254</v>
      </c>
      <c r="F2009" s="28">
        <f t="shared" si="368"/>
        <v>407171.7</v>
      </c>
      <c r="G2009" s="27">
        <f>일위대가목록!F280</f>
        <v>0</v>
      </c>
      <c r="H2009" s="28">
        <f t="shared" si="370"/>
        <v>0</v>
      </c>
      <c r="I2009" s="27">
        <f>일위대가목록!H280</f>
        <v>2599062</v>
      </c>
      <c r="J2009" s="28">
        <f>TRUNC(I2009*C2009,1)</f>
        <v>397656.4</v>
      </c>
      <c r="K2009" s="27">
        <f>일위대가목록!J280</f>
        <v>62192</v>
      </c>
      <c r="L2009" s="28">
        <f>TRUNC(K2009*C2009,1)</f>
        <v>9515.2999999999993</v>
      </c>
      <c r="M2009" s="86" t="s">
        <v>2856</v>
      </c>
      <c r="N2009" t="s">
        <v>2856</v>
      </c>
      <c r="P2009" t="s">
        <v>983</v>
      </c>
      <c r="Q2009" t="s">
        <v>2856</v>
      </c>
      <c r="R2009" t="s">
        <v>3063</v>
      </c>
      <c r="T2009" t="s">
        <v>1778</v>
      </c>
    </row>
    <row r="2010" spans="1:30" ht="18" customHeight="1" x14ac:dyDescent="0.15">
      <c r="A2010" s="2" t="s">
        <v>1470</v>
      </c>
      <c r="B2010" s="87" t="s">
        <v>1226</v>
      </c>
      <c r="C2010" s="2">
        <v>5.94</v>
      </c>
      <c r="D2010" s="2" t="s">
        <v>1202</v>
      </c>
      <c r="E2010" s="27">
        <f t="shared" si="369"/>
        <v>66000</v>
      </c>
      <c r="F2010" s="28">
        <f t="shared" si="368"/>
        <v>392040</v>
      </c>
      <c r="G2010" s="27">
        <f>자재조서!E56</f>
        <v>66000</v>
      </c>
      <c r="H2010" s="28">
        <f t="shared" si="370"/>
        <v>392040</v>
      </c>
      <c r="I2010" s="27">
        <v>0</v>
      </c>
      <c r="J2010" s="28"/>
      <c r="K2010" s="27">
        <v>0</v>
      </c>
      <c r="L2010" s="28"/>
      <c r="M2010" s="86" t="s">
        <v>1601</v>
      </c>
      <c r="N2010" t="s">
        <v>2856</v>
      </c>
      <c r="P2010" t="s">
        <v>2389</v>
      </c>
      <c r="Q2010" t="s">
        <v>1839</v>
      </c>
      <c r="R2010" t="s">
        <v>936</v>
      </c>
      <c r="W2010" t="s">
        <v>1601</v>
      </c>
    </row>
    <row r="2011" spans="1:30" ht="18" customHeight="1" x14ac:dyDescent="0.15">
      <c r="A2011" s="2" t="s">
        <v>323</v>
      </c>
      <c r="B2011" s="87" t="s">
        <v>503</v>
      </c>
      <c r="C2011" s="2">
        <v>6</v>
      </c>
      <c r="D2011" s="2" t="s">
        <v>588</v>
      </c>
      <c r="E2011" s="27">
        <f t="shared" si="369"/>
        <v>0</v>
      </c>
      <c r="F2011" s="28">
        <f t="shared" si="368"/>
        <v>23522.400000000001</v>
      </c>
      <c r="G2011" s="1"/>
      <c r="H2011" s="28">
        <f>TRUNC((H2010*0.06),1)</f>
        <v>23522.400000000001</v>
      </c>
      <c r="I2011" s="1"/>
      <c r="J2011" s="28">
        <v>0</v>
      </c>
      <c r="K2011" s="1"/>
      <c r="L2011" s="28">
        <v>0</v>
      </c>
      <c r="M2011" s="86" t="s">
        <v>2856</v>
      </c>
      <c r="N2011" t="s">
        <v>2856</v>
      </c>
      <c r="P2011" t="s">
        <v>189</v>
      </c>
      <c r="Q2011" t="s">
        <v>2856</v>
      </c>
      <c r="R2011" t="s">
        <v>2405</v>
      </c>
      <c r="X2011" t="s">
        <v>2552</v>
      </c>
      <c r="AA2011" s="83" t="s">
        <v>2127</v>
      </c>
      <c r="AB2011" s="72">
        <f>[321]일위대가_호표!H1964*0.06</f>
        <v>0</v>
      </c>
      <c r="AC2011" s="83" t="s">
        <v>2369</v>
      </c>
      <c r="AD2011" s="73">
        <f>$AB2010</f>
        <v>0</v>
      </c>
    </row>
    <row r="2012" spans="1:30" ht="18" customHeight="1" x14ac:dyDescent="0.15">
      <c r="A2012" s="2" t="s">
        <v>982</v>
      </c>
      <c r="B2012" s="87" t="s">
        <v>2232</v>
      </c>
      <c r="C2012" s="2">
        <v>5.4</v>
      </c>
      <c r="D2012" s="2" t="s">
        <v>1202</v>
      </c>
      <c r="E2012" s="27">
        <f t="shared" si="369"/>
        <v>55826</v>
      </c>
      <c r="F2012" s="28">
        <f t="shared" si="368"/>
        <v>301460.40000000002</v>
      </c>
      <c r="G2012" s="27">
        <f>일위대가목록!F254</f>
        <v>0</v>
      </c>
      <c r="H2012" s="28">
        <f>TRUNC(G2012*C2012,1)</f>
        <v>0</v>
      </c>
      <c r="I2012" s="27">
        <f>일위대가목록!H254</f>
        <v>55826</v>
      </c>
      <c r="J2012" s="28">
        <f>TRUNC(I2012*C2012,1)</f>
        <v>301460.40000000002</v>
      </c>
      <c r="K2012" s="27">
        <f>일위대가목록!J254</f>
        <v>0</v>
      </c>
      <c r="L2012" s="28">
        <f>TRUNC(K2012*C2012,1)</f>
        <v>0</v>
      </c>
      <c r="M2012" s="86" t="s">
        <v>2856</v>
      </c>
      <c r="N2012" t="s">
        <v>2856</v>
      </c>
      <c r="P2012" t="s">
        <v>904</v>
      </c>
      <c r="Q2012" t="s">
        <v>2856</v>
      </c>
      <c r="R2012" t="s">
        <v>1522</v>
      </c>
      <c r="T2012" t="s">
        <v>1778</v>
      </c>
    </row>
    <row r="2013" spans="1:30" ht="18" customHeight="1" x14ac:dyDescent="0.15">
      <c r="A2013" s="2" t="s">
        <v>1188</v>
      </c>
      <c r="B2013" s="87" t="s">
        <v>2848</v>
      </c>
      <c r="C2013" s="2">
        <v>13.5</v>
      </c>
      <c r="D2013" s="2" t="s">
        <v>1202</v>
      </c>
      <c r="E2013" s="27">
        <f t="shared" si="369"/>
        <v>12165</v>
      </c>
      <c r="F2013" s="28">
        <f t="shared" si="368"/>
        <v>164227.5</v>
      </c>
      <c r="G2013" s="27">
        <f>일위대가목록!F255</f>
        <v>1188</v>
      </c>
      <c r="H2013" s="28">
        <f>TRUNC(G2013*C2013,1)</f>
        <v>16038</v>
      </c>
      <c r="I2013" s="27">
        <f>일위대가목록!H255</f>
        <v>10762</v>
      </c>
      <c r="J2013" s="28">
        <f>TRUNC(I2013*C2013,1)</f>
        <v>145287</v>
      </c>
      <c r="K2013" s="27">
        <f>일위대가목록!J255</f>
        <v>215</v>
      </c>
      <c r="L2013" s="28">
        <f>TRUNC(K2013*C2013,1)</f>
        <v>2902.5</v>
      </c>
      <c r="M2013" s="86" t="s">
        <v>2856</v>
      </c>
      <c r="N2013" t="s">
        <v>2856</v>
      </c>
      <c r="P2013" t="s">
        <v>1640</v>
      </c>
      <c r="Q2013" t="s">
        <v>2856</v>
      </c>
      <c r="R2013" t="s">
        <v>1058</v>
      </c>
      <c r="T2013" t="s">
        <v>1778</v>
      </c>
    </row>
    <row r="2014" spans="1:30" ht="18" customHeight="1" x14ac:dyDescent="0.15">
      <c r="A2014" s="2" t="s">
        <v>3118</v>
      </c>
      <c r="B2014" s="87" t="s">
        <v>3119</v>
      </c>
      <c r="C2014" s="2">
        <v>4</v>
      </c>
      <c r="D2014" s="2" t="s">
        <v>1160</v>
      </c>
      <c r="E2014" s="27">
        <f t="shared" si="369"/>
        <v>0</v>
      </c>
      <c r="F2014" s="28">
        <f t="shared" si="368"/>
        <v>0</v>
      </c>
      <c r="G2014" s="27">
        <f>[321]자재조서!E1801</f>
        <v>0</v>
      </c>
      <c r="H2014" s="28">
        <f>TRUNC(G2014*C2014,1)</f>
        <v>0</v>
      </c>
      <c r="I2014" s="27">
        <v>0</v>
      </c>
      <c r="J2014" s="28"/>
      <c r="K2014" s="27">
        <v>0</v>
      </c>
      <c r="L2014" s="28"/>
      <c r="M2014" s="86" t="s">
        <v>1601</v>
      </c>
      <c r="N2014" t="s">
        <v>2856</v>
      </c>
      <c r="P2014" t="s">
        <v>2340</v>
      </c>
      <c r="Q2014" t="s">
        <v>1839</v>
      </c>
      <c r="R2014" t="s">
        <v>3120</v>
      </c>
    </row>
    <row r="2015" spans="1:30" ht="18" customHeight="1" x14ac:dyDescent="0.15">
      <c r="A2015" s="2" t="s">
        <v>3121</v>
      </c>
      <c r="B2015" s="87" t="s">
        <v>3119</v>
      </c>
      <c r="C2015" s="2">
        <v>4</v>
      </c>
      <c r="D2015" s="2" t="s">
        <v>1160</v>
      </c>
      <c r="E2015" s="27">
        <f t="shared" si="369"/>
        <v>47118</v>
      </c>
      <c r="F2015" s="28">
        <f t="shared" si="368"/>
        <v>188472</v>
      </c>
      <c r="G2015" s="27">
        <f>일위대가목록!F284</f>
        <v>3042</v>
      </c>
      <c r="H2015" s="28">
        <f>TRUNC(G2015*C2015,1)</f>
        <v>12168</v>
      </c>
      <c r="I2015" s="27">
        <f>일위대가목록!H284</f>
        <v>43636</v>
      </c>
      <c r="J2015" s="28">
        <f>TRUNC(I2015*C2015,1)</f>
        <v>174544</v>
      </c>
      <c r="K2015" s="27">
        <f>일위대가목록!J284</f>
        <v>440</v>
      </c>
      <c r="L2015" s="28">
        <f>TRUNC(K2015*C2015,1)</f>
        <v>1760</v>
      </c>
      <c r="M2015" s="86" t="s">
        <v>2856</v>
      </c>
      <c r="N2015" t="s">
        <v>2856</v>
      </c>
      <c r="P2015" t="s">
        <v>317</v>
      </c>
      <c r="Q2015" t="s">
        <v>2856</v>
      </c>
      <c r="R2015" t="s">
        <v>3122</v>
      </c>
      <c r="T2015" t="s">
        <v>1778</v>
      </c>
    </row>
    <row r="2016" spans="1:30" ht="18.399999999999999" customHeight="1" x14ac:dyDescent="0.15">
      <c r="A2016" s="66" t="s">
        <v>3046</v>
      </c>
      <c r="B2016" s="175" t="s">
        <v>3245</v>
      </c>
      <c r="C2016" s="63"/>
      <c r="D2016" s="63"/>
      <c r="E2016" s="64"/>
      <c r="F2016" s="65">
        <f t="shared" si="368"/>
        <v>1312622</v>
      </c>
      <c r="G2016" s="66"/>
      <c r="H2016" s="65">
        <f>TRUNC(H1997*$B$2016)</f>
        <v>280532</v>
      </c>
      <c r="I2016" s="66"/>
      <c r="J2016" s="65">
        <f>TRUNC(J1997*$B$2016)</f>
        <v>1014857</v>
      </c>
      <c r="K2016" s="66"/>
      <c r="L2016" s="65">
        <f>TRUNC(L1997*$B$2016)</f>
        <v>17233</v>
      </c>
      <c r="M2016" s="186"/>
      <c r="AA2016" s="42"/>
      <c r="AB2016" s="8"/>
      <c r="AC2016" s="42"/>
      <c r="AD2016" s="7"/>
    </row>
    <row r="2017" spans="1:30" ht="18" customHeight="1" x14ac:dyDescent="0.15">
      <c r="A2017" s="1"/>
      <c r="B2017" s="87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87"/>
    </row>
    <row r="2018" spans="1:30" ht="18" customHeight="1" x14ac:dyDescent="0.15">
      <c r="A2018" s="69" t="s">
        <v>3259</v>
      </c>
      <c r="B2018" s="174" t="s">
        <v>1937</v>
      </c>
      <c r="C2018" s="69">
        <v>1</v>
      </c>
      <c r="D2018" s="69" t="s">
        <v>1796</v>
      </c>
      <c r="E2018" s="185"/>
      <c r="F2018" s="70">
        <f t="shared" ref="F2018:F2037" si="371">H2018+J2018+L2018</f>
        <v>4411557</v>
      </c>
      <c r="G2018" s="185"/>
      <c r="H2018" s="70">
        <f>TRUNC(H2019+H2020+H2021+H2022+H2024+H2028+H2030+H2025+H2026+H2027+H2029+H2032+H2033+H2034+H2036,0)</f>
        <v>962992</v>
      </c>
      <c r="I2018" s="185"/>
      <c r="J2018" s="70">
        <f>TRUNC(J2019+J2020+J2021+J2022+J2024+J2028+J2030+J2025+J2026+J2027+J2029+J2032+J2033+J2034+J2036,0)</f>
        <v>3389448</v>
      </c>
      <c r="K2018" s="185"/>
      <c r="L2018" s="70">
        <f>TRUNC(L2019+L2020+L2021+L2022+L2024+L2028+L2030+L2025+L2026+L2027+L2029+L2032+L2033+L2034+L2036,0)</f>
        <v>59117</v>
      </c>
      <c r="M2018" s="181" t="s">
        <v>2856</v>
      </c>
      <c r="N2018" t="s">
        <v>2856</v>
      </c>
      <c r="O2018" t="s">
        <v>3067</v>
      </c>
    </row>
    <row r="2019" spans="1:30" ht="18" customHeight="1" x14ac:dyDescent="0.15">
      <c r="A2019" s="2" t="s">
        <v>1163</v>
      </c>
      <c r="B2019" s="87" t="s">
        <v>1879</v>
      </c>
      <c r="C2019" s="2">
        <v>3.53</v>
      </c>
      <c r="D2019" s="2" t="s">
        <v>2825</v>
      </c>
      <c r="E2019" s="27">
        <f t="shared" ref="E2019:E2036" si="372">G2019+I2019+K2019</f>
        <v>33416</v>
      </c>
      <c r="F2019" s="28">
        <f t="shared" si="371"/>
        <v>117958.39999999999</v>
      </c>
      <c r="G2019" s="27">
        <f>일위대가목록!F249</f>
        <v>0</v>
      </c>
      <c r="H2019" s="28">
        <f t="shared" ref="H2019:H2031" si="373">TRUNC(G2019*C2019,1)</f>
        <v>0</v>
      </c>
      <c r="I2019" s="27">
        <f>일위대가목록!H249</f>
        <v>33416</v>
      </c>
      <c r="J2019" s="28">
        <f>TRUNC(I2019*C2019,1)</f>
        <v>117958.39999999999</v>
      </c>
      <c r="K2019" s="27">
        <f>일위대가목록!J249</f>
        <v>0</v>
      </c>
      <c r="L2019" s="28">
        <f>TRUNC(K2019*C2019,1)</f>
        <v>0</v>
      </c>
      <c r="M2019" s="86" t="s">
        <v>2856</v>
      </c>
      <c r="N2019" t="s">
        <v>2856</v>
      </c>
      <c r="P2019" t="s">
        <v>334</v>
      </c>
      <c r="Q2019" t="s">
        <v>2856</v>
      </c>
      <c r="R2019" t="s">
        <v>69</v>
      </c>
      <c r="T2019" t="s">
        <v>2405</v>
      </c>
    </row>
    <row r="2020" spans="1:30" ht="18" customHeight="1" x14ac:dyDescent="0.15">
      <c r="A2020" s="2" t="s">
        <v>1112</v>
      </c>
      <c r="B2020" s="87" t="s">
        <v>394</v>
      </c>
      <c r="C2020" s="2">
        <v>0.49</v>
      </c>
      <c r="D2020" s="2" t="s">
        <v>2825</v>
      </c>
      <c r="E2020" s="27">
        <f t="shared" si="372"/>
        <v>33416</v>
      </c>
      <c r="F2020" s="28">
        <f t="shared" si="371"/>
        <v>16373.8</v>
      </c>
      <c r="G2020" s="27">
        <f>일위대가목록!F250</f>
        <v>0</v>
      </c>
      <c r="H2020" s="28">
        <f t="shared" si="373"/>
        <v>0</v>
      </c>
      <c r="I2020" s="27">
        <f>일위대가목록!H250</f>
        <v>33416</v>
      </c>
      <c r="J2020" s="28">
        <f>TRUNC(I2020*C2020,1)</f>
        <v>16373.8</v>
      </c>
      <c r="K2020" s="27">
        <f>일위대가목록!J250</f>
        <v>0</v>
      </c>
      <c r="L2020" s="28">
        <f>TRUNC(K2020*C2020,1)</f>
        <v>0</v>
      </c>
      <c r="M2020" s="86" t="s">
        <v>2856</v>
      </c>
      <c r="N2020" t="s">
        <v>2856</v>
      </c>
      <c r="P2020" t="s">
        <v>2471</v>
      </c>
      <c r="Q2020" t="s">
        <v>2856</v>
      </c>
      <c r="R2020" t="s">
        <v>1705</v>
      </c>
      <c r="T2020" t="s">
        <v>2405</v>
      </c>
    </row>
    <row r="2021" spans="1:30" ht="18" customHeight="1" x14ac:dyDescent="0.15">
      <c r="A2021" s="2" t="s">
        <v>2451</v>
      </c>
      <c r="B2021" s="87" t="s">
        <v>129</v>
      </c>
      <c r="C2021" s="2">
        <v>3.04</v>
      </c>
      <c r="D2021" s="2" t="s">
        <v>2825</v>
      </c>
      <c r="E2021" s="27">
        <f t="shared" si="372"/>
        <v>16708</v>
      </c>
      <c r="F2021" s="28">
        <f t="shared" si="371"/>
        <v>50792.3</v>
      </c>
      <c r="G2021" s="27">
        <f>일위대가목록!F251</f>
        <v>0</v>
      </c>
      <c r="H2021" s="28">
        <f t="shared" si="373"/>
        <v>0</v>
      </c>
      <c r="I2021" s="27">
        <f>일위대가목록!H251</f>
        <v>16708</v>
      </c>
      <c r="J2021" s="28">
        <f>TRUNC(I2021*C2021,1)</f>
        <v>50792.3</v>
      </c>
      <c r="K2021" s="27">
        <f>일위대가목록!J251</f>
        <v>0</v>
      </c>
      <c r="L2021" s="28">
        <f>TRUNC(K2021*C2021,1)</f>
        <v>0</v>
      </c>
      <c r="M2021" s="86" t="s">
        <v>2856</v>
      </c>
      <c r="N2021" t="s">
        <v>2856</v>
      </c>
      <c r="P2021" t="s">
        <v>1741</v>
      </c>
      <c r="Q2021" t="s">
        <v>2856</v>
      </c>
      <c r="R2021" t="s">
        <v>1429</v>
      </c>
      <c r="T2021" t="s">
        <v>2405</v>
      </c>
    </row>
    <row r="2022" spans="1:30" ht="18" customHeight="1" x14ac:dyDescent="0.15">
      <c r="A2022" s="2" t="s">
        <v>832</v>
      </c>
      <c r="B2022" s="87" t="s">
        <v>610</v>
      </c>
      <c r="C2022" s="2">
        <v>6.48</v>
      </c>
      <c r="D2022" s="2" t="s">
        <v>1202</v>
      </c>
      <c r="E2022" s="27">
        <f t="shared" si="372"/>
        <v>45715</v>
      </c>
      <c r="F2022" s="28">
        <f t="shared" si="371"/>
        <v>296233.09999999998</v>
      </c>
      <c r="G2022" s="27">
        <f>일위대가목록!F236</f>
        <v>11180</v>
      </c>
      <c r="H2022" s="28">
        <f t="shared" si="373"/>
        <v>72446.399999999994</v>
      </c>
      <c r="I2022" s="27">
        <f>일위대가목록!H236</f>
        <v>34194</v>
      </c>
      <c r="J2022" s="28">
        <f>TRUNC(I2022*C2022,1)</f>
        <v>221577.1</v>
      </c>
      <c r="K2022" s="27">
        <f>일위대가목록!J236</f>
        <v>341</v>
      </c>
      <c r="L2022" s="28">
        <f>TRUNC(K2022*C2022,1)</f>
        <v>2209.6</v>
      </c>
      <c r="M2022" s="86" t="s">
        <v>2856</v>
      </c>
      <c r="N2022" t="s">
        <v>2856</v>
      </c>
      <c r="P2022" t="s">
        <v>1036</v>
      </c>
      <c r="Q2022" t="s">
        <v>2856</v>
      </c>
      <c r="R2022" t="s">
        <v>1998</v>
      </c>
      <c r="T2022" t="s">
        <v>1778</v>
      </c>
    </row>
    <row r="2023" spans="1:30" ht="18" customHeight="1" x14ac:dyDescent="0.15">
      <c r="A2023" s="2" t="s">
        <v>1632</v>
      </c>
      <c r="B2023" s="87" t="s">
        <v>2279</v>
      </c>
      <c r="C2023" s="2">
        <v>0.5</v>
      </c>
      <c r="D2023" s="2" t="s">
        <v>2825</v>
      </c>
      <c r="E2023" s="27">
        <f t="shared" si="372"/>
        <v>0</v>
      </c>
      <c r="F2023" s="28">
        <f t="shared" si="371"/>
        <v>0</v>
      </c>
      <c r="G2023" s="27">
        <f>TRUNC([320]자재조서!E881*0,2)</f>
        <v>0</v>
      </c>
      <c r="H2023" s="28">
        <f t="shared" si="373"/>
        <v>0</v>
      </c>
      <c r="I2023" s="27">
        <v>0</v>
      </c>
      <c r="J2023" s="28"/>
      <c r="K2023" s="27">
        <v>0</v>
      </c>
      <c r="L2023" s="28"/>
      <c r="M2023" s="86" t="s">
        <v>1601</v>
      </c>
      <c r="N2023" t="s">
        <v>2856</v>
      </c>
      <c r="P2023" t="s">
        <v>286</v>
      </c>
      <c r="Q2023" t="s">
        <v>1839</v>
      </c>
      <c r="R2023" t="s">
        <v>2547</v>
      </c>
      <c r="W2023" t="s">
        <v>1601</v>
      </c>
    </row>
    <row r="2024" spans="1:30" ht="18" customHeight="1" x14ac:dyDescent="0.15">
      <c r="A2024" s="2" t="s">
        <v>54</v>
      </c>
      <c r="B2024" s="87" t="s">
        <v>1255</v>
      </c>
      <c r="C2024" s="2">
        <v>0.49</v>
      </c>
      <c r="D2024" s="2" t="s">
        <v>2825</v>
      </c>
      <c r="E2024" s="27">
        <f t="shared" si="372"/>
        <v>55166</v>
      </c>
      <c r="F2024" s="28">
        <f t="shared" si="371"/>
        <v>27031.300000000003</v>
      </c>
      <c r="G2024" s="27">
        <f>일위대가목록!F235</f>
        <v>2538</v>
      </c>
      <c r="H2024" s="28">
        <f t="shared" si="373"/>
        <v>1243.5999999999999</v>
      </c>
      <c r="I2024" s="27">
        <f>일위대가목록!H235</f>
        <v>22449</v>
      </c>
      <c r="J2024" s="28">
        <f>TRUNC(I2024*C2024,1)</f>
        <v>11000</v>
      </c>
      <c r="K2024" s="27">
        <f>일위대가목록!J235</f>
        <v>30179</v>
      </c>
      <c r="L2024" s="28">
        <f>TRUNC(K2024*C2024,1)</f>
        <v>14787.7</v>
      </c>
      <c r="M2024" s="86" t="s">
        <v>2856</v>
      </c>
      <c r="N2024" t="s">
        <v>2856</v>
      </c>
      <c r="P2024" t="s">
        <v>2428</v>
      </c>
      <c r="Q2024" t="s">
        <v>2856</v>
      </c>
      <c r="R2024" t="s">
        <v>668</v>
      </c>
      <c r="T2024" t="s">
        <v>1778</v>
      </c>
    </row>
    <row r="2025" spans="1:30" ht="18" customHeight="1" x14ac:dyDescent="0.15">
      <c r="A2025" s="2" t="s">
        <v>485</v>
      </c>
      <c r="B2025" s="87" t="s">
        <v>1172</v>
      </c>
      <c r="C2025" s="2">
        <v>56.524999999999999</v>
      </c>
      <c r="D2025" s="2" t="s">
        <v>1674</v>
      </c>
      <c r="E2025" s="27">
        <f t="shared" si="372"/>
        <v>1210</v>
      </c>
      <c r="F2025" s="28">
        <f t="shared" si="371"/>
        <v>68395.199999999997</v>
      </c>
      <c r="G2025" s="27">
        <f>자재조서!E76</f>
        <v>1210</v>
      </c>
      <c r="H2025" s="28">
        <f t="shared" si="373"/>
        <v>68395.199999999997</v>
      </c>
      <c r="I2025" s="27">
        <v>0</v>
      </c>
      <c r="J2025" s="28"/>
      <c r="K2025" s="27">
        <v>0</v>
      </c>
      <c r="L2025" s="28"/>
      <c r="M2025" s="86" t="s">
        <v>2856</v>
      </c>
      <c r="N2025" t="s">
        <v>2856</v>
      </c>
      <c r="P2025" t="s">
        <v>1686</v>
      </c>
      <c r="Q2025" t="s">
        <v>2856</v>
      </c>
      <c r="R2025" t="s">
        <v>1687</v>
      </c>
    </row>
    <row r="2026" spans="1:30" ht="18" customHeight="1" x14ac:dyDescent="0.15">
      <c r="A2026" s="2" t="s">
        <v>1877</v>
      </c>
      <c r="B2026" s="87" t="s">
        <v>2492</v>
      </c>
      <c r="C2026" s="2">
        <v>1.5549999999999999</v>
      </c>
      <c r="D2026" s="2" t="s">
        <v>1202</v>
      </c>
      <c r="E2026" s="27">
        <f t="shared" si="372"/>
        <v>10589</v>
      </c>
      <c r="F2026" s="28">
        <f t="shared" si="371"/>
        <v>16465.8</v>
      </c>
      <c r="G2026" s="27">
        <f>일위대가목록!F252</f>
        <v>1881</v>
      </c>
      <c r="H2026" s="28">
        <f t="shared" si="373"/>
        <v>2924.9</v>
      </c>
      <c r="I2026" s="27">
        <f>일위대가목록!H252</f>
        <v>8708</v>
      </c>
      <c r="J2026" s="28">
        <f>TRUNC(I2026*C2026,1)</f>
        <v>13540.9</v>
      </c>
      <c r="K2026" s="27">
        <f>일위대가목록!J252</f>
        <v>0</v>
      </c>
      <c r="L2026" s="28">
        <f>TRUNC(K2026*C2026,1)</f>
        <v>0</v>
      </c>
      <c r="M2026" s="86" t="s">
        <v>2856</v>
      </c>
      <c r="N2026" t="s">
        <v>2856</v>
      </c>
      <c r="P2026" t="s">
        <v>983</v>
      </c>
      <c r="Q2026" t="s">
        <v>2856</v>
      </c>
      <c r="R2026" t="s">
        <v>799</v>
      </c>
      <c r="T2026" t="s">
        <v>1778</v>
      </c>
    </row>
    <row r="2027" spans="1:30" ht="18" customHeight="1" x14ac:dyDescent="0.15">
      <c r="A2027" s="2" t="s">
        <v>1065</v>
      </c>
      <c r="B2027" s="87" t="s">
        <v>1019</v>
      </c>
      <c r="C2027" s="2">
        <v>76</v>
      </c>
      <c r="D2027" s="2" t="s">
        <v>773</v>
      </c>
      <c r="E2027" s="27">
        <f t="shared" si="372"/>
        <v>990</v>
      </c>
      <c r="F2027" s="28">
        <f t="shared" si="371"/>
        <v>75240</v>
      </c>
      <c r="G2027" s="27">
        <f>자재조서!E75</f>
        <v>990</v>
      </c>
      <c r="H2027" s="28">
        <f t="shared" si="373"/>
        <v>75240</v>
      </c>
      <c r="I2027" s="27">
        <v>0</v>
      </c>
      <c r="J2027" s="28"/>
      <c r="K2027" s="27">
        <v>0</v>
      </c>
      <c r="L2027" s="28"/>
      <c r="M2027" s="86" t="s">
        <v>2856</v>
      </c>
      <c r="N2027" t="s">
        <v>2856</v>
      </c>
      <c r="P2027" t="s">
        <v>248</v>
      </c>
      <c r="Q2027" t="s">
        <v>2856</v>
      </c>
      <c r="R2027" t="s">
        <v>141</v>
      </c>
    </row>
    <row r="2028" spans="1:30" ht="18" customHeight="1" x14ac:dyDescent="0.15">
      <c r="A2028" s="2" t="s">
        <v>331</v>
      </c>
      <c r="B2028" s="87" t="s">
        <v>33</v>
      </c>
      <c r="C2028" s="2">
        <v>29.51</v>
      </c>
      <c r="D2028" s="2" t="s">
        <v>1670</v>
      </c>
      <c r="E2028" s="27">
        <f t="shared" si="372"/>
        <v>9550</v>
      </c>
      <c r="F2028" s="28">
        <f t="shared" si="371"/>
        <v>281820.5</v>
      </c>
      <c r="G2028" s="27">
        <f>자재조서!E51</f>
        <v>9550</v>
      </c>
      <c r="H2028" s="28">
        <f t="shared" si="373"/>
        <v>281820.5</v>
      </c>
      <c r="I2028" s="27">
        <v>0</v>
      </c>
      <c r="J2028" s="28"/>
      <c r="K2028" s="27">
        <v>0</v>
      </c>
      <c r="L2028" s="28"/>
      <c r="M2028" s="86" t="s">
        <v>2856</v>
      </c>
      <c r="N2028" t="s">
        <v>2856</v>
      </c>
      <c r="P2028" t="s">
        <v>1686</v>
      </c>
      <c r="Q2028" t="s">
        <v>2856</v>
      </c>
      <c r="R2028" t="s">
        <v>587</v>
      </c>
    </row>
    <row r="2029" spans="1:30" ht="18" customHeight="1" x14ac:dyDescent="0.15">
      <c r="A2029" s="2" t="s">
        <v>331</v>
      </c>
      <c r="B2029" s="87" t="s">
        <v>850</v>
      </c>
      <c r="C2029" s="2">
        <v>68.459999999999994</v>
      </c>
      <c r="D2029" s="2" t="s">
        <v>1670</v>
      </c>
      <c r="E2029" s="27">
        <f t="shared" si="372"/>
        <v>4610</v>
      </c>
      <c r="F2029" s="28">
        <f t="shared" si="371"/>
        <v>315600.59999999998</v>
      </c>
      <c r="G2029" s="27">
        <f>자재조서!E52</f>
        <v>4610</v>
      </c>
      <c r="H2029" s="28">
        <f t="shared" si="373"/>
        <v>315600.59999999998</v>
      </c>
      <c r="I2029" s="27">
        <v>0</v>
      </c>
      <c r="J2029" s="28"/>
      <c r="K2029" s="27">
        <v>0</v>
      </c>
      <c r="L2029" s="28"/>
      <c r="M2029" s="86" t="s">
        <v>2856</v>
      </c>
      <c r="N2029" t="s">
        <v>2856</v>
      </c>
      <c r="P2029" t="s">
        <v>954</v>
      </c>
      <c r="Q2029" t="s">
        <v>2856</v>
      </c>
      <c r="R2029" t="s">
        <v>1596</v>
      </c>
    </row>
    <row r="2030" spans="1:30" ht="18" customHeight="1" x14ac:dyDescent="0.15">
      <c r="A2030" s="79" t="s">
        <v>567</v>
      </c>
      <c r="B2030" s="87" t="s">
        <v>3074</v>
      </c>
      <c r="C2030" s="2">
        <v>0.46400000000000002</v>
      </c>
      <c r="D2030" s="2" t="s">
        <v>978</v>
      </c>
      <c r="E2030" s="27">
        <f t="shared" si="372"/>
        <v>2661254</v>
      </c>
      <c r="F2030" s="28">
        <f t="shared" si="371"/>
        <v>1234821.7</v>
      </c>
      <c r="G2030" s="27">
        <f>일위대가목록!F280</f>
        <v>0</v>
      </c>
      <c r="H2030" s="28">
        <f t="shared" si="373"/>
        <v>0</v>
      </c>
      <c r="I2030" s="27">
        <f>일위대가목록!H280</f>
        <v>2599062</v>
      </c>
      <c r="J2030" s="28">
        <f>TRUNC(I2030*C2030,1)</f>
        <v>1205964.7</v>
      </c>
      <c r="K2030" s="27">
        <f>일위대가목록!J280</f>
        <v>62192</v>
      </c>
      <c r="L2030" s="28">
        <f>TRUNC(K2030*C2030,1)</f>
        <v>28857</v>
      </c>
      <c r="M2030" s="86" t="s">
        <v>2856</v>
      </c>
      <c r="N2030" t="s">
        <v>2856</v>
      </c>
      <c r="P2030" t="s">
        <v>983</v>
      </c>
      <c r="Q2030" t="s">
        <v>2856</v>
      </c>
      <c r="R2030" t="s">
        <v>3063</v>
      </c>
      <c r="T2030" t="s">
        <v>1778</v>
      </c>
    </row>
    <row r="2031" spans="1:30" ht="18" customHeight="1" x14ac:dyDescent="0.15">
      <c r="A2031" s="2" t="s">
        <v>1470</v>
      </c>
      <c r="B2031" s="87" t="s">
        <v>1226</v>
      </c>
      <c r="C2031" s="2">
        <v>16.34</v>
      </c>
      <c r="D2031" s="2" t="s">
        <v>1202</v>
      </c>
      <c r="E2031" s="27">
        <f t="shared" si="372"/>
        <v>66000</v>
      </c>
      <c r="F2031" s="28">
        <f t="shared" si="371"/>
        <v>1078440</v>
      </c>
      <c r="G2031" s="27">
        <f>자재조서!E56</f>
        <v>66000</v>
      </c>
      <c r="H2031" s="28">
        <f t="shared" si="373"/>
        <v>1078440</v>
      </c>
      <c r="I2031" s="27">
        <v>0</v>
      </c>
      <c r="J2031" s="28"/>
      <c r="K2031" s="27">
        <v>0</v>
      </c>
      <c r="L2031" s="28"/>
      <c r="M2031" s="86" t="s">
        <v>1601</v>
      </c>
      <c r="N2031" t="s">
        <v>2856</v>
      </c>
      <c r="P2031" t="s">
        <v>2389</v>
      </c>
      <c r="Q2031" t="s">
        <v>1839</v>
      </c>
      <c r="R2031" t="s">
        <v>936</v>
      </c>
      <c r="W2031" t="s">
        <v>1601</v>
      </c>
    </row>
    <row r="2032" spans="1:30" ht="18" customHeight="1" x14ac:dyDescent="0.15">
      <c r="A2032" s="2" t="s">
        <v>323</v>
      </c>
      <c r="B2032" s="87" t="s">
        <v>503</v>
      </c>
      <c r="C2032" s="2">
        <v>6</v>
      </c>
      <c r="D2032" s="2" t="s">
        <v>588</v>
      </c>
      <c r="E2032" s="27">
        <f t="shared" si="372"/>
        <v>0</v>
      </c>
      <c r="F2032" s="28">
        <f t="shared" si="371"/>
        <v>64706.400000000001</v>
      </c>
      <c r="G2032" s="1"/>
      <c r="H2032" s="28">
        <f>TRUNC((H2031*0.06),1)</f>
        <v>64706.400000000001</v>
      </c>
      <c r="I2032" s="1"/>
      <c r="J2032" s="28">
        <v>0</v>
      </c>
      <c r="K2032" s="1"/>
      <c r="L2032" s="28">
        <v>0</v>
      </c>
      <c r="M2032" s="86" t="s">
        <v>2856</v>
      </c>
      <c r="N2032" t="s">
        <v>2856</v>
      </c>
      <c r="P2032" t="s">
        <v>189</v>
      </c>
      <c r="Q2032" t="s">
        <v>2856</v>
      </c>
      <c r="R2032" t="s">
        <v>2405</v>
      </c>
      <c r="X2032" t="s">
        <v>2552</v>
      </c>
      <c r="AA2032" s="83" t="s">
        <v>2127</v>
      </c>
      <c r="AB2032" s="72">
        <f>[321]일위대가_호표!H1985*0.06</f>
        <v>0</v>
      </c>
      <c r="AC2032" s="83" t="s">
        <v>2369</v>
      </c>
      <c r="AD2032" s="73">
        <f>$AB2031</f>
        <v>0</v>
      </c>
    </row>
    <row r="2033" spans="1:30" ht="18" customHeight="1" x14ac:dyDescent="0.15">
      <c r="A2033" s="2" t="s">
        <v>982</v>
      </c>
      <c r="B2033" s="87" t="s">
        <v>2232</v>
      </c>
      <c r="C2033" s="2">
        <v>14.85</v>
      </c>
      <c r="D2033" s="2" t="s">
        <v>1202</v>
      </c>
      <c r="E2033" s="27">
        <f t="shared" si="372"/>
        <v>55826</v>
      </c>
      <c r="F2033" s="28">
        <f t="shared" si="371"/>
        <v>829016.1</v>
      </c>
      <c r="G2033" s="27">
        <f>일위대가목록!F254</f>
        <v>0</v>
      </c>
      <c r="H2033" s="28">
        <f>TRUNC(G2033*C2033,1)</f>
        <v>0</v>
      </c>
      <c r="I2033" s="27">
        <f>일위대가목록!H254</f>
        <v>55826</v>
      </c>
      <c r="J2033" s="28">
        <f>TRUNC(I2033*C2033,1)</f>
        <v>829016.1</v>
      </c>
      <c r="K2033" s="27">
        <f>일위대가목록!J254</f>
        <v>0</v>
      </c>
      <c r="L2033" s="28">
        <f>TRUNC(K2033*C2033,1)</f>
        <v>0</v>
      </c>
      <c r="M2033" s="86" t="s">
        <v>2856</v>
      </c>
      <c r="N2033" t="s">
        <v>2856</v>
      </c>
      <c r="P2033" t="s">
        <v>904</v>
      </c>
      <c r="Q2033" t="s">
        <v>2856</v>
      </c>
      <c r="R2033" t="s">
        <v>1522</v>
      </c>
      <c r="T2033" t="s">
        <v>1778</v>
      </c>
    </row>
    <row r="2034" spans="1:30" ht="18" customHeight="1" x14ac:dyDescent="0.15">
      <c r="A2034" s="2" t="s">
        <v>1188</v>
      </c>
      <c r="B2034" s="87" t="s">
        <v>2848</v>
      </c>
      <c r="C2034" s="2">
        <v>37.130000000000003</v>
      </c>
      <c r="D2034" s="2" t="s">
        <v>1202</v>
      </c>
      <c r="E2034" s="27">
        <f t="shared" si="372"/>
        <v>12165</v>
      </c>
      <c r="F2034" s="28">
        <f t="shared" si="371"/>
        <v>451686.30000000005</v>
      </c>
      <c r="G2034" s="27">
        <f>일위대가목록!F255</f>
        <v>1188</v>
      </c>
      <c r="H2034" s="28">
        <f>TRUNC(G2034*C2034,1)</f>
        <v>44110.400000000001</v>
      </c>
      <c r="I2034" s="27">
        <f>일위대가목록!H255</f>
        <v>10762</v>
      </c>
      <c r="J2034" s="28">
        <f>TRUNC(I2034*C2034,1)</f>
        <v>399593</v>
      </c>
      <c r="K2034" s="27">
        <f>일위대가목록!J255</f>
        <v>215</v>
      </c>
      <c r="L2034" s="28">
        <f>TRUNC(K2034*C2034,1)</f>
        <v>7982.9</v>
      </c>
      <c r="M2034" s="86" t="s">
        <v>2856</v>
      </c>
      <c r="N2034" t="s">
        <v>2856</v>
      </c>
      <c r="P2034" t="s">
        <v>1640</v>
      </c>
      <c r="Q2034" t="s">
        <v>2856</v>
      </c>
      <c r="R2034" t="s">
        <v>1058</v>
      </c>
      <c r="T2034" t="s">
        <v>1778</v>
      </c>
    </row>
    <row r="2035" spans="1:30" ht="18" customHeight="1" x14ac:dyDescent="0.15">
      <c r="A2035" s="2" t="s">
        <v>3118</v>
      </c>
      <c r="B2035" s="87" t="s">
        <v>3119</v>
      </c>
      <c r="C2035" s="2">
        <v>12</v>
      </c>
      <c r="D2035" s="2" t="s">
        <v>1160</v>
      </c>
      <c r="E2035" s="27">
        <f t="shared" si="372"/>
        <v>0</v>
      </c>
      <c r="F2035" s="28">
        <f t="shared" si="371"/>
        <v>0</v>
      </c>
      <c r="G2035" s="27">
        <f>[321]자재조서!E1802</f>
        <v>0</v>
      </c>
      <c r="H2035" s="28">
        <f>TRUNC(G2035*C2035,1)</f>
        <v>0</v>
      </c>
      <c r="I2035" s="27">
        <v>0</v>
      </c>
      <c r="J2035" s="28"/>
      <c r="K2035" s="27">
        <v>0</v>
      </c>
      <c r="L2035" s="28"/>
      <c r="M2035" s="86" t="s">
        <v>1601</v>
      </c>
      <c r="N2035" t="s">
        <v>2856</v>
      </c>
      <c r="P2035" t="s">
        <v>2340</v>
      </c>
      <c r="Q2035" t="s">
        <v>1839</v>
      </c>
      <c r="R2035" t="s">
        <v>3120</v>
      </c>
    </row>
    <row r="2036" spans="1:30" ht="18" customHeight="1" x14ac:dyDescent="0.15">
      <c r="A2036" s="2" t="s">
        <v>3121</v>
      </c>
      <c r="B2036" s="87" t="s">
        <v>3119</v>
      </c>
      <c r="C2036" s="2">
        <v>12</v>
      </c>
      <c r="D2036" s="2" t="s">
        <v>1160</v>
      </c>
      <c r="E2036" s="27">
        <f t="shared" si="372"/>
        <v>47118</v>
      </c>
      <c r="F2036" s="28">
        <f t="shared" si="371"/>
        <v>565416</v>
      </c>
      <c r="G2036" s="27">
        <f>일위대가목록!F284</f>
        <v>3042</v>
      </c>
      <c r="H2036" s="28">
        <f>TRUNC(G2036*C2036,1)</f>
        <v>36504</v>
      </c>
      <c r="I2036" s="27">
        <f>일위대가목록!H284</f>
        <v>43636</v>
      </c>
      <c r="J2036" s="28">
        <f>TRUNC(I2036*C2036,1)</f>
        <v>523632</v>
      </c>
      <c r="K2036" s="27">
        <f>일위대가목록!J284</f>
        <v>440</v>
      </c>
      <c r="L2036" s="28">
        <f>TRUNC(K2036*C2036,1)</f>
        <v>5280</v>
      </c>
      <c r="M2036" s="86" t="s">
        <v>2856</v>
      </c>
      <c r="N2036" t="s">
        <v>2856</v>
      </c>
      <c r="P2036" t="s">
        <v>317</v>
      </c>
      <c r="Q2036" t="s">
        <v>2856</v>
      </c>
      <c r="R2036" t="s">
        <v>3122</v>
      </c>
      <c r="T2036" t="s">
        <v>1778</v>
      </c>
    </row>
    <row r="2037" spans="1:30" ht="18.399999999999999" customHeight="1" x14ac:dyDescent="0.15">
      <c r="A2037" s="66" t="s">
        <v>3046</v>
      </c>
      <c r="B2037" s="175" t="s">
        <v>3245</v>
      </c>
      <c r="C2037" s="63"/>
      <c r="D2037" s="63"/>
      <c r="E2037" s="64"/>
      <c r="F2037" s="65">
        <f t="shared" si="371"/>
        <v>3851067</v>
      </c>
      <c r="G2037" s="66"/>
      <c r="H2037" s="65">
        <f>TRUNC(H2018*$B$2037)</f>
        <v>840643</v>
      </c>
      <c r="I2037" s="66"/>
      <c r="J2037" s="65">
        <f>TRUNC(J2018*$B$2037)</f>
        <v>2958818</v>
      </c>
      <c r="K2037" s="66"/>
      <c r="L2037" s="65">
        <f>TRUNC(L2018*$B$2037)</f>
        <v>51606</v>
      </c>
      <c r="M2037" s="186"/>
      <c r="AA2037" s="42"/>
      <c r="AB2037" s="8"/>
      <c r="AC2037" s="42"/>
      <c r="AD2037" s="7"/>
    </row>
    <row r="2038" spans="1:30" ht="18" customHeight="1" x14ac:dyDescent="0.15">
      <c r="A2038" s="1"/>
      <c r="B2038" s="87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87"/>
    </row>
    <row r="2039" spans="1:30" ht="18" customHeight="1" x14ac:dyDescent="0.15">
      <c r="A2039" s="69" t="s">
        <v>3260</v>
      </c>
      <c r="B2039" s="174" t="s">
        <v>1937</v>
      </c>
      <c r="C2039" s="69">
        <v>1</v>
      </c>
      <c r="D2039" s="69" t="s">
        <v>1796</v>
      </c>
      <c r="E2039" s="185"/>
      <c r="F2039" s="70">
        <f t="shared" ref="F2039:F2058" si="374">H2039+J2039+L2039</f>
        <v>816603</v>
      </c>
      <c r="G2039" s="185"/>
      <c r="H2039" s="70">
        <f>TRUNC(H2040+H2041+H2042+H2043+H2045+H2049+H2051+H2046+H2047+H2048+H2050+H2053+H2054+H2055+H2057,0)</f>
        <v>180449</v>
      </c>
      <c r="I2039" s="185"/>
      <c r="J2039" s="70">
        <f>TRUNC(J2040+J2041+J2042+J2043+J2045+J2049+J2051+J2046+J2047+J2048+J2050+J2053+J2054+J2055+J2057,0)</f>
        <v>624789</v>
      </c>
      <c r="K2039" s="185"/>
      <c r="L2039" s="70">
        <f>TRUNC(L2040+L2041+L2042+L2043+L2045+L2049+L2051+L2046+L2047+L2048+L2050+L2053+L2054+L2055+L2057,0)</f>
        <v>11365</v>
      </c>
      <c r="M2039" s="181" t="s">
        <v>2856</v>
      </c>
      <c r="N2039" t="s">
        <v>2856</v>
      </c>
      <c r="O2039" t="s">
        <v>3068</v>
      </c>
    </row>
    <row r="2040" spans="1:30" ht="18" customHeight="1" x14ac:dyDescent="0.15">
      <c r="A2040" s="2" t="s">
        <v>1163</v>
      </c>
      <c r="B2040" s="87" t="s">
        <v>1879</v>
      </c>
      <c r="C2040" s="2">
        <v>0.78</v>
      </c>
      <c r="D2040" s="2" t="s">
        <v>2825</v>
      </c>
      <c r="E2040" s="27">
        <f t="shared" ref="E2040:E2057" si="375">G2040+I2040+K2040</f>
        <v>33416</v>
      </c>
      <c r="F2040" s="28">
        <f t="shared" si="374"/>
        <v>26064.400000000001</v>
      </c>
      <c r="G2040" s="27">
        <f>일위대가목록!F249</f>
        <v>0</v>
      </c>
      <c r="H2040" s="28">
        <f t="shared" ref="H2040:H2052" si="376">TRUNC(G2040*C2040,1)</f>
        <v>0</v>
      </c>
      <c r="I2040" s="27">
        <f>일위대가목록!H249</f>
        <v>33416</v>
      </c>
      <c r="J2040" s="28">
        <f>TRUNC(I2040*C2040,1)</f>
        <v>26064.400000000001</v>
      </c>
      <c r="K2040" s="27">
        <f>일위대가목록!J249</f>
        <v>0</v>
      </c>
      <c r="L2040" s="28">
        <f>TRUNC(K2040*C2040,1)</f>
        <v>0</v>
      </c>
      <c r="M2040" s="86" t="s">
        <v>2856</v>
      </c>
      <c r="N2040" t="s">
        <v>2856</v>
      </c>
      <c r="P2040" t="s">
        <v>334</v>
      </c>
      <c r="Q2040" t="s">
        <v>2856</v>
      </c>
      <c r="R2040" t="s">
        <v>69</v>
      </c>
      <c r="T2040" t="s">
        <v>2405</v>
      </c>
    </row>
    <row r="2041" spans="1:30" ht="18" customHeight="1" x14ac:dyDescent="0.15">
      <c r="A2041" s="2" t="s">
        <v>1112</v>
      </c>
      <c r="B2041" s="87" t="s">
        <v>394</v>
      </c>
      <c r="C2041" s="2">
        <v>0.11</v>
      </c>
      <c r="D2041" s="2" t="s">
        <v>2825</v>
      </c>
      <c r="E2041" s="27">
        <f t="shared" si="375"/>
        <v>33416</v>
      </c>
      <c r="F2041" s="28">
        <f t="shared" si="374"/>
        <v>3675.7</v>
      </c>
      <c r="G2041" s="27">
        <f>일위대가목록!F250</f>
        <v>0</v>
      </c>
      <c r="H2041" s="28">
        <f t="shared" si="376"/>
        <v>0</v>
      </c>
      <c r="I2041" s="27">
        <f>일위대가목록!H250</f>
        <v>33416</v>
      </c>
      <c r="J2041" s="28">
        <f>TRUNC(I2041*C2041,1)</f>
        <v>3675.7</v>
      </c>
      <c r="K2041" s="27">
        <f>일위대가목록!J250</f>
        <v>0</v>
      </c>
      <c r="L2041" s="28">
        <f>TRUNC(K2041*C2041,1)</f>
        <v>0</v>
      </c>
      <c r="M2041" s="86" t="s">
        <v>2856</v>
      </c>
      <c r="N2041" t="s">
        <v>2856</v>
      </c>
      <c r="P2041" t="s">
        <v>2471</v>
      </c>
      <c r="Q2041" t="s">
        <v>2856</v>
      </c>
      <c r="R2041" t="s">
        <v>1705</v>
      </c>
      <c r="T2041" t="s">
        <v>2405</v>
      </c>
    </row>
    <row r="2042" spans="1:30" ht="18" customHeight="1" x14ac:dyDescent="0.15">
      <c r="A2042" s="2" t="s">
        <v>2451</v>
      </c>
      <c r="B2042" s="87" t="s">
        <v>129</v>
      </c>
      <c r="C2042" s="2">
        <v>0.68</v>
      </c>
      <c r="D2042" s="2" t="s">
        <v>2825</v>
      </c>
      <c r="E2042" s="27">
        <f t="shared" si="375"/>
        <v>16708</v>
      </c>
      <c r="F2042" s="28">
        <f t="shared" si="374"/>
        <v>11361.4</v>
      </c>
      <c r="G2042" s="27">
        <f>일위대가목록!F251</f>
        <v>0</v>
      </c>
      <c r="H2042" s="28">
        <f t="shared" si="376"/>
        <v>0</v>
      </c>
      <c r="I2042" s="27">
        <f>일위대가목록!H251</f>
        <v>16708</v>
      </c>
      <c r="J2042" s="28">
        <f>TRUNC(I2042*C2042,1)</f>
        <v>11361.4</v>
      </c>
      <c r="K2042" s="27">
        <f>일위대가목록!J251</f>
        <v>0</v>
      </c>
      <c r="L2042" s="28">
        <f>TRUNC(K2042*C2042,1)</f>
        <v>0</v>
      </c>
      <c r="M2042" s="86" t="s">
        <v>2856</v>
      </c>
      <c r="N2042" t="s">
        <v>2856</v>
      </c>
      <c r="P2042" t="s">
        <v>1741</v>
      </c>
      <c r="Q2042" t="s">
        <v>2856</v>
      </c>
      <c r="R2042" t="s">
        <v>1429</v>
      </c>
      <c r="T2042" t="s">
        <v>2405</v>
      </c>
    </row>
    <row r="2043" spans="1:30" ht="18" customHeight="1" x14ac:dyDescent="0.15">
      <c r="A2043" s="2" t="s">
        <v>832</v>
      </c>
      <c r="B2043" s="87" t="s">
        <v>610</v>
      </c>
      <c r="C2043" s="2">
        <v>1.44</v>
      </c>
      <c r="D2043" s="2" t="s">
        <v>1202</v>
      </c>
      <c r="E2043" s="27">
        <f t="shared" si="375"/>
        <v>45715</v>
      </c>
      <c r="F2043" s="28">
        <f t="shared" si="374"/>
        <v>65829.5</v>
      </c>
      <c r="G2043" s="27">
        <f>일위대가목록!F236</f>
        <v>11180</v>
      </c>
      <c r="H2043" s="28">
        <f t="shared" si="376"/>
        <v>16099.2</v>
      </c>
      <c r="I2043" s="27">
        <f>일위대가목록!H236</f>
        <v>34194</v>
      </c>
      <c r="J2043" s="28">
        <f>TRUNC(I2043*C2043,1)</f>
        <v>49239.3</v>
      </c>
      <c r="K2043" s="27">
        <f>일위대가목록!J236</f>
        <v>341</v>
      </c>
      <c r="L2043" s="28">
        <f>TRUNC(K2043*C2043,1)</f>
        <v>491</v>
      </c>
      <c r="M2043" s="86" t="s">
        <v>2856</v>
      </c>
      <c r="N2043" t="s">
        <v>2856</v>
      </c>
      <c r="P2043" t="s">
        <v>1036</v>
      </c>
      <c r="Q2043" t="s">
        <v>2856</v>
      </c>
      <c r="R2043" t="s">
        <v>1998</v>
      </c>
      <c r="T2043" t="s">
        <v>1778</v>
      </c>
    </row>
    <row r="2044" spans="1:30" ht="18" customHeight="1" x14ac:dyDescent="0.15">
      <c r="A2044" s="2" t="s">
        <v>1632</v>
      </c>
      <c r="B2044" s="87" t="s">
        <v>2279</v>
      </c>
      <c r="C2044" s="2">
        <v>0.11</v>
      </c>
      <c r="D2044" s="2" t="s">
        <v>2825</v>
      </c>
      <c r="E2044" s="27">
        <f t="shared" si="375"/>
        <v>0</v>
      </c>
      <c r="F2044" s="28">
        <f t="shared" si="374"/>
        <v>0</v>
      </c>
      <c r="G2044" s="27"/>
      <c r="H2044" s="28">
        <f t="shared" si="376"/>
        <v>0</v>
      </c>
      <c r="I2044" s="27">
        <v>0</v>
      </c>
      <c r="J2044" s="28"/>
      <c r="K2044" s="27">
        <v>0</v>
      </c>
      <c r="L2044" s="28"/>
      <c r="M2044" s="86" t="s">
        <v>1601</v>
      </c>
      <c r="N2044" t="s">
        <v>2856</v>
      </c>
      <c r="P2044" t="s">
        <v>286</v>
      </c>
      <c r="Q2044" t="s">
        <v>1839</v>
      </c>
      <c r="R2044" t="s">
        <v>2547</v>
      </c>
      <c r="W2044" t="s">
        <v>1601</v>
      </c>
    </row>
    <row r="2045" spans="1:30" ht="18" customHeight="1" x14ac:dyDescent="0.15">
      <c r="A2045" s="2" t="s">
        <v>54</v>
      </c>
      <c r="B2045" s="87" t="s">
        <v>1255</v>
      </c>
      <c r="C2045" s="2">
        <v>0.11</v>
      </c>
      <c r="D2045" s="2" t="s">
        <v>2825</v>
      </c>
      <c r="E2045" s="27">
        <f t="shared" si="375"/>
        <v>55166</v>
      </c>
      <c r="F2045" s="28">
        <f t="shared" si="374"/>
        <v>6068</v>
      </c>
      <c r="G2045" s="27">
        <f>일위대가목록!F235</f>
        <v>2538</v>
      </c>
      <c r="H2045" s="28">
        <f t="shared" si="376"/>
        <v>279.10000000000002</v>
      </c>
      <c r="I2045" s="27">
        <f>일위대가목록!H235</f>
        <v>22449</v>
      </c>
      <c r="J2045" s="28">
        <f>TRUNC(I2045*C2045,1)</f>
        <v>2469.3000000000002</v>
      </c>
      <c r="K2045" s="27">
        <f>일위대가목록!J235</f>
        <v>30179</v>
      </c>
      <c r="L2045" s="28">
        <f>TRUNC(K2045*C2045,1)</f>
        <v>3319.6</v>
      </c>
      <c r="M2045" s="86" t="s">
        <v>2856</v>
      </c>
      <c r="N2045" t="s">
        <v>2856</v>
      </c>
      <c r="P2045" t="s">
        <v>2428</v>
      </c>
      <c r="Q2045" t="s">
        <v>2856</v>
      </c>
      <c r="R2045" t="s">
        <v>668</v>
      </c>
      <c r="T2045" t="s">
        <v>1778</v>
      </c>
    </row>
    <row r="2046" spans="1:30" ht="18" customHeight="1" x14ac:dyDescent="0.15">
      <c r="A2046" s="2" t="s">
        <v>485</v>
      </c>
      <c r="B2046" s="87" t="s">
        <v>1172</v>
      </c>
      <c r="C2046" s="2">
        <v>12.561</v>
      </c>
      <c r="D2046" s="2" t="s">
        <v>1674</v>
      </c>
      <c r="E2046" s="27">
        <f t="shared" si="375"/>
        <v>1210</v>
      </c>
      <c r="F2046" s="28">
        <f t="shared" si="374"/>
        <v>15198.8</v>
      </c>
      <c r="G2046" s="27">
        <f>자재조서!E76</f>
        <v>1210</v>
      </c>
      <c r="H2046" s="28">
        <f t="shared" si="376"/>
        <v>15198.8</v>
      </c>
      <c r="I2046" s="27">
        <v>0</v>
      </c>
      <c r="J2046" s="28"/>
      <c r="K2046" s="27">
        <v>0</v>
      </c>
      <c r="L2046" s="28"/>
      <c r="M2046" s="86" t="s">
        <v>2856</v>
      </c>
      <c r="N2046" t="s">
        <v>2856</v>
      </c>
      <c r="P2046" t="s">
        <v>1686</v>
      </c>
      <c r="Q2046" t="s">
        <v>2856</v>
      </c>
      <c r="R2046" t="s">
        <v>1687</v>
      </c>
    </row>
    <row r="2047" spans="1:30" ht="18" customHeight="1" x14ac:dyDescent="0.15">
      <c r="A2047" s="2" t="s">
        <v>1877</v>
      </c>
      <c r="B2047" s="87" t="s">
        <v>2492</v>
      </c>
      <c r="C2047" s="2">
        <v>0.34599999999999997</v>
      </c>
      <c r="D2047" s="2" t="s">
        <v>1202</v>
      </c>
      <c r="E2047" s="27">
        <f t="shared" si="375"/>
        <v>10589</v>
      </c>
      <c r="F2047" s="28">
        <f t="shared" si="374"/>
        <v>3663.7</v>
      </c>
      <c r="G2047" s="27">
        <f>일위대가목록!F252</f>
        <v>1881</v>
      </c>
      <c r="H2047" s="28">
        <f t="shared" si="376"/>
        <v>650.79999999999995</v>
      </c>
      <c r="I2047" s="27">
        <f>일위대가목록!H252</f>
        <v>8708</v>
      </c>
      <c r="J2047" s="28">
        <f>TRUNC(I2047*C2047,1)</f>
        <v>3012.9</v>
      </c>
      <c r="K2047" s="27">
        <f>[321]일위대가목록!H1834</f>
        <v>0</v>
      </c>
      <c r="L2047" s="28">
        <f>TRUNC(K2047*C2047,1)</f>
        <v>0</v>
      </c>
      <c r="M2047" s="86" t="s">
        <v>2856</v>
      </c>
      <c r="N2047" t="s">
        <v>2856</v>
      </c>
      <c r="P2047" t="s">
        <v>983</v>
      </c>
      <c r="Q2047" t="s">
        <v>2856</v>
      </c>
      <c r="R2047" t="s">
        <v>799</v>
      </c>
      <c r="T2047" t="s">
        <v>1778</v>
      </c>
    </row>
    <row r="2048" spans="1:30" ht="18" customHeight="1" x14ac:dyDescent="0.15">
      <c r="A2048" s="2" t="s">
        <v>1065</v>
      </c>
      <c r="B2048" s="87" t="s">
        <v>1019</v>
      </c>
      <c r="C2048" s="2">
        <v>17</v>
      </c>
      <c r="D2048" s="2" t="s">
        <v>773</v>
      </c>
      <c r="E2048" s="27">
        <f t="shared" si="375"/>
        <v>990</v>
      </c>
      <c r="F2048" s="28">
        <f t="shared" si="374"/>
        <v>16830</v>
      </c>
      <c r="G2048" s="27">
        <f>자재조서!E75</f>
        <v>990</v>
      </c>
      <c r="H2048" s="28">
        <f t="shared" si="376"/>
        <v>16830</v>
      </c>
      <c r="I2048" s="27">
        <v>0</v>
      </c>
      <c r="J2048" s="28"/>
      <c r="K2048" s="27">
        <v>0</v>
      </c>
      <c r="L2048" s="28"/>
      <c r="M2048" s="86" t="s">
        <v>2856</v>
      </c>
      <c r="N2048" t="s">
        <v>2856</v>
      </c>
      <c r="P2048" t="s">
        <v>248</v>
      </c>
      <c r="Q2048" t="s">
        <v>2856</v>
      </c>
      <c r="R2048" t="s">
        <v>141</v>
      </c>
    </row>
    <row r="2049" spans="1:30" ht="18" customHeight="1" x14ac:dyDescent="0.15">
      <c r="A2049" s="2" t="s">
        <v>331</v>
      </c>
      <c r="B2049" s="87" t="s">
        <v>33</v>
      </c>
      <c r="C2049" s="2">
        <v>5.88</v>
      </c>
      <c r="D2049" s="2" t="s">
        <v>1670</v>
      </c>
      <c r="E2049" s="27">
        <f t="shared" si="375"/>
        <v>9550</v>
      </c>
      <c r="F2049" s="28">
        <f t="shared" si="374"/>
        <v>56154</v>
      </c>
      <c r="G2049" s="27">
        <f>자재조서!E51</f>
        <v>9550</v>
      </c>
      <c r="H2049" s="28">
        <f t="shared" si="376"/>
        <v>56154</v>
      </c>
      <c r="I2049" s="27">
        <v>0</v>
      </c>
      <c r="J2049" s="28"/>
      <c r="K2049" s="27">
        <v>0</v>
      </c>
      <c r="L2049" s="28"/>
      <c r="M2049" s="86" t="s">
        <v>2856</v>
      </c>
      <c r="N2049" t="s">
        <v>2856</v>
      </c>
      <c r="P2049" t="s">
        <v>1686</v>
      </c>
      <c r="Q2049" t="s">
        <v>2856</v>
      </c>
      <c r="R2049" t="s">
        <v>587</v>
      </c>
    </row>
    <row r="2050" spans="1:30" ht="18" customHeight="1" x14ac:dyDescent="0.15">
      <c r="A2050" s="2" t="s">
        <v>331</v>
      </c>
      <c r="B2050" s="87" t="s">
        <v>850</v>
      </c>
      <c r="C2050" s="2">
        <v>10.71</v>
      </c>
      <c r="D2050" s="2" t="s">
        <v>1670</v>
      </c>
      <c r="E2050" s="27">
        <f t="shared" si="375"/>
        <v>4610</v>
      </c>
      <c r="F2050" s="28">
        <f t="shared" si="374"/>
        <v>49373.1</v>
      </c>
      <c r="G2050" s="27">
        <f>자재조서!E52</f>
        <v>4610</v>
      </c>
      <c r="H2050" s="28">
        <f t="shared" si="376"/>
        <v>49373.1</v>
      </c>
      <c r="I2050" s="27">
        <v>0</v>
      </c>
      <c r="J2050" s="28"/>
      <c r="K2050" s="27">
        <v>0</v>
      </c>
      <c r="L2050" s="28"/>
      <c r="M2050" s="86" t="s">
        <v>2856</v>
      </c>
      <c r="N2050" t="s">
        <v>2856</v>
      </c>
      <c r="P2050" t="s">
        <v>954</v>
      </c>
      <c r="Q2050" t="s">
        <v>2856</v>
      </c>
      <c r="R2050" t="s">
        <v>1596</v>
      </c>
    </row>
    <row r="2051" spans="1:30" ht="18" customHeight="1" x14ac:dyDescent="0.15">
      <c r="A2051" s="2" t="s">
        <v>567</v>
      </c>
      <c r="B2051" s="87" t="s">
        <v>3074</v>
      </c>
      <c r="C2051" s="2">
        <v>8.4000000000000005E-2</v>
      </c>
      <c r="D2051" s="2" t="s">
        <v>978</v>
      </c>
      <c r="E2051" s="27">
        <f t="shared" si="375"/>
        <v>2661254</v>
      </c>
      <c r="F2051" s="28">
        <f t="shared" si="374"/>
        <v>223545.30000000002</v>
      </c>
      <c r="G2051" s="27">
        <f>일위대가목록!F280</f>
        <v>0</v>
      </c>
      <c r="H2051" s="28">
        <f t="shared" si="376"/>
        <v>0</v>
      </c>
      <c r="I2051" s="27">
        <f>일위대가목록!H280</f>
        <v>2599062</v>
      </c>
      <c r="J2051" s="28">
        <f>TRUNC(I2051*C2051,1)</f>
        <v>218321.2</v>
      </c>
      <c r="K2051" s="27">
        <f>일위대가목록!J280</f>
        <v>62192</v>
      </c>
      <c r="L2051" s="28">
        <f>TRUNC(K2051*C2051,1)</f>
        <v>5224.1000000000004</v>
      </c>
      <c r="M2051" s="86" t="s">
        <v>2856</v>
      </c>
      <c r="N2051" t="s">
        <v>2856</v>
      </c>
      <c r="P2051" t="s">
        <v>983</v>
      </c>
      <c r="Q2051" t="s">
        <v>2856</v>
      </c>
      <c r="R2051" t="s">
        <v>3063</v>
      </c>
      <c r="T2051" t="s">
        <v>1778</v>
      </c>
    </row>
    <row r="2052" spans="1:30" ht="18" customHeight="1" x14ac:dyDescent="0.15">
      <c r="A2052" s="2" t="s">
        <v>1470</v>
      </c>
      <c r="B2052" s="87" t="s">
        <v>1226</v>
      </c>
      <c r="C2052" s="2">
        <v>2.97</v>
      </c>
      <c r="D2052" s="2" t="s">
        <v>1202</v>
      </c>
      <c r="E2052" s="27">
        <f t="shared" si="375"/>
        <v>66000</v>
      </c>
      <c r="F2052" s="28">
        <f t="shared" si="374"/>
        <v>196020</v>
      </c>
      <c r="G2052" s="27">
        <f>자재조서!E56</f>
        <v>66000</v>
      </c>
      <c r="H2052" s="28">
        <f t="shared" si="376"/>
        <v>196020</v>
      </c>
      <c r="I2052" s="27">
        <v>0</v>
      </c>
      <c r="J2052" s="28"/>
      <c r="K2052" s="27">
        <v>0</v>
      </c>
      <c r="L2052" s="28"/>
      <c r="M2052" s="86" t="s">
        <v>1601</v>
      </c>
      <c r="N2052" t="s">
        <v>2856</v>
      </c>
      <c r="P2052" t="s">
        <v>2389</v>
      </c>
      <c r="Q2052" t="s">
        <v>1839</v>
      </c>
      <c r="R2052" t="s">
        <v>936</v>
      </c>
      <c r="W2052" t="s">
        <v>1601</v>
      </c>
    </row>
    <row r="2053" spans="1:30" ht="18" customHeight="1" x14ac:dyDescent="0.15">
      <c r="A2053" s="2" t="s">
        <v>323</v>
      </c>
      <c r="B2053" s="87" t="s">
        <v>503</v>
      </c>
      <c r="C2053" s="2">
        <v>6</v>
      </c>
      <c r="D2053" s="2" t="s">
        <v>588</v>
      </c>
      <c r="E2053" s="27">
        <f t="shared" si="375"/>
        <v>0</v>
      </c>
      <c r="F2053" s="28">
        <f t="shared" si="374"/>
        <v>11761.2</v>
      </c>
      <c r="G2053" s="1"/>
      <c r="H2053" s="28">
        <f>TRUNC((H2052*0.06),1)</f>
        <v>11761.2</v>
      </c>
      <c r="I2053" s="1"/>
      <c r="J2053" s="28">
        <v>0</v>
      </c>
      <c r="K2053" s="1"/>
      <c r="L2053" s="28">
        <v>0</v>
      </c>
      <c r="M2053" s="86" t="s">
        <v>2856</v>
      </c>
      <c r="N2053" t="s">
        <v>2856</v>
      </c>
      <c r="P2053" t="s">
        <v>189</v>
      </c>
      <c r="Q2053" t="s">
        <v>2856</v>
      </c>
      <c r="R2053" t="s">
        <v>2405</v>
      </c>
      <c r="X2053" t="s">
        <v>2552</v>
      </c>
      <c r="AA2053" s="83" t="s">
        <v>2127</v>
      </c>
      <c r="AB2053" s="72">
        <f>[321]일위대가_호표!H2006*0.06</f>
        <v>0</v>
      </c>
      <c r="AC2053" s="83" t="s">
        <v>2369</v>
      </c>
      <c r="AD2053" s="73">
        <f>$AB2052</f>
        <v>0</v>
      </c>
    </row>
    <row r="2054" spans="1:30" ht="18" customHeight="1" x14ac:dyDescent="0.15">
      <c r="A2054" s="2" t="s">
        <v>982</v>
      </c>
      <c r="B2054" s="87" t="s">
        <v>2232</v>
      </c>
      <c r="C2054" s="2">
        <v>2.7</v>
      </c>
      <c r="D2054" s="2" t="s">
        <v>1202</v>
      </c>
      <c r="E2054" s="27">
        <f t="shared" si="375"/>
        <v>55826</v>
      </c>
      <c r="F2054" s="28">
        <f t="shared" si="374"/>
        <v>150730.20000000001</v>
      </c>
      <c r="G2054" s="27">
        <f>일위대가목록!F254</f>
        <v>0</v>
      </c>
      <c r="H2054" s="28">
        <f>TRUNC(G2054*C2054,1)</f>
        <v>0</v>
      </c>
      <c r="I2054" s="27">
        <f>일위대가목록!H254</f>
        <v>55826</v>
      </c>
      <c r="J2054" s="28">
        <f>TRUNC(I2054*C2054,1)</f>
        <v>150730.20000000001</v>
      </c>
      <c r="K2054" s="27">
        <f>일위대가목록!J254</f>
        <v>0</v>
      </c>
      <c r="L2054" s="28">
        <f>TRUNC(K2054*C2054,1)</f>
        <v>0</v>
      </c>
      <c r="M2054" s="86" t="s">
        <v>2856</v>
      </c>
      <c r="N2054" t="s">
        <v>2856</v>
      </c>
      <c r="P2054" t="s">
        <v>904</v>
      </c>
      <c r="Q2054" t="s">
        <v>2856</v>
      </c>
      <c r="R2054" t="s">
        <v>1522</v>
      </c>
      <c r="T2054" t="s">
        <v>1778</v>
      </c>
    </row>
    <row r="2055" spans="1:30" ht="18" customHeight="1" x14ac:dyDescent="0.15">
      <c r="A2055" s="2" t="s">
        <v>1188</v>
      </c>
      <c r="B2055" s="87" t="s">
        <v>2848</v>
      </c>
      <c r="C2055" s="2">
        <v>6.75</v>
      </c>
      <c r="D2055" s="2" t="s">
        <v>1202</v>
      </c>
      <c r="E2055" s="27">
        <f t="shared" si="375"/>
        <v>12165</v>
      </c>
      <c r="F2055" s="28">
        <f t="shared" si="374"/>
        <v>82113.7</v>
      </c>
      <c r="G2055" s="27">
        <f>일위대가목록!F255</f>
        <v>1188</v>
      </c>
      <c r="H2055" s="28">
        <f>TRUNC(G2055*C2055,1)</f>
        <v>8019</v>
      </c>
      <c r="I2055" s="27">
        <f>일위대가목록!H255</f>
        <v>10762</v>
      </c>
      <c r="J2055" s="28">
        <f>TRUNC(I2055*C2055,1)</f>
        <v>72643.5</v>
      </c>
      <c r="K2055" s="27">
        <f>일위대가목록!J255</f>
        <v>215</v>
      </c>
      <c r="L2055" s="28">
        <f>TRUNC(K2055*C2055,1)</f>
        <v>1451.2</v>
      </c>
      <c r="M2055" s="86" t="s">
        <v>2856</v>
      </c>
      <c r="N2055" t="s">
        <v>2856</v>
      </c>
      <c r="P2055" t="s">
        <v>1640</v>
      </c>
      <c r="Q2055" t="s">
        <v>2856</v>
      </c>
      <c r="R2055" t="s">
        <v>1058</v>
      </c>
      <c r="T2055" t="s">
        <v>1778</v>
      </c>
    </row>
    <row r="2056" spans="1:30" ht="18" customHeight="1" x14ac:dyDescent="0.15">
      <c r="A2056" s="2" t="s">
        <v>3118</v>
      </c>
      <c r="B2056" s="87" t="s">
        <v>3119</v>
      </c>
      <c r="C2056" s="2">
        <v>2</v>
      </c>
      <c r="D2056" s="2" t="s">
        <v>1160</v>
      </c>
      <c r="E2056" s="27">
        <f t="shared" si="375"/>
        <v>0</v>
      </c>
      <c r="F2056" s="28">
        <f t="shared" si="374"/>
        <v>0</v>
      </c>
      <c r="G2056" s="27">
        <f>[321]자재조서!E1803</f>
        <v>0</v>
      </c>
      <c r="H2056" s="28">
        <f>TRUNC(G2056*C2056,1)</f>
        <v>0</v>
      </c>
      <c r="I2056" s="27">
        <v>0</v>
      </c>
      <c r="J2056" s="28"/>
      <c r="K2056" s="27">
        <v>0</v>
      </c>
      <c r="L2056" s="28"/>
      <c r="M2056" s="86" t="s">
        <v>1601</v>
      </c>
      <c r="N2056" t="s">
        <v>2856</v>
      </c>
      <c r="P2056" t="s">
        <v>2340</v>
      </c>
      <c r="Q2056" t="s">
        <v>1839</v>
      </c>
      <c r="R2056" t="s">
        <v>3120</v>
      </c>
    </row>
    <row r="2057" spans="1:30" ht="18" customHeight="1" x14ac:dyDescent="0.15">
      <c r="A2057" s="2" t="s">
        <v>3121</v>
      </c>
      <c r="B2057" s="87" t="s">
        <v>3119</v>
      </c>
      <c r="C2057" s="2">
        <v>2</v>
      </c>
      <c r="D2057" s="2" t="s">
        <v>1160</v>
      </c>
      <c r="E2057" s="27">
        <f t="shared" si="375"/>
        <v>47118</v>
      </c>
      <c r="F2057" s="28">
        <f t="shared" si="374"/>
        <v>94236</v>
      </c>
      <c r="G2057" s="27">
        <f>일위대가목록!F284</f>
        <v>3042</v>
      </c>
      <c r="H2057" s="28">
        <f>TRUNC(G2057*C2057,1)</f>
        <v>6084</v>
      </c>
      <c r="I2057" s="27">
        <f>일위대가목록!H284</f>
        <v>43636</v>
      </c>
      <c r="J2057" s="28">
        <f>TRUNC(I2057*C2057,1)</f>
        <v>87272</v>
      </c>
      <c r="K2057" s="27">
        <f>일위대가목록!J284</f>
        <v>440</v>
      </c>
      <c r="L2057" s="28">
        <f>TRUNC(K2057*C2057,1)</f>
        <v>880</v>
      </c>
      <c r="M2057" s="86" t="s">
        <v>2856</v>
      </c>
      <c r="N2057" t="s">
        <v>2856</v>
      </c>
      <c r="P2057" t="s">
        <v>317</v>
      </c>
      <c r="Q2057" t="s">
        <v>2856</v>
      </c>
      <c r="R2057" t="s">
        <v>3122</v>
      </c>
      <c r="T2057" t="s">
        <v>1778</v>
      </c>
    </row>
    <row r="2058" spans="1:30" ht="18.399999999999999" customHeight="1" x14ac:dyDescent="0.15">
      <c r="A2058" s="66" t="s">
        <v>3046</v>
      </c>
      <c r="B2058" s="175" t="s">
        <v>3245</v>
      </c>
      <c r="C2058" s="63"/>
      <c r="D2058" s="63"/>
      <c r="E2058" s="64"/>
      <c r="F2058" s="65">
        <f t="shared" si="374"/>
        <v>712852</v>
      </c>
      <c r="G2058" s="66"/>
      <c r="H2058" s="65">
        <f>TRUNC(H2039*$B$2058)</f>
        <v>157522</v>
      </c>
      <c r="I2058" s="66"/>
      <c r="J2058" s="65">
        <f>TRUNC(J2039*$B$2058)</f>
        <v>545409</v>
      </c>
      <c r="K2058" s="66"/>
      <c r="L2058" s="65">
        <f>TRUNC(L2039*$B$2058)</f>
        <v>9921</v>
      </c>
      <c r="M2058" s="186"/>
      <c r="AA2058" s="42"/>
      <c r="AB2058" s="8"/>
      <c r="AC2058" s="42"/>
      <c r="AD2058" s="7"/>
    </row>
    <row r="2059" spans="1:30" ht="18.399999999999999" hidden="1" customHeight="1" x14ac:dyDescent="0.15">
      <c r="A2059" s="173"/>
      <c r="B2059" s="180"/>
      <c r="C2059" s="173"/>
      <c r="D2059" s="173"/>
      <c r="E2059" s="173"/>
      <c r="F2059" s="173"/>
      <c r="G2059" s="173"/>
      <c r="H2059" s="173"/>
      <c r="I2059" s="173"/>
      <c r="J2059" s="173"/>
      <c r="K2059" s="173"/>
      <c r="L2059" s="173"/>
      <c r="M2059" s="188"/>
    </row>
    <row r="2060" spans="1:30" ht="18" hidden="1" customHeight="1" x14ac:dyDescent="0.15">
      <c r="A2060" s="96" t="s">
        <v>3071</v>
      </c>
      <c r="B2060" s="176" t="s">
        <v>3062</v>
      </c>
      <c r="C2060" s="96">
        <v>1</v>
      </c>
      <c r="D2060" s="96" t="s">
        <v>978</v>
      </c>
      <c r="E2060" s="172"/>
      <c r="F2060" s="97">
        <f t="shared" ref="F2060:F2065" si="377">H2060+J2060+L2060</f>
        <v>2661254</v>
      </c>
      <c r="G2060" s="172"/>
      <c r="H2060" s="97">
        <f>TRUNC(H2061+H2062+H2063+H2064+H2065,0)</f>
        <v>0</v>
      </c>
      <c r="I2060" s="172"/>
      <c r="J2060" s="97">
        <f>TRUNC(J2061+J2062+J2063+J2064+J2065,0)</f>
        <v>2599062</v>
      </c>
      <c r="K2060" s="172"/>
      <c r="L2060" s="97">
        <f>TRUNC(L2061+L2062+L2063+L2064+L2065,0)</f>
        <v>62192</v>
      </c>
      <c r="M2060" s="182" t="s">
        <v>2856</v>
      </c>
      <c r="N2060" t="s">
        <v>2856</v>
      </c>
      <c r="O2060" t="s">
        <v>3063</v>
      </c>
    </row>
    <row r="2061" spans="1:30" ht="18" hidden="1" customHeight="1" x14ac:dyDescent="0.15">
      <c r="A2061" s="2" t="s">
        <v>674</v>
      </c>
      <c r="B2061" s="87" t="s">
        <v>2856</v>
      </c>
      <c r="C2061" s="2">
        <v>4</v>
      </c>
      <c r="D2061" s="2" t="s">
        <v>2652</v>
      </c>
      <c r="E2061" s="27">
        <f>G2061+I2061+K2061</f>
        <v>237480</v>
      </c>
      <c r="F2061" s="28">
        <f t="shared" si="377"/>
        <v>949920</v>
      </c>
      <c r="G2061" s="27">
        <v>0</v>
      </c>
      <c r="H2061" s="28"/>
      <c r="I2061" s="27">
        <f>노임!D5</f>
        <v>237480</v>
      </c>
      <c r="J2061" s="28">
        <f>TRUNC(I2061*C2061,1)</f>
        <v>949920</v>
      </c>
      <c r="K2061" s="27">
        <v>0</v>
      </c>
      <c r="L2061" s="28"/>
      <c r="M2061" s="86" t="s">
        <v>2856</v>
      </c>
      <c r="N2061" t="s">
        <v>1350</v>
      </c>
      <c r="P2061" t="s">
        <v>334</v>
      </c>
      <c r="Q2061" t="s">
        <v>2856</v>
      </c>
      <c r="R2061" t="s">
        <v>111</v>
      </c>
    </row>
    <row r="2062" spans="1:30" ht="18" hidden="1" customHeight="1" x14ac:dyDescent="0.15">
      <c r="A2062" s="2" t="s">
        <v>1331</v>
      </c>
      <c r="B2062" s="87" t="s">
        <v>2856</v>
      </c>
      <c r="C2062" s="2">
        <v>1</v>
      </c>
      <c r="D2062" s="2" t="s">
        <v>2652</v>
      </c>
      <c r="E2062" s="27">
        <f>G2062+I2062+K2062</f>
        <v>270724</v>
      </c>
      <c r="F2062" s="28">
        <f t="shared" si="377"/>
        <v>270724</v>
      </c>
      <c r="G2062" s="27">
        <v>0</v>
      </c>
      <c r="H2062" s="28"/>
      <c r="I2062" s="27">
        <f>노임!D16</f>
        <v>270724</v>
      </c>
      <c r="J2062" s="28">
        <f>TRUNC(I2062*C2062,1)</f>
        <v>270724</v>
      </c>
      <c r="K2062" s="27">
        <v>0</v>
      </c>
      <c r="L2062" s="28"/>
      <c r="M2062" s="86" t="s">
        <v>2856</v>
      </c>
      <c r="N2062" t="s">
        <v>1880</v>
      </c>
      <c r="P2062" t="s">
        <v>1616</v>
      </c>
      <c r="Q2062" t="s">
        <v>2856</v>
      </c>
      <c r="R2062" t="s">
        <v>2210</v>
      </c>
    </row>
    <row r="2063" spans="1:30" ht="18" hidden="1" customHeight="1" x14ac:dyDescent="0.15">
      <c r="A2063" s="2" t="s">
        <v>888</v>
      </c>
      <c r="B2063" s="87" t="s">
        <v>2856</v>
      </c>
      <c r="C2063" s="2">
        <v>2</v>
      </c>
      <c r="D2063" s="2" t="s">
        <v>2652</v>
      </c>
      <c r="E2063" s="27">
        <f>G2063+I2063+K2063</f>
        <v>167081</v>
      </c>
      <c r="F2063" s="28">
        <f t="shared" si="377"/>
        <v>334162</v>
      </c>
      <c r="G2063" s="27">
        <v>0</v>
      </c>
      <c r="H2063" s="28"/>
      <c r="I2063" s="27">
        <f>노임!D15</f>
        <v>167081</v>
      </c>
      <c r="J2063" s="28">
        <f>TRUNC(I2063*C2063,1)</f>
        <v>334162</v>
      </c>
      <c r="K2063" s="27">
        <v>0</v>
      </c>
      <c r="L2063" s="28"/>
      <c r="M2063" s="86" t="s">
        <v>2856</v>
      </c>
      <c r="N2063" t="s">
        <v>821</v>
      </c>
      <c r="P2063" t="s">
        <v>2471</v>
      </c>
      <c r="Q2063" t="s">
        <v>2856</v>
      </c>
      <c r="R2063" t="s">
        <v>498</v>
      </c>
    </row>
    <row r="2064" spans="1:30" ht="18" hidden="1" customHeight="1" x14ac:dyDescent="0.15">
      <c r="A2064" s="2" t="s">
        <v>2380</v>
      </c>
      <c r="B2064" s="87" t="s">
        <v>1493</v>
      </c>
      <c r="C2064" s="2">
        <v>4</v>
      </c>
      <c r="D2064" s="2" t="s">
        <v>588</v>
      </c>
      <c r="E2064" s="27">
        <f>G2064+I2064+K2064</f>
        <v>0</v>
      </c>
      <c r="F2064" s="28">
        <f t="shared" si="377"/>
        <v>62192.2</v>
      </c>
      <c r="G2064" s="1"/>
      <c r="H2064" s="28">
        <v>0</v>
      </c>
      <c r="I2064" s="1"/>
      <c r="J2064" s="28">
        <v>0</v>
      </c>
      <c r="K2064" s="1"/>
      <c r="L2064" s="28">
        <f>TRUNC(((J2061+J2062+J2063)*0.04),1)</f>
        <v>62192.2</v>
      </c>
      <c r="M2064" s="86" t="s">
        <v>2856</v>
      </c>
      <c r="N2064" t="s">
        <v>2856</v>
      </c>
      <c r="P2064" t="s">
        <v>1036</v>
      </c>
      <c r="Q2064" t="s">
        <v>2856</v>
      </c>
      <c r="R2064" t="s">
        <v>2405</v>
      </c>
      <c r="X2064" t="s">
        <v>1198</v>
      </c>
      <c r="AA2064" s="71" t="s">
        <v>917</v>
      </c>
      <c r="AB2064" s="72">
        <f>([320]일위대가_호표!J1943+[320]일위대가_호표!J1944+[320]일위대가_호표!J1945)*0.04</f>
        <v>0</v>
      </c>
      <c r="AC2064" s="71" t="s">
        <v>1546</v>
      </c>
      <c r="AD2064" s="73">
        <f>$AB2063</f>
        <v>0</v>
      </c>
    </row>
    <row r="2065" spans="1:30" ht="18" hidden="1" customHeight="1" x14ac:dyDescent="0.15">
      <c r="A2065" s="2" t="s">
        <v>381</v>
      </c>
      <c r="B2065" s="87" t="s">
        <v>2856</v>
      </c>
      <c r="C2065" s="2"/>
      <c r="D2065" s="2" t="s">
        <v>2856</v>
      </c>
      <c r="E2065" s="27">
        <f>G2065+I2065+K2065</f>
        <v>0</v>
      </c>
      <c r="F2065" s="28">
        <f t="shared" si="377"/>
        <v>1044256.2</v>
      </c>
      <c r="G2065" s="1"/>
      <c r="H2065" s="28">
        <f>TRUNC((H2063/0.32),1)</f>
        <v>0</v>
      </c>
      <c r="I2065" s="1"/>
      <c r="J2065" s="28">
        <f>TRUNC((J2063/0.32),1)</f>
        <v>1044256.2</v>
      </c>
      <c r="K2065" s="1"/>
      <c r="L2065" s="28">
        <f>TRUNC((L2063/0.32),1)</f>
        <v>0</v>
      </c>
      <c r="M2065" s="86" t="s">
        <v>2856</v>
      </c>
      <c r="N2065" t="s">
        <v>2856</v>
      </c>
      <c r="P2065" t="s">
        <v>286</v>
      </c>
      <c r="Q2065" t="s">
        <v>2856</v>
      </c>
      <c r="R2065" t="s">
        <v>2405</v>
      </c>
      <c r="X2065" t="s">
        <v>3072</v>
      </c>
      <c r="AA2065" s="71" t="s">
        <v>2127</v>
      </c>
      <c r="AB2065" s="72">
        <f>[320]일위대가_호표!H1945/0.32</f>
        <v>0</v>
      </c>
      <c r="AC2065" s="71" t="s">
        <v>2369</v>
      </c>
      <c r="AD2065" s="73">
        <f>$AB2064</f>
        <v>0</v>
      </c>
    </row>
    <row r="2066" spans="1:30" ht="18" customHeight="1" x14ac:dyDescent="0.15">
      <c r="A2066" s="173"/>
      <c r="B2066" s="180"/>
      <c r="C2066" s="173"/>
      <c r="D2066" s="173"/>
      <c r="E2066" s="173"/>
      <c r="F2066" s="173"/>
      <c r="G2066" s="173"/>
      <c r="H2066" s="173"/>
      <c r="I2066" s="173"/>
      <c r="J2066" s="173"/>
      <c r="K2066" s="173"/>
      <c r="L2066" s="173"/>
      <c r="M2066" s="188"/>
    </row>
    <row r="2067" spans="1:30" ht="18" customHeight="1" x14ac:dyDescent="0.15">
      <c r="A2067" s="69" t="s">
        <v>3261</v>
      </c>
      <c r="B2067" s="174" t="s">
        <v>2664</v>
      </c>
      <c r="C2067" s="69">
        <v>1</v>
      </c>
      <c r="D2067" s="69" t="s">
        <v>1796</v>
      </c>
      <c r="E2067" s="185"/>
      <c r="F2067" s="70">
        <f t="shared" ref="F2067:F2083" si="378">H2067+J2067+L2067</f>
        <v>46843303</v>
      </c>
      <c r="G2067" s="185"/>
      <c r="H2067" s="70">
        <f>TRUNC(H2068+H2069+H2070+H2071+H2072+H2073+H2075+H2076+H2077+H2078+H2079+H2080+H2081+H2082,0)</f>
        <v>18623176</v>
      </c>
      <c r="I2067" s="185"/>
      <c r="J2067" s="70">
        <f>TRUNC(J2068+J2069+J2070+J2071+J2072+J2073+J2075+J2076+J2077+J2078+J2079+J2080+J2081+J2082,0)</f>
        <v>24340543</v>
      </c>
      <c r="K2067" s="185"/>
      <c r="L2067" s="70">
        <f>TRUNC(L2068+L2069+L2070+L2071+L2072+L2073+L2075+L2076+L2077+L2078+L2079+L2080+L2081+L2082,0)</f>
        <v>3879584</v>
      </c>
      <c r="M2067" s="181" t="s">
        <v>2856</v>
      </c>
      <c r="N2067" t="s">
        <v>2856</v>
      </c>
      <c r="O2067" t="s">
        <v>756</v>
      </c>
    </row>
    <row r="2068" spans="1:30" ht="18" customHeight="1" x14ac:dyDescent="0.15">
      <c r="A2068" s="2" t="s">
        <v>1163</v>
      </c>
      <c r="B2068" s="87" t="s">
        <v>576</v>
      </c>
      <c r="C2068" s="2">
        <v>231</v>
      </c>
      <c r="D2068" s="2" t="s">
        <v>2825</v>
      </c>
      <c r="E2068" s="27">
        <f t="shared" ref="E2068:E2082" si="379">G2068+I2068+K2068</f>
        <v>5009</v>
      </c>
      <c r="F2068" s="28">
        <f t="shared" si="378"/>
        <v>1157079</v>
      </c>
      <c r="G2068" s="27">
        <f>일위대가목록!F4</f>
        <v>300</v>
      </c>
      <c r="H2068" s="28">
        <f t="shared" ref="H2068:H2082" si="380">TRUNC(G2068*C2068,1)</f>
        <v>69300</v>
      </c>
      <c r="I2068" s="27">
        <f>일위대가목록!H4</f>
        <v>4328</v>
      </c>
      <c r="J2068" s="28">
        <f>TRUNC(I2068*C2068,1)</f>
        <v>999768</v>
      </c>
      <c r="K2068" s="27">
        <f>일위대가목록!J4</f>
        <v>381</v>
      </c>
      <c r="L2068" s="28">
        <f>TRUNC(K2068*C2068,1)</f>
        <v>88011</v>
      </c>
      <c r="M2068" s="86" t="s">
        <v>2856</v>
      </c>
      <c r="N2068" t="s">
        <v>2856</v>
      </c>
      <c r="P2068" t="s">
        <v>334</v>
      </c>
      <c r="Q2068" t="s">
        <v>2856</v>
      </c>
      <c r="R2068" t="s">
        <v>69</v>
      </c>
      <c r="T2068" t="s">
        <v>2405</v>
      </c>
    </row>
    <row r="2069" spans="1:30" ht="18" customHeight="1" x14ac:dyDescent="0.15">
      <c r="A2069" s="2" t="s">
        <v>1112</v>
      </c>
      <c r="B2069" s="87" t="s">
        <v>2429</v>
      </c>
      <c r="C2069" s="2">
        <v>173.7</v>
      </c>
      <c r="D2069" s="2" t="s">
        <v>2825</v>
      </c>
      <c r="E2069" s="27">
        <f t="shared" si="379"/>
        <v>1588</v>
      </c>
      <c r="F2069" s="28">
        <f t="shared" si="378"/>
        <v>275835.59999999998</v>
      </c>
      <c r="G2069" s="27">
        <f>일위대가목록!F5</f>
        <v>285</v>
      </c>
      <c r="H2069" s="28">
        <f t="shared" si="380"/>
        <v>49504.5</v>
      </c>
      <c r="I2069" s="27">
        <f>일위대가목록!H5</f>
        <v>940</v>
      </c>
      <c r="J2069" s="28">
        <f>TRUNC(I2069*C2069,1)</f>
        <v>163278</v>
      </c>
      <c r="K2069" s="27">
        <f>일위대가목록!J5</f>
        <v>363</v>
      </c>
      <c r="L2069" s="28">
        <f>TRUNC(K2069*C2069,1)</f>
        <v>63053.1</v>
      </c>
      <c r="M2069" s="86" t="s">
        <v>2856</v>
      </c>
      <c r="N2069" t="s">
        <v>2856</v>
      </c>
      <c r="P2069" t="s">
        <v>2471</v>
      </c>
      <c r="Q2069" t="s">
        <v>2856</v>
      </c>
      <c r="R2069" t="s">
        <v>1705</v>
      </c>
      <c r="T2069" t="s">
        <v>2405</v>
      </c>
    </row>
    <row r="2070" spans="1:30" ht="18" customHeight="1" x14ac:dyDescent="0.15">
      <c r="A2070" s="2" t="s">
        <v>2451</v>
      </c>
      <c r="B2070" s="87" t="s">
        <v>565</v>
      </c>
      <c r="C2070" s="2">
        <v>57.3</v>
      </c>
      <c r="D2070" s="2" t="s">
        <v>2825</v>
      </c>
      <c r="E2070" s="27">
        <f t="shared" si="379"/>
        <v>7144</v>
      </c>
      <c r="F2070" s="28">
        <f t="shared" si="378"/>
        <v>409351.2</v>
      </c>
      <c r="G2070" s="27">
        <f>일위대가목록!F6</f>
        <v>445</v>
      </c>
      <c r="H2070" s="28">
        <f t="shared" si="380"/>
        <v>25498.5</v>
      </c>
      <c r="I2070" s="27">
        <f>일위대가목록!H6</f>
        <v>6329</v>
      </c>
      <c r="J2070" s="28">
        <f>TRUNC(I2070*C2070,1)</f>
        <v>362651.7</v>
      </c>
      <c r="K2070" s="27">
        <f>일위대가목록!J6</f>
        <v>370</v>
      </c>
      <c r="L2070" s="28">
        <f>TRUNC(K2070*C2070,1)</f>
        <v>21201</v>
      </c>
      <c r="M2070" s="86" t="s">
        <v>2856</v>
      </c>
      <c r="N2070" t="s">
        <v>2856</v>
      </c>
      <c r="P2070" t="s">
        <v>928</v>
      </c>
      <c r="Q2070" t="s">
        <v>2856</v>
      </c>
      <c r="R2070" t="s">
        <v>1429</v>
      </c>
      <c r="T2070" t="s">
        <v>2405</v>
      </c>
    </row>
    <row r="2071" spans="1:30" ht="18" customHeight="1" x14ac:dyDescent="0.15">
      <c r="A2071" s="2" t="s">
        <v>482</v>
      </c>
      <c r="B2071" s="87" t="s">
        <v>1174</v>
      </c>
      <c r="C2071" s="2">
        <v>386</v>
      </c>
      <c r="D2071" s="2" t="s">
        <v>1202</v>
      </c>
      <c r="E2071" s="27">
        <f t="shared" si="379"/>
        <v>412</v>
      </c>
      <c r="F2071" s="28">
        <f t="shared" si="378"/>
        <v>159032</v>
      </c>
      <c r="G2071" s="27">
        <f>일위대가목록!F7</f>
        <v>20</v>
      </c>
      <c r="H2071" s="28">
        <f t="shared" si="380"/>
        <v>7720</v>
      </c>
      <c r="I2071" s="27">
        <f>일위대가목록!H7</f>
        <v>386</v>
      </c>
      <c r="J2071" s="28">
        <f>TRUNC(I2071*C2071,1)</f>
        <v>148996</v>
      </c>
      <c r="K2071" s="27">
        <f>일위대가목록!J7</f>
        <v>6</v>
      </c>
      <c r="L2071" s="28">
        <f>TRUNC(K2071*C2071,1)</f>
        <v>2316</v>
      </c>
      <c r="M2071" s="86" t="s">
        <v>2856</v>
      </c>
      <c r="N2071" t="s">
        <v>2856</v>
      </c>
      <c r="P2071" t="s">
        <v>1741</v>
      </c>
      <c r="Q2071" t="s">
        <v>2856</v>
      </c>
      <c r="R2071" t="s">
        <v>303</v>
      </c>
      <c r="T2071" t="s">
        <v>2405</v>
      </c>
    </row>
    <row r="2072" spans="1:30" ht="18" customHeight="1" x14ac:dyDescent="0.15">
      <c r="A2072" s="2" t="s">
        <v>2126</v>
      </c>
      <c r="B2072" s="87" t="s">
        <v>2760</v>
      </c>
      <c r="C2072" s="2">
        <v>60.22</v>
      </c>
      <c r="D2072" s="2" t="s">
        <v>2825</v>
      </c>
      <c r="E2072" s="27">
        <f t="shared" si="379"/>
        <v>31000</v>
      </c>
      <c r="F2072" s="28">
        <f t="shared" si="378"/>
        <v>1866820</v>
      </c>
      <c r="G2072" s="27">
        <f>자재조서!E88</f>
        <v>31000</v>
      </c>
      <c r="H2072" s="28">
        <f t="shared" si="380"/>
        <v>1866820</v>
      </c>
      <c r="I2072" s="27"/>
      <c r="J2072" s="28"/>
      <c r="K2072" s="27"/>
      <c r="L2072" s="28"/>
      <c r="M2072" s="86" t="s">
        <v>2856</v>
      </c>
      <c r="N2072" t="s">
        <v>2856</v>
      </c>
      <c r="P2072" t="s">
        <v>213</v>
      </c>
      <c r="Q2072" t="s">
        <v>2856</v>
      </c>
      <c r="R2072" t="s">
        <v>439</v>
      </c>
    </row>
    <row r="2073" spans="1:30" ht="18" customHeight="1" x14ac:dyDescent="0.15">
      <c r="A2073" s="2" t="s">
        <v>467</v>
      </c>
      <c r="B2073" s="87" t="s">
        <v>2010</v>
      </c>
      <c r="C2073" s="2">
        <v>57.9</v>
      </c>
      <c r="D2073" s="2" t="s">
        <v>2825</v>
      </c>
      <c r="E2073" s="27">
        <f t="shared" si="379"/>
        <v>14311</v>
      </c>
      <c r="F2073" s="28">
        <f t="shared" si="378"/>
        <v>828606.9</v>
      </c>
      <c r="G2073" s="27">
        <f>일위대가목록!F239</f>
        <v>1554</v>
      </c>
      <c r="H2073" s="28">
        <f t="shared" si="380"/>
        <v>89976.6</v>
      </c>
      <c r="I2073" s="27">
        <f>일위대가목록!H239</f>
        <v>11235</v>
      </c>
      <c r="J2073" s="28">
        <f>TRUNC(I2073*C2073,1)</f>
        <v>650506.5</v>
      </c>
      <c r="K2073" s="27">
        <f>일위대가목록!J239</f>
        <v>1522</v>
      </c>
      <c r="L2073" s="28">
        <f>TRUNC(K2073*C2073,1)</f>
        <v>88123.8</v>
      </c>
      <c r="M2073" s="86" t="s">
        <v>2856</v>
      </c>
      <c r="N2073" t="s">
        <v>2856</v>
      </c>
      <c r="P2073" t="s">
        <v>2374</v>
      </c>
      <c r="Q2073" t="s">
        <v>2856</v>
      </c>
      <c r="R2073" t="s">
        <v>782</v>
      </c>
      <c r="T2073" t="s">
        <v>1778</v>
      </c>
    </row>
    <row r="2074" spans="1:30" ht="18" customHeight="1" x14ac:dyDescent="0.15">
      <c r="A2074" s="2" t="s">
        <v>1632</v>
      </c>
      <c r="B2074" s="87" t="s">
        <v>2279</v>
      </c>
      <c r="C2074" s="2">
        <v>78.739999999999995</v>
      </c>
      <c r="D2074" s="2" t="s">
        <v>2825</v>
      </c>
      <c r="E2074" s="27">
        <f t="shared" si="379"/>
        <v>0</v>
      </c>
      <c r="F2074" s="28">
        <f t="shared" si="378"/>
        <v>0</v>
      </c>
      <c r="G2074" s="27"/>
      <c r="H2074" s="28">
        <f t="shared" si="380"/>
        <v>0</v>
      </c>
      <c r="I2074" s="27"/>
      <c r="J2074" s="28"/>
      <c r="K2074" s="27"/>
      <c r="L2074" s="28"/>
      <c r="M2074" s="86" t="s">
        <v>2856</v>
      </c>
      <c r="N2074" t="s">
        <v>2856</v>
      </c>
      <c r="P2074" t="s">
        <v>1661</v>
      </c>
      <c r="Q2074" t="s">
        <v>1839</v>
      </c>
      <c r="R2074" t="s">
        <v>2547</v>
      </c>
    </row>
    <row r="2075" spans="1:30" ht="18" customHeight="1" x14ac:dyDescent="0.15">
      <c r="A2075" s="2" t="s">
        <v>54</v>
      </c>
      <c r="B2075" s="87" t="s">
        <v>1255</v>
      </c>
      <c r="C2075" s="2">
        <v>77.2</v>
      </c>
      <c r="D2075" s="2" t="s">
        <v>2825</v>
      </c>
      <c r="E2075" s="27">
        <f t="shared" si="379"/>
        <v>55166</v>
      </c>
      <c r="F2075" s="28">
        <f t="shared" si="378"/>
        <v>4258815.2</v>
      </c>
      <c r="G2075" s="27">
        <f>일위대가목록!F235</f>
        <v>2538</v>
      </c>
      <c r="H2075" s="28">
        <f t="shared" si="380"/>
        <v>195933.6</v>
      </c>
      <c r="I2075" s="27">
        <f>일위대가목록!H235</f>
        <v>22449</v>
      </c>
      <c r="J2075" s="28">
        <f>TRUNC(I2075*C2075,1)</f>
        <v>1733062.8</v>
      </c>
      <c r="K2075" s="27">
        <f>일위대가목록!J235</f>
        <v>30179</v>
      </c>
      <c r="L2075" s="28">
        <f>TRUNC(K2075*C2075,1)</f>
        <v>2329818.7999999998</v>
      </c>
      <c r="M2075" s="86" t="s">
        <v>2856</v>
      </c>
      <c r="N2075" t="s">
        <v>2856</v>
      </c>
      <c r="P2075" t="s">
        <v>976</v>
      </c>
      <c r="Q2075" t="s">
        <v>2856</v>
      </c>
      <c r="R2075" t="s">
        <v>668</v>
      </c>
      <c r="T2075" t="s">
        <v>1778</v>
      </c>
    </row>
    <row r="2076" spans="1:30" ht="18" customHeight="1" x14ac:dyDescent="0.15">
      <c r="A2076" s="2" t="s">
        <v>595</v>
      </c>
      <c r="B2076" s="87" t="s">
        <v>487</v>
      </c>
      <c r="C2076" s="2">
        <v>424</v>
      </c>
      <c r="D2076" s="2" t="s">
        <v>1202</v>
      </c>
      <c r="E2076" s="27">
        <f t="shared" si="379"/>
        <v>2101</v>
      </c>
      <c r="F2076" s="28">
        <f t="shared" si="378"/>
        <v>890824</v>
      </c>
      <c r="G2076" s="27">
        <f>자재조서!E11</f>
        <v>2101</v>
      </c>
      <c r="H2076" s="28">
        <f t="shared" si="380"/>
        <v>890824</v>
      </c>
      <c r="I2076" s="27"/>
      <c r="J2076" s="28"/>
      <c r="K2076" s="27"/>
      <c r="L2076" s="28"/>
      <c r="M2076" s="86" t="s">
        <v>2856</v>
      </c>
      <c r="N2076" t="s">
        <v>1181</v>
      </c>
      <c r="P2076" t="s">
        <v>3076</v>
      </c>
      <c r="Q2076" t="s">
        <v>2856</v>
      </c>
      <c r="R2076" t="s">
        <v>1801</v>
      </c>
    </row>
    <row r="2077" spans="1:30" ht="18" customHeight="1" x14ac:dyDescent="0.15">
      <c r="A2077" s="2" t="s">
        <v>3077</v>
      </c>
      <c r="B2077" s="87" t="s">
        <v>971</v>
      </c>
      <c r="C2077" s="2">
        <v>424</v>
      </c>
      <c r="D2077" s="2" t="s">
        <v>1202</v>
      </c>
      <c r="E2077" s="27">
        <f t="shared" si="379"/>
        <v>38294</v>
      </c>
      <c r="F2077" s="28">
        <f t="shared" si="378"/>
        <v>16236656</v>
      </c>
      <c r="G2077" s="27">
        <f>일위대가목록!F283</f>
        <v>3366</v>
      </c>
      <c r="H2077" s="28">
        <f t="shared" si="380"/>
        <v>1427184</v>
      </c>
      <c r="I2077" s="27">
        <f>일위대가목록!H283</f>
        <v>33608</v>
      </c>
      <c r="J2077" s="28">
        <f>TRUNC(I2077*C2077,1)</f>
        <v>14249792</v>
      </c>
      <c r="K2077" s="27">
        <f>일위대가목록!J283</f>
        <v>1320</v>
      </c>
      <c r="L2077" s="28">
        <f>TRUNC(K2077*C2077,1)</f>
        <v>559680</v>
      </c>
      <c r="M2077" s="86" t="s">
        <v>2856</v>
      </c>
      <c r="N2077" t="s">
        <v>2856</v>
      </c>
      <c r="P2077" t="s">
        <v>3078</v>
      </c>
      <c r="Q2077" t="s">
        <v>2856</v>
      </c>
      <c r="R2077" t="s">
        <v>3079</v>
      </c>
      <c r="T2077" t="s">
        <v>1778</v>
      </c>
    </row>
    <row r="2078" spans="1:30" ht="18" customHeight="1" x14ac:dyDescent="0.15">
      <c r="A2078" s="2" t="s">
        <v>2132</v>
      </c>
      <c r="B2078" s="87" t="s">
        <v>2760</v>
      </c>
      <c r="C2078" s="2">
        <v>20.07</v>
      </c>
      <c r="D2078" s="2" t="s">
        <v>2087</v>
      </c>
      <c r="E2078" s="27">
        <f t="shared" si="379"/>
        <v>31000</v>
      </c>
      <c r="F2078" s="28">
        <f t="shared" si="378"/>
        <v>622170</v>
      </c>
      <c r="G2078" s="27">
        <f>자재조서!E87</f>
        <v>31000</v>
      </c>
      <c r="H2078" s="28">
        <f t="shared" si="380"/>
        <v>622170</v>
      </c>
      <c r="I2078" s="27"/>
      <c r="J2078" s="28"/>
      <c r="K2078" s="27"/>
      <c r="L2078" s="28"/>
      <c r="M2078" s="86" t="s">
        <v>2856</v>
      </c>
      <c r="N2078" t="s">
        <v>695</v>
      </c>
      <c r="P2078" t="s">
        <v>248</v>
      </c>
      <c r="Q2078" t="s">
        <v>2856</v>
      </c>
      <c r="R2078" t="s">
        <v>2130</v>
      </c>
    </row>
    <row r="2079" spans="1:30" ht="18" customHeight="1" x14ac:dyDescent="0.15">
      <c r="A2079" s="2" t="s">
        <v>1367</v>
      </c>
      <c r="B2079" s="87" t="s">
        <v>924</v>
      </c>
      <c r="C2079" s="2">
        <v>53.19</v>
      </c>
      <c r="D2079" s="2" t="s">
        <v>978</v>
      </c>
      <c r="E2079" s="27">
        <f t="shared" si="379"/>
        <v>120000</v>
      </c>
      <c r="F2079" s="28">
        <f t="shared" si="378"/>
        <v>6382800</v>
      </c>
      <c r="G2079" s="27">
        <f>자재조서!E122</f>
        <v>120000</v>
      </c>
      <c r="H2079" s="28">
        <f t="shared" si="380"/>
        <v>6382800</v>
      </c>
      <c r="I2079" s="27"/>
      <c r="J2079" s="28"/>
      <c r="K2079" s="27"/>
      <c r="L2079" s="28"/>
      <c r="M2079" s="86" t="s">
        <v>2856</v>
      </c>
      <c r="N2079" t="s">
        <v>2856</v>
      </c>
      <c r="P2079" t="s">
        <v>241</v>
      </c>
      <c r="Q2079" t="s">
        <v>2856</v>
      </c>
      <c r="R2079" t="s">
        <v>1484</v>
      </c>
    </row>
    <row r="2080" spans="1:30" ht="18" customHeight="1" x14ac:dyDescent="0.15">
      <c r="A2080" s="2" t="s">
        <v>1990</v>
      </c>
      <c r="B2080" s="87" t="s">
        <v>509</v>
      </c>
      <c r="C2080" s="2">
        <v>38.6</v>
      </c>
      <c r="D2080" s="2" t="s">
        <v>2825</v>
      </c>
      <c r="E2080" s="27">
        <f t="shared" si="379"/>
        <v>10971</v>
      </c>
      <c r="F2080" s="28">
        <f t="shared" si="378"/>
        <v>423480.6</v>
      </c>
      <c r="G2080" s="27">
        <f>일위대가목록!F8</f>
        <v>1106</v>
      </c>
      <c r="H2080" s="28">
        <f t="shared" si="380"/>
        <v>42691.6</v>
      </c>
      <c r="I2080" s="27">
        <f>일위대가목록!H8</f>
        <v>8824</v>
      </c>
      <c r="J2080" s="28">
        <f>TRUNC(I2080*C2080,1)</f>
        <v>340606.4</v>
      </c>
      <c r="K2080" s="27">
        <f>일위대가목록!J8</f>
        <v>1041</v>
      </c>
      <c r="L2080" s="28">
        <f>TRUNC(K2080*C2080,1)</f>
        <v>40182.6</v>
      </c>
      <c r="M2080" s="86" t="s">
        <v>2856</v>
      </c>
      <c r="N2080" t="s">
        <v>2856</v>
      </c>
      <c r="P2080" t="s">
        <v>954</v>
      </c>
      <c r="Q2080" t="s">
        <v>2856</v>
      </c>
      <c r="R2080" t="s">
        <v>2833</v>
      </c>
      <c r="T2080" t="s">
        <v>2405</v>
      </c>
    </row>
    <row r="2081" spans="1:30" ht="18" customHeight="1" x14ac:dyDescent="0.15">
      <c r="A2081" s="2" t="s">
        <v>134</v>
      </c>
      <c r="B2081" s="87" t="s">
        <v>2445</v>
      </c>
      <c r="C2081" s="2">
        <v>318</v>
      </c>
      <c r="D2081" s="2" t="s">
        <v>1796</v>
      </c>
      <c r="E2081" s="27">
        <f t="shared" si="379"/>
        <v>30163</v>
      </c>
      <c r="F2081" s="28">
        <f t="shared" si="378"/>
        <v>9591834</v>
      </c>
      <c r="G2081" s="27">
        <f>일위대가목록!F259</f>
        <v>10103</v>
      </c>
      <c r="H2081" s="28">
        <f t="shared" si="380"/>
        <v>3212754</v>
      </c>
      <c r="I2081" s="27">
        <f>일위대가목록!H259</f>
        <v>17899</v>
      </c>
      <c r="J2081" s="28">
        <f>TRUNC(I2081*C2081,1)</f>
        <v>5691882</v>
      </c>
      <c r="K2081" s="27">
        <f>일위대가목록!J259</f>
        <v>2161</v>
      </c>
      <c r="L2081" s="28">
        <f>TRUNC(K2081*C2081,1)</f>
        <v>687198</v>
      </c>
      <c r="M2081" s="86" t="s">
        <v>2856</v>
      </c>
      <c r="N2081" t="s">
        <v>2856</v>
      </c>
      <c r="P2081" t="s">
        <v>1677</v>
      </c>
      <c r="Q2081" t="s">
        <v>2856</v>
      </c>
      <c r="R2081" t="s">
        <v>1723</v>
      </c>
      <c r="T2081" t="s">
        <v>1778</v>
      </c>
    </row>
    <row r="2082" spans="1:30" ht="18" customHeight="1" x14ac:dyDescent="0.15">
      <c r="A2082" s="2" t="s">
        <v>2512</v>
      </c>
      <c r="B2082" s="87" t="s">
        <v>1227</v>
      </c>
      <c r="C2082" s="2">
        <v>17</v>
      </c>
      <c r="D2082" s="2" t="s">
        <v>1796</v>
      </c>
      <c r="E2082" s="27">
        <f t="shared" si="379"/>
        <v>220000</v>
      </c>
      <c r="F2082" s="28">
        <f t="shared" si="378"/>
        <v>3740000</v>
      </c>
      <c r="G2082" s="27">
        <f>자재조서!E123</f>
        <v>220000</v>
      </c>
      <c r="H2082" s="28">
        <f t="shared" si="380"/>
        <v>3740000</v>
      </c>
      <c r="I2082" s="27"/>
      <c r="J2082" s="28"/>
      <c r="K2082" s="27"/>
      <c r="L2082" s="28"/>
      <c r="M2082" s="86" t="s">
        <v>2856</v>
      </c>
      <c r="N2082" t="s">
        <v>2856</v>
      </c>
      <c r="P2082" t="s">
        <v>2389</v>
      </c>
      <c r="Q2082" t="s">
        <v>2856</v>
      </c>
      <c r="R2082" t="s">
        <v>212</v>
      </c>
    </row>
    <row r="2083" spans="1:30" ht="18.399999999999999" customHeight="1" x14ac:dyDescent="0.15">
      <c r="A2083" s="66" t="s">
        <v>3046</v>
      </c>
      <c r="B2083" s="175" t="s">
        <v>3245</v>
      </c>
      <c r="C2083" s="63"/>
      <c r="D2083" s="63"/>
      <c r="E2083" s="64"/>
      <c r="F2083" s="65">
        <f t="shared" si="378"/>
        <v>40891860</v>
      </c>
      <c r="G2083" s="66"/>
      <c r="H2083" s="65">
        <f>TRUNC(H2067*$B$2083)</f>
        <v>16257101</v>
      </c>
      <c r="I2083" s="66"/>
      <c r="J2083" s="65">
        <f>TRUNC(J2067*$B$2083)</f>
        <v>21248077</v>
      </c>
      <c r="K2083" s="66"/>
      <c r="L2083" s="65">
        <f>TRUNC(L2067*$B$2083)</f>
        <v>3386682</v>
      </c>
      <c r="M2083" s="186"/>
      <c r="AA2083" s="42"/>
      <c r="AB2083" s="8"/>
      <c r="AC2083" s="42"/>
      <c r="AD2083" s="7"/>
    </row>
    <row r="2084" spans="1:30" ht="18.399999999999999" customHeight="1" x14ac:dyDescent="0.15">
      <c r="A2084" s="173"/>
      <c r="B2084" s="180"/>
      <c r="C2084" s="173"/>
      <c r="D2084" s="173"/>
      <c r="E2084" s="173"/>
      <c r="F2084" s="173"/>
      <c r="G2084" s="173"/>
      <c r="H2084" s="173"/>
      <c r="I2084" s="173"/>
      <c r="J2084" s="173"/>
      <c r="K2084" s="173"/>
      <c r="L2084" s="173"/>
      <c r="M2084" s="188"/>
    </row>
    <row r="2085" spans="1:30" ht="18" hidden="1" customHeight="1" x14ac:dyDescent="0.15">
      <c r="A2085" s="69" t="s">
        <v>3080</v>
      </c>
      <c r="B2085" s="174" t="s">
        <v>971</v>
      </c>
      <c r="C2085" s="69">
        <v>1</v>
      </c>
      <c r="D2085" s="69" t="s">
        <v>1202</v>
      </c>
      <c r="E2085" s="185"/>
      <c r="F2085" s="70">
        <f t="shared" ref="F2085:F2090" si="381">H2085+J2085+L2085</f>
        <v>38294</v>
      </c>
      <c r="G2085" s="185"/>
      <c r="H2085" s="70">
        <f>TRUNC(H2086+H2087+H2088+H2089+H2090,0)</f>
        <v>3366</v>
      </c>
      <c r="I2085" s="185"/>
      <c r="J2085" s="70">
        <f>TRUNC(J2086+J2087+J2088+J2089+J2090,0)</f>
        <v>33608</v>
      </c>
      <c r="K2085" s="185"/>
      <c r="L2085" s="70">
        <f>TRUNC(L2086+L2087+L2088+L2089+L2090,0)</f>
        <v>1320</v>
      </c>
      <c r="M2085" s="181" t="s">
        <v>2856</v>
      </c>
      <c r="N2085" t="s">
        <v>2856</v>
      </c>
      <c r="O2085" t="s">
        <v>3079</v>
      </c>
    </row>
    <row r="2086" spans="1:30" ht="18" hidden="1" customHeight="1" x14ac:dyDescent="0.15">
      <c r="A2086" s="2" t="s">
        <v>1463</v>
      </c>
      <c r="B2086" s="87" t="s">
        <v>1449</v>
      </c>
      <c r="C2086" s="2">
        <v>13.05</v>
      </c>
      <c r="D2086" s="2" t="s">
        <v>1674</v>
      </c>
      <c r="E2086" s="27">
        <f>G2086+I2086+K2086</f>
        <v>189</v>
      </c>
      <c r="F2086" s="28">
        <f t="shared" si="381"/>
        <v>2466.4</v>
      </c>
      <c r="G2086" s="27">
        <f>자재조서!E90</f>
        <v>189</v>
      </c>
      <c r="H2086" s="28">
        <f>TRUNC(G2086*C2086,1)</f>
        <v>2466.4</v>
      </c>
      <c r="I2086" s="27"/>
      <c r="J2086" s="28"/>
      <c r="K2086" s="27"/>
      <c r="L2086" s="28"/>
      <c r="M2086" s="86" t="s">
        <v>2856</v>
      </c>
      <c r="N2086" t="s">
        <v>2856</v>
      </c>
      <c r="P2086" t="s">
        <v>334</v>
      </c>
      <c r="Q2086" t="s">
        <v>2856</v>
      </c>
      <c r="R2086" t="s">
        <v>887</v>
      </c>
    </row>
    <row r="2087" spans="1:30" ht="18" hidden="1" customHeight="1" x14ac:dyDescent="0.15">
      <c r="A2087" s="2" t="s">
        <v>440</v>
      </c>
      <c r="B2087" s="87" t="s">
        <v>1763</v>
      </c>
      <c r="C2087" s="2">
        <v>1.7000000000000001E-2</v>
      </c>
      <c r="D2087" s="2" t="s">
        <v>2825</v>
      </c>
      <c r="E2087" s="27">
        <f>G2087+I2087+K2087</f>
        <v>37000</v>
      </c>
      <c r="F2087" s="28">
        <f t="shared" si="381"/>
        <v>629</v>
      </c>
      <c r="G2087" s="27">
        <f>자재조서!E86</f>
        <v>37000</v>
      </c>
      <c r="H2087" s="28">
        <f>TRUNC(G2087*C2087,1)</f>
        <v>629</v>
      </c>
      <c r="I2087" s="27"/>
      <c r="J2087" s="28"/>
      <c r="K2087" s="27"/>
      <c r="L2087" s="28"/>
      <c r="M2087" s="86" t="s">
        <v>2856</v>
      </c>
      <c r="N2087" t="s">
        <v>2856</v>
      </c>
      <c r="P2087" t="s">
        <v>2471</v>
      </c>
      <c r="Q2087" t="s">
        <v>2856</v>
      </c>
      <c r="R2087" t="s">
        <v>2805</v>
      </c>
    </row>
    <row r="2088" spans="1:30" ht="18" hidden="1" customHeight="1" x14ac:dyDescent="0.15">
      <c r="A2088" s="2" t="s">
        <v>3081</v>
      </c>
      <c r="B2088" s="87" t="s">
        <v>3082</v>
      </c>
      <c r="C2088" s="2">
        <v>0.46</v>
      </c>
      <c r="D2088" s="2" t="s">
        <v>2250</v>
      </c>
      <c r="E2088" s="27">
        <f>G2088+I2088+K2088</f>
        <v>590</v>
      </c>
      <c r="F2088" s="28">
        <f t="shared" si="381"/>
        <v>271.39999999999998</v>
      </c>
      <c r="G2088" s="27">
        <f>자재조서!E4</f>
        <v>590</v>
      </c>
      <c r="H2088" s="28">
        <f>TRUNC(G2088*C2088,1)</f>
        <v>271.39999999999998</v>
      </c>
      <c r="I2088" s="27"/>
      <c r="J2088" s="28"/>
      <c r="K2088" s="27"/>
      <c r="L2088" s="28"/>
      <c r="M2088" s="86" t="s">
        <v>2856</v>
      </c>
      <c r="N2088" t="s">
        <v>2856</v>
      </c>
      <c r="P2088" t="s">
        <v>928</v>
      </c>
      <c r="Q2088" t="s">
        <v>2856</v>
      </c>
      <c r="R2088" t="s">
        <v>3083</v>
      </c>
    </row>
    <row r="2089" spans="1:30" ht="18" hidden="1" customHeight="1" x14ac:dyDescent="0.15">
      <c r="A2089" s="2" t="s">
        <v>3084</v>
      </c>
      <c r="B2089" s="87" t="s">
        <v>971</v>
      </c>
      <c r="C2089" s="2">
        <v>1</v>
      </c>
      <c r="D2089" s="2" t="s">
        <v>1202</v>
      </c>
      <c r="E2089" s="27">
        <f>G2089+I2089+K2089</f>
        <v>23877</v>
      </c>
      <c r="F2089" s="28">
        <f t="shared" si="381"/>
        <v>23877</v>
      </c>
      <c r="G2089" s="27">
        <f>일위대가목록!F281</f>
        <v>0</v>
      </c>
      <c r="H2089" s="28">
        <f>TRUNC(G2089*C2089,1)</f>
        <v>0</v>
      </c>
      <c r="I2089" s="27">
        <f>일위대가목록!H281</f>
        <v>23182</v>
      </c>
      <c r="J2089" s="28">
        <f>TRUNC(I2089*C2089,1)</f>
        <v>23182</v>
      </c>
      <c r="K2089" s="27">
        <f>일위대가목록!J281</f>
        <v>695</v>
      </c>
      <c r="L2089" s="28">
        <f>TRUNC(K2089*C2089,1)</f>
        <v>695</v>
      </c>
      <c r="M2089" s="86" t="s">
        <v>2856</v>
      </c>
      <c r="N2089" t="s">
        <v>2856</v>
      </c>
      <c r="P2089" t="s">
        <v>1741</v>
      </c>
      <c r="Q2089" t="s">
        <v>2856</v>
      </c>
      <c r="R2089" t="s">
        <v>3085</v>
      </c>
      <c r="T2089" t="s">
        <v>1778</v>
      </c>
    </row>
    <row r="2090" spans="1:30" ht="18" hidden="1" customHeight="1" x14ac:dyDescent="0.15">
      <c r="A2090" s="2" t="s">
        <v>3086</v>
      </c>
      <c r="B2090" s="87" t="s">
        <v>971</v>
      </c>
      <c r="C2090" s="2">
        <v>1</v>
      </c>
      <c r="D2090" s="2" t="s">
        <v>3087</v>
      </c>
      <c r="E2090" s="27">
        <f>G2090+I2090+K2090</f>
        <v>11051</v>
      </c>
      <c r="F2090" s="28">
        <f t="shared" si="381"/>
        <v>11051</v>
      </c>
      <c r="G2090" s="27">
        <f>일위대가목록!F282</f>
        <v>0</v>
      </c>
      <c r="H2090" s="28">
        <f>TRUNC(G2090*C2090,1)</f>
        <v>0</v>
      </c>
      <c r="I2090" s="27">
        <f>일위대가목록!H282</f>
        <v>10426</v>
      </c>
      <c r="J2090" s="28">
        <f>TRUNC(I2090*C2090,1)</f>
        <v>10426</v>
      </c>
      <c r="K2090" s="27">
        <f>일위대가목록!J282</f>
        <v>625</v>
      </c>
      <c r="L2090" s="28">
        <f>TRUNC(K2090*C2090,1)</f>
        <v>625</v>
      </c>
      <c r="M2090" s="86" t="s">
        <v>2856</v>
      </c>
      <c r="N2090" t="s">
        <v>2856</v>
      </c>
      <c r="P2090" t="s">
        <v>1036</v>
      </c>
      <c r="Q2090" t="s">
        <v>2856</v>
      </c>
      <c r="R2090" t="s">
        <v>3088</v>
      </c>
      <c r="T2090" t="s">
        <v>1778</v>
      </c>
    </row>
    <row r="2091" spans="1:30" ht="18.399999999999999" hidden="1" customHeight="1" x14ac:dyDescent="0.15">
      <c r="A2091" s="173"/>
      <c r="B2091" s="180"/>
      <c r="C2091" s="173"/>
      <c r="D2091" s="173"/>
      <c r="E2091" s="173"/>
      <c r="F2091" s="173"/>
      <c r="G2091" s="173"/>
      <c r="H2091" s="173"/>
      <c r="I2091" s="173"/>
      <c r="J2091" s="173"/>
      <c r="K2091" s="173"/>
      <c r="L2091" s="173"/>
      <c r="M2091" s="188"/>
    </row>
    <row r="2092" spans="1:30" ht="18" hidden="1" customHeight="1" x14ac:dyDescent="0.15">
      <c r="A2092" s="69" t="s">
        <v>3092</v>
      </c>
      <c r="B2092" s="174" t="s">
        <v>971</v>
      </c>
      <c r="C2092" s="69">
        <v>1</v>
      </c>
      <c r="D2092" s="69" t="s">
        <v>1202</v>
      </c>
      <c r="E2092" s="185"/>
      <c r="F2092" s="70">
        <f>H2092+J2092+L2092</f>
        <v>23877</v>
      </c>
      <c r="G2092" s="185"/>
      <c r="H2092" s="70">
        <f>TRUNC(H2093+H2094+H2095,0)</f>
        <v>0</v>
      </c>
      <c r="I2092" s="185"/>
      <c r="J2092" s="70">
        <f>TRUNC(J2093+J2094+J2095,0)</f>
        <v>23182</v>
      </c>
      <c r="K2092" s="185"/>
      <c r="L2092" s="70">
        <f>TRUNC(L2093+L2094+L2095,0)</f>
        <v>695</v>
      </c>
      <c r="M2092" s="181" t="s">
        <v>3093</v>
      </c>
      <c r="N2092" t="s">
        <v>2856</v>
      </c>
      <c r="O2092" t="s">
        <v>3085</v>
      </c>
    </row>
    <row r="2093" spans="1:30" ht="18" hidden="1" customHeight="1" x14ac:dyDescent="0.15">
      <c r="A2093" s="2" t="s">
        <v>3094</v>
      </c>
      <c r="B2093" s="87" t="s">
        <v>2856</v>
      </c>
      <c r="C2093" s="2">
        <v>7.4999999999999997E-2</v>
      </c>
      <c r="D2093" s="2" t="s">
        <v>2652</v>
      </c>
      <c r="E2093" s="27">
        <f>G2093+I2093+K2093</f>
        <v>219996</v>
      </c>
      <c r="F2093" s="28">
        <f>H2093+J2093+L2093</f>
        <v>16499.7</v>
      </c>
      <c r="G2093" s="27">
        <v>0</v>
      </c>
      <c r="H2093" s="28"/>
      <c r="I2093" s="27">
        <f>노임!D17</f>
        <v>219996</v>
      </c>
      <c r="J2093" s="28">
        <f>TRUNC(I2093*C2093,1)</f>
        <v>16499.7</v>
      </c>
      <c r="K2093" s="27">
        <v>0</v>
      </c>
      <c r="L2093" s="28"/>
      <c r="M2093" s="86" t="s">
        <v>2856</v>
      </c>
      <c r="N2093" t="s">
        <v>2856</v>
      </c>
      <c r="P2093" t="s">
        <v>334</v>
      </c>
      <c r="Q2093" t="s">
        <v>2856</v>
      </c>
      <c r="R2093" t="s">
        <v>3095</v>
      </c>
    </row>
    <row r="2094" spans="1:30" ht="18" hidden="1" customHeight="1" x14ac:dyDescent="0.15">
      <c r="A2094" s="2" t="s">
        <v>888</v>
      </c>
      <c r="B2094" s="87" t="s">
        <v>2856</v>
      </c>
      <c r="C2094" s="2">
        <v>0.04</v>
      </c>
      <c r="D2094" s="2" t="s">
        <v>2652</v>
      </c>
      <c r="E2094" s="27">
        <f>G2094+I2094+K2094</f>
        <v>167081</v>
      </c>
      <c r="F2094" s="28">
        <f>H2094+J2094+L2094</f>
        <v>6683.2</v>
      </c>
      <c r="G2094" s="27">
        <v>0</v>
      </c>
      <c r="H2094" s="28"/>
      <c r="I2094" s="27">
        <f>노임!D15</f>
        <v>167081</v>
      </c>
      <c r="J2094" s="28">
        <f>TRUNC(I2094*C2094,1)</f>
        <v>6683.2</v>
      </c>
      <c r="K2094" s="27">
        <v>0</v>
      </c>
      <c r="L2094" s="28"/>
      <c r="M2094" s="86" t="s">
        <v>2856</v>
      </c>
      <c r="N2094" t="s">
        <v>821</v>
      </c>
      <c r="P2094" t="s">
        <v>2471</v>
      </c>
      <c r="Q2094" t="s">
        <v>2856</v>
      </c>
      <c r="R2094" t="s">
        <v>498</v>
      </c>
    </row>
    <row r="2095" spans="1:30" ht="18" hidden="1" customHeight="1" x14ac:dyDescent="0.15">
      <c r="A2095" s="2" t="s">
        <v>2380</v>
      </c>
      <c r="B2095" s="87" t="s">
        <v>3096</v>
      </c>
      <c r="C2095" s="2">
        <v>1</v>
      </c>
      <c r="D2095" s="2" t="s">
        <v>2303</v>
      </c>
      <c r="E2095" s="27">
        <f>G2095+I2095+K2095</f>
        <v>0</v>
      </c>
      <c r="F2095" s="28">
        <f>H2095+J2095+L2095</f>
        <v>695.4</v>
      </c>
      <c r="G2095" s="1"/>
      <c r="H2095" s="28">
        <v>0</v>
      </c>
      <c r="I2095" s="1"/>
      <c r="J2095" s="28">
        <v>0</v>
      </c>
      <c r="K2095" s="1"/>
      <c r="L2095" s="28">
        <f>TRUNC(((J2093+J2094)*0.03),1)</f>
        <v>695.4</v>
      </c>
      <c r="M2095" s="86" t="s">
        <v>2856</v>
      </c>
      <c r="N2095" t="s">
        <v>2856</v>
      </c>
      <c r="P2095" t="s">
        <v>1741</v>
      </c>
      <c r="Q2095" t="s">
        <v>2856</v>
      </c>
      <c r="R2095" t="s">
        <v>2405</v>
      </c>
      <c r="X2095" t="s">
        <v>3097</v>
      </c>
      <c r="AA2095" s="71" t="s">
        <v>917</v>
      </c>
      <c r="AB2095" s="72">
        <f>([320]일위대가_호표!J1974+[320]일위대가_호표!J1975)*0.03</f>
        <v>0</v>
      </c>
      <c r="AC2095" s="71" t="s">
        <v>1546</v>
      </c>
      <c r="AD2095" s="73">
        <f>$AB2094</f>
        <v>0</v>
      </c>
    </row>
    <row r="2096" spans="1:30" ht="18" hidden="1" customHeight="1" x14ac:dyDescent="0.15">
      <c r="A2096" s="1"/>
      <c r="B2096" s="87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87"/>
    </row>
    <row r="2097" spans="1:30" ht="18" hidden="1" customHeight="1" x14ac:dyDescent="0.15">
      <c r="A2097" s="69" t="s">
        <v>3098</v>
      </c>
      <c r="B2097" s="174" t="s">
        <v>971</v>
      </c>
      <c r="C2097" s="69">
        <v>1</v>
      </c>
      <c r="D2097" s="69" t="s">
        <v>3087</v>
      </c>
      <c r="E2097" s="185"/>
      <c r="F2097" s="70">
        <f>H2097+J2097+L2097</f>
        <v>11051</v>
      </c>
      <c r="G2097" s="185"/>
      <c r="H2097" s="70">
        <f>TRUNC(H2098+H2099+H2100,0)</f>
        <v>0</v>
      </c>
      <c r="I2097" s="185"/>
      <c r="J2097" s="70">
        <f>TRUNC(J2098+J2099+J2100,0)</f>
        <v>10426</v>
      </c>
      <c r="K2097" s="185"/>
      <c r="L2097" s="70">
        <f>TRUNC(L2098+L2099+L2100,0)</f>
        <v>625</v>
      </c>
      <c r="M2097" s="181" t="s">
        <v>3099</v>
      </c>
      <c r="N2097" t="s">
        <v>2856</v>
      </c>
      <c r="O2097" t="s">
        <v>3088</v>
      </c>
    </row>
    <row r="2098" spans="1:30" ht="18" hidden="1" customHeight="1" x14ac:dyDescent="0.15">
      <c r="A2098" s="2" t="s">
        <v>3094</v>
      </c>
      <c r="B2098" s="87" t="s">
        <v>2856</v>
      </c>
      <c r="C2098" s="2">
        <v>3.5999999999999997E-2</v>
      </c>
      <c r="D2098" s="2" t="s">
        <v>2652</v>
      </c>
      <c r="E2098" s="27">
        <f>G2098+I2098+K2098</f>
        <v>219996</v>
      </c>
      <c r="F2098" s="28">
        <f>H2098+J2098+L2098</f>
        <v>7919.8</v>
      </c>
      <c r="G2098" s="27">
        <v>0</v>
      </c>
      <c r="H2098" s="28"/>
      <c r="I2098" s="27">
        <f>노임!D17</f>
        <v>219996</v>
      </c>
      <c r="J2098" s="28">
        <f>TRUNC(I2098*C2098,1)</f>
        <v>7919.8</v>
      </c>
      <c r="K2098" s="27">
        <v>0</v>
      </c>
      <c r="L2098" s="28"/>
      <c r="M2098" s="86" t="s">
        <v>2856</v>
      </c>
      <c r="N2098" t="s">
        <v>2856</v>
      </c>
      <c r="P2098" t="s">
        <v>334</v>
      </c>
      <c r="Q2098" t="s">
        <v>2856</v>
      </c>
      <c r="R2098" t="s">
        <v>3095</v>
      </c>
    </row>
    <row r="2099" spans="1:30" ht="18" hidden="1" customHeight="1" x14ac:dyDescent="0.15">
      <c r="A2099" s="2" t="s">
        <v>888</v>
      </c>
      <c r="B2099" s="87" t="s">
        <v>2856</v>
      </c>
      <c r="C2099" s="2">
        <v>1.4999999999999999E-2</v>
      </c>
      <c r="D2099" s="2" t="s">
        <v>2652</v>
      </c>
      <c r="E2099" s="27">
        <f>G2099+I2099+K2099</f>
        <v>167081</v>
      </c>
      <c r="F2099" s="28">
        <f>H2099+J2099+L2099</f>
        <v>2506.1999999999998</v>
      </c>
      <c r="G2099" s="27">
        <v>0</v>
      </c>
      <c r="H2099" s="28"/>
      <c r="I2099" s="27">
        <f>노임!D15</f>
        <v>167081</v>
      </c>
      <c r="J2099" s="28">
        <f>TRUNC(I2099*C2099,1)</f>
        <v>2506.1999999999998</v>
      </c>
      <c r="K2099" s="27">
        <v>0</v>
      </c>
      <c r="L2099" s="28"/>
      <c r="M2099" s="86" t="s">
        <v>2856</v>
      </c>
      <c r="N2099" t="s">
        <v>821</v>
      </c>
      <c r="P2099" t="s">
        <v>2471</v>
      </c>
      <c r="Q2099" t="s">
        <v>2856</v>
      </c>
      <c r="R2099" t="s">
        <v>498</v>
      </c>
    </row>
    <row r="2100" spans="1:30" ht="18" hidden="1" customHeight="1" x14ac:dyDescent="0.15">
      <c r="A2100" s="2" t="s">
        <v>3100</v>
      </c>
      <c r="B2100" s="87" t="s">
        <v>3101</v>
      </c>
      <c r="C2100" s="2">
        <v>1</v>
      </c>
      <c r="D2100" s="2" t="s">
        <v>2303</v>
      </c>
      <c r="E2100" s="27">
        <f>G2100+I2100+K2100</f>
        <v>0</v>
      </c>
      <c r="F2100" s="28">
        <f>H2100+J2100+L2100</f>
        <v>625.5</v>
      </c>
      <c r="G2100" s="1"/>
      <c r="H2100" s="28">
        <v>0</v>
      </c>
      <c r="I2100" s="1"/>
      <c r="J2100" s="28">
        <v>0</v>
      </c>
      <c r="K2100" s="1"/>
      <c r="L2100" s="28">
        <f>TRUNC(((J2098+J2099)*6/100),1)</f>
        <v>625.5</v>
      </c>
      <c r="M2100" s="86" t="s">
        <v>2856</v>
      </c>
      <c r="N2100" t="s">
        <v>2856</v>
      </c>
      <c r="P2100" t="s">
        <v>1741</v>
      </c>
      <c r="Q2100" t="s">
        <v>2856</v>
      </c>
      <c r="R2100" t="s">
        <v>2405</v>
      </c>
      <c r="X2100" t="s">
        <v>3102</v>
      </c>
      <c r="AA2100" s="71" t="s">
        <v>917</v>
      </c>
      <c r="AB2100" s="72">
        <f>([320]일위대가_호표!J1979+[320]일위대가_호표!J1980)*6/100</f>
        <v>0</v>
      </c>
      <c r="AC2100" s="71" t="s">
        <v>1546</v>
      </c>
      <c r="AD2100" s="73">
        <f>$AB2099</f>
        <v>0</v>
      </c>
    </row>
    <row r="2101" spans="1:30" ht="18.399999999999999" hidden="1" customHeight="1" x14ac:dyDescent="0.15">
      <c r="A2101" s="173"/>
      <c r="B2101" s="180"/>
      <c r="C2101" s="173"/>
      <c r="D2101" s="173"/>
      <c r="E2101" s="173"/>
      <c r="F2101" s="173"/>
      <c r="G2101" s="173"/>
      <c r="H2101" s="173"/>
      <c r="I2101" s="173"/>
      <c r="J2101" s="173"/>
      <c r="K2101" s="173"/>
      <c r="L2101" s="173"/>
      <c r="M2101" s="188"/>
    </row>
    <row r="2102" spans="1:30" ht="18" customHeight="1" x14ac:dyDescent="0.15">
      <c r="A2102" s="69" t="s">
        <v>3262</v>
      </c>
      <c r="B2102" s="174" t="s">
        <v>3123</v>
      </c>
      <c r="C2102" s="69">
        <v>1</v>
      </c>
      <c r="D2102" s="69" t="s">
        <v>1796</v>
      </c>
      <c r="E2102" s="185"/>
      <c r="F2102" s="70">
        <f t="shared" ref="F2102:F2123" si="382">H2102+J2102+L2102</f>
        <v>15969777</v>
      </c>
      <c r="G2102" s="185"/>
      <c r="H2102" s="70">
        <f>TRUNC(H2103+H2104+H2105+H2106+H2108+H2109+H2110+H2111+H2112+H2113+H2114+H2116+H2117+H2118+H2120+H2122,0)</f>
        <v>3570413</v>
      </c>
      <c r="I2102" s="185"/>
      <c r="J2102" s="70">
        <f>TRUNC(J2103+J2104+J2105+J2106+J2108+J2109+J2110+J2111+J2112+J2113+J2114+J2116+J2117+J2118+J2120+J2122,0)</f>
        <v>12219820</v>
      </c>
      <c r="K2102" s="185"/>
      <c r="L2102" s="70">
        <f>TRUNC(L2103+L2104+L2105+L2106+L2108+L2109+L2110+L2111+L2112+L2113+L2114+L2116+L2117+L2118+L2120+L2122,0)</f>
        <v>179544</v>
      </c>
      <c r="M2102" s="181" t="s">
        <v>2856</v>
      </c>
      <c r="N2102" t="s">
        <v>2856</v>
      </c>
      <c r="O2102" t="s">
        <v>3124</v>
      </c>
    </row>
    <row r="2103" spans="1:30" ht="18" customHeight="1" x14ac:dyDescent="0.15">
      <c r="A2103" s="2" t="s">
        <v>1163</v>
      </c>
      <c r="B2103" s="87" t="s">
        <v>1879</v>
      </c>
      <c r="C2103" s="2">
        <v>8.82</v>
      </c>
      <c r="D2103" s="2" t="s">
        <v>2825</v>
      </c>
      <c r="E2103" s="27">
        <f t="shared" ref="E2103:E2122" si="383">G2103+I2103+K2103</f>
        <v>33416</v>
      </c>
      <c r="F2103" s="28">
        <f t="shared" si="382"/>
        <v>294729.09999999998</v>
      </c>
      <c r="G2103" s="27">
        <f>일위대가목록!F249</f>
        <v>0</v>
      </c>
      <c r="H2103" s="28">
        <f t="shared" ref="H2103:H2115" si="384">TRUNC(G2103*C2103,1)</f>
        <v>0</v>
      </c>
      <c r="I2103" s="27">
        <f>일위대가목록!H249</f>
        <v>33416</v>
      </c>
      <c r="J2103" s="28">
        <f>TRUNC(I2103*C2103,1)</f>
        <v>294729.09999999998</v>
      </c>
      <c r="K2103" s="27">
        <f>일위대가목록!J249</f>
        <v>0</v>
      </c>
      <c r="L2103" s="28">
        <f>TRUNC(K2103*C2103,1)</f>
        <v>0</v>
      </c>
      <c r="M2103" s="86" t="s">
        <v>2856</v>
      </c>
      <c r="N2103" t="s">
        <v>2856</v>
      </c>
      <c r="P2103" t="s">
        <v>334</v>
      </c>
      <c r="Q2103" t="s">
        <v>2856</v>
      </c>
      <c r="R2103" t="s">
        <v>786</v>
      </c>
      <c r="T2103" t="s">
        <v>1778</v>
      </c>
    </row>
    <row r="2104" spans="1:30" ht="18" customHeight="1" x14ac:dyDescent="0.15">
      <c r="A2104" s="2" t="s">
        <v>1112</v>
      </c>
      <c r="B2104" s="87" t="s">
        <v>394</v>
      </c>
      <c r="C2104" s="2">
        <v>1.22</v>
      </c>
      <c r="D2104" s="2" t="s">
        <v>2825</v>
      </c>
      <c r="E2104" s="27">
        <f t="shared" si="383"/>
        <v>33416</v>
      </c>
      <c r="F2104" s="28">
        <f t="shared" si="382"/>
        <v>40767.5</v>
      </c>
      <c r="G2104" s="27">
        <f>일위대가목록!F250</f>
        <v>0</v>
      </c>
      <c r="H2104" s="28">
        <f t="shared" si="384"/>
        <v>0</v>
      </c>
      <c r="I2104" s="27">
        <f>일위대가목록!H250</f>
        <v>33416</v>
      </c>
      <c r="J2104" s="28">
        <f>TRUNC(I2104*C2104,1)</f>
        <v>40767.5</v>
      </c>
      <c r="K2104" s="27">
        <f>일위대가목록!J250</f>
        <v>0</v>
      </c>
      <c r="L2104" s="28">
        <f>TRUNC(K2104*C2104,1)</f>
        <v>0</v>
      </c>
      <c r="M2104" s="86" t="s">
        <v>2856</v>
      </c>
      <c r="N2104" t="s">
        <v>2856</v>
      </c>
      <c r="P2104" t="s">
        <v>2471</v>
      </c>
      <c r="Q2104" t="s">
        <v>2856</v>
      </c>
      <c r="R2104" t="s">
        <v>1013</v>
      </c>
      <c r="T2104" t="s">
        <v>1778</v>
      </c>
    </row>
    <row r="2105" spans="1:30" ht="18" customHeight="1" x14ac:dyDescent="0.15">
      <c r="A2105" s="2" t="s">
        <v>2451</v>
      </c>
      <c r="B2105" s="87" t="s">
        <v>129</v>
      </c>
      <c r="C2105" s="2">
        <v>7.61</v>
      </c>
      <c r="D2105" s="2" t="s">
        <v>2825</v>
      </c>
      <c r="E2105" s="27">
        <f t="shared" si="383"/>
        <v>16708</v>
      </c>
      <c r="F2105" s="28">
        <f t="shared" si="382"/>
        <v>127147.8</v>
      </c>
      <c r="G2105" s="27">
        <f>일위대가목록!F251</f>
        <v>0</v>
      </c>
      <c r="H2105" s="28">
        <f t="shared" si="384"/>
        <v>0</v>
      </c>
      <c r="I2105" s="27">
        <f>일위대가목록!H251</f>
        <v>16708</v>
      </c>
      <c r="J2105" s="28">
        <f>TRUNC(I2105*C2105,1)</f>
        <v>127147.8</v>
      </c>
      <c r="K2105" s="27">
        <f>일위대가목록!J251</f>
        <v>0</v>
      </c>
      <c r="L2105" s="28">
        <f>TRUNC(K2105*C2105,1)</f>
        <v>0</v>
      </c>
      <c r="M2105" s="86" t="s">
        <v>2856</v>
      </c>
      <c r="N2105" t="s">
        <v>2856</v>
      </c>
      <c r="P2105" t="s">
        <v>1741</v>
      </c>
      <c r="Q2105" t="s">
        <v>2856</v>
      </c>
      <c r="R2105" t="s">
        <v>30</v>
      </c>
      <c r="T2105" t="s">
        <v>1778</v>
      </c>
    </row>
    <row r="2106" spans="1:30" ht="18" customHeight="1" x14ac:dyDescent="0.15">
      <c r="A2106" s="2" t="s">
        <v>832</v>
      </c>
      <c r="B2106" s="87" t="s">
        <v>610</v>
      </c>
      <c r="C2106" s="2">
        <v>16.2</v>
      </c>
      <c r="D2106" s="2" t="s">
        <v>1202</v>
      </c>
      <c r="E2106" s="27">
        <f t="shared" si="383"/>
        <v>45715</v>
      </c>
      <c r="F2106" s="28">
        <f t="shared" si="382"/>
        <v>740583</v>
      </c>
      <c r="G2106" s="27">
        <f>일위대가목록!F236</f>
        <v>11180</v>
      </c>
      <c r="H2106" s="28">
        <f t="shared" si="384"/>
        <v>181116</v>
      </c>
      <c r="I2106" s="27">
        <f>일위대가목록!H236</f>
        <v>34194</v>
      </c>
      <c r="J2106" s="28">
        <f>TRUNC(I2106*C2106,1)</f>
        <v>553942.80000000005</v>
      </c>
      <c r="K2106" s="27">
        <f>일위대가목록!J236</f>
        <v>341</v>
      </c>
      <c r="L2106" s="28">
        <f>TRUNC(K2106*C2106,1)</f>
        <v>5524.2</v>
      </c>
      <c r="M2106" s="86" t="s">
        <v>2856</v>
      </c>
      <c r="N2106" t="s">
        <v>2856</v>
      </c>
      <c r="P2106" t="s">
        <v>1036</v>
      </c>
      <c r="Q2106" t="s">
        <v>2856</v>
      </c>
      <c r="R2106" t="s">
        <v>1998</v>
      </c>
      <c r="T2106" t="s">
        <v>1778</v>
      </c>
    </row>
    <row r="2107" spans="1:30" ht="18" customHeight="1" x14ac:dyDescent="0.15">
      <c r="A2107" s="2" t="s">
        <v>1632</v>
      </c>
      <c r="B2107" s="87" t="s">
        <v>2279</v>
      </c>
      <c r="C2107" s="2">
        <v>1.24</v>
      </c>
      <c r="D2107" s="2" t="s">
        <v>2825</v>
      </c>
      <c r="E2107" s="27">
        <f t="shared" si="383"/>
        <v>0</v>
      </c>
      <c r="F2107" s="28">
        <f t="shared" si="382"/>
        <v>0</v>
      </c>
      <c r="G2107" s="27">
        <f>[321]자재조서!E1833</f>
        <v>0</v>
      </c>
      <c r="H2107" s="28">
        <f t="shared" si="384"/>
        <v>0</v>
      </c>
      <c r="I2107" s="27">
        <v>0</v>
      </c>
      <c r="J2107" s="28"/>
      <c r="K2107" s="27">
        <v>0</v>
      </c>
      <c r="L2107" s="28"/>
      <c r="M2107" s="86" t="s">
        <v>1601</v>
      </c>
      <c r="N2107" t="s">
        <v>2856</v>
      </c>
      <c r="P2107" t="s">
        <v>286</v>
      </c>
      <c r="Q2107" t="s">
        <v>1839</v>
      </c>
      <c r="R2107" t="s">
        <v>2547</v>
      </c>
    </row>
    <row r="2108" spans="1:30" ht="18" customHeight="1" x14ac:dyDescent="0.15">
      <c r="A2108" s="2" t="s">
        <v>54</v>
      </c>
      <c r="B2108" s="87" t="s">
        <v>1255</v>
      </c>
      <c r="C2108" s="2">
        <v>1.22</v>
      </c>
      <c r="D2108" s="2" t="s">
        <v>2825</v>
      </c>
      <c r="E2108" s="27">
        <f t="shared" si="383"/>
        <v>55166</v>
      </c>
      <c r="F2108" s="28">
        <f t="shared" si="382"/>
        <v>67302.3</v>
      </c>
      <c r="G2108" s="27">
        <f>일위대가목록!F235</f>
        <v>2538</v>
      </c>
      <c r="H2108" s="28">
        <f t="shared" si="384"/>
        <v>3096.3</v>
      </c>
      <c r="I2108" s="27">
        <f>일위대가목록!H235</f>
        <v>22449</v>
      </c>
      <c r="J2108" s="28">
        <f>TRUNC(I2108*C2108,1)</f>
        <v>27387.7</v>
      </c>
      <c r="K2108" s="27">
        <f>일위대가목록!J235</f>
        <v>30179</v>
      </c>
      <c r="L2108" s="28">
        <f>TRUNC(K2108*C2108,1)</f>
        <v>36818.300000000003</v>
      </c>
      <c r="M2108" s="86" t="s">
        <v>2856</v>
      </c>
      <c r="N2108" t="s">
        <v>2856</v>
      </c>
      <c r="P2108" t="s">
        <v>2428</v>
      </c>
      <c r="Q2108" t="s">
        <v>2856</v>
      </c>
      <c r="R2108" t="s">
        <v>668</v>
      </c>
      <c r="T2108" t="s">
        <v>1778</v>
      </c>
    </row>
    <row r="2109" spans="1:30" ht="18" customHeight="1" x14ac:dyDescent="0.15">
      <c r="A2109" s="2" t="s">
        <v>485</v>
      </c>
      <c r="B2109" s="87" t="s">
        <v>1172</v>
      </c>
      <c r="C2109" s="2">
        <v>141.31299999999999</v>
      </c>
      <c r="D2109" s="2" t="s">
        <v>1674</v>
      </c>
      <c r="E2109" s="27">
        <f t="shared" si="383"/>
        <v>1210</v>
      </c>
      <c r="F2109" s="28">
        <f t="shared" si="382"/>
        <v>170988.7</v>
      </c>
      <c r="G2109" s="27">
        <f>자재조서!E76</f>
        <v>1210</v>
      </c>
      <c r="H2109" s="28">
        <f t="shared" si="384"/>
        <v>170988.7</v>
      </c>
      <c r="I2109" s="27">
        <v>0</v>
      </c>
      <c r="J2109" s="28"/>
      <c r="K2109" s="27">
        <v>0</v>
      </c>
      <c r="L2109" s="28"/>
      <c r="M2109" s="86" t="s">
        <v>2856</v>
      </c>
      <c r="N2109" t="s">
        <v>2856</v>
      </c>
      <c r="P2109" t="s">
        <v>1686</v>
      </c>
      <c r="Q2109" t="s">
        <v>2856</v>
      </c>
      <c r="R2109" t="s">
        <v>1687</v>
      </c>
    </row>
    <row r="2110" spans="1:30" ht="18" customHeight="1" x14ac:dyDescent="0.15">
      <c r="A2110" s="2" t="s">
        <v>1877</v>
      </c>
      <c r="B2110" s="87" t="s">
        <v>2492</v>
      </c>
      <c r="C2110" s="2">
        <v>3.8879999999999999</v>
      </c>
      <c r="D2110" s="2" t="s">
        <v>1202</v>
      </c>
      <c r="E2110" s="27">
        <f t="shared" si="383"/>
        <v>10589</v>
      </c>
      <c r="F2110" s="28">
        <f t="shared" si="382"/>
        <v>41170</v>
      </c>
      <c r="G2110" s="27">
        <f>일위대가목록!F252</f>
        <v>1881</v>
      </c>
      <c r="H2110" s="28">
        <f t="shared" si="384"/>
        <v>7313.3</v>
      </c>
      <c r="I2110" s="27">
        <f>일위대가목록!H252</f>
        <v>8708</v>
      </c>
      <c r="J2110" s="28">
        <f>TRUNC(I2110*C2110,1)</f>
        <v>33856.699999999997</v>
      </c>
      <c r="K2110" s="27">
        <f>일위대가목록!J252</f>
        <v>0</v>
      </c>
      <c r="L2110" s="28">
        <f>TRUNC(K2110*C2110,1)</f>
        <v>0</v>
      </c>
      <c r="M2110" s="86" t="s">
        <v>2856</v>
      </c>
      <c r="N2110" t="s">
        <v>2856</v>
      </c>
      <c r="P2110" t="s">
        <v>983</v>
      </c>
      <c r="Q2110" t="s">
        <v>2856</v>
      </c>
      <c r="R2110" t="s">
        <v>799</v>
      </c>
      <c r="T2110" t="s">
        <v>1778</v>
      </c>
    </row>
    <row r="2111" spans="1:30" ht="18" customHeight="1" x14ac:dyDescent="0.15">
      <c r="A2111" s="2" t="s">
        <v>1065</v>
      </c>
      <c r="B2111" s="87" t="s">
        <v>1019</v>
      </c>
      <c r="C2111" s="2">
        <v>189</v>
      </c>
      <c r="D2111" s="2" t="s">
        <v>773</v>
      </c>
      <c r="E2111" s="27">
        <f t="shared" si="383"/>
        <v>990</v>
      </c>
      <c r="F2111" s="28">
        <f t="shared" si="382"/>
        <v>187110</v>
      </c>
      <c r="G2111" s="27">
        <f>자재조서!E75</f>
        <v>990</v>
      </c>
      <c r="H2111" s="28">
        <f t="shared" si="384"/>
        <v>187110</v>
      </c>
      <c r="I2111" s="27">
        <v>0</v>
      </c>
      <c r="J2111" s="28"/>
      <c r="K2111" s="27">
        <v>0</v>
      </c>
      <c r="L2111" s="28"/>
      <c r="M2111" s="86" t="s">
        <v>2856</v>
      </c>
      <c r="N2111" t="s">
        <v>2856</v>
      </c>
      <c r="P2111" t="s">
        <v>248</v>
      </c>
      <c r="Q2111" t="s">
        <v>2856</v>
      </c>
      <c r="R2111" t="s">
        <v>141</v>
      </c>
    </row>
    <row r="2112" spans="1:30" ht="18" customHeight="1" x14ac:dyDescent="0.15">
      <c r="A2112" s="2" t="s">
        <v>331</v>
      </c>
      <c r="B2112" s="87" t="s">
        <v>33</v>
      </c>
      <c r="C2112" s="2">
        <v>137.76</v>
      </c>
      <c r="D2112" s="2" t="s">
        <v>1670</v>
      </c>
      <c r="E2112" s="27">
        <f t="shared" si="383"/>
        <v>9550</v>
      </c>
      <c r="F2112" s="28">
        <f t="shared" si="382"/>
        <v>1315608</v>
      </c>
      <c r="G2112" s="27">
        <f>자재조서!E51</f>
        <v>9550</v>
      </c>
      <c r="H2112" s="28">
        <f t="shared" si="384"/>
        <v>1315608</v>
      </c>
      <c r="I2112" s="27">
        <v>0</v>
      </c>
      <c r="J2112" s="28"/>
      <c r="K2112" s="27">
        <v>0</v>
      </c>
      <c r="L2112" s="28"/>
      <c r="M2112" s="86" t="s">
        <v>2856</v>
      </c>
      <c r="N2112" t="s">
        <v>2856</v>
      </c>
      <c r="P2112" t="s">
        <v>241</v>
      </c>
      <c r="Q2112" t="s">
        <v>2856</v>
      </c>
      <c r="R2112" t="s">
        <v>587</v>
      </c>
    </row>
    <row r="2113" spans="1:30" ht="18" customHeight="1" x14ac:dyDescent="0.15">
      <c r="A2113" s="2" t="s">
        <v>331</v>
      </c>
      <c r="B2113" s="87" t="s">
        <v>850</v>
      </c>
      <c r="C2113" s="2">
        <v>211.89</v>
      </c>
      <c r="D2113" s="2" t="s">
        <v>1670</v>
      </c>
      <c r="E2113" s="27">
        <f t="shared" si="383"/>
        <v>4610</v>
      </c>
      <c r="F2113" s="28">
        <f t="shared" si="382"/>
        <v>976812.9</v>
      </c>
      <c r="G2113" s="27">
        <f>자재조서!E52</f>
        <v>4610</v>
      </c>
      <c r="H2113" s="28">
        <f t="shared" si="384"/>
        <v>976812.9</v>
      </c>
      <c r="I2113" s="27">
        <v>0</v>
      </c>
      <c r="J2113" s="28"/>
      <c r="K2113" s="27">
        <v>0</v>
      </c>
      <c r="L2113" s="28"/>
      <c r="M2113" s="86" t="s">
        <v>2856</v>
      </c>
      <c r="N2113" t="s">
        <v>2856</v>
      </c>
      <c r="P2113" t="s">
        <v>954</v>
      </c>
      <c r="Q2113" t="s">
        <v>2856</v>
      </c>
      <c r="R2113" t="s">
        <v>1596</v>
      </c>
    </row>
    <row r="2114" spans="1:30" ht="18" customHeight="1" x14ac:dyDescent="0.15">
      <c r="A2114" s="2" t="s">
        <v>567</v>
      </c>
      <c r="B2114" s="87" t="s">
        <v>708</v>
      </c>
      <c r="C2114" s="2">
        <v>1.714</v>
      </c>
      <c r="D2114" s="2" t="s">
        <v>978</v>
      </c>
      <c r="E2114" s="27">
        <f t="shared" si="383"/>
        <v>1613956</v>
      </c>
      <c r="F2114" s="28">
        <f t="shared" si="382"/>
        <v>2766320.5</v>
      </c>
      <c r="G2114" s="27">
        <f>일위대가목록!F253</f>
        <v>0</v>
      </c>
      <c r="H2114" s="28">
        <f t="shared" si="384"/>
        <v>0</v>
      </c>
      <c r="I2114" s="27">
        <f>일위대가목록!H253</f>
        <v>1567947</v>
      </c>
      <c r="J2114" s="28">
        <f>TRUNC(I2114*C2114,1)</f>
        <v>2687461.1</v>
      </c>
      <c r="K2114" s="27">
        <f>일위대가목록!J253</f>
        <v>46009</v>
      </c>
      <c r="L2114" s="28">
        <f>TRUNC(K2114*C2114,1)</f>
        <v>78859.399999999994</v>
      </c>
      <c r="M2114" s="86" t="s">
        <v>2856</v>
      </c>
      <c r="N2114" t="s">
        <v>2856</v>
      </c>
      <c r="P2114" t="s">
        <v>1677</v>
      </c>
      <c r="Q2114" t="s">
        <v>2856</v>
      </c>
      <c r="R2114" t="s">
        <v>614</v>
      </c>
      <c r="T2114" t="s">
        <v>1778</v>
      </c>
    </row>
    <row r="2115" spans="1:30" ht="18" customHeight="1" x14ac:dyDescent="0.15">
      <c r="A2115" s="2" t="s">
        <v>1470</v>
      </c>
      <c r="B2115" s="87" t="s">
        <v>1226</v>
      </c>
      <c r="C2115" s="2">
        <v>98.82</v>
      </c>
      <c r="D2115" s="2" t="s">
        <v>1202</v>
      </c>
      <c r="E2115" s="27">
        <f t="shared" si="383"/>
        <v>66000</v>
      </c>
      <c r="F2115" s="28">
        <f t="shared" si="382"/>
        <v>6522120</v>
      </c>
      <c r="G2115" s="27">
        <f>자재조서!E56</f>
        <v>66000</v>
      </c>
      <c r="H2115" s="28">
        <f t="shared" si="384"/>
        <v>6522120</v>
      </c>
      <c r="I2115" s="27">
        <v>0</v>
      </c>
      <c r="J2115" s="28"/>
      <c r="K2115" s="27">
        <v>0</v>
      </c>
      <c r="L2115" s="28"/>
      <c r="M2115" s="86" t="s">
        <v>1601</v>
      </c>
      <c r="N2115" t="s">
        <v>2856</v>
      </c>
      <c r="P2115" t="s">
        <v>2389</v>
      </c>
      <c r="Q2115" t="s">
        <v>1839</v>
      </c>
      <c r="R2115" t="s">
        <v>936</v>
      </c>
      <c r="W2115" t="s">
        <v>1601</v>
      </c>
    </row>
    <row r="2116" spans="1:30" ht="18" customHeight="1" x14ac:dyDescent="0.15">
      <c r="A2116" s="2" t="s">
        <v>323</v>
      </c>
      <c r="B2116" s="87" t="s">
        <v>503</v>
      </c>
      <c r="C2116" s="2">
        <v>6</v>
      </c>
      <c r="D2116" s="2" t="s">
        <v>588</v>
      </c>
      <c r="E2116" s="27">
        <f t="shared" si="383"/>
        <v>0</v>
      </c>
      <c r="F2116" s="28">
        <f t="shared" si="382"/>
        <v>391327.2</v>
      </c>
      <c r="G2116" s="1"/>
      <c r="H2116" s="28">
        <f>TRUNC((H2115*0.06),1)</f>
        <v>391327.2</v>
      </c>
      <c r="I2116" s="1"/>
      <c r="J2116" s="28">
        <v>0</v>
      </c>
      <c r="K2116" s="1"/>
      <c r="L2116" s="28">
        <v>0</v>
      </c>
      <c r="M2116" s="86" t="s">
        <v>2856</v>
      </c>
      <c r="N2116" t="s">
        <v>2856</v>
      </c>
      <c r="P2116" t="s">
        <v>1769</v>
      </c>
      <c r="Q2116" t="s">
        <v>2856</v>
      </c>
      <c r="R2116" t="s">
        <v>2405</v>
      </c>
      <c r="X2116" t="s">
        <v>3125</v>
      </c>
      <c r="AA2116" s="83" t="s">
        <v>2127</v>
      </c>
      <c r="AB2116" s="72">
        <f>[321]일위대가_호표!H2070*0.06</f>
        <v>0</v>
      </c>
      <c r="AC2116" s="83" t="s">
        <v>2369</v>
      </c>
      <c r="AD2116" s="73">
        <f>$AB2115</f>
        <v>0</v>
      </c>
    </row>
    <row r="2117" spans="1:30" ht="18" customHeight="1" x14ac:dyDescent="0.15">
      <c r="A2117" s="2" t="s">
        <v>982</v>
      </c>
      <c r="B2117" s="87" t="s">
        <v>2232</v>
      </c>
      <c r="C2117" s="2">
        <v>89.84</v>
      </c>
      <c r="D2117" s="2" t="s">
        <v>1202</v>
      </c>
      <c r="E2117" s="27">
        <f t="shared" si="383"/>
        <v>55826</v>
      </c>
      <c r="F2117" s="28">
        <f t="shared" si="382"/>
        <v>5015407.8</v>
      </c>
      <c r="G2117" s="27">
        <f>일위대가목록!F254</f>
        <v>0</v>
      </c>
      <c r="H2117" s="28">
        <f t="shared" ref="H2117:H2122" si="385">TRUNC(G2117*C2117,1)</f>
        <v>0</v>
      </c>
      <c r="I2117" s="27">
        <f>일위대가목록!H254</f>
        <v>55826</v>
      </c>
      <c r="J2117" s="28">
        <f>TRUNC(I2117*C2117,1)</f>
        <v>5015407.8</v>
      </c>
      <c r="K2117" s="27">
        <f>일위대가목록!J254</f>
        <v>0</v>
      </c>
      <c r="L2117" s="28">
        <f>TRUNC(K2117*C2117,1)</f>
        <v>0</v>
      </c>
      <c r="M2117" s="86" t="s">
        <v>2856</v>
      </c>
      <c r="N2117" t="s">
        <v>2856</v>
      </c>
      <c r="P2117" t="s">
        <v>904</v>
      </c>
      <c r="Q2117" t="s">
        <v>2856</v>
      </c>
      <c r="R2117" t="s">
        <v>1522</v>
      </c>
      <c r="T2117" t="s">
        <v>1778</v>
      </c>
    </row>
    <row r="2118" spans="1:30" ht="18" customHeight="1" x14ac:dyDescent="0.15">
      <c r="A2118" s="2" t="s">
        <v>1188</v>
      </c>
      <c r="B2118" s="87" t="s">
        <v>2848</v>
      </c>
      <c r="C2118" s="2">
        <v>224.59</v>
      </c>
      <c r="D2118" s="2" t="s">
        <v>1202</v>
      </c>
      <c r="E2118" s="27">
        <f t="shared" si="383"/>
        <v>12165</v>
      </c>
      <c r="F2118" s="28">
        <f t="shared" si="382"/>
        <v>2732137.1999999997</v>
      </c>
      <c r="G2118" s="27">
        <f>일위대가목록!F255</f>
        <v>1188</v>
      </c>
      <c r="H2118" s="28">
        <f t="shared" si="385"/>
        <v>266812.90000000002</v>
      </c>
      <c r="I2118" s="27">
        <f>일위대가목록!H255</f>
        <v>10762</v>
      </c>
      <c r="J2118" s="28">
        <f>TRUNC(I2118*C2118,1)</f>
        <v>2417037.5</v>
      </c>
      <c r="K2118" s="27">
        <f>일위대가목록!J255</f>
        <v>215</v>
      </c>
      <c r="L2118" s="28">
        <f>TRUNC(K2118*C2118,1)</f>
        <v>48286.8</v>
      </c>
      <c r="M2118" s="86" t="s">
        <v>2856</v>
      </c>
      <c r="N2118" t="s">
        <v>2856</v>
      </c>
      <c r="P2118" t="s">
        <v>1640</v>
      </c>
      <c r="Q2118" t="s">
        <v>2856</v>
      </c>
      <c r="R2118" t="s">
        <v>1058</v>
      </c>
      <c r="T2118" t="s">
        <v>1778</v>
      </c>
    </row>
    <row r="2119" spans="1:30" ht="18" customHeight="1" x14ac:dyDescent="0.15">
      <c r="A2119" s="2" t="s">
        <v>3118</v>
      </c>
      <c r="B2119" s="87" t="s">
        <v>3119</v>
      </c>
      <c r="C2119" s="2">
        <v>22</v>
      </c>
      <c r="D2119" s="2" t="s">
        <v>1160</v>
      </c>
      <c r="E2119" s="27">
        <f t="shared" si="383"/>
        <v>0</v>
      </c>
      <c r="F2119" s="28">
        <f t="shared" si="382"/>
        <v>0</v>
      </c>
      <c r="G2119" s="27">
        <f>[321]자재조서!E1829</f>
        <v>0</v>
      </c>
      <c r="H2119" s="28">
        <f t="shared" si="385"/>
        <v>0</v>
      </c>
      <c r="I2119" s="27">
        <v>0</v>
      </c>
      <c r="J2119" s="28"/>
      <c r="K2119" s="27">
        <v>0</v>
      </c>
      <c r="L2119" s="28"/>
      <c r="M2119" s="86" t="s">
        <v>1601</v>
      </c>
      <c r="N2119" t="s">
        <v>2856</v>
      </c>
      <c r="P2119" t="s">
        <v>2340</v>
      </c>
      <c r="Q2119" t="s">
        <v>1839</v>
      </c>
      <c r="R2119" t="s">
        <v>3120</v>
      </c>
    </row>
    <row r="2120" spans="1:30" ht="18" customHeight="1" x14ac:dyDescent="0.15">
      <c r="A2120" s="2" t="s">
        <v>3121</v>
      </c>
      <c r="B2120" s="87" t="s">
        <v>3119</v>
      </c>
      <c r="C2120" s="2">
        <v>22</v>
      </c>
      <c r="D2120" s="2" t="s">
        <v>1160</v>
      </c>
      <c r="E2120" s="27">
        <f t="shared" si="383"/>
        <v>47118</v>
      </c>
      <c r="F2120" s="28">
        <f t="shared" si="382"/>
        <v>1036596</v>
      </c>
      <c r="G2120" s="27">
        <f>일위대가목록!F284</f>
        <v>3042</v>
      </c>
      <c r="H2120" s="28">
        <f t="shared" si="385"/>
        <v>66924</v>
      </c>
      <c r="I2120" s="27">
        <f>일위대가목록!H284</f>
        <v>43636</v>
      </c>
      <c r="J2120" s="28">
        <f>TRUNC(I2120*C2120,1)</f>
        <v>959992</v>
      </c>
      <c r="K2120" s="27">
        <f>일위대가목록!J284</f>
        <v>440</v>
      </c>
      <c r="L2120" s="28">
        <f>TRUNC(K2120*C2120,1)</f>
        <v>9680</v>
      </c>
      <c r="M2120" s="86" t="s">
        <v>2856</v>
      </c>
      <c r="N2120" t="s">
        <v>2856</v>
      </c>
      <c r="P2120" t="s">
        <v>317</v>
      </c>
      <c r="Q2120" t="s">
        <v>2856</v>
      </c>
      <c r="R2120" t="s">
        <v>3122</v>
      </c>
      <c r="T2120" t="s">
        <v>1778</v>
      </c>
    </row>
    <row r="2121" spans="1:30" ht="18" customHeight="1" x14ac:dyDescent="0.15">
      <c r="A2121" s="2" t="s">
        <v>3126</v>
      </c>
      <c r="B2121" s="87" t="s">
        <v>3127</v>
      </c>
      <c r="C2121" s="2">
        <v>2</v>
      </c>
      <c r="D2121" s="2" t="s">
        <v>1796</v>
      </c>
      <c r="E2121" s="27">
        <f t="shared" si="383"/>
        <v>0</v>
      </c>
      <c r="F2121" s="28">
        <f t="shared" si="382"/>
        <v>0</v>
      </c>
      <c r="G2121" s="27">
        <f>[321]자재조서!E1830</f>
        <v>0</v>
      </c>
      <c r="H2121" s="28">
        <f t="shared" si="385"/>
        <v>0</v>
      </c>
      <c r="I2121" s="27">
        <v>0</v>
      </c>
      <c r="J2121" s="28"/>
      <c r="K2121" s="27">
        <v>0</v>
      </c>
      <c r="L2121" s="28"/>
      <c r="M2121" s="86" t="s">
        <v>1601</v>
      </c>
      <c r="N2121" t="s">
        <v>2856</v>
      </c>
      <c r="P2121" t="s">
        <v>1045</v>
      </c>
      <c r="Q2121" t="s">
        <v>1839</v>
      </c>
      <c r="R2121" t="s">
        <v>3128</v>
      </c>
    </row>
    <row r="2122" spans="1:30" ht="18" customHeight="1" x14ac:dyDescent="0.15">
      <c r="A2122" s="2" t="s">
        <v>3129</v>
      </c>
      <c r="B2122" s="87" t="s">
        <v>3127</v>
      </c>
      <c r="C2122" s="2">
        <v>2</v>
      </c>
      <c r="D2122" s="2" t="s">
        <v>773</v>
      </c>
      <c r="E2122" s="27">
        <f t="shared" si="383"/>
        <v>32885</v>
      </c>
      <c r="F2122" s="28">
        <f t="shared" si="382"/>
        <v>65770</v>
      </c>
      <c r="G2122" s="27">
        <f>일위대가목록!F285</f>
        <v>1652</v>
      </c>
      <c r="H2122" s="28">
        <f t="shared" si="385"/>
        <v>3304</v>
      </c>
      <c r="I2122" s="27">
        <f>일위대가목록!H285</f>
        <v>31045</v>
      </c>
      <c r="J2122" s="28">
        <f>TRUNC(I2122*C2122,1)</f>
        <v>62090</v>
      </c>
      <c r="K2122" s="27">
        <f>일위대가목록!J285</f>
        <v>188</v>
      </c>
      <c r="L2122" s="28">
        <f>TRUNC(K2122*C2122,1)</f>
        <v>376</v>
      </c>
      <c r="M2122" s="86" t="s">
        <v>2856</v>
      </c>
      <c r="N2122" t="s">
        <v>2856</v>
      </c>
      <c r="P2122" t="s">
        <v>847</v>
      </c>
      <c r="Q2122" t="s">
        <v>2856</v>
      </c>
      <c r="R2122" t="s">
        <v>3130</v>
      </c>
      <c r="T2122" t="s">
        <v>1778</v>
      </c>
    </row>
    <row r="2123" spans="1:30" ht="18.399999999999999" customHeight="1" x14ac:dyDescent="0.15">
      <c r="A2123" s="66" t="s">
        <v>3046</v>
      </c>
      <c r="B2123" s="175" t="s">
        <v>3245</v>
      </c>
      <c r="C2123" s="63"/>
      <c r="D2123" s="63"/>
      <c r="E2123" s="64"/>
      <c r="F2123" s="65">
        <f t="shared" si="382"/>
        <v>13940815</v>
      </c>
      <c r="G2123" s="66"/>
      <c r="H2123" s="65">
        <f>TRUNC(H2102*$B$2123)</f>
        <v>3116792</v>
      </c>
      <c r="I2123" s="66"/>
      <c r="J2123" s="65">
        <f>TRUNC(J2102*$B$2123)</f>
        <v>10667291</v>
      </c>
      <c r="K2123" s="66"/>
      <c r="L2123" s="65">
        <f>TRUNC(L2102*$B$2123)</f>
        <v>156732</v>
      </c>
      <c r="M2123" s="186"/>
      <c r="AA2123" s="42"/>
      <c r="AB2123" s="8"/>
      <c r="AC2123" s="42"/>
      <c r="AD2123" s="7"/>
    </row>
    <row r="2124" spans="1:30" ht="18.399999999999999" customHeight="1" x14ac:dyDescent="0.15">
      <c r="A2124" s="173"/>
      <c r="B2124" s="180"/>
      <c r="C2124" s="173"/>
      <c r="D2124" s="173"/>
      <c r="E2124" s="173"/>
      <c r="F2124" s="173"/>
      <c r="G2124" s="173"/>
      <c r="H2124" s="173"/>
      <c r="I2124" s="173"/>
      <c r="J2124" s="173"/>
      <c r="K2124" s="173"/>
      <c r="L2124" s="173"/>
      <c r="M2124" s="188"/>
    </row>
    <row r="2125" spans="1:30" ht="18" hidden="1" customHeight="1" x14ac:dyDescent="0.15">
      <c r="A2125" s="69" t="s">
        <v>3135</v>
      </c>
      <c r="B2125" s="174" t="s">
        <v>3119</v>
      </c>
      <c r="C2125" s="69">
        <v>1</v>
      </c>
      <c r="D2125" s="69" t="s">
        <v>1160</v>
      </c>
      <c r="E2125" s="185"/>
      <c r="F2125" s="70">
        <f>H2125+J2125+L2125</f>
        <v>47118</v>
      </c>
      <c r="G2125" s="185"/>
      <c r="H2125" s="70">
        <f>TRUNC(H2126+H2127+H2128+H2129,0)</f>
        <v>3042</v>
      </c>
      <c r="I2125" s="185"/>
      <c r="J2125" s="70">
        <f>TRUNC(J2126+J2127+J2128+J2129,0)</f>
        <v>43636</v>
      </c>
      <c r="K2125" s="185"/>
      <c r="L2125" s="70">
        <f>TRUNC(L2126+L2127+L2128+L2129,0)</f>
        <v>440</v>
      </c>
      <c r="M2125" s="181" t="s">
        <v>2856</v>
      </c>
      <c r="N2125" t="s">
        <v>2856</v>
      </c>
      <c r="O2125" t="s">
        <v>3122</v>
      </c>
    </row>
    <row r="2126" spans="1:30" ht="18" hidden="1" customHeight="1" x14ac:dyDescent="0.15">
      <c r="A2126" s="2" t="s">
        <v>331</v>
      </c>
      <c r="B2126" s="87" t="s">
        <v>850</v>
      </c>
      <c r="C2126" s="2">
        <v>0.16</v>
      </c>
      <c r="D2126" s="2" t="s">
        <v>1670</v>
      </c>
      <c r="E2126" s="27">
        <f>G2126+I2126+K2126</f>
        <v>4610</v>
      </c>
      <c r="F2126" s="28">
        <f>H2126+J2126+L2126</f>
        <v>737.6</v>
      </c>
      <c r="G2126" s="27">
        <f>자재조서!E52</f>
        <v>4610</v>
      </c>
      <c r="H2126" s="28">
        <f>TRUNC(G2126*C2126,1)</f>
        <v>737.6</v>
      </c>
      <c r="I2126" s="27"/>
      <c r="J2126" s="28"/>
      <c r="K2126" s="27"/>
      <c r="L2126" s="28"/>
      <c r="M2126" s="86" t="s">
        <v>2856</v>
      </c>
      <c r="N2126" t="s">
        <v>2856</v>
      </c>
      <c r="P2126" t="s">
        <v>334</v>
      </c>
      <c r="Q2126" t="s">
        <v>2856</v>
      </c>
      <c r="R2126" t="s">
        <v>1596</v>
      </c>
    </row>
    <row r="2127" spans="1:30" ht="18" hidden="1" customHeight="1" x14ac:dyDescent="0.15">
      <c r="A2127" s="2" t="s">
        <v>567</v>
      </c>
      <c r="B2127" s="87" t="s">
        <v>964</v>
      </c>
      <c r="C2127" s="2">
        <v>5.0000000000000001E-4</v>
      </c>
      <c r="D2127" s="2" t="s">
        <v>978</v>
      </c>
      <c r="E2127" s="27">
        <f>G2127+I2127+K2127</f>
        <v>1613956</v>
      </c>
      <c r="F2127" s="28">
        <f>H2127+J2127+L2127</f>
        <v>806.9</v>
      </c>
      <c r="G2127" s="27">
        <f>일위대가목록!F253</f>
        <v>0</v>
      </c>
      <c r="H2127" s="28">
        <f>TRUNC(G2127*C2127,1)</f>
        <v>0</v>
      </c>
      <c r="I2127" s="27">
        <f>일위대가목록!H253</f>
        <v>1567947</v>
      </c>
      <c r="J2127" s="28">
        <f>TRUNC(I2127*C2127,1)</f>
        <v>783.9</v>
      </c>
      <c r="K2127" s="27">
        <f>일위대가목록!J253</f>
        <v>46009</v>
      </c>
      <c r="L2127" s="28">
        <f>TRUNC(K2127*C2127,1)</f>
        <v>23</v>
      </c>
      <c r="M2127" s="86" t="s">
        <v>2856</v>
      </c>
      <c r="N2127" t="s">
        <v>2856</v>
      </c>
      <c r="P2127" t="s">
        <v>1616</v>
      </c>
      <c r="Q2127" t="s">
        <v>2856</v>
      </c>
      <c r="R2127" t="s">
        <v>614</v>
      </c>
      <c r="T2127" t="s">
        <v>1778</v>
      </c>
    </row>
    <row r="2128" spans="1:30" ht="18" hidden="1" customHeight="1" x14ac:dyDescent="0.15">
      <c r="A2128" s="2" t="s">
        <v>689</v>
      </c>
      <c r="B2128" s="87" t="s">
        <v>196</v>
      </c>
      <c r="C2128" s="2">
        <v>2.4E-2</v>
      </c>
      <c r="D2128" s="2" t="s">
        <v>2825</v>
      </c>
      <c r="E2128" s="27">
        <f>G2128+I2128+K2128</f>
        <v>915612</v>
      </c>
      <c r="F2128" s="28">
        <f>H2128+J2128+L2128</f>
        <v>21974.6</v>
      </c>
      <c r="G2128" s="27">
        <f>일위대가목록!F246</f>
        <v>0</v>
      </c>
      <c r="H2128" s="28">
        <f>TRUNC(G2128*C2128,1)</f>
        <v>0</v>
      </c>
      <c r="I2128" s="27">
        <f>일위대가목록!H246</f>
        <v>915612</v>
      </c>
      <c r="J2128" s="28">
        <f>TRUNC(I2128*C2128,1)</f>
        <v>21974.6</v>
      </c>
      <c r="K2128" s="27">
        <f>일위대가목록!J246</f>
        <v>0</v>
      </c>
      <c r="L2128" s="28">
        <f>TRUNC(K2128*C2128,1)</f>
        <v>0</v>
      </c>
      <c r="M2128" s="86" t="s">
        <v>2856</v>
      </c>
      <c r="N2128" t="s">
        <v>2856</v>
      </c>
      <c r="P2128" t="s">
        <v>2471</v>
      </c>
      <c r="Q2128" t="s">
        <v>2856</v>
      </c>
      <c r="R2128" t="s">
        <v>630</v>
      </c>
      <c r="T2128" t="s">
        <v>1778</v>
      </c>
    </row>
    <row r="2129" spans="1:20" ht="18" hidden="1" customHeight="1" x14ac:dyDescent="0.15">
      <c r="A2129" s="2" t="s">
        <v>1188</v>
      </c>
      <c r="B2129" s="87" t="s">
        <v>2848</v>
      </c>
      <c r="C2129" s="2">
        <v>1.94</v>
      </c>
      <c r="D2129" s="2" t="s">
        <v>1202</v>
      </c>
      <c r="E2129" s="27">
        <f>G2129+I2129+K2129</f>
        <v>12165</v>
      </c>
      <c r="F2129" s="28">
        <f>H2129+J2129+L2129</f>
        <v>23600</v>
      </c>
      <c r="G2129" s="27">
        <f>일위대가목록!F255</f>
        <v>1188</v>
      </c>
      <c r="H2129" s="28">
        <f>TRUNC(G2129*C2129,1)</f>
        <v>2304.6999999999998</v>
      </c>
      <c r="I2129" s="27">
        <f>일위대가목록!H255</f>
        <v>10762</v>
      </c>
      <c r="J2129" s="28">
        <f>TRUNC(I2129*C2129,1)</f>
        <v>20878.2</v>
      </c>
      <c r="K2129" s="27">
        <f>일위대가목록!J255</f>
        <v>215</v>
      </c>
      <c r="L2129" s="28">
        <f>TRUNC(K2129*C2129,1)</f>
        <v>417.1</v>
      </c>
      <c r="M2129" s="86" t="s">
        <v>2856</v>
      </c>
      <c r="N2129" t="s">
        <v>2856</v>
      </c>
      <c r="P2129" t="s">
        <v>1036</v>
      </c>
      <c r="Q2129" t="s">
        <v>2856</v>
      </c>
      <c r="R2129" t="s">
        <v>1058</v>
      </c>
      <c r="T2129" t="s">
        <v>1778</v>
      </c>
    </row>
    <row r="2130" spans="1:20" ht="18" hidden="1" customHeight="1" x14ac:dyDescent="0.15">
      <c r="A2130" s="1"/>
      <c r="B2130" s="87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87"/>
    </row>
    <row r="2131" spans="1:20" ht="18" hidden="1" customHeight="1" x14ac:dyDescent="0.15">
      <c r="A2131" s="69" t="s">
        <v>3136</v>
      </c>
      <c r="B2131" s="174" t="s">
        <v>3127</v>
      </c>
      <c r="C2131" s="69">
        <v>1</v>
      </c>
      <c r="D2131" s="69" t="s">
        <v>773</v>
      </c>
      <c r="E2131" s="185"/>
      <c r="F2131" s="70">
        <f>H2131+J2131+L2131</f>
        <v>32885</v>
      </c>
      <c r="G2131" s="185"/>
      <c r="H2131" s="70">
        <f>TRUNC(H2132+H2133+H2134+H2135,0)</f>
        <v>1652</v>
      </c>
      <c r="I2131" s="185"/>
      <c r="J2131" s="70">
        <f>TRUNC(J2132+J2133+J2134+J2135,0)</f>
        <v>31045</v>
      </c>
      <c r="K2131" s="185"/>
      <c r="L2131" s="70">
        <f>TRUNC(L2132+L2133+L2134+L2135,0)</f>
        <v>188</v>
      </c>
      <c r="M2131" s="181" t="s">
        <v>2856</v>
      </c>
      <c r="N2131" t="s">
        <v>2856</v>
      </c>
      <c r="O2131" t="s">
        <v>3130</v>
      </c>
    </row>
    <row r="2132" spans="1:20" ht="18" hidden="1" customHeight="1" x14ac:dyDescent="0.15">
      <c r="A2132" s="2" t="s">
        <v>331</v>
      </c>
      <c r="B2132" s="87" t="s">
        <v>850</v>
      </c>
      <c r="C2132" s="2">
        <v>0.16</v>
      </c>
      <c r="D2132" s="2" t="s">
        <v>1670</v>
      </c>
      <c r="E2132" s="27">
        <f>G2132+I2132+K2132</f>
        <v>4610</v>
      </c>
      <c r="F2132" s="28">
        <f>H2132+J2132+L2132</f>
        <v>737.6</v>
      </c>
      <c r="G2132" s="27">
        <f>자재조서!E52</f>
        <v>4610</v>
      </c>
      <c r="H2132" s="28">
        <f>TRUNC(G2132*C2132,1)</f>
        <v>737.6</v>
      </c>
      <c r="I2132" s="27"/>
      <c r="J2132" s="28"/>
      <c r="K2132" s="27"/>
      <c r="L2132" s="28"/>
      <c r="M2132" s="86" t="s">
        <v>2856</v>
      </c>
      <c r="N2132" t="s">
        <v>2856</v>
      </c>
      <c r="P2132" t="s">
        <v>334</v>
      </c>
      <c r="Q2132" t="s">
        <v>2856</v>
      </c>
      <c r="R2132" t="s">
        <v>1596</v>
      </c>
    </row>
    <row r="2133" spans="1:20" ht="18" hidden="1" customHeight="1" x14ac:dyDescent="0.15">
      <c r="A2133" s="2" t="s">
        <v>567</v>
      </c>
      <c r="B2133" s="87" t="s">
        <v>964</v>
      </c>
      <c r="C2133" s="2">
        <v>5.0000000000000001E-4</v>
      </c>
      <c r="D2133" s="2" t="s">
        <v>978</v>
      </c>
      <c r="E2133" s="27">
        <f>G2133+I2133+K2133</f>
        <v>1613956</v>
      </c>
      <c r="F2133" s="28">
        <f>H2133+J2133+L2133</f>
        <v>806.9</v>
      </c>
      <c r="G2133" s="27">
        <f>일위대가목록!F254</f>
        <v>0</v>
      </c>
      <c r="H2133" s="28">
        <f>TRUNC(G2133*C2133,1)</f>
        <v>0</v>
      </c>
      <c r="I2133" s="27">
        <f>일위대가목록!H253</f>
        <v>1567947</v>
      </c>
      <c r="J2133" s="28">
        <f>TRUNC(I2133*C2133,1)</f>
        <v>783.9</v>
      </c>
      <c r="K2133" s="27">
        <f>일위대가목록!J253</f>
        <v>46009</v>
      </c>
      <c r="L2133" s="28">
        <f>TRUNC(K2133*C2133,1)</f>
        <v>23</v>
      </c>
      <c r="M2133" s="86" t="s">
        <v>2856</v>
      </c>
      <c r="N2133" t="s">
        <v>2856</v>
      </c>
      <c r="P2133" t="s">
        <v>1616</v>
      </c>
      <c r="Q2133" t="s">
        <v>2856</v>
      </c>
      <c r="R2133" t="s">
        <v>614</v>
      </c>
      <c r="T2133" t="s">
        <v>1778</v>
      </c>
    </row>
    <row r="2134" spans="1:20" ht="18" hidden="1" customHeight="1" x14ac:dyDescent="0.15">
      <c r="A2134" s="2" t="s">
        <v>689</v>
      </c>
      <c r="B2134" s="87" t="s">
        <v>196</v>
      </c>
      <c r="C2134" s="2">
        <v>2.4E-2</v>
      </c>
      <c r="D2134" s="2" t="s">
        <v>2825</v>
      </c>
      <c r="E2134" s="27">
        <f>G2134+I2134+K2134</f>
        <v>915612</v>
      </c>
      <c r="F2134" s="28">
        <f>H2134+J2134+L2134</f>
        <v>21974.6</v>
      </c>
      <c r="G2134" s="27">
        <f>일위대가목록!F246</f>
        <v>0</v>
      </c>
      <c r="H2134" s="28">
        <f>TRUNC(G2134*C2134,1)</f>
        <v>0</v>
      </c>
      <c r="I2134" s="27">
        <f>일위대가목록!H246</f>
        <v>915612</v>
      </c>
      <c r="J2134" s="28">
        <f>TRUNC(I2134*C2134,1)</f>
        <v>21974.6</v>
      </c>
      <c r="K2134" s="27">
        <f>일위대가목록!J246</f>
        <v>0</v>
      </c>
      <c r="L2134" s="28">
        <f>TRUNC(K2134*C2134,1)</f>
        <v>0</v>
      </c>
      <c r="M2134" s="86" t="s">
        <v>2856</v>
      </c>
      <c r="N2134" t="s">
        <v>2856</v>
      </c>
      <c r="P2134" t="s">
        <v>2471</v>
      </c>
      <c r="Q2134" t="s">
        <v>2856</v>
      </c>
      <c r="R2134" t="s">
        <v>630</v>
      </c>
      <c r="T2134" t="s">
        <v>1778</v>
      </c>
    </row>
    <row r="2135" spans="1:20" ht="18" hidden="1" customHeight="1" x14ac:dyDescent="0.15">
      <c r="A2135" s="2" t="s">
        <v>1188</v>
      </c>
      <c r="B2135" s="87" t="s">
        <v>2848</v>
      </c>
      <c r="C2135" s="2">
        <v>0.77</v>
      </c>
      <c r="D2135" s="2" t="s">
        <v>1202</v>
      </c>
      <c r="E2135" s="27">
        <f>G2135+I2135+K2135</f>
        <v>12165</v>
      </c>
      <c r="F2135" s="28">
        <f>H2135+J2135+L2135</f>
        <v>9366.9000000000015</v>
      </c>
      <c r="G2135" s="27">
        <f>일위대가목록!F255</f>
        <v>1188</v>
      </c>
      <c r="H2135" s="28">
        <f>TRUNC(G2135*C2135,1)</f>
        <v>914.7</v>
      </c>
      <c r="I2135" s="27">
        <f>일위대가목록!H255</f>
        <v>10762</v>
      </c>
      <c r="J2135" s="28">
        <f>TRUNC(I2135*C2135,1)</f>
        <v>8286.7000000000007</v>
      </c>
      <c r="K2135" s="27">
        <f>일위대가목록!J255</f>
        <v>215</v>
      </c>
      <c r="L2135" s="28">
        <f>TRUNC(K2135*C2135,1)</f>
        <v>165.5</v>
      </c>
      <c r="M2135" s="86" t="s">
        <v>2856</v>
      </c>
      <c r="N2135" t="s">
        <v>2856</v>
      </c>
      <c r="P2135" t="s">
        <v>1036</v>
      </c>
      <c r="Q2135" t="s">
        <v>2856</v>
      </c>
      <c r="R2135" t="s">
        <v>1058</v>
      </c>
      <c r="T2135" t="s">
        <v>1778</v>
      </c>
    </row>
    <row r="2136" spans="1:20" ht="18.399999999999999" hidden="1" customHeight="1" x14ac:dyDescent="0.15">
      <c r="A2136" s="173"/>
      <c r="B2136" s="180"/>
      <c r="C2136" s="173"/>
      <c r="D2136" s="173"/>
      <c r="E2136" s="173"/>
      <c r="F2136" s="173"/>
      <c r="G2136" s="173"/>
      <c r="H2136" s="173"/>
      <c r="I2136" s="173"/>
      <c r="J2136" s="173"/>
      <c r="K2136" s="173"/>
      <c r="L2136" s="173"/>
      <c r="M2136" s="188"/>
    </row>
    <row r="2137" spans="1:20" ht="18" customHeight="1" x14ac:dyDescent="0.15">
      <c r="A2137" s="69" t="s">
        <v>3263</v>
      </c>
      <c r="B2137" s="174" t="s">
        <v>995</v>
      </c>
      <c r="C2137" s="69">
        <v>1</v>
      </c>
      <c r="D2137" s="69" t="s">
        <v>773</v>
      </c>
      <c r="E2137" s="185"/>
      <c r="F2137" s="70">
        <f t="shared" ref="F2137:F2146" si="386">H2137+J2137+L2137</f>
        <v>7142</v>
      </c>
      <c r="G2137" s="185"/>
      <c r="H2137" s="70">
        <f>TRUNC(H2138+H2139+H2140+H2141+H2142+H2143+H2144+H2145,0)</f>
        <v>5462</v>
      </c>
      <c r="I2137" s="185"/>
      <c r="J2137" s="70">
        <f>TRUNC(J2138+J2139+J2140+J2141+J2142+J2143+J2144+J2145,0)</f>
        <v>878</v>
      </c>
      <c r="K2137" s="185"/>
      <c r="L2137" s="70">
        <f>TRUNC(L2138+L2139+L2140+L2141+L2142+L2143+L2144+L2145,0)</f>
        <v>802</v>
      </c>
      <c r="M2137" s="181" t="s">
        <v>2856</v>
      </c>
      <c r="N2137" t="s">
        <v>2856</v>
      </c>
      <c r="O2137" t="s">
        <v>3148</v>
      </c>
    </row>
    <row r="2138" spans="1:20" ht="18" customHeight="1" x14ac:dyDescent="0.15">
      <c r="A2138" s="2" t="s">
        <v>1163</v>
      </c>
      <c r="B2138" s="87" t="s">
        <v>576</v>
      </c>
      <c r="C2138" s="2">
        <v>0.02</v>
      </c>
      <c r="D2138" s="2" t="s">
        <v>2825</v>
      </c>
      <c r="E2138" s="27">
        <f t="shared" ref="E2138:E2145" si="387">G2138+I2138+K2138</f>
        <v>5009</v>
      </c>
      <c r="F2138" s="28">
        <f t="shared" si="386"/>
        <v>100.1</v>
      </c>
      <c r="G2138" s="27">
        <f>일위대가목록!F4</f>
        <v>300</v>
      </c>
      <c r="H2138" s="28">
        <f t="shared" ref="H2138:H2145" si="388">TRUNC(G2138*C2138,1)</f>
        <v>6</v>
      </c>
      <c r="I2138" s="27">
        <f>일위대가목록!H4</f>
        <v>4328</v>
      </c>
      <c r="J2138" s="28">
        <f>TRUNC(I2138*C2138,1)</f>
        <v>86.5</v>
      </c>
      <c r="K2138" s="27">
        <f>일위대가목록!J4</f>
        <v>381</v>
      </c>
      <c r="L2138" s="28">
        <f>TRUNC(K2138*C2138,1)</f>
        <v>7.6</v>
      </c>
      <c r="M2138" s="86" t="s">
        <v>2856</v>
      </c>
      <c r="N2138" t="s">
        <v>2856</v>
      </c>
      <c r="P2138" t="s">
        <v>334</v>
      </c>
      <c r="Q2138" t="s">
        <v>2856</v>
      </c>
      <c r="R2138" t="s">
        <v>69</v>
      </c>
      <c r="T2138" t="s">
        <v>2405</v>
      </c>
    </row>
    <row r="2139" spans="1:20" ht="18" customHeight="1" x14ac:dyDescent="0.15">
      <c r="A2139" s="2" t="s">
        <v>1112</v>
      </c>
      <c r="B2139" s="87" t="s">
        <v>2429</v>
      </c>
      <c r="C2139" s="2">
        <v>0.02</v>
      </c>
      <c r="D2139" s="2" t="s">
        <v>2825</v>
      </c>
      <c r="E2139" s="27">
        <f t="shared" si="387"/>
        <v>1588</v>
      </c>
      <c r="F2139" s="28">
        <f t="shared" si="386"/>
        <v>31.7</v>
      </c>
      <c r="G2139" s="27">
        <f>일위대가목록!F5</f>
        <v>285</v>
      </c>
      <c r="H2139" s="28">
        <f t="shared" si="388"/>
        <v>5.7</v>
      </c>
      <c r="I2139" s="27">
        <f>일위대가목록!H5</f>
        <v>940</v>
      </c>
      <c r="J2139" s="28">
        <f>TRUNC(I2139*C2139,1)</f>
        <v>18.8</v>
      </c>
      <c r="K2139" s="27">
        <f>일위대가목록!J5</f>
        <v>363</v>
      </c>
      <c r="L2139" s="28">
        <f>TRUNC(K2139*C2139,1)</f>
        <v>7.2</v>
      </c>
      <c r="M2139" s="86" t="s">
        <v>2856</v>
      </c>
      <c r="N2139" t="s">
        <v>2856</v>
      </c>
      <c r="P2139" t="s">
        <v>2471</v>
      </c>
      <c r="Q2139" t="s">
        <v>2856</v>
      </c>
      <c r="R2139" t="s">
        <v>1705</v>
      </c>
      <c r="T2139" t="s">
        <v>2405</v>
      </c>
    </row>
    <row r="2140" spans="1:20" ht="18" customHeight="1" x14ac:dyDescent="0.15">
      <c r="A2140" s="2" t="s">
        <v>482</v>
      </c>
      <c r="B2140" s="87" t="s">
        <v>1174</v>
      </c>
      <c r="C2140" s="2">
        <v>0.09</v>
      </c>
      <c r="D2140" s="2" t="s">
        <v>1202</v>
      </c>
      <c r="E2140" s="27">
        <f t="shared" si="387"/>
        <v>412</v>
      </c>
      <c r="F2140" s="28">
        <f t="shared" si="386"/>
        <v>37</v>
      </c>
      <c r="G2140" s="27">
        <f>일위대가목록!F7</f>
        <v>20</v>
      </c>
      <c r="H2140" s="28">
        <f t="shared" si="388"/>
        <v>1.8</v>
      </c>
      <c r="I2140" s="27">
        <f>일위대가목록!H7</f>
        <v>386</v>
      </c>
      <c r="J2140" s="28">
        <f>TRUNC(I2140*C2140,1)</f>
        <v>34.700000000000003</v>
      </c>
      <c r="K2140" s="27">
        <f>일위대가목록!J7</f>
        <v>6</v>
      </c>
      <c r="L2140" s="28">
        <f>TRUNC(K2140*C2140,1)</f>
        <v>0.5</v>
      </c>
      <c r="M2140" s="86" t="s">
        <v>2856</v>
      </c>
      <c r="N2140" t="s">
        <v>2856</v>
      </c>
      <c r="P2140" t="s">
        <v>1741</v>
      </c>
      <c r="Q2140" t="s">
        <v>2856</v>
      </c>
      <c r="R2140" t="s">
        <v>303</v>
      </c>
      <c r="T2140" t="s">
        <v>2405</v>
      </c>
    </row>
    <row r="2141" spans="1:20" ht="18" customHeight="1" x14ac:dyDescent="0.15">
      <c r="A2141" s="2" t="s">
        <v>296</v>
      </c>
      <c r="B2141" s="87" t="s">
        <v>626</v>
      </c>
      <c r="C2141" s="2">
        <v>0.01</v>
      </c>
      <c r="D2141" s="2" t="s">
        <v>2825</v>
      </c>
      <c r="E2141" s="27">
        <f t="shared" si="387"/>
        <v>24000</v>
      </c>
      <c r="F2141" s="28">
        <f t="shared" si="386"/>
        <v>240</v>
      </c>
      <c r="G2141" s="27">
        <f>자재조서!E85</f>
        <v>24000</v>
      </c>
      <c r="H2141" s="28">
        <f t="shared" si="388"/>
        <v>240</v>
      </c>
      <c r="I2141" s="27">
        <v>0</v>
      </c>
      <c r="J2141" s="28"/>
      <c r="K2141" s="27">
        <v>0</v>
      </c>
      <c r="L2141" s="28"/>
      <c r="M2141" s="86" t="s">
        <v>2856</v>
      </c>
      <c r="N2141" t="s">
        <v>2856</v>
      </c>
      <c r="P2141" t="s">
        <v>1036</v>
      </c>
      <c r="Q2141" t="s">
        <v>2856</v>
      </c>
      <c r="R2141" t="s">
        <v>609</v>
      </c>
    </row>
    <row r="2142" spans="1:20" ht="18" customHeight="1" x14ac:dyDescent="0.15">
      <c r="A2142" s="2" t="s">
        <v>467</v>
      </c>
      <c r="B2142" s="87" t="s">
        <v>2010</v>
      </c>
      <c r="C2142" s="2">
        <v>0.01</v>
      </c>
      <c r="D2142" s="2" t="s">
        <v>2825</v>
      </c>
      <c r="E2142" s="27">
        <f t="shared" si="387"/>
        <v>14311</v>
      </c>
      <c r="F2142" s="28">
        <f t="shared" si="386"/>
        <v>143</v>
      </c>
      <c r="G2142" s="27">
        <f>일위대가목록!F239</f>
        <v>1554</v>
      </c>
      <c r="H2142" s="28">
        <f t="shared" si="388"/>
        <v>15.5</v>
      </c>
      <c r="I2142" s="27">
        <f>일위대가목록!H239</f>
        <v>11235</v>
      </c>
      <c r="J2142" s="28">
        <f>TRUNC(I2142*C2142,1)</f>
        <v>112.3</v>
      </c>
      <c r="K2142" s="27">
        <f>일위대가목록!J239</f>
        <v>1522</v>
      </c>
      <c r="L2142" s="28">
        <f>TRUNC(K2142*C2142,1)</f>
        <v>15.2</v>
      </c>
      <c r="M2142" s="86" t="s">
        <v>2856</v>
      </c>
      <c r="N2142" t="s">
        <v>2856</v>
      </c>
      <c r="P2142" t="s">
        <v>286</v>
      </c>
      <c r="Q2142" t="s">
        <v>2856</v>
      </c>
      <c r="R2142" t="s">
        <v>782</v>
      </c>
      <c r="T2142" t="s">
        <v>1778</v>
      </c>
    </row>
    <row r="2143" spans="1:20" ht="18" customHeight="1" x14ac:dyDescent="0.15">
      <c r="A2143" s="2" t="s">
        <v>440</v>
      </c>
      <c r="B2143" s="87" t="s">
        <v>1763</v>
      </c>
      <c r="C2143" s="2">
        <v>4.0000000000000001E-3</v>
      </c>
      <c r="D2143" s="2" t="s">
        <v>2825</v>
      </c>
      <c r="E2143" s="27">
        <f t="shared" si="387"/>
        <v>37000</v>
      </c>
      <c r="F2143" s="28">
        <f t="shared" si="386"/>
        <v>148</v>
      </c>
      <c r="G2143" s="27">
        <f>자재조서!E86</f>
        <v>37000</v>
      </c>
      <c r="H2143" s="28">
        <f t="shared" si="388"/>
        <v>148</v>
      </c>
      <c r="I2143" s="27">
        <v>0</v>
      </c>
      <c r="J2143" s="28"/>
      <c r="K2143" s="27">
        <v>0</v>
      </c>
      <c r="L2143" s="28"/>
      <c r="M2143" s="86" t="s">
        <v>2856</v>
      </c>
      <c r="N2143" t="s">
        <v>2856</v>
      </c>
      <c r="P2143" t="s">
        <v>2428</v>
      </c>
      <c r="Q2143" t="s">
        <v>2856</v>
      </c>
      <c r="R2143" t="s">
        <v>2805</v>
      </c>
    </row>
    <row r="2144" spans="1:20" ht="18" customHeight="1" x14ac:dyDescent="0.15">
      <c r="A2144" s="2" t="s">
        <v>3149</v>
      </c>
      <c r="B2144" s="87" t="s">
        <v>3150</v>
      </c>
      <c r="C2144" s="2">
        <v>1</v>
      </c>
      <c r="D2144" s="2" t="s">
        <v>773</v>
      </c>
      <c r="E2144" s="27">
        <f t="shared" si="387"/>
        <v>5000</v>
      </c>
      <c r="F2144" s="28">
        <f t="shared" si="386"/>
        <v>5000</v>
      </c>
      <c r="G2144" s="27">
        <f>자재조서!E93</f>
        <v>5000</v>
      </c>
      <c r="H2144" s="28">
        <f t="shared" si="388"/>
        <v>5000</v>
      </c>
      <c r="I2144" s="27">
        <v>0</v>
      </c>
      <c r="J2144" s="28"/>
      <c r="K2144" s="27">
        <v>0</v>
      </c>
      <c r="L2144" s="28"/>
      <c r="M2144" s="86" t="s">
        <v>2856</v>
      </c>
      <c r="N2144" t="s">
        <v>2856</v>
      </c>
      <c r="P2144" t="s">
        <v>3151</v>
      </c>
      <c r="Q2144" t="s">
        <v>2856</v>
      </c>
      <c r="R2144" t="s">
        <v>3152</v>
      </c>
    </row>
    <row r="2145" spans="1:30" ht="18" customHeight="1" x14ac:dyDescent="0.15">
      <c r="A2145" s="2" t="s">
        <v>2618</v>
      </c>
      <c r="B2145" s="87" t="s">
        <v>960</v>
      </c>
      <c r="C2145" s="2">
        <v>0.09</v>
      </c>
      <c r="D2145" s="2" t="s">
        <v>1202</v>
      </c>
      <c r="E2145" s="27">
        <f t="shared" si="387"/>
        <v>16049</v>
      </c>
      <c r="F2145" s="28">
        <f t="shared" si="386"/>
        <v>1444.3000000000002</v>
      </c>
      <c r="G2145" s="27">
        <f>일위대가목록!F260</f>
        <v>510</v>
      </c>
      <c r="H2145" s="28">
        <f t="shared" si="388"/>
        <v>45.9</v>
      </c>
      <c r="I2145" s="27">
        <f>일위대가목록!H260</f>
        <v>6958</v>
      </c>
      <c r="J2145" s="28">
        <f>TRUNC(I2145*C2145,1)</f>
        <v>626.20000000000005</v>
      </c>
      <c r="K2145" s="27">
        <f>일위대가목록!J260</f>
        <v>8581</v>
      </c>
      <c r="L2145" s="28">
        <f>TRUNC(K2145*C2145,1)</f>
        <v>772.2</v>
      </c>
      <c r="M2145" s="86" t="s">
        <v>2856</v>
      </c>
      <c r="N2145" t="s">
        <v>2856</v>
      </c>
      <c r="P2145" t="s">
        <v>1769</v>
      </c>
      <c r="Q2145" t="s">
        <v>2856</v>
      </c>
      <c r="R2145" t="s">
        <v>131</v>
      </c>
      <c r="T2145" t="s">
        <v>1778</v>
      </c>
    </row>
    <row r="2146" spans="1:30" ht="18.399999999999999" customHeight="1" x14ac:dyDescent="0.15">
      <c r="A2146" s="66" t="s">
        <v>3046</v>
      </c>
      <c r="B2146" s="175" t="s">
        <v>3245</v>
      </c>
      <c r="C2146" s="63"/>
      <c r="D2146" s="63"/>
      <c r="E2146" s="64"/>
      <c r="F2146" s="65">
        <f t="shared" si="386"/>
        <v>6234</v>
      </c>
      <c r="G2146" s="66"/>
      <c r="H2146" s="65">
        <f>TRUNC(H2137*$B$2146)</f>
        <v>4768</v>
      </c>
      <c r="I2146" s="66"/>
      <c r="J2146" s="65">
        <f>TRUNC(J2137*$B$2146)</f>
        <v>766</v>
      </c>
      <c r="K2146" s="66"/>
      <c r="L2146" s="65">
        <f>TRUNC(L2137*$B$2146)</f>
        <v>700</v>
      </c>
      <c r="M2146" s="186"/>
      <c r="AA2146" s="42"/>
      <c r="AB2146" s="8"/>
      <c r="AC2146" s="42"/>
      <c r="AD2146" s="7"/>
    </row>
    <row r="2147" spans="1:30" ht="18" customHeight="1" x14ac:dyDescent="0.15">
      <c r="A2147" s="1"/>
      <c r="B2147" s="87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87"/>
    </row>
    <row r="2148" spans="1:30" ht="18" customHeight="1" x14ac:dyDescent="0.15">
      <c r="A2148" s="69" t="s">
        <v>3264</v>
      </c>
      <c r="B2148" s="174" t="s">
        <v>995</v>
      </c>
      <c r="C2148" s="69">
        <v>1</v>
      </c>
      <c r="D2148" s="69" t="s">
        <v>773</v>
      </c>
      <c r="E2148" s="185"/>
      <c r="F2148" s="70">
        <f t="shared" ref="F2148:F2157" si="389">H2148+J2148+L2148</f>
        <v>7142</v>
      </c>
      <c r="G2148" s="185"/>
      <c r="H2148" s="70">
        <f>TRUNC(H2149+H2150+H2151+H2152+H2153+H2154+H2155+H2156,0)</f>
        <v>5462</v>
      </c>
      <c r="I2148" s="185"/>
      <c r="J2148" s="70">
        <f>TRUNC(J2149+J2150+J2151+J2152+J2153+J2154+J2155+J2156,0)</f>
        <v>878</v>
      </c>
      <c r="K2148" s="185"/>
      <c r="L2148" s="70">
        <f>TRUNC(L2149+L2150+L2151+L2152+L2153+L2154+L2155+L2156,0)</f>
        <v>802</v>
      </c>
      <c r="M2148" s="181" t="s">
        <v>2856</v>
      </c>
      <c r="N2148" t="s">
        <v>2856</v>
      </c>
      <c r="O2148" t="s">
        <v>3153</v>
      </c>
    </row>
    <row r="2149" spans="1:30" ht="18" customHeight="1" x14ac:dyDescent="0.15">
      <c r="A2149" s="2" t="s">
        <v>1163</v>
      </c>
      <c r="B2149" s="87" t="s">
        <v>576</v>
      </c>
      <c r="C2149" s="2">
        <v>0.02</v>
      </c>
      <c r="D2149" s="2" t="s">
        <v>2825</v>
      </c>
      <c r="E2149" s="27">
        <f t="shared" ref="E2149:E2156" si="390">G2149+I2149+K2149</f>
        <v>5009</v>
      </c>
      <c r="F2149" s="28">
        <f t="shared" si="389"/>
        <v>100.1</v>
      </c>
      <c r="G2149" s="27">
        <f>일위대가목록!F4</f>
        <v>300</v>
      </c>
      <c r="H2149" s="28">
        <f t="shared" ref="H2149:H2156" si="391">TRUNC(G2149*C2149,1)</f>
        <v>6</v>
      </c>
      <c r="I2149" s="27">
        <f>일위대가목록!H4</f>
        <v>4328</v>
      </c>
      <c r="J2149" s="28">
        <f>TRUNC(I2149*C2149,1)</f>
        <v>86.5</v>
      </c>
      <c r="K2149" s="27">
        <f>일위대가목록!J4</f>
        <v>381</v>
      </c>
      <c r="L2149" s="28">
        <f>TRUNC(K2149*C2149,1)</f>
        <v>7.6</v>
      </c>
      <c r="M2149" s="86" t="s">
        <v>2856</v>
      </c>
      <c r="N2149" t="s">
        <v>2856</v>
      </c>
      <c r="P2149" t="s">
        <v>334</v>
      </c>
      <c r="Q2149" t="s">
        <v>2856</v>
      </c>
      <c r="R2149" t="s">
        <v>69</v>
      </c>
      <c r="T2149" t="s">
        <v>2405</v>
      </c>
    </row>
    <row r="2150" spans="1:30" ht="18" customHeight="1" x14ac:dyDescent="0.15">
      <c r="A2150" s="2" t="s">
        <v>1112</v>
      </c>
      <c r="B2150" s="87" t="s">
        <v>2429</v>
      </c>
      <c r="C2150" s="2">
        <v>0.02</v>
      </c>
      <c r="D2150" s="2" t="s">
        <v>2825</v>
      </c>
      <c r="E2150" s="27">
        <f t="shared" si="390"/>
        <v>1588</v>
      </c>
      <c r="F2150" s="28">
        <f t="shared" si="389"/>
        <v>31.7</v>
      </c>
      <c r="G2150" s="27">
        <f>일위대가목록!F5</f>
        <v>285</v>
      </c>
      <c r="H2150" s="28">
        <f t="shared" si="391"/>
        <v>5.7</v>
      </c>
      <c r="I2150" s="27">
        <f>일위대가목록!H5</f>
        <v>940</v>
      </c>
      <c r="J2150" s="28">
        <f>TRUNC(I2150*C2150,1)</f>
        <v>18.8</v>
      </c>
      <c r="K2150" s="27">
        <f>일위대가목록!J5</f>
        <v>363</v>
      </c>
      <c r="L2150" s="28">
        <f>TRUNC(K2150*C2150,1)</f>
        <v>7.2</v>
      </c>
      <c r="M2150" s="86" t="s">
        <v>2856</v>
      </c>
      <c r="N2150" t="s">
        <v>2856</v>
      </c>
      <c r="P2150" t="s">
        <v>2471</v>
      </c>
      <c r="Q2150" t="s">
        <v>2856</v>
      </c>
      <c r="R2150" t="s">
        <v>1705</v>
      </c>
      <c r="T2150" t="s">
        <v>2405</v>
      </c>
    </row>
    <row r="2151" spans="1:30" ht="18" customHeight="1" x14ac:dyDescent="0.15">
      <c r="A2151" s="2" t="s">
        <v>482</v>
      </c>
      <c r="B2151" s="87" t="s">
        <v>1174</v>
      </c>
      <c r="C2151" s="2">
        <v>0.09</v>
      </c>
      <c r="D2151" s="2" t="s">
        <v>1202</v>
      </c>
      <c r="E2151" s="27">
        <f t="shared" si="390"/>
        <v>412</v>
      </c>
      <c r="F2151" s="28">
        <f t="shared" si="389"/>
        <v>37</v>
      </c>
      <c r="G2151" s="27">
        <f>일위대가목록!F7</f>
        <v>20</v>
      </c>
      <c r="H2151" s="28">
        <f t="shared" si="391"/>
        <v>1.8</v>
      </c>
      <c r="I2151" s="27">
        <f>일위대가목록!H7</f>
        <v>386</v>
      </c>
      <c r="J2151" s="28">
        <f>TRUNC(I2151*C2151,1)</f>
        <v>34.700000000000003</v>
      </c>
      <c r="K2151" s="27">
        <f>일위대가목록!J7</f>
        <v>6</v>
      </c>
      <c r="L2151" s="28">
        <f>TRUNC(K2151*C2151,1)</f>
        <v>0.5</v>
      </c>
      <c r="M2151" s="86" t="s">
        <v>2856</v>
      </c>
      <c r="N2151" t="s">
        <v>2856</v>
      </c>
      <c r="P2151" t="s">
        <v>1741</v>
      </c>
      <c r="Q2151" t="s">
        <v>2856</v>
      </c>
      <c r="R2151" t="s">
        <v>303</v>
      </c>
      <c r="T2151" t="s">
        <v>2405</v>
      </c>
    </row>
    <row r="2152" spans="1:30" ht="18" customHeight="1" x14ac:dyDescent="0.15">
      <c r="A2152" s="2" t="s">
        <v>296</v>
      </c>
      <c r="B2152" s="87" t="s">
        <v>626</v>
      </c>
      <c r="C2152" s="2">
        <v>0.01</v>
      </c>
      <c r="D2152" s="2" t="s">
        <v>2825</v>
      </c>
      <c r="E2152" s="27">
        <f t="shared" si="390"/>
        <v>24000</v>
      </c>
      <c r="F2152" s="28">
        <f t="shared" si="389"/>
        <v>240</v>
      </c>
      <c r="G2152" s="27">
        <f>자재조서!E85</f>
        <v>24000</v>
      </c>
      <c r="H2152" s="28">
        <f t="shared" si="391"/>
        <v>240</v>
      </c>
      <c r="I2152" s="27">
        <v>0</v>
      </c>
      <c r="J2152" s="28"/>
      <c r="K2152" s="27">
        <v>0</v>
      </c>
      <c r="L2152" s="28"/>
      <c r="M2152" s="86" t="s">
        <v>2856</v>
      </c>
      <c r="N2152" t="s">
        <v>2856</v>
      </c>
      <c r="P2152" t="s">
        <v>1036</v>
      </c>
      <c r="Q2152" t="s">
        <v>2856</v>
      </c>
      <c r="R2152" t="s">
        <v>609</v>
      </c>
    </row>
    <row r="2153" spans="1:30" ht="18" customHeight="1" x14ac:dyDescent="0.15">
      <c r="A2153" s="2" t="s">
        <v>467</v>
      </c>
      <c r="B2153" s="87" t="s">
        <v>2010</v>
      </c>
      <c r="C2153" s="2">
        <v>0.01</v>
      </c>
      <c r="D2153" s="2" t="s">
        <v>2825</v>
      </c>
      <c r="E2153" s="27">
        <f t="shared" si="390"/>
        <v>14311</v>
      </c>
      <c r="F2153" s="28">
        <f t="shared" si="389"/>
        <v>143</v>
      </c>
      <c r="G2153" s="27">
        <f>일위대가목록!F239</f>
        <v>1554</v>
      </c>
      <c r="H2153" s="28">
        <f t="shared" si="391"/>
        <v>15.5</v>
      </c>
      <c r="I2153" s="27">
        <f>일위대가목록!H239</f>
        <v>11235</v>
      </c>
      <c r="J2153" s="28">
        <f>TRUNC(I2153*C2153,1)</f>
        <v>112.3</v>
      </c>
      <c r="K2153" s="27">
        <f>일위대가목록!J239</f>
        <v>1522</v>
      </c>
      <c r="L2153" s="28">
        <f>TRUNC(K2153*C2153,1)</f>
        <v>15.2</v>
      </c>
      <c r="M2153" s="86" t="s">
        <v>2856</v>
      </c>
      <c r="N2153" t="s">
        <v>2856</v>
      </c>
      <c r="P2153" t="s">
        <v>286</v>
      </c>
      <c r="Q2153" t="s">
        <v>2856</v>
      </c>
      <c r="R2153" t="s">
        <v>782</v>
      </c>
      <c r="T2153" t="s">
        <v>1778</v>
      </c>
    </row>
    <row r="2154" spans="1:30" ht="18" customHeight="1" x14ac:dyDescent="0.15">
      <c r="A2154" s="2" t="s">
        <v>440</v>
      </c>
      <c r="B2154" s="87" t="s">
        <v>1763</v>
      </c>
      <c r="C2154" s="2">
        <v>4.0000000000000001E-3</v>
      </c>
      <c r="D2154" s="2" t="s">
        <v>2825</v>
      </c>
      <c r="E2154" s="27">
        <f t="shared" si="390"/>
        <v>37000</v>
      </c>
      <c r="F2154" s="28">
        <f t="shared" si="389"/>
        <v>148</v>
      </c>
      <c r="G2154" s="27">
        <f>자재조서!E86</f>
        <v>37000</v>
      </c>
      <c r="H2154" s="28">
        <f t="shared" si="391"/>
        <v>148</v>
      </c>
      <c r="I2154" s="27">
        <v>0</v>
      </c>
      <c r="J2154" s="28"/>
      <c r="K2154" s="27">
        <v>0</v>
      </c>
      <c r="L2154" s="28"/>
      <c r="M2154" s="86" t="s">
        <v>2856</v>
      </c>
      <c r="N2154" t="s">
        <v>2856</v>
      </c>
      <c r="P2154" t="s">
        <v>2428</v>
      </c>
      <c r="Q2154" t="s">
        <v>2856</v>
      </c>
      <c r="R2154" t="s">
        <v>2805</v>
      </c>
    </row>
    <row r="2155" spans="1:30" ht="18" customHeight="1" x14ac:dyDescent="0.15">
      <c r="A2155" s="2" t="s">
        <v>3149</v>
      </c>
      <c r="B2155" s="87" t="s">
        <v>3150</v>
      </c>
      <c r="C2155" s="2">
        <v>1</v>
      </c>
      <c r="D2155" s="2" t="s">
        <v>773</v>
      </c>
      <c r="E2155" s="27">
        <f t="shared" si="390"/>
        <v>5000</v>
      </c>
      <c r="F2155" s="28">
        <f t="shared" si="389"/>
        <v>5000</v>
      </c>
      <c r="G2155" s="27">
        <f>자재조서!E93</f>
        <v>5000</v>
      </c>
      <c r="H2155" s="28">
        <f t="shared" si="391"/>
        <v>5000</v>
      </c>
      <c r="I2155" s="27">
        <v>0</v>
      </c>
      <c r="J2155" s="28"/>
      <c r="K2155" s="27">
        <v>0</v>
      </c>
      <c r="L2155" s="28"/>
      <c r="M2155" s="86" t="s">
        <v>2856</v>
      </c>
      <c r="N2155" t="s">
        <v>2856</v>
      </c>
      <c r="P2155" t="s">
        <v>1686</v>
      </c>
      <c r="Q2155" t="s">
        <v>2856</v>
      </c>
      <c r="R2155" t="s">
        <v>3152</v>
      </c>
    </row>
    <row r="2156" spans="1:30" ht="18" customHeight="1" x14ac:dyDescent="0.15">
      <c r="A2156" s="2" t="s">
        <v>2618</v>
      </c>
      <c r="B2156" s="87" t="s">
        <v>960</v>
      </c>
      <c r="C2156" s="2">
        <v>0.09</v>
      </c>
      <c r="D2156" s="2" t="s">
        <v>1202</v>
      </c>
      <c r="E2156" s="27">
        <f t="shared" si="390"/>
        <v>16049</v>
      </c>
      <c r="F2156" s="28">
        <f t="shared" si="389"/>
        <v>1444.3000000000002</v>
      </c>
      <c r="G2156" s="27">
        <f>일위대가목록!F260</f>
        <v>510</v>
      </c>
      <c r="H2156" s="28">
        <f t="shared" si="391"/>
        <v>45.9</v>
      </c>
      <c r="I2156" s="27">
        <f>일위대가목록!H260</f>
        <v>6958</v>
      </c>
      <c r="J2156" s="28">
        <f>TRUNC(I2156*C2156,1)</f>
        <v>626.20000000000005</v>
      </c>
      <c r="K2156" s="27">
        <f>일위대가목록!J260</f>
        <v>8581</v>
      </c>
      <c r="L2156" s="28">
        <f>TRUNC(K2156*C2156,1)</f>
        <v>772.2</v>
      </c>
      <c r="M2156" s="86" t="s">
        <v>2856</v>
      </c>
      <c r="N2156" t="s">
        <v>2856</v>
      </c>
      <c r="P2156" t="s">
        <v>983</v>
      </c>
      <c r="Q2156" t="s">
        <v>2856</v>
      </c>
      <c r="R2156" t="s">
        <v>131</v>
      </c>
      <c r="T2156" t="s">
        <v>1778</v>
      </c>
    </row>
    <row r="2157" spans="1:30" ht="18.399999999999999" customHeight="1" x14ac:dyDescent="0.15">
      <c r="A2157" s="66" t="s">
        <v>3046</v>
      </c>
      <c r="B2157" s="175" t="s">
        <v>3245</v>
      </c>
      <c r="C2157" s="63"/>
      <c r="D2157" s="63"/>
      <c r="E2157" s="64"/>
      <c r="F2157" s="65">
        <f t="shared" si="389"/>
        <v>6234</v>
      </c>
      <c r="G2157" s="66"/>
      <c r="H2157" s="65">
        <f>TRUNC(H2148*$B$2157)</f>
        <v>4768</v>
      </c>
      <c r="I2157" s="66"/>
      <c r="J2157" s="65">
        <f>TRUNC(J2148*$B$2157)</f>
        <v>766</v>
      </c>
      <c r="K2157" s="66"/>
      <c r="L2157" s="65">
        <f>TRUNC(L2148*$B$2157)</f>
        <v>700</v>
      </c>
      <c r="M2157" s="186"/>
      <c r="AA2157" s="42"/>
      <c r="AB2157" s="8"/>
      <c r="AC2157" s="42"/>
      <c r="AD2157" s="7"/>
    </row>
    <row r="2158" spans="1:30" ht="18.399999999999999" customHeight="1" x14ac:dyDescent="0.15">
      <c r="A2158" s="173"/>
      <c r="B2158" s="180"/>
      <c r="C2158" s="173"/>
      <c r="D2158" s="173"/>
      <c r="E2158" s="173"/>
      <c r="F2158" s="173"/>
      <c r="G2158" s="173"/>
      <c r="H2158" s="173"/>
      <c r="I2158" s="173"/>
      <c r="J2158" s="173"/>
      <c r="K2158" s="173"/>
      <c r="L2158" s="173"/>
      <c r="M2158" s="188"/>
    </row>
    <row r="2159" spans="1:30" ht="18" customHeight="1" x14ac:dyDescent="0.15">
      <c r="A2159" s="211" t="s">
        <v>3265</v>
      </c>
      <c r="B2159" s="212" t="str">
        <f>[323]Sheet1!E39799</f>
        <v xml:space="preserve">B11(R13)미만 </v>
      </c>
      <c r="C2159" s="96">
        <v>1</v>
      </c>
      <c r="D2159" s="96" t="s">
        <v>3193</v>
      </c>
      <c r="E2159" s="185"/>
      <c r="F2159" s="97">
        <f>H2159+J2159+L2159</f>
        <v>27503.100000000002</v>
      </c>
      <c r="G2159" s="185"/>
      <c r="H2159" s="97">
        <f>SUM(H2160:H2162)</f>
        <v>0</v>
      </c>
      <c r="I2159" s="185"/>
      <c r="J2159" s="97">
        <f>SUM(J2160:J2162)</f>
        <v>26963.9</v>
      </c>
      <c r="K2159" s="185"/>
      <c r="L2159" s="97">
        <f>SUM(L2160:L2162)</f>
        <v>539.20000000000005</v>
      </c>
      <c r="M2159" s="182" t="s">
        <v>2856</v>
      </c>
      <c r="N2159" t="s">
        <v>2856</v>
      </c>
      <c r="O2159" t="s">
        <v>3153</v>
      </c>
    </row>
    <row r="2160" spans="1:30" ht="18" customHeight="1" x14ac:dyDescent="0.15">
      <c r="A2160" s="209" t="s">
        <v>3266</v>
      </c>
      <c r="B2160" s="209">
        <v>0</v>
      </c>
      <c r="C2160" s="210">
        <v>0.09</v>
      </c>
      <c r="D2160" s="209" t="s">
        <v>2652</v>
      </c>
      <c r="E2160" s="27">
        <f>G2160+I2160+K2160</f>
        <v>224132</v>
      </c>
      <c r="F2160" s="28">
        <f>H2160+J2160+L2160</f>
        <v>20171.8</v>
      </c>
      <c r="G2160" s="27">
        <v>0</v>
      </c>
      <c r="H2160" s="28">
        <f>TRUNC(G2160*C2160,1)</f>
        <v>0</v>
      </c>
      <c r="I2160" s="27">
        <v>224132</v>
      </c>
      <c r="J2160" s="28">
        <f>TRUNC(I2160*C2160,1)</f>
        <v>20171.8</v>
      </c>
      <c r="K2160" s="27">
        <v>0</v>
      </c>
      <c r="L2160" s="28">
        <f>TRUNC(K2160*C2160,1)</f>
        <v>0</v>
      </c>
      <c r="M2160" s="86" t="s">
        <v>2856</v>
      </c>
      <c r="N2160" t="s">
        <v>2856</v>
      </c>
      <c r="P2160" t="s">
        <v>334</v>
      </c>
      <c r="Q2160" t="s">
        <v>2856</v>
      </c>
      <c r="R2160" t="s">
        <v>69</v>
      </c>
      <c r="T2160" t="s">
        <v>2405</v>
      </c>
    </row>
    <row r="2161" spans="1:30" ht="18" customHeight="1" x14ac:dyDescent="0.15">
      <c r="A2161" s="209" t="s">
        <v>185</v>
      </c>
      <c r="B2161" s="209">
        <v>0</v>
      </c>
      <c r="C2161" s="210">
        <v>0.04</v>
      </c>
      <c r="D2161" s="209" t="s">
        <v>2652</v>
      </c>
      <c r="E2161" s="27">
        <f t="shared" ref="E2161:E2172" si="392">G2161+I2161+K2161</f>
        <v>169804</v>
      </c>
      <c r="F2161" s="28">
        <f t="shared" ref="F2161:F2169" si="393">H2161+J2161+L2161</f>
        <v>6792.1</v>
      </c>
      <c r="G2161" s="27">
        <v>0</v>
      </c>
      <c r="H2161" s="28">
        <f t="shared" ref="H2161:H2169" si="394">TRUNC(G2161*C2161,1)</f>
        <v>0</v>
      </c>
      <c r="I2161" s="27">
        <v>169804</v>
      </c>
      <c r="J2161" s="28">
        <f t="shared" ref="J2161:J2169" si="395">TRUNC(I2161*C2161,1)</f>
        <v>6792.1</v>
      </c>
      <c r="K2161" s="27">
        <v>0</v>
      </c>
      <c r="L2161" s="28">
        <f t="shared" ref="L2161:L2169" si="396">TRUNC(K2161*C2161,1)</f>
        <v>0</v>
      </c>
      <c r="M2161" s="86" t="s">
        <v>2856</v>
      </c>
      <c r="N2161" t="s">
        <v>2856</v>
      </c>
      <c r="P2161" t="s">
        <v>2471</v>
      </c>
      <c r="Q2161" t="s">
        <v>2856</v>
      </c>
      <c r="R2161" t="s">
        <v>1705</v>
      </c>
      <c r="T2161" t="s">
        <v>2405</v>
      </c>
    </row>
    <row r="2162" spans="1:30" ht="18" customHeight="1" x14ac:dyDescent="0.15">
      <c r="A2162" s="209" t="s">
        <v>3267</v>
      </c>
      <c r="B2162" s="209">
        <v>0</v>
      </c>
      <c r="C2162" s="210">
        <v>1</v>
      </c>
      <c r="D2162" s="209" t="s">
        <v>2303</v>
      </c>
      <c r="E2162" s="27">
        <f t="shared" si="392"/>
        <v>539.20000000000005</v>
      </c>
      <c r="F2162" s="28">
        <f t="shared" si="393"/>
        <v>539.20000000000005</v>
      </c>
      <c r="G2162" s="27">
        <v>0</v>
      </c>
      <c r="H2162" s="28">
        <f t="shared" si="394"/>
        <v>0</v>
      </c>
      <c r="I2162" s="27">
        <v>0</v>
      </c>
      <c r="J2162" s="28">
        <f t="shared" si="395"/>
        <v>0</v>
      </c>
      <c r="K2162" s="27">
        <v>539.20000000000005</v>
      </c>
      <c r="L2162" s="28">
        <f t="shared" si="396"/>
        <v>539.20000000000005</v>
      </c>
      <c r="M2162" s="86" t="s">
        <v>2856</v>
      </c>
      <c r="N2162" t="s">
        <v>2856</v>
      </c>
      <c r="P2162" t="s">
        <v>1741</v>
      </c>
      <c r="Q2162" t="s">
        <v>2856</v>
      </c>
      <c r="R2162" t="s">
        <v>303</v>
      </c>
      <c r="T2162" t="s">
        <v>2405</v>
      </c>
    </row>
    <row r="2163" spans="1:30" ht="18.399999999999999" customHeight="1" x14ac:dyDescent="0.15">
      <c r="A2163" s="66" t="s">
        <v>3046</v>
      </c>
      <c r="B2163" s="175" t="s">
        <v>3245</v>
      </c>
      <c r="C2163" s="63"/>
      <c r="D2163" s="63"/>
      <c r="E2163" s="64"/>
      <c r="F2163" s="65">
        <f t="shared" si="393"/>
        <v>24008</v>
      </c>
      <c r="G2163" s="66"/>
      <c r="H2163" s="65">
        <f>TRUNC(H2159*$B2157)</f>
        <v>0</v>
      </c>
      <c r="I2163" s="66"/>
      <c r="J2163" s="65">
        <f>TRUNC(J2159*$B2157)</f>
        <v>23538</v>
      </c>
      <c r="K2163" s="66"/>
      <c r="L2163" s="65">
        <f>TRUNC(L2159*$B2157)</f>
        <v>470</v>
      </c>
      <c r="M2163" s="186"/>
      <c r="AA2163" s="42"/>
      <c r="AB2163" s="8"/>
      <c r="AC2163" s="42"/>
      <c r="AD2163" s="7"/>
    </row>
    <row r="2164" spans="1:30" ht="18.399999999999999" customHeight="1" x14ac:dyDescent="0.15">
      <c r="A2164" s="66"/>
      <c r="B2164" s="175"/>
      <c r="C2164" s="63"/>
      <c r="D2164" s="63"/>
      <c r="E2164" s="64"/>
      <c r="F2164" s="65"/>
      <c r="G2164" s="66"/>
      <c r="H2164" s="65"/>
      <c r="I2164" s="66"/>
      <c r="J2164" s="65"/>
      <c r="K2164" s="66"/>
      <c r="L2164" s="65"/>
      <c r="M2164" s="186"/>
      <c r="AA2164" s="91"/>
      <c r="AB2164" s="92"/>
      <c r="AC2164" s="91"/>
      <c r="AD2164" s="93"/>
    </row>
    <row r="2165" spans="1:30" ht="18" customHeight="1" x14ac:dyDescent="0.15">
      <c r="A2165" s="211" t="s">
        <v>3277</v>
      </c>
      <c r="B2165" s="213" t="s">
        <v>3268</v>
      </c>
      <c r="C2165" s="214">
        <v>1</v>
      </c>
      <c r="D2165" s="205" t="s">
        <v>556</v>
      </c>
      <c r="E2165" s="215">
        <f t="shared" si="392"/>
        <v>0</v>
      </c>
      <c r="F2165" s="216">
        <f t="shared" si="393"/>
        <v>35524.1</v>
      </c>
      <c r="G2165" s="215">
        <v>0</v>
      </c>
      <c r="H2165" s="216">
        <f>SUM(H2166:H2169)</f>
        <v>1281.5</v>
      </c>
      <c r="I2165" s="215">
        <v>0</v>
      </c>
      <c r="J2165" s="216">
        <f>SUM(J2166:J2169)</f>
        <v>31404.400000000001</v>
      </c>
      <c r="K2165" s="215">
        <v>0</v>
      </c>
      <c r="L2165" s="216">
        <f>SUM(L2166:L2169)</f>
        <v>2838.2000000000003</v>
      </c>
      <c r="M2165" s="181" t="s">
        <v>2856</v>
      </c>
      <c r="N2165" t="s">
        <v>2856</v>
      </c>
      <c r="P2165" t="s">
        <v>1036</v>
      </c>
      <c r="Q2165" t="s">
        <v>2856</v>
      </c>
      <c r="R2165" t="s">
        <v>609</v>
      </c>
    </row>
    <row r="2166" spans="1:30" ht="18" customHeight="1" x14ac:dyDescent="0.15">
      <c r="A2166" s="209" t="s">
        <v>3266</v>
      </c>
      <c r="B2166" s="209">
        <v>0</v>
      </c>
      <c r="C2166" s="210">
        <v>0.06</v>
      </c>
      <c r="D2166" s="209" t="s">
        <v>2652</v>
      </c>
      <c r="E2166" s="27">
        <f t="shared" si="392"/>
        <v>224132</v>
      </c>
      <c r="F2166" s="28">
        <f t="shared" si="393"/>
        <v>13447.9</v>
      </c>
      <c r="G2166" s="27">
        <v>0</v>
      </c>
      <c r="H2166" s="28">
        <f t="shared" si="394"/>
        <v>0</v>
      </c>
      <c r="I2166" s="27">
        <v>224132</v>
      </c>
      <c r="J2166" s="28">
        <f t="shared" si="395"/>
        <v>13447.9</v>
      </c>
      <c r="K2166" s="27">
        <v>0</v>
      </c>
      <c r="L2166" s="28">
        <f t="shared" si="396"/>
        <v>0</v>
      </c>
      <c r="M2166" s="86" t="s">
        <v>2856</v>
      </c>
      <c r="N2166" t="s">
        <v>2856</v>
      </c>
      <c r="P2166" t="s">
        <v>286</v>
      </c>
      <c r="Q2166" t="s">
        <v>2856</v>
      </c>
      <c r="R2166" t="s">
        <v>782</v>
      </c>
      <c r="T2166" t="s">
        <v>1778</v>
      </c>
    </row>
    <row r="2167" spans="1:30" ht="18" customHeight="1" x14ac:dyDescent="0.15">
      <c r="A2167" s="209" t="s">
        <v>185</v>
      </c>
      <c r="B2167" s="209">
        <v>0</v>
      </c>
      <c r="C2167" s="210">
        <v>0.03</v>
      </c>
      <c r="D2167" s="209" t="s">
        <v>2652</v>
      </c>
      <c r="E2167" s="27">
        <f t="shared" si="392"/>
        <v>169804</v>
      </c>
      <c r="F2167" s="28">
        <f t="shared" si="393"/>
        <v>5094.1000000000004</v>
      </c>
      <c r="G2167" s="27">
        <v>0</v>
      </c>
      <c r="H2167" s="28">
        <f t="shared" si="394"/>
        <v>0</v>
      </c>
      <c r="I2167" s="27">
        <v>169804</v>
      </c>
      <c r="J2167" s="28">
        <f t="shared" si="395"/>
        <v>5094.1000000000004</v>
      </c>
      <c r="K2167" s="27">
        <v>0</v>
      </c>
      <c r="L2167" s="28">
        <f t="shared" si="396"/>
        <v>0</v>
      </c>
      <c r="M2167" s="86" t="s">
        <v>2856</v>
      </c>
      <c r="N2167" t="s">
        <v>2856</v>
      </c>
      <c r="P2167" t="s">
        <v>2428</v>
      </c>
      <c r="Q2167" t="s">
        <v>2856</v>
      </c>
      <c r="R2167" t="s">
        <v>2805</v>
      </c>
    </row>
    <row r="2168" spans="1:30" ht="18" customHeight="1" x14ac:dyDescent="0.15">
      <c r="A2168" s="209" t="s">
        <v>3267</v>
      </c>
      <c r="B2168" s="209">
        <v>0</v>
      </c>
      <c r="C2168" s="210">
        <v>1</v>
      </c>
      <c r="D2168" s="209" t="s">
        <v>2303</v>
      </c>
      <c r="E2168" s="27">
        <f t="shared" si="392"/>
        <v>370.8</v>
      </c>
      <c r="F2168" s="28">
        <f t="shared" si="393"/>
        <v>370.8</v>
      </c>
      <c r="G2168" s="27">
        <v>0</v>
      </c>
      <c r="H2168" s="28">
        <f t="shared" si="394"/>
        <v>0</v>
      </c>
      <c r="I2168" s="27">
        <v>0</v>
      </c>
      <c r="J2168" s="28">
        <f t="shared" si="395"/>
        <v>0</v>
      </c>
      <c r="K2168" s="27">
        <v>370.8</v>
      </c>
      <c r="L2168" s="28">
        <f t="shared" si="396"/>
        <v>370.8</v>
      </c>
      <c r="M2168" s="86" t="s">
        <v>2856</v>
      </c>
      <c r="N2168" t="s">
        <v>2856</v>
      </c>
      <c r="P2168" t="s">
        <v>1686</v>
      </c>
      <c r="Q2168" t="s">
        <v>2856</v>
      </c>
      <c r="R2168" t="s">
        <v>3152</v>
      </c>
    </row>
    <row r="2169" spans="1:30" ht="18" customHeight="1" x14ac:dyDescent="0.15">
      <c r="A2169" s="209" t="s">
        <v>3269</v>
      </c>
      <c r="B2169" s="209" t="s">
        <v>3270</v>
      </c>
      <c r="C2169" s="210">
        <v>0.26</v>
      </c>
      <c r="D2169" s="209" t="s">
        <v>3271</v>
      </c>
      <c r="E2169" s="27">
        <f t="shared" si="392"/>
        <v>63890</v>
      </c>
      <c r="F2169" s="28">
        <f t="shared" si="393"/>
        <v>16611.3</v>
      </c>
      <c r="G2169" s="27">
        <v>4929</v>
      </c>
      <c r="H2169" s="28">
        <f t="shared" si="394"/>
        <v>1281.5</v>
      </c>
      <c r="I2169" s="27">
        <v>49471</v>
      </c>
      <c r="J2169" s="28">
        <f t="shared" si="395"/>
        <v>12862.4</v>
      </c>
      <c r="K2169" s="27">
        <v>9490</v>
      </c>
      <c r="L2169" s="28">
        <f t="shared" si="396"/>
        <v>2467.4</v>
      </c>
      <c r="M2169" s="86" t="s">
        <v>2856</v>
      </c>
      <c r="N2169" t="s">
        <v>2856</v>
      </c>
      <c r="P2169" t="s">
        <v>983</v>
      </c>
      <c r="Q2169" t="s">
        <v>2856</v>
      </c>
      <c r="R2169" t="s">
        <v>131</v>
      </c>
      <c r="T2169" t="s">
        <v>1778</v>
      </c>
    </row>
    <row r="2170" spans="1:30" ht="18.399999999999999" customHeight="1" x14ac:dyDescent="0.15">
      <c r="A2170" s="66" t="s">
        <v>3046</v>
      </c>
      <c r="B2170" s="175" t="s">
        <v>3245</v>
      </c>
      <c r="C2170" s="63"/>
      <c r="D2170" s="63"/>
      <c r="E2170" s="64"/>
      <c r="F2170" s="65">
        <f>H2170+J2170+L2170</f>
        <v>31009</v>
      </c>
      <c r="G2170" s="66"/>
      <c r="H2170" s="65">
        <f>TRUNC(H2165*$B2170)</f>
        <v>1118</v>
      </c>
      <c r="I2170" s="66"/>
      <c r="J2170" s="65">
        <f>TRUNC(J2165*$B2170)</f>
        <v>27414</v>
      </c>
      <c r="K2170" s="66"/>
      <c r="L2170" s="65">
        <f>TRUNC(L2165*$B2170)</f>
        <v>2477</v>
      </c>
      <c r="M2170" s="186"/>
      <c r="AA2170" s="42"/>
      <c r="AB2170" s="8"/>
      <c r="AC2170" s="42"/>
      <c r="AD2170" s="7"/>
    </row>
    <row r="2171" spans="1:30" ht="18.399999999999999" customHeight="1" x14ac:dyDescent="0.15">
      <c r="A2171" s="66"/>
      <c r="B2171" s="175"/>
      <c r="C2171" s="63"/>
      <c r="D2171" s="63"/>
      <c r="E2171" s="64"/>
      <c r="F2171" s="65"/>
      <c r="G2171" s="66"/>
      <c r="H2171" s="65"/>
      <c r="I2171" s="66"/>
      <c r="J2171" s="65"/>
      <c r="K2171" s="66"/>
      <c r="L2171" s="65"/>
      <c r="M2171" s="186"/>
      <c r="AA2171" s="42"/>
      <c r="AB2171" s="8"/>
      <c r="AC2171" s="42"/>
      <c r="AD2171" s="7"/>
    </row>
    <row r="2172" spans="1:30" ht="18.399999999999999" customHeight="1" x14ac:dyDescent="0.15">
      <c r="A2172" s="211" t="s">
        <v>3278</v>
      </c>
      <c r="B2172" s="205" t="s">
        <v>3272</v>
      </c>
      <c r="C2172" s="214">
        <v>1</v>
      </c>
      <c r="D2172" s="205" t="s">
        <v>556</v>
      </c>
      <c r="E2172" s="215">
        <f t="shared" si="392"/>
        <v>0</v>
      </c>
      <c r="F2172" s="216">
        <f t="shared" ref="F2172:F2177" si="397">H2172+J2172+L2172</f>
        <v>57077.4</v>
      </c>
      <c r="G2172" s="215">
        <v>0</v>
      </c>
      <c r="H2172" s="216">
        <f>SUM(H2173:H2176)</f>
        <v>1971.6</v>
      </c>
      <c r="I2172" s="215">
        <v>0</v>
      </c>
      <c r="J2172" s="216">
        <f>SUM(J2173:J2176)</f>
        <v>50691.8</v>
      </c>
      <c r="K2172" s="215">
        <v>0</v>
      </c>
      <c r="L2172" s="216">
        <f>SUM(L2173:L2176)</f>
        <v>4414</v>
      </c>
      <c r="M2172" s="181" t="s">
        <v>2856</v>
      </c>
      <c r="AA2172" s="42"/>
      <c r="AB2172" s="8"/>
      <c r="AC2172" s="42"/>
      <c r="AD2172" s="7"/>
    </row>
    <row r="2173" spans="1:30" ht="18" customHeight="1" x14ac:dyDescent="0.15">
      <c r="A2173" s="209" t="s">
        <v>3266</v>
      </c>
      <c r="B2173" s="209">
        <v>0</v>
      </c>
      <c r="C2173" s="210">
        <v>0.1</v>
      </c>
      <c r="D2173" s="209" t="s">
        <v>2652</v>
      </c>
      <c r="E2173" s="27">
        <f>G2173+I2173+K2173</f>
        <v>224132</v>
      </c>
      <c r="F2173" s="28">
        <f t="shared" si="397"/>
        <v>22413.200000000001</v>
      </c>
      <c r="G2173" s="27">
        <v>0</v>
      </c>
      <c r="H2173" s="28">
        <f>TRUNC(G2173*C2173,1)</f>
        <v>0</v>
      </c>
      <c r="I2173" s="27">
        <v>224132</v>
      </c>
      <c r="J2173" s="28">
        <f>TRUNC(I2173*C2173,1)</f>
        <v>22413.200000000001</v>
      </c>
      <c r="K2173" s="27">
        <v>0</v>
      </c>
      <c r="L2173" s="28">
        <f>TRUNC(K2173*C2173,1)</f>
        <v>0</v>
      </c>
      <c r="M2173" s="86" t="s">
        <v>2856</v>
      </c>
      <c r="N2173" t="s">
        <v>2856</v>
      </c>
      <c r="P2173" t="s">
        <v>334</v>
      </c>
      <c r="Q2173" t="s">
        <v>2856</v>
      </c>
      <c r="R2173" t="s">
        <v>69</v>
      </c>
      <c r="T2173" t="s">
        <v>2405</v>
      </c>
    </row>
    <row r="2174" spans="1:30" ht="18" customHeight="1" x14ac:dyDescent="0.15">
      <c r="A2174" s="209" t="s">
        <v>185</v>
      </c>
      <c r="B2174" s="209">
        <v>0</v>
      </c>
      <c r="C2174" s="210">
        <v>0.05</v>
      </c>
      <c r="D2174" s="209" t="s">
        <v>2652</v>
      </c>
      <c r="E2174" s="27">
        <f>G2174+I2174+K2174</f>
        <v>169804</v>
      </c>
      <c r="F2174" s="28">
        <f t="shared" si="397"/>
        <v>8490.2000000000007</v>
      </c>
      <c r="G2174" s="27">
        <v>0</v>
      </c>
      <c r="H2174" s="28">
        <f>TRUNC(G2174*C2174,1)</f>
        <v>0</v>
      </c>
      <c r="I2174" s="27">
        <v>169804</v>
      </c>
      <c r="J2174" s="28">
        <f>TRUNC(I2174*C2174,1)</f>
        <v>8490.2000000000007</v>
      </c>
      <c r="K2174" s="27">
        <v>0</v>
      </c>
      <c r="L2174" s="28">
        <f>TRUNC(K2174*C2174,1)</f>
        <v>0</v>
      </c>
      <c r="M2174" s="86" t="s">
        <v>2856</v>
      </c>
      <c r="N2174" t="s">
        <v>2856</v>
      </c>
      <c r="P2174" t="s">
        <v>2471</v>
      </c>
      <c r="Q2174" t="s">
        <v>2856</v>
      </c>
      <c r="R2174" t="s">
        <v>1705</v>
      </c>
      <c r="T2174" t="s">
        <v>2405</v>
      </c>
    </row>
    <row r="2175" spans="1:30" ht="18" customHeight="1" x14ac:dyDescent="0.15">
      <c r="A2175" s="209" t="s">
        <v>3267</v>
      </c>
      <c r="B2175" s="209">
        <v>0</v>
      </c>
      <c r="C2175" s="210">
        <v>1</v>
      </c>
      <c r="D2175" s="209" t="s">
        <v>2303</v>
      </c>
      <c r="E2175" s="27">
        <f>G2175+I2175+K2175</f>
        <v>618</v>
      </c>
      <c r="F2175" s="28">
        <f t="shared" si="397"/>
        <v>618</v>
      </c>
      <c r="G2175" s="27">
        <v>0</v>
      </c>
      <c r="H2175" s="28">
        <f>TRUNC(G2175*C2175,1)</f>
        <v>0</v>
      </c>
      <c r="I2175" s="27">
        <v>0</v>
      </c>
      <c r="J2175" s="28">
        <f>TRUNC(I2175*C2175,1)</f>
        <v>0</v>
      </c>
      <c r="K2175" s="27">
        <v>618</v>
      </c>
      <c r="L2175" s="28">
        <f>TRUNC(K2175*C2175,1)</f>
        <v>618</v>
      </c>
      <c r="M2175" s="86" t="s">
        <v>2856</v>
      </c>
      <c r="N2175" t="s">
        <v>2856</v>
      </c>
      <c r="P2175" t="s">
        <v>1741</v>
      </c>
      <c r="Q2175" t="s">
        <v>2856</v>
      </c>
      <c r="R2175" t="s">
        <v>303</v>
      </c>
      <c r="T2175" t="s">
        <v>2405</v>
      </c>
    </row>
    <row r="2176" spans="1:30" ht="18" customHeight="1" x14ac:dyDescent="0.15">
      <c r="A2176" s="209" t="s">
        <v>3269</v>
      </c>
      <c r="B2176" s="209" t="s">
        <v>3270</v>
      </c>
      <c r="C2176" s="210">
        <v>0.4</v>
      </c>
      <c r="D2176" s="209" t="s">
        <v>3271</v>
      </c>
      <c r="E2176" s="27">
        <f>G2176+I2176+K2176</f>
        <v>63890</v>
      </c>
      <c r="F2176" s="28">
        <f t="shared" si="397"/>
        <v>25556</v>
      </c>
      <c r="G2176" s="27">
        <v>4929</v>
      </c>
      <c r="H2176" s="28">
        <f>TRUNC(G2176*C2176,1)</f>
        <v>1971.6</v>
      </c>
      <c r="I2176" s="27">
        <v>49471</v>
      </c>
      <c r="J2176" s="28">
        <f>TRUNC(I2176*C2176,1)</f>
        <v>19788.400000000001</v>
      </c>
      <c r="K2176" s="27">
        <v>9490</v>
      </c>
      <c r="L2176" s="28">
        <f>TRUNC(K2176*C2176,1)</f>
        <v>3796</v>
      </c>
      <c r="M2176" s="86" t="s">
        <v>2856</v>
      </c>
      <c r="N2176" t="s">
        <v>2856</v>
      </c>
      <c r="P2176" t="s">
        <v>1036</v>
      </c>
      <c r="Q2176" t="s">
        <v>2856</v>
      </c>
      <c r="R2176" t="s">
        <v>609</v>
      </c>
    </row>
    <row r="2177" spans="1:30" ht="18.399999999999999" customHeight="1" x14ac:dyDescent="0.15">
      <c r="A2177" s="66" t="s">
        <v>3046</v>
      </c>
      <c r="B2177" s="175" t="s">
        <v>3245</v>
      </c>
      <c r="C2177" s="63"/>
      <c r="D2177" s="63"/>
      <c r="E2177" s="64"/>
      <c r="F2177" s="65">
        <f t="shared" si="397"/>
        <v>49825</v>
      </c>
      <c r="G2177" s="66"/>
      <c r="H2177" s="65">
        <f>TRUNC(H2172*$B2177)</f>
        <v>1721</v>
      </c>
      <c r="I2177" s="66"/>
      <c r="J2177" s="65">
        <f>TRUNC(J2172*$B2177)</f>
        <v>44251</v>
      </c>
      <c r="K2177" s="66"/>
      <c r="L2177" s="65">
        <f>TRUNC(L2172*$B2177)</f>
        <v>3853</v>
      </c>
      <c r="M2177" s="186"/>
      <c r="AA2177" s="42"/>
      <c r="AB2177" s="8"/>
      <c r="AC2177" s="42"/>
      <c r="AD2177" s="7"/>
    </row>
    <row r="2178" spans="1:30" ht="18.399999999999999" customHeight="1" x14ac:dyDescent="0.15">
      <c r="A2178" s="66"/>
      <c r="B2178" s="175"/>
      <c r="C2178" s="63"/>
      <c r="D2178" s="63"/>
      <c r="E2178" s="64"/>
      <c r="F2178" s="65"/>
      <c r="G2178" s="66"/>
      <c r="H2178" s="65"/>
      <c r="I2178" s="66"/>
      <c r="J2178" s="65"/>
      <c r="K2178" s="66"/>
      <c r="L2178" s="65"/>
      <c r="M2178" s="186"/>
      <c r="AA2178" s="42"/>
      <c r="AB2178" s="8"/>
      <c r="AC2178" s="42"/>
      <c r="AD2178" s="7"/>
    </row>
    <row r="2179" spans="1:30" ht="18" customHeight="1" x14ac:dyDescent="0.15">
      <c r="A2179" s="211" t="s">
        <v>3279</v>
      </c>
      <c r="B2179" s="205" t="s">
        <v>3273</v>
      </c>
      <c r="C2179" s="214">
        <v>1</v>
      </c>
      <c r="D2179" s="205" t="s">
        <v>556</v>
      </c>
      <c r="E2179" s="215">
        <f>G2179+I2179+K2179</f>
        <v>0</v>
      </c>
      <c r="F2179" s="216">
        <f>H2179+J2179+L2179</f>
        <v>95526.599999999991</v>
      </c>
      <c r="G2179" s="215">
        <v>0</v>
      </c>
      <c r="H2179" s="216">
        <f>SUM(H2180:H2183)</f>
        <v>3302.4</v>
      </c>
      <c r="I2179" s="215">
        <v>0</v>
      </c>
      <c r="J2179" s="216">
        <f>SUM(J2180:J2183)</f>
        <v>84832.2</v>
      </c>
      <c r="K2179" s="215">
        <v>0</v>
      </c>
      <c r="L2179" s="216">
        <f>SUM(L2180:L2183)</f>
        <v>7392</v>
      </c>
      <c r="M2179" s="181" t="s">
        <v>2856</v>
      </c>
      <c r="N2179" t="s">
        <v>2856</v>
      </c>
      <c r="P2179" t="s">
        <v>286</v>
      </c>
      <c r="Q2179" t="s">
        <v>2856</v>
      </c>
      <c r="R2179" t="s">
        <v>782</v>
      </c>
      <c r="T2179" t="s">
        <v>1778</v>
      </c>
    </row>
    <row r="2180" spans="1:30" ht="18" customHeight="1" x14ac:dyDescent="0.15">
      <c r="A2180" s="209" t="s">
        <v>3266</v>
      </c>
      <c r="B2180" s="209">
        <v>0</v>
      </c>
      <c r="C2180" s="210">
        <v>0.17</v>
      </c>
      <c r="D2180" s="209" t="s">
        <v>2652</v>
      </c>
      <c r="E2180" s="27">
        <f t="shared" ref="E2180:E2188" si="398">G2180+I2180+K2180</f>
        <v>224132</v>
      </c>
      <c r="F2180" s="28">
        <f t="shared" ref="F2180:F2188" si="399">H2180+J2180+L2180</f>
        <v>38102.400000000001</v>
      </c>
      <c r="G2180" s="27">
        <v>0</v>
      </c>
      <c r="H2180" s="28">
        <f t="shared" ref="H2180:H2188" si="400">TRUNC(G2180*C2180,1)</f>
        <v>0</v>
      </c>
      <c r="I2180" s="27">
        <v>224132</v>
      </c>
      <c r="J2180" s="28">
        <f t="shared" ref="J2180:J2188" si="401">TRUNC(I2180*C2180,1)</f>
        <v>38102.400000000001</v>
      </c>
      <c r="K2180" s="27">
        <v>0</v>
      </c>
      <c r="L2180" s="28">
        <f t="shared" ref="L2180:L2188" si="402">TRUNC(K2180*C2180,1)</f>
        <v>0</v>
      </c>
      <c r="M2180" s="86" t="s">
        <v>2856</v>
      </c>
      <c r="N2180" t="s">
        <v>2856</v>
      </c>
      <c r="P2180" t="s">
        <v>2428</v>
      </c>
      <c r="Q2180" t="s">
        <v>2856</v>
      </c>
      <c r="R2180" t="s">
        <v>2805</v>
      </c>
    </row>
    <row r="2181" spans="1:30" ht="18" customHeight="1" x14ac:dyDescent="0.15">
      <c r="A2181" s="209" t="s">
        <v>185</v>
      </c>
      <c r="B2181" s="209">
        <v>0</v>
      </c>
      <c r="C2181" s="210">
        <v>0.08</v>
      </c>
      <c r="D2181" s="209" t="s">
        <v>2652</v>
      </c>
      <c r="E2181" s="27">
        <f t="shared" si="398"/>
        <v>169804</v>
      </c>
      <c r="F2181" s="28">
        <f t="shared" si="399"/>
        <v>13584.3</v>
      </c>
      <c r="G2181" s="27">
        <v>0</v>
      </c>
      <c r="H2181" s="28">
        <f t="shared" si="400"/>
        <v>0</v>
      </c>
      <c r="I2181" s="27">
        <v>169804</v>
      </c>
      <c r="J2181" s="28">
        <f t="shared" si="401"/>
        <v>13584.3</v>
      </c>
      <c r="K2181" s="27">
        <v>0</v>
      </c>
      <c r="L2181" s="28">
        <f t="shared" si="402"/>
        <v>0</v>
      </c>
      <c r="M2181" s="86" t="s">
        <v>2856</v>
      </c>
      <c r="N2181" t="s">
        <v>2856</v>
      </c>
      <c r="P2181" t="s">
        <v>1686</v>
      </c>
      <c r="Q2181" t="s">
        <v>2856</v>
      </c>
      <c r="R2181" t="s">
        <v>3152</v>
      </c>
    </row>
    <row r="2182" spans="1:30" ht="18" customHeight="1" x14ac:dyDescent="0.15">
      <c r="A2182" s="209" t="s">
        <v>3267</v>
      </c>
      <c r="B2182" s="209">
        <v>0</v>
      </c>
      <c r="C2182" s="210">
        <v>1</v>
      </c>
      <c r="D2182" s="209" t="s">
        <v>2303</v>
      </c>
      <c r="E2182" s="27">
        <f t="shared" si="398"/>
        <v>1033.7</v>
      </c>
      <c r="F2182" s="28">
        <f t="shared" si="399"/>
        <v>1033.7</v>
      </c>
      <c r="G2182" s="27">
        <v>0</v>
      </c>
      <c r="H2182" s="28">
        <f t="shared" si="400"/>
        <v>0</v>
      </c>
      <c r="I2182" s="27">
        <v>0</v>
      </c>
      <c r="J2182" s="28">
        <f t="shared" si="401"/>
        <v>0</v>
      </c>
      <c r="K2182" s="27">
        <v>1033.7</v>
      </c>
      <c r="L2182" s="28">
        <f t="shared" si="402"/>
        <v>1033.7</v>
      </c>
      <c r="M2182" s="86" t="s">
        <v>2856</v>
      </c>
      <c r="N2182" t="s">
        <v>2856</v>
      </c>
      <c r="P2182" t="s">
        <v>983</v>
      </c>
      <c r="Q2182" t="s">
        <v>2856</v>
      </c>
      <c r="R2182" t="s">
        <v>131</v>
      </c>
      <c r="T2182" t="s">
        <v>1778</v>
      </c>
    </row>
    <row r="2183" spans="1:30" ht="18.399999999999999" customHeight="1" x14ac:dyDescent="0.15">
      <c r="A2183" s="209" t="s">
        <v>3269</v>
      </c>
      <c r="B2183" s="209" t="s">
        <v>3270</v>
      </c>
      <c r="C2183" s="210">
        <v>0.67</v>
      </c>
      <c r="D2183" s="209" t="s">
        <v>3271</v>
      </c>
      <c r="E2183" s="27">
        <f t="shared" si="398"/>
        <v>63890</v>
      </c>
      <c r="F2183" s="28">
        <f t="shared" si="399"/>
        <v>42806.200000000004</v>
      </c>
      <c r="G2183" s="27">
        <v>4929</v>
      </c>
      <c r="H2183" s="28">
        <f t="shared" si="400"/>
        <v>3302.4</v>
      </c>
      <c r="I2183" s="27">
        <v>49471</v>
      </c>
      <c r="J2183" s="28">
        <f t="shared" si="401"/>
        <v>33145.5</v>
      </c>
      <c r="K2183" s="27">
        <v>9490</v>
      </c>
      <c r="L2183" s="28">
        <f t="shared" si="402"/>
        <v>6358.3</v>
      </c>
      <c r="M2183" s="86" t="s">
        <v>2856</v>
      </c>
      <c r="AA2183" s="42"/>
      <c r="AB2183" s="8"/>
      <c r="AC2183" s="42"/>
      <c r="AD2183" s="7"/>
    </row>
    <row r="2184" spans="1:30" ht="18.399999999999999" customHeight="1" x14ac:dyDescent="0.15">
      <c r="A2184" s="66" t="s">
        <v>3046</v>
      </c>
      <c r="B2184" s="175" t="s">
        <v>3245</v>
      </c>
      <c r="C2184" s="63"/>
      <c r="D2184" s="63"/>
      <c r="E2184" s="64"/>
      <c r="F2184" s="65">
        <f t="shared" si="399"/>
        <v>83388</v>
      </c>
      <c r="G2184" s="66"/>
      <c r="H2184" s="65">
        <f>TRUNC(H2179*$B2184)</f>
        <v>2882</v>
      </c>
      <c r="I2184" s="66"/>
      <c r="J2184" s="65">
        <f>TRUNC(J2179*$B2184)</f>
        <v>74054</v>
      </c>
      <c r="K2184" s="66"/>
      <c r="L2184" s="65">
        <f>TRUNC(L2179*$B2184)</f>
        <v>6452</v>
      </c>
      <c r="M2184" s="186"/>
      <c r="AA2184" s="42"/>
      <c r="AB2184" s="8"/>
      <c r="AC2184" s="42"/>
      <c r="AD2184" s="7"/>
    </row>
    <row r="2185" spans="1:30" ht="18.399999999999999" customHeight="1" x14ac:dyDescent="0.15">
      <c r="A2185" s="66"/>
      <c r="B2185" s="175"/>
      <c r="C2185" s="63"/>
      <c r="D2185" s="63"/>
      <c r="E2185" s="64"/>
      <c r="F2185" s="65"/>
      <c r="G2185" s="66"/>
      <c r="H2185" s="65"/>
      <c r="I2185" s="66"/>
      <c r="J2185" s="65"/>
      <c r="K2185" s="66"/>
      <c r="L2185" s="65"/>
      <c r="M2185" s="186"/>
      <c r="AA2185" s="42"/>
      <c r="AB2185" s="8"/>
      <c r="AC2185" s="42"/>
      <c r="AD2185" s="7"/>
    </row>
    <row r="2186" spans="1:30" ht="18" customHeight="1" x14ac:dyDescent="0.15">
      <c r="A2186" s="211" t="s">
        <v>3280</v>
      </c>
      <c r="B2186" s="205" t="s">
        <v>3274</v>
      </c>
      <c r="C2186" s="214">
        <v>1</v>
      </c>
      <c r="D2186" s="205" t="s">
        <v>556</v>
      </c>
      <c r="E2186" s="215">
        <f t="shared" si="398"/>
        <v>0</v>
      </c>
      <c r="F2186" s="216">
        <f>H2186+J2186+L2186</f>
        <v>143559.6</v>
      </c>
      <c r="G2186" s="215">
        <v>0</v>
      </c>
      <c r="H2186" s="216">
        <f>SUM(H2187:H2190)</f>
        <v>4929</v>
      </c>
      <c r="I2186" s="215">
        <v>0</v>
      </c>
      <c r="J2186" s="216">
        <f>SUM(J2187:J2190)</f>
        <v>127578.5</v>
      </c>
      <c r="K2186" s="215">
        <v>0</v>
      </c>
      <c r="L2186" s="216">
        <f>SUM(L2187:L2190)</f>
        <v>11052.1</v>
      </c>
      <c r="M2186" s="181" t="s">
        <v>2856</v>
      </c>
      <c r="N2186" t="s">
        <v>2856</v>
      </c>
      <c r="P2186" t="s">
        <v>334</v>
      </c>
      <c r="Q2186" t="s">
        <v>2856</v>
      </c>
      <c r="R2186" t="s">
        <v>69</v>
      </c>
      <c r="T2186" t="s">
        <v>2405</v>
      </c>
    </row>
    <row r="2187" spans="1:30" ht="18" customHeight="1" x14ac:dyDescent="0.15">
      <c r="A2187" s="209" t="s">
        <v>3266</v>
      </c>
      <c r="B2187" s="209">
        <v>0</v>
      </c>
      <c r="C2187" s="210">
        <v>0.25</v>
      </c>
      <c r="D2187" s="209" t="s">
        <v>2652</v>
      </c>
      <c r="E2187" s="27">
        <f t="shared" si="398"/>
        <v>224132</v>
      </c>
      <c r="F2187" s="28">
        <f t="shared" si="399"/>
        <v>56033</v>
      </c>
      <c r="G2187" s="27">
        <v>0</v>
      </c>
      <c r="H2187" s="28">
        <f t="shared" si="400"/>
        <v>0</v>
      </c>
      <c r="I2187" s="27">
        <v>224132</v>
      </c>
      <c r="J2187" s="28">
        <f t="shared" si="401"/>
        <v>56033</v>
      </c>
      <c r="K2187" s="27">
        <v>0</v>
      </c>
      <c r="L2187" s="28">
        <f t="shared" si="402"/>
        <v>0</v>
      </c>
      <c r="M2187" s="86" t="s">
        <v>2856</v>
      </c>
      <c r="N2187" t="s">
        <v>2856</v>
      </c>
      <c r="P2187" t="s">
        <v>2471</v>
      </c>
      <c r="Q2187" t="s">
        <v>2856</v>
      </c>
      <c r="R2187" t="s">
        <v>1705</v>
      </c>
      <c r="T2187" t="s">
        <v>2405</v>
      </c>
    </row>
    <row r="2188" spans="1:30" ht="18" customHeight="1" x14ac:dyDescent="0.15">
      <c r="A2188" s="209" t="s">
        <v>185</v>
      </c>
      <c r="B2188" s="209">
        <v>0</v>
      </c>
      <c r="C2188" s="210">
        <v>0.13</v>
      </c>
      <c r="D2188" s="209" t="s">
        <v>2652</v>
      </c>
      <c r="E2188" s="27">
        <f t="shared" si="398"/>
        <v>169804</v>
      </c>
      <c r="F2188" s="28">
        <f t="shared" si="399"/>
        <v>22074.5</v>
      </c>
      <c r="G2188" s="27">
        <v>0</v>
      </c>
      <c r="H2188" s="28">
        <f t="shared" si="400"/>
        <v>0</v>
      </c>
      <c r="I2188" s="27">
        <v>169804</v>
      </c>
      <c r="J2188" s="28">
        <f t="shared" si="401"/>
        <v>22074.5</v>
      </c>
      <c r="K2188" s="27">
        <v>0</v>
      </c>
      <c r="L2188" s="28">
        <f t="shared" si="402"/>
        <v>0</v>
      </c>
      <c r="M2188" s="86" t="s">
        <v>2856</v>
      </c>
      <c r="N2188" t="s">
        <v>2856</v>
      </c>
      <c r="P2188" t="s">
        <v>1741</v>
      </c>
      <c r="Q2188" t="s">
        <v>2856</v>
      </c>
      <c r="R2188" t="s">
        <v>303</v>
      </c>
      <c r="T2188" t="s">
        <v>2405</v>
      </c>
    </row>
    <row r="2189" spans="1:30" ht="18" customHeight="1" x14ac:dyDescent="0.15">
      <c r="A2189" s="209" t="s">
        <v>3267</v>
      </c>
      <c r="B2189" s="209">
        <v>0</v>
      </c>
      <c r="C2189" s="210">
        <v>1</v>
      </c>
      <c r="D2189" s="209" t="s">
        <v>2303</v>
      </c>
      <c r="E2189" s="27">
        <f t="shared" ref="E2189:E2210" si="403">G2189+I2189+K2189</f>
        <v>1562.1</v>
      </c>
      <c r="F2189" s="28">
        <f t="shared" ref="F2189:F2211" si="404">H2189+J2189+L2189</f>
        <v>1562.1</v>
      </c>
      <c r="G2189" s="27">
        <v>0</v>
      </c>
      <c r="H2189" s="28">
        <f t="shared" ref="H2189:H2210" si="405">TRUNC(G2189*C2189,1)</f>
        <v>0</v>
      </c>
      <c r="I2189" s="27">
        <v>0</v>
      </c>
      <c r="J2189" s="28">
        <f t="shared" ref="J2189:J2210" si="406">TRUNC(I2189*C2189,1)</f>
        <v>0</v>
      </c>
      <c r="K2189" s="27">
        <v>1562.1</v>
      </c>
      <c r="L2189" s="28">
        <f t="shared" ref="L2189:L2210" si="407">TRUNC(K2189*C2189,1)</f>
        <v>1562.1</v>
      </c>
      <c r="M2189" s="86" t="s">
        <v>2856</v>
      </c>
      <c r="N2189" t="s">
        <v>2856</v>
      </c>
      <c r="P2189" t="s">
        <v>1036</v>
      </c>
      <c r="Q2189" t="s">
        <v>2856</v>
      </c>
      <c r="R2189" t="s">
        <v>609</v>
      </c>
    </row>
    <row r="2190" spans="1:30" ht="18" customHeight="1" x14ac:dyDescent="0.15">
      <c r="A2190" s="209" t="s">
        <v>3269</v>
      </c>
      <c r="B2190" s="209" t="s">
        <v>3270</v>
      </c>
      <c r="C2190" s="210">
        <v>1</v>
      </c>
      <c r="D2190" s="209" t="s">
        <v>3271</v>
      </c>
      <c r="E2190" s="27">
        <f t="shared" si="403"/>
        <v>63890</v>
      </c>
      <c r="F2190" s="28">
        <f t="shared" si="404"/>
        <v>63890</v>
      </c>
      <c r="G2190" s="27">
        <v>4929</v>
      </c>
      <c r="H2190" s="28">
        <f t="shared" si="405"/>
        <v>4929</v>
      </c>
      <c r="I2190" s="27">
        <v>49471</v>
      </c>
      <c r="J2190" s="28">
        <f t="shared" si="406"/>
        <v>49471</v>
      </c>
      <c r="K2190" s="27">
        <v>9490</v>
      </c>
      <c r="L2190" s="28">
        <f t="shared" si="407"/>
        <v>9490</v>
      </c>
      <c r="M2190" s="86" t="s">
        <v>2856</v>
      </c>
      <c r="N2190" t="s">
        <v>2856</v>
      </c>
      <c r="P2190" t="s">
        <v>286</v>
      </c>
      <c r="Q2190" t="s">
        <v>2856</v>
      </c>
      <c r="R2190" t="s">
        <v>782</v>
      </c>
      <c r="T2190" t="s">
        <v>1778</v>
      </c>
    </row>
    <row r="2191" spans="1:30" ht="18.399999999999999" customHeight="1" x14ac:dyDescent="0.15">
      <c r="A2191" s="66" t="s">
        <v>3046</v>
      </c>
      <c r="B2191" s="175" t="s">
        <v>3245</v>
      </c>
      <c r="C2191" s="63"/>
      <c r="D2191" s="63"/>
      <c r="E2191" s="64"/>
      <c r="F2191" s="65">
        <f t="shared" si="404"/>
        <v>125318</v>
      </c>
      <c r="G2191" s="66"/>
      <c r="H2191" s="65">
        <f>TRUNC(H2186*$B2191)</f>
        <v>4302</v>
      </c>
      <c r="I2191" s="66"/>
      <c r="J2191" s="65">
        <f>TRUNC(J2186*$B2191)</f>
        <v>111369</v>
      </c>
      <c r="K2191" s="66"/>
      <c r="L2191" s="65">
        <f>TRUNC(L2186*$B2191)</f>
        <v>9647</v>
      </c>
      <c r="M2191" s="186"/>
      <c r="AA2191" s="42"/>
      <c r="AB2191" s="8"/>
      <c r="AC2191" s="42"/>
      <c r="AD2191" s="7"/>
    </row>
    <row r="2192" spans="1:30" ht="18.399999999999999" customHeight="1" x14ac:dyDescent="0.15">
      <c r="A2192" s="66"/>
      <c r="B2192" s="175"/>
      <c r="C2192" s="63"/>
      <c r="D2192" s="63"/>
      <c r="E2192" s="64"/>
      <c r="F2192" s="65"/>
      <c r="G2192" s="66"/>
      <c r="H2192" s="65"/>
      <c r="I2192" s="66"/>
      <c r="J2192" s="65"/>
      <c r="K2192" s="66"/>
      <c r="L2192" s="65"/>
      <c r="M2192" s="186"/>
      <c r="AA2192" s="42"/>
      <c r="AB2192" s="8"/>
      <c r="AC2192" s="42"/>
      <c r="AD2192" s="7"/>
    </row>
    <row r="2193" spans="1:30" ht="18" customHeight="1" x14ac:dyDescent="0.15">
      <c r="A2193" s="211" t="s">
        <v>3281</v>
      </c>
      <c r="B2193" s="205" t="s">
        <v>3275</v>
      </c>
      <c r="C2193" s="214">
        <v>1</v>
      </c>
      <c r="D2193" s="205" t="s">
        <v>556</v>
      </c>
      <c r="E2193" s="185"/>
      <c r="F2193" s="97">
        <f>H2193+J2193+L2193</f>
        <v>22481.300000000003</v>
      </c>
      <c r="G2193" s="185"/>
      <c r="H2193" s="97">
        <f>SUM(H2194:H2196)</f>
        <v>0</v>
      </c>
      <c r="I2193" s="185"/>
      <c r="J2193" s="97">
        <f>SUM(J2194:J2196)</f>
        <v>22481.300000000003</v>
      </c>
      <c r="K2193" s="185"/>
      <c r="L2193" s="97">
        <f>SUM(L2194:L2196)</f>
        <v>0</v>
      </c>
      <c r="M2193" s="182" t="s">
        <v>2856</v>
      </c>
      <c r="N2193" t="s">
        <v>2856</v>
      </c>
      <c r="P2193" t="s">
        <v>1686</v>
      </c>
      <c r="Q2193" t="s">
        <v>2856</v>
      </c>
      <c r="R2193" t="s">
        <v>3152</v>
      </c>
    </row>
    <row r="2194" spans="1:30" ht="18" customHeight="1" x14ac:dyDescent="0.15">
      <c r="A2194" s="209" t="s">
        <v>3266</v>
      </c>
      <c r="B2194" s="209">
        <v>0</v>
      </c>
      <c r="C2194" s="210">
        <v>7.0000000000000007E-2</v>
      </c>
      <c r="D2194" s="209" t="s">
        <v>2652</v>
      </c>
      <c r="E2194" s="27">
        <f t="shared" si="403"/>
        <v>224132</v>
      </c>
      <c r="F2194" s="28">
        <f t="shared" si="404"/>
        <v>15689.2</v>
      </c>
      <c r="G2194" s="27">
        <v>0</v>
      </c>
      <c r="H2194" s="28">
        <f t="shared" si="405"/>
        <v>0</v>
      </c>
      <c r="I2194" s="27">
        <v>224132</v>
      </c>
      <c r="J2194" s="28">
        <f t="shared" si="406"/>
        <v>15689.2</v>
      </c>
      <c r="K2194" s="27">
        <v>0</v>
      </c>
      <c r="L2194" s="28">
        <f t="shared" si="407"/>
        <v>0</v>
      </c>
      <c r="M2194" s="86" t="s">
        <v>2856</v>
      </c>
      <c r="N2194" t="s">
        <v>2856</v>
      </c>
      <c r="P2194" t="s">
        <v>983</v>
      </c>
      <c r="Q2194" t="s">
        <v>2856</v>
      </c>
      <c r="R2194" t="s">
        <v>131</v>
      </c>
      <c r="T2194" t="s">
        <v>1778</v>
      </c>
    </row>
    <row r="2195" spans="1:30" ht="18.399999999999999" customHeight="1" x14ac:dyDescent="0.15">
      <c r="A2195" s="209" t="s">
        <v>185</v>
      </c>
      <c r="B2195" s="209">
        <v>0</v>
      </c>
      <c r="C2195" s="210">
        <v>0.04</v>
      </c>
      <c r="D2195" s="209" t="s">
        <v>2652</v>
      </c>
      <c r="E2195" s="27">
        <f t="shared" si="403"/>
        <v>169804</v>
      </c>
      <c r="F2195" s="28">
        <f t="shared" si="404"/>
        <v>6792.1</v>
      </c>
      <c r="G2195" s="27">
        <v>0</v>
      </c>
      <c r="H2195" s="28">
        <f t="shared" si="405"/>
        <v>0</v>
      </c>
      <c r="I2195" s="27">
        <v>169804</v>
      </c>
      <c r="J2195" s="28">
        <f t="shared" si="406"/>
        <v>6792.1</v>
      </c>
      <c r="K2195" s="27">
        <v>0</v>
      </c>
      <c r="L2195" s="28">
        <f t="shared" si="407"/>
        <v>0</v>
      </c>
      <c r="M2195" s="86" t="s">
        <v>2856</v>
      </c>
      <c r="AA2195" s="42"/>
      <c r="AB2195" s="8"/>
      <c r="AC2195" s="42"/>
      <c r="AD2195" s="7"/>
    </row>
    <row r="2196" spans="1:30" ht="18" customHeight="1" x14ac:dyDescent="0.15">
      <c r="A2196" s="209" t="s">
        <v>3276</v>
      </c>
      <c r="B2196" s="209">
        <v>0</v>
      </c>
      <c r="C2196" s="210">
        <v>1</v>
      </c>
      <c r="D2196" s="209" t="s">
        <v>2303</v>
      </c>
      <c r="E2196" s="27">
        <f t="shared" si="403"/>
        <v>0</v>
      </c>
      <c r="F2196" s="28">
        <f t="shared" si="404"/>
        <v>0</v>
      </c>
      <c r="G2196" s="27">
        <v>0</v>
      </c>
      <c r="H2196" s="28">
        <f t="shared" si="405"/>
        <v>0</v>
      </c>
      <c r="I2196" s="27">
        <v>0</v>
      </c>
      <c r="J2196" s="28">
        <f t="shared" si="406"/>
        <v>0</v>
      </c>
      <c r="K2196" s="27">
        <v>0</v>
      </c>
      <c r="L2196" s="28">
        <f t="shared" si="407"/>
        <v>0</v>
      </c>
      <c r="M2196" s="86" t="s">
        <v>2856</v>
      </c>
      <c r="N2196" t="s">
        <v>2856</v>
      </c>
      <c r="P2196" t="s">
        <v>334</v>
      </c>
      <c r="Q2196" t="s">
        <v>2856</v>
      </c>
      <c r="R2196" t="s">
        <v>69</v>
      </c>
      <c r="T2196" t="s">
        <v>2405</v>
      </c>
    </row>
    <row r="2197" spans="1:30" ht="18.399999999999999" customHeight="1" x14ac:dyDescent="0.15">
      <c r="A2197" s="66" t="s">
        <v>3046</v>
      </c>
      <c r="B2197" s="175" t="s">
        <v>3245</v>
      </c>
      <c r="C2197" s="63"/>
      <c r="D2197" s="63"/>
      <c r="E2197" s="64"/>
      <c r="F2197" s="65">
        <f t="shared" si="404"/>
        <v>19625</v>
      </c>
      <c r="G2197" s="66"/>
      <c r="H2197" s="65">
        <f>TRUNC(H2193*$B2191)</f>
        <v>0</v>
      </c>
      <c r="I2197" s="66"/>
      <c r="J2197" s="65">
        <f>TRUNC(J2193*$B2191)</f>
        <v>19625</v>
      </c>
      <c r="K2197" s="66"/>
      <c r="L2197" s="65">
        <f>TRUNC(L2193*$B2191)</f>
        <v>0</v>
      </c>
      <c r="M2197" s="186"/>
      <c r="AA2197" s="42"/>
      <c r="AB2197" s="8"/>
      <c r="AC2197" s="42"/>
      <c r="AD2197" s="7"/>
    </row>
    <row r="2198" spans="1:30" ht="18.399999999999999" customHeight="1" x14ac:dyDescent="0.15">
      <c r="A2198" s="66"/>
      <c r="B2198" s="175"/>
      <c r="C2198" s="63"/>
      <c r="D2198" s="63"/>
      <c r="E2198" s="64"/>
      <c r="F2198" s="65"/>
      <c r="G2198" s="66"/>
      <c r="H2198" s="65"/>
      <c r="I2198" s="66"/>
      <c r="J2198" s="65"/>
      <c r="K2198" s="66"/>
      <c r="L2198" s="65"/>
      <c r="M2198" s="186"/>
      <c r="AA2198" s="91"/>
      <c r="AB2198" s="92"/>
      <c r="AC2198" s="91"/>
      <c r="AD2198" s="93"/>
    </row>
    <row r="2199" spans="1:30" ht="18" customHeight="1" x14ac:dyDescent="0.15">
      <c r="A2199" s="211" t="s">
        <v>3282</v>
      </c>
      <c r="B2199" s="205" t="s">
        <v>3268</v>
      </c>
      <c r="C2199" s="214">
        <v>1</v>
      </c>
      <c r="D2199" s="205" t="s">
        <v>556</v>
      </c>
      <c r="E2199" s="215">
        <f>G2199+I2199+K2199</f>
        <v>0</v>
      </c>
      <c r="F2199" s="216">
        <f>H2199+J2199+L2199</f>
        <v>32968.5</v>
      </c>
      <c r="G2199" s="215">
        <v>0</v>
      </c>
      <c r="H2199" s="216">
        <f>SUM(H2200:H2203)</f>
        <v>1084.3</v>
      </c>
      <c r="I2199" s="215">
        <v>0</v>
      </c>
      <c r="J2199" s="216">
        <f>SUM(J2200:J2203)</f>
        <v>29425.599999999999</v>
      </c>
      <c r="K2199" s="215">
        <v>0</v>
      </c>
      <c r="L2199" s="216">
        <f>SUM(L2200:L2203)</f>
        <v>2458.6000000000004</v>
      </c>
      <c r="M2199" s="181" t="s">
        <v>2856</v>
      </c>
      <c r="N2199" t="s">
        <v>2856</v>
      </c>
      <c r="P2199" t="s">
        <v>2471</v>
      </c>
      <c r="Q2199" t="s">
        <v>2856</v>
      </c>
      <c r="R2199" t="s">
        <v>1705</v>
      </c>
      <c r="T2199" t="s">
        <v>2405</v>
      </c>
    </row>
    <row r="2200" spans="1:30" ht="18" customHeight="1" x14ac:dyDescent="0.15">
      <c r="A2200" s="209" t="s">
        <v>3266</v>
      </c>
      <c r="B2200" s="209">
        <v>0</v>
      </c>
      <c r="C2200" s="210">
        <v>0.06</v>
      </c>
      <c r="D2200" s="209" t="s">
        <v>2652</v>
      </c>
      <c r="E2200" s="27">
        <f t="shared" si="403"/>
        <v>224132</v>
      </c>
      <c r="F2200" s="28">
        <f t="shared" si="404"/>
        <v>13447.9</v>
      </c>
      <c r="G2200" s="27">
        <v>0</v>
      </c>
      <c r="H2200" s="28">
        <f t="shared" si="405"/>
        <v>0</v>
      </c>
      <c r="I2200" s="27">
        <v>224132</v>
      </c>
      <c r="J2200" s="28">
        <f t="shared" si="406"/>
        <v>13447.9</v>
      </c>
      <c r="K2200" s="27">
        <v>0</v>
      </c>
      <c r="L2200" s="28">
        <f t="shared" si="407"/>
        <v>0</v>
      </c>
      <c r="M2200" s="86" t="s">
        <v>2856</v>
      </c>
      <c r="N2200" t="s">
        <v>2856</v>
      </c>
      <c r="P2200" t="s">
        <v>1741</v>
      </c>
      <c r="Q2200" t="s">
        <v>2856</v>
      </c>
      <c r="R2200" t="s">
        <v>303</v>
      </c>
      <c r="T2200" t="s">
        <v>2405</v>
      </c>
    </row>
    <row r="2201" spans="1:30" ht="18" customHeight="1" x14ac:dyDescent="0.15">
      <c r="A2201" s="209" t="s">
        <v>185</v>
      </c>
      <c r="B2201" s="209">
        <v>0</v>
      </c>
      <c r="C2201" s="210">
        <v>0.03</v>
      </c>
      <c r="D2201" s="209" t="s">
        <v>2652</v>
      </c>
      <c r="E2201" s="27">
        <f t="shared" si="403"/>
        <v>169804</v>
      </c>
      <c r="F2201" s="28">
        <f t="shared" si="404"/>
        <v>5094.1000000000004</v>
      </c>
      <c r="G2201" s="27">
        <v>0</v>
      </c>
      <c r="H2201" s="28">
        <f t="shared" si="405"/>
        <v>0</v>
      </c>
      <c r="I2201" s="27">
        <v>169804</v>
      </c>
      <c r="J2201" s="28">
        <f t="shared" si="406"/>
        <v>5094.1000000000004</v>
      </c>
      <c r="K2201" s="27">
        <v>0</v>
      </c>
      <c r="L2201" s="28">
        <f t="shared" si="407"/>
        <v>0</v>
      </c>
      <c r="M2201" s="86" t="s">
        <v>2856</v>
      </c>
      <c r="N2201" t="s">
        <v>2856</v>
      </c>
      <c r="P2201" t="s">
        <v>1036</v>
      </c>
      <c r="Q2201" t="s">
        <v>2856</v>
      </c>
      <c r="R2201" t="s">
        <v>609</v>
      </c>
    </row>
    <row r="2202" spans="1:30" ht="18" customHeight="1" x14ac:dyDescent="0.15">
      <c r="A2202" s="209" t="s">
        <v>3267</v>
      </c>
      <c r="B2202" s="209">
        <v>0</v>
      </c>
      <c r="C2202" s="210">
        <v>1</v>
      </c>
      <c r="D2202" s="209" t="s">
        <v>2303</v>
      </c>
      <c r="E2202" s="27">
        <f t="shared" si="403"/>
        <v>370.8</v>
      </c>
      <c r="F2202" s="28">
        <f t="shared" si="404"/>
        <v>370.8</v>
      </c>
      <c r="G2202" s="27">
        <v>0</v>
      </c>
      <c r="H2202" s="28">
        <f t="shared" si="405"/>
        <v>0</v>
      </c>
      <c r="I2202" s="27">
        <v>0</v>
      </c>
      <c r="J2202" s="28">
        <f t="shared" si="406"/>
        <v>0</v>
      </c>
      <c r="K2202" s="27">
        <v>370.8</v>
      </c>
      <c r="L2202" s="28">
        <f t="shared" si="407"/>
        <v>370.8</v>
      </c>
      <c r="M2202" s="86" t="s">
        <v>2856</v>
      </c>
      <c r="N2202" t="s">
        <v>2856</v>
      </c>
      <c r="P2202" t="s">
        <v>286</v>
      </c>
      <c r="Q2202" t="s">
        <v>2856</v>
      </c>
      <c r="R2202" t="s">
        <v>782</v>
      </c>
      <c r="T2202" t="s">
        <v>1778</v>
      </c>
    </row>
    <row r="2203" spans="1:30" ht="18" customHeight="1" x14ac:dyDescent="0.15">
      <c r="A2203" s="209" t="s">
        <v>3269</v>
      </c>
      <c r="B2203" s="209" t="s">
        <v>3270</v>
      </c>
      <c r="C2203" s="210">
        <v>0.22</v>
      </c>
      <c r="D2203" s="209" t="s">
        <v>3271</v>
      </c>
      <c r="E2203" s="27">
        <f t="shared" si="403"/>
        <v>63890</v>
      </c>
      <c r="F2203" s="28">
        <f t="shared" si="404"/>
        <v>14055.7</v>
      </c>
      <c r="G2203" s="27">
        <v>4929</v>
      </c>
      <c r="H2203" s="28">
        <f t="shared" si="405"/>
        <v>1084.3</v>
      </c>
      <c r="I2203" s="27">
        <v>49471</v>
      </c>
      <c r="J2203" s="28">
        <f t="shared" si="406"/>
        <v>10883.6</v>
      </c>
      <c r="K2203" s="27">
        <v>9490</v>
      </c>
      <c r="L2203" s="28">
        <f t="shared" si="407"/>
        <v>2087.8000000000002</v>
      </c>
      <c r="M2203" s="86" t="s">
        <v>2856</v>
      </c>
      <c r="N2203" t="s">
        <v>2856</v>
      </c>
      <c r="P2203" t="s">
        <v>2428</v>
      </c>
      <c r="Q2203" t="s">
        <v>2856</v>
      </c>
      <c r="R2203" t="s">
        <v>2805</v>
      </c>
    </row>
    <row r="2204" spans="1:30" ht="18.399999999999999" customHeight="1" x14ac:dyDescent="0.15">
      <c r="A2204" s="66" t="s">
        <v>3046</v>
      </c>
      <c r="B2204" s="175" t="s">
        <v>3245</v>
      </c>
      <c r="C2204" s="63"/>
      <c r="D2204" s="63"/>
      <c r="E2204" s="64"/>
      <c r="F2204" s="65">
        <f>H2204+J2204+L2204</f>
        <v>28779</v>
      </c>
      <c r="G2204" s="66"/>
      <c r="H2204" s="65">
        <f>TRUNC(H2199*$B2204)</f>
        <v>946</v>
      </c>
      <c r="I2204" s="66"/>
      <c r="J2204" s="65">
        <f>TRUNC(J2199*$B2204)</f>
        <v>25687</v>
      </c>
      <c r="K2204" s="66"/>
      <c r="L2204" s="65">
        <f>TRUNC(L2199*$B2204)</f>
        <v>2146</v>
      </c>
      <c r="M2204" s="186"/>
      <c r="AA2204" s="42"/>
      <c r="AB2204" s="8"/>
      <c r="AC2204" s="42"/>
      <c r="AD2204" s="7"/>
    </row>
    <row r="2205" spans="1:30" ht="18.399999999999999" customHeight="1" x14ac:dyDescent="0.15">
      <c r="A2205" s="66"/>
      <c r="B2205" s="175"/>
      <c r="C2205" s="63"/>
      <c r="D2205" s="63"/>
      <c r="E2205" s="64"/>
      <c r="F2205" s="65"/>
      <c r="G2205" s="66"/>
      <c r="H2205" s="65"/>
      <c r="I2205" s="66"/>
      <c r="J2205" s="65"/>
      <c r="K2205" s="66"/>
      <c r="L2205" s="65"/>
      <c r="M2205" s="186"/>
      <c r="AA2205" s="42"/>
      <c r="AB2205" s="8"/>
      <c r="AC2205" s="42"/>
      <c r="AD2205" s="7"/>
    </row>
    <row r="2206" spans="1:30" ht="18" customHeight="1" x14ac:dyDescent="0.15">
      <c r="A2206" s="211" t="s">
        <v>3283</v>
      </c>
      <c r="B2206" s="205" t="s">
        <v>3272</v>
      </c>
      <c r="C2206" s="214">
        <v>1</v>
      </c>
      <c r="D2206" s="205" t="s">
        <v>556</v>
      </c>
      <c r="E2206" s="215">
        <f>G2206+I2206+K2206</f>
        <v>0</v>
      </c>
      <c r="F2206" s="216">
        <f>H2206+J2206+L2206</f>
        <v>49864.499999999993</v>
      </c>
      <c r="G2206" s="215">
        <v>0</v>
      </c>
      <c r="H2206" s="216">
        <f>SUM(H2207:H2210)</f>
        <v>1725.1</v>
      </c>
      <c r="I2206" s="215">
        <v>0</v>
      </c>
      <c r="J2206" s="216">
        <f>SUM(J2207:J2210)</f>
        <v>44278.7</v>
      </c>
      <c r="K2206" s="215">
        <v>0</v>
      </c>
      <c r="L2206" s="216">
        <f>SUM(L2207:L2210)</f>
        <v>3860.7</v>
      </c>
      <c r="M2206" s="181" t="s">
        <v>2856</v>
      </c>
      <c r="N2206" t="s">
        <v>2856</v>
      </c>
      <c r="P2206" t="s">
        <v>1686</v>
      </c>
      <c r="Q2206" t="s">
        <v>2856</v>
      </c>
      <c r="R2206" t="s">
        <v>3152</v>
      </c>
    </row>
    <row r="2207" spans="1:30" ht="18" customHeight="1" x14ac:dyDescent="0.15">
      <c r="A2207" s="209" t="s">
        <v>3266</v>
      </c>
      <c r="B2207" s="209">
        <v>0</v>
      </c>
      <c r="C2207" s="210">
        <v>0.09</v>
      </c>
      <c r="D2207" s="209" t="s">
        <v>2652</v>
      </c>
      <c r="E2207" s="27">
        <f t="shared" si="403"/>
        <v>224132</v>
      </c>
      <c r="F2207" s="28">
        <f t="shared" si="404"/>
        <v>20171.8</v>
      </c>
      <c r="G2207" s="27">
        <v>0</v>
      </c>
      <c r="H2207" s="28">
        <f t="shared" si="405"/>
        <v>0</v>
      </c>
      <c r="I2207" s="27">
        <v>224132</v>
      </c>
      <c r="J2207" s="28">
        <f t="shared" si="406"/>
        <v>20171.8</v>
      </c>
      <c r="K2207" s="27">
        <v>0</v>
      </c>
      <c r="L2207" s="28">
        <f t="shared" si="407"/>
        <v>0</v>
      </c>
      <c r="M2207" s="86" t="s">
        <v>2856</v>
      </c>
      <c r="N2207" t="s">
        <v>2856</v>
      </c>
      <c r="P2207" t="s">
        <v>983</v>
      </c>
      <c r="Q2207" t="s">
        <v>2856</v>
      </c>
      <c r="R2207" t="s">
        <v>131</v>
      </c>
      <c r="T2207" t="s">
        <v>1778</v>
      </c>
    </row>
    <row r="2208" spans="1:30" ht="18.399999999999999" customHeight="1" x14ac:dyDescent="0.15">
      <c r="A2208" s="209" t="s">
        <v>185</v>
      </c>
      <c r="B2208" s="209">
        <v>0</v>
      </c>
      <c r="C2208" s="210">
        <v>0.04</v>
      </c>
      <c r="D2208" s="209" t="s">
        <v>2652</v>
      </c>
      <c r="E2208" s="27">
        <f t="shared" si="403"/>
        <v>169804</v>
      </c>
      <c r="F2208" s="28">
        <f t="shared" si="404"/>
        <v>6792.1</v>
      </c>
      <c r="G2208" s="27">
        <v>0</v>
      </c>
      <c r="H2208" s="28">
        <f t="shared" si="405"/>
        <v>0</v>
      </c>
      <c r="I2208" s="27">
        <v>169804</v>
      </c>
      <c r="J2208" s="28">
        <f t="shared" si="406"/>
        <v>6792.1</v>
      </c>
      <c r="K2208" s="27">
        <v>0</v>
      </c>
      <c r="L2208" s="28">
        <f t="shared" si="407"/>
        <v>0</v>
      </c>
      <c r="M2208" s="86" t="s">
        <v>2856</v>
      </c>
      <c r="AA2208" s="42"/>
      <c r="AB2208" s="8"/>
      <c r="AC2208" s="42"/>
      <c r="AD2208" s="7"/>
    </row>
    <row r="2209" spans="1:30" ht="18" customHeight="1" x14ac:dyDescent="0.15">
      <c r="A2209" s="209" t="s">
        <v>3267</v>
      </c>
      <c r="B2209" s="209">
        <v>0</v>
      </c>
      <c r="C2209" s="210">
        <v>1</v>
      </c>
      <c r="D2209" s="209" t="s">
        <v>2303</v>
      </c>
      <c r="E2209" s="27">
        <f t="shared" si="403"/>
        <v>539.20000000000005</v>
      </c>
      <c r="F2209" s="28">
        <f t="shared" si="404"/>
        <v>539.20000000000005</v>
      </c>
      <c r="G2209" s="27">
        <v>0</v>
      </c>
      <c r="H2209" s="28">
        <f t="shared" si="405"/>
        <v>0</v>
      </c>
      <c r="I2209" s="27">
        <v>0</v>
      </c>
      <c r="J2209" s="28">
        <f t="shared" si="406"/>
        <v>0</v>
      </c>
      <c r="K2209" s="27">
        <v>539.20000000000005</v>
      </c>
      <c r="L2209" s="28">
        <f t="shared" si="407"/>
        <v>539.20000000000005</v>
      </c>
      <c r="M2209" s="86" t="s">
        <v>2856</v>
      </c>
      <c r="N2209" t="s">
        <v>2856</v>
      </c>
      <c r="P2209" t="s">
        <v>334</v>
      </c>
      <c r="Q2209" t="s">
        <v>2856</v>
      </c>
      <c r="R2209" t="s">
        <v>69</v>
      </c>
      <c r="T2209" t="s">
        <v>2405</v>
      </c>
    </row>
    <row r="2210" spans="1:30" ht="18" customHeight="1" x14ac:dyDescent="0.15">
      <c r="A2210" s="209" t="s">
        <v>3269</v>
      </c>
      <c r="B2210" s="209" t="s">
        <v>3270</v>
      </c>
      <c r="C2210" s="210">
        <v>0.35</v>
      </c>
      <c r="D2210" s="209" t="s">
        <v>3271</v>
      </c>
      <c r="E2210" s="27">
        <f t="shared" si="403"/>
        <v>63890</v>
      </c>
      <c r="F2210" s="28">
        <f t="shared" si="404"/>
        <v>22361.399999999998</v>
      </c>
      <c r="G2210" s="27">
        <v>4929</v>
      </c>
      <c r="H2210" s="28">
        <f t="shared" si="405"/>
        <v>1725.1</v>
      </c>
      <c r="I2210" s="27">
        <v>49471</v>
      </c>
      <c r="J2210" s="28">
        <f t="shared" si="406"/>
        <v>17314.8</v>
      </c>
      <c r="K2210" s="27">
        <v>9490</v>
      </c>
      <c r="L2210" s="28">
        <f t="shared" si="407"/>
        <v>3321.5</v>
      </c>
      <c r="M2210" s="86" t="s">
        <v>2856</v>
      </c>
      <c r="N2210" t="s">
        <v>2856</v>
      </c>
      <c r="P2210" t="s">
        <v>2471</v>
      </c>
      <c r="Q2210" t="s">
        <v>2856</v>
      </c>
      <c r="R2210" t="s">
        <v>1705</v>
      </c>
      <c r="T2210" t="s">
        <v>2405</v>
      </c>
    </row>
    <row r="2211" spans="1:30" ht="18.399999999999999" customHeight="1" x14ac:dyDescent="0.15">
      <c r="A2211" s="66" t="s">
        <v>3046</v>
      </c>
      <c r="B2211" s="175" t="s">
        <v>3245</v>
      </c>
      <c r="C2211" s="63"/>
      <c r="D2211" s="63"/>
      <c r="E2211" s="64"/>
      <c r="F2211" s="65">
        <f t="shared" si="404"/>
        <v>43528</v>
      </c>
      <c r="G2211" s="66"/>
      <c r="H2211" s="65">
        <f>TRUNC(H2206*$B2211)</f>
        <v>1505</v>
      </c>
      <c r="I2211" s="66"/>
      <c r="J2211" s="65">
        <f>TRUNC(J2206*$B2211)</f>
        <v>38653</v>
      </c>
      <c r="K2211" s="66"/>
      <c r="L2211" s="65">
        <f>TRUNC(L2206*$B2211)</f>
        <v>3370</v>
      </c>
      <c r="M2211" s="186"/>
      <c r="AA2211" s="42"/>
      <c r="AB2211" s="8"/>
      <c r="AC2211" s="42"/>
      <c r="AD2211" s="7"/>
    </row>
    <row r="2212" spans="1:30" ht="18.399999999999999" customHeight="1" x14ac:dyDescent="0.15">
      <c r="A2212" s="66"/>
      <c r="B2212" s="175"/>
      <c r="C2212" s="63"/>
      <c r="D2212" s="63"/>
      <c r="E2212" s="64"/>
      <c r="F2212" s="65"/>
      <c r="G2212" s="66"/>
      <c r="H2212" s="65"/>
      <c r="I2212" s="66"/>
      <c r="J2212" s="65"/>
      <c r="K2212" s="66"/>
      <c r="L2212" s="65"/>
      <c r="M2212" s="186"/>
      <c r="AA2212" s="42"/>
      <c r="AB2212" s="8"/>
      <c r="AC2212" s="42"/>
      <c r="AD2212" s="7"/>
    </row>
    <row r="2213" spans="1:30" ht="18" customHeight="1" x14ac:dyDescent="0.15">
      <c r="A2213" s="211" t="s">
        <v>3284</v>
      </c>
      <c r="B2213" s="205" t="s">
        <v>3273</v>
      </c>
      <c r="C2213" s="214">
        <v>1</v>
      </c>
      <c r="D2213" s="205" t="s">
        <v>556</v>
      </c>
      <c r="E2213" s="215">
        <f t="shared" ref="E2213:F2217" si="408">G2213+I2213+K2213</f>
        <v>0</v>
      </c>
      <c r="F2213" s="216">
        <f t="shared" si="408"/>
        <v>80547</v>
      </c>
      <c r="G2213" s="215">
        <v>0</v>
      </c>
      <c r="H2213" s="216">
        <f>SUM(H2214:H2217)</f>
        <v>2809.5</v>
      </c>
      <c r="I2213" s="215">
        <v>0</v>
      </c>
      <c r="J2213" s="216">
        <f>SUM(J2214:J2217)</f>
        <v>71463</v>
      </c>
      <c r="K2213" s="215">
        <v>0</v>
      </c>
      <c r="L2213" s="216">
        <f>SUM(L2214:L2217)</f>
        <v>6274.5</v>
      </c>
      <c r="M2213" s="181" t="s">
        <v>2856</v>
      </c>
      <c r="N2213" t="s">
        <v>2856</v>
      </c>
      <c r="P2213" t="s">
        <v>1741</v>
      </c>
      <c r="Q2213" t="s">
        <v>2856</v>
      </c>
      <c r="R2213" t="s">
        <v>303</v>
      </c>
      <c r="T2213" t="s">
        <v>2405</v>
      </c>
    </row>
    <row r="2214" spans="1:30" ht="18" customHeight="1" x14ac:dyDescent="0.15">
      <c r="A2214" s="209" t="s">
        <v>3266</v>
      </c>
      <c r="B2214" s="209">
        <v>0</v>
      </c>
      <c r="C2214" s="210">
        <v>0.14000000000000001</v>
      </c>
      <c r="D2214" s="209" t="s">
        <v>2652</v>
      </c>
      <c r="E2214" s="27">
        <f t="shared" si="408"/>
        <v>224132</v>
      </c>
      <c r="F2214" s="28">
        <f t="shared" si="408"/>
        <v>31378.400000000001</v>
      </c>
      <c r="G2214" s="27">
        <v>0</v>
      </c>
      <c r="H2214" s="28">
        <f>TRUNC(G2214*C2214,1)</f>
        <v>0</v>
      </c>
      <c r="I2214" s="27">
        <v>224132</v>
      </c>
      <c r="J2214" s="28">
        <f>TRUNC(I2214*C2214,1)</f>
        <v>31378.400000000001</v>
      </c>
      <c r="K2214" s="27">
        <v>0</v>
      </c>
      <c r="L2214" s="28">
        <f>TRUNC(K2214*C2214,1)</f>
        <v>0</v>
      </c>
      <c r="M2214" s="86" t="s">
        <v>2856</v>
      </c>
      <c r="N2214" t="s">
        <v>2856</v>
      </c>
      <c r="P2214" t="s">
        <v>1036</v>
      </c>
      <c r="Q2214" t="s">
        <v>2856</v>
      </c>
      <c r="R2214" t="s">
        <v>609</v>
      </c>
    </row>
    <row r="2215" spans="1:30" ht="18" customHeight="1" x14ac:dyDescent="0.15">
      <c r="A2215" s="209" t="s">
        <v>185</v>
      </c>
      <c r="B2215" s="209">
        <v>0</v>
      </c>
      <c r="C2215" s="210">
        <v>7.0000000000000007E-2</v>
      </c>
      <c r="D2215" s="209" t="s">
        <v>2652</v>
      </c>
      <c r="E2215" s="27">
        <f t="shared" si="408"/>
        <v>169804</v>
      </c>
      <c r="F2215" s="28">
        <f t="shared" si="408"/>
        <v>11886.2</v>
      </c>
      <c r="G2215" s="27">
        <v>0</v>
      </c>
      <c r="H2215" s="28">
        <f>TRUNC(G2215*C2215,1)</f>
        <v>0</v>
      </c>
      <c r="I2215" s="27">
        <v>169804</v>
      </c>
      <c r="J2215" s="28">
        <f>TRUNC(I2215*C2215,1)</f>
        <v>11886.2</v>
      </c>
      <c r="K2215" s="27">
        <v>0</v>
      </c>
      <c r="L2215" s="28">
        <f>TRUNC(K2215*C2215,1)</f>
        <v>0</v>
      </c>
      <c r="M2215" s="86" t="s">
        <v>2856</v>
      </c>
      <c r="N2215" t="s">
        <v>2856</v>
      </c>
      <c r="P2215" t="s">
        <v>286</v>
      </c>
      <c r="Q2215" t="s">
        <v>2856</v>
      </c>
      <c r="R2215" t="s">
        <v>782</v>
      </c>
      <c r="T2215" t="s">
        <v>1778</v>
      </c>
    </row>
    <row r="2216" spans="1:30" ht="18" customHeight="1" x14ac:dyDescent="0.15">
      <c r="A2216" s="209" t="s">
        <v>3267</v>
      </c>
      <c r="B2216" s="209">
        <v>0</v>
      </c>
      <c r="C2216" s="210">
        <v>1</v>
      </c>
      <c r="D2216" s="209" t="s">
        <v>2303</v>
      </c>
      <c r="E2216" s="27">
        <f t="shared" si="408"/>
        <v>865.2</v>
      </c>
      <c r="F2216" s="28">
        <f t="shared" si="408"/>
        <v>865.2</v>
      </c>
      <c r="G2216" s="27">
        <v>0</v>
      </c>
      <c r="H2216" s="28">
        <f>TRUNC(G2216*C2216,1)</f>
        <v>0</v>
      </c>
      <c r="I2216" s="27">
        <v>0</v>
      </c>
      <c r="J2216" s="28">
        <f>TRUNC(I2216*C2216,1)</f>
        <v>0</v>
      </c>
      <c r="K2216" s="27">
        <v>865.2</v>
      </c>
      <c r="L2216" s="28">
        <f>TRUNC(K2216*C2216,1)</f>
        <v>865.2</v>
      </c>
      <c r="M2216" s="86" t="s">
        <v>2856</v>
      </c>
      <c r="N2216" t="s">
        <v>2856</v>
      </c>
      <c r="P2216" t="s">
        <v>2428</v>
      </c>
      <c r="Q2216" t="s">
        <v>2856</v>
      </c>
      <c r="R2216" t="s">
        <v>2805</v>
      </c>
    </row>
    <row r="2217" spans="1:30" ht="18" customHeight="1" x14ac:dyDescent="0.15">
      <c r="A2217" s="209" t="s">
        <v>3269</v>
      </c>
      <c r="B2217" s="209" t="s">
        <v>3270</v>
      </c>
      <c r="C2217" s="210">
        <v>0.56999999999999995</v>
      </c>
      <c r="D2217" s="209" t="s">
        <v>3271</v>
      </c>
      <c r="E2217" s="27">
        <f t="shared" si="408"/>
        <v>63890</v>
      </c>
      <c r="F2217" s="28">
        <f t="shared" si="408"/>
        <v>36417.200000000004</v>
      </c>
      <c r="G2217" s="27">
        <v>4929</v>
      </c>
      <c r="H2217" s="28">
        <f>TRUNC(G2217*C2217,1)</f>
        <v>2809.5</v>
      </c>
      <c r="I2217" s="27">
        <v>49471</v>
      </c>
      <c r="J2217" s="28">
        <f>TRUNC(I2217*C2217,1)</f>
        <v>28198.400000000001</v>
      </c>
      <c r="K2217" s="27">
        <v>9490</v>
      </c>
      <c r="L2217" s="28">
        <f>TRUNC(K2217*C2217,1)</f>
        <v>5409.3</v>
      </c>
      <c r="M2217" s="86" t="s">
        <v>2856</v>
      </c>
      <c r="N2217" t="s">
        <v>2856</v>
      </c>
      <c r="P2217" t="s">
        <v>1686</v>
      </c>
      <c r="Q2217" t="s">
        <v>2856</v>
      </c>
      <c r="R2217" t="s">
        <v>3152</v>
      </c>
    </row>
    <row r="2218" spans="1:30" ht="18.399999999999999" customHeight="1" x14ac:dyDescent="0.15">
      <c r="A2218" s="66" t="s">
        <v>3046</v>
      </c>
      <c r="B2218" s="175" t="s">
        <v>3245</v>
      </c>
      <c r="C2218" s="63"/>
      <c r="D2218" s="63"/>
      <c r="E2218" s="64"/>
      <c r="F2218" s="65">
        <f>H2218+J2218+L2218</f>
        <v>70312</v>
      </c>
      <c r="G2218" s="66"/>
      <c r="H2218" s="65">
        <f>TRUNC(H2213*$B2218)</f>
        <v>2452</v>
      </c>
      <c r="I2218" s="66"/>
      <c r="J2218" s="65">
        <f>TRUNC(J2213*$B2218)</f>
        <v>62383</v>
      </c>
      <c r="K2218" s="66"/>
      <c r="L2218" s="65">
        <f>TRUNC(L2213*$B2218)</f>
        <v>5477</v>
      </c>
      <c r="M2218" s="186"/>
      <c r="AA2218" s="42"/>
      <c r="AB2218" s="8"/>
      <c r="AC2218" s="42"/>
      <c r="AD2218" s="7"/>
    </row>
    <row r="2219" spans="1:30" ht="18.399999999999999" customHeight="1" x14ac:dyDescent="0.15">
      <c r="A2219" s="66"/>
      <c r="B2219" s="175"/>
      <c r="C2219" s="63"/>
      <c r="D2219" s="63"/>
      <c r="E2219" s="64"/>
      <c r="F2219" s="65"/>
      <c r="G2219" s="66"/>
      <c r="H2219" s="65"/>
      <c r="I2219" s="66"/>
      <c r="J2219" s="65"/>
      <c r="K2219" s="66"/>
      <c r="L2219" s="65"/>
      <c r="M2219" s="186"/>
      <c r="AA2219" s="42"/>
      <c r="AB2219" s="8"/>
      <c r="AC2219" s="42"/>
      <c r="AD2219" s="7"/>
    </row>
    <row r="2220" spans="1:30" ht="18" customHeight="1" x14ac:dyDescent="0.15">
      <c r="A2220" s="209"/>
      <c r="B2220" s="209"/>
      <c r="C2220" s="210"/>
      <c r="D2220" s="209"/>
      <c r="E2220" s="27"/>
      <c r="F2220" s="28"/>
      <c r="G2220" s="27"/>
      <c r="H2220" s="28"/>
      <c r="I2220" s="27"/>
      <c r="J2220" s="28"/>
      <c r="K2220" s="27"/>
      <c r="L2220" s="28"/>
      <c r="M2220" s="86"/>
    </row>
    <row r="2221" spans="1:30" ht="18.399999999999999" customHeight="1" x14ac:dyDescent="0.15">
      <c r="A2221" s="209"/>
      <c r="B2221" s="209"/>
      <c r="C2221" s="210"/>
      <c r="D2221" s="209"/>
      <c r="E2221" s="27"/>
      <c r="F2221" s="28"/>
      <c r="G2221" s="27"/>
      <c r="H2221" s="28"/>
      <c r="I2221" s="27"/>
      <c r="J2221" s="28"/>
      <c r="K2221" s="27"/>
      <c r="L2221" s="28"/>
      <c r="M2221" s="86"/>
      <c r="AA2221" s="42"/>
      <c r="AB2221" s="8"/>
      <c r="AC2221" s="42"/>
      <c r="AD2221" s="7"/>
    </row>
    <row r="2222" spans="1:30" ht="18" customHeight="1" x14ac:dyDescent="0.15">
      <c r="A2222" s="209"/>
      <c r="B2222" s="209"/>
      <c r="C2222" s="210"/>
      <c r="D2222" s="209"/>
      <c r="E2222" s="27"/>
      <c r="F2222" s="28"/>
      <c r="G2222" s="27"/>
      <c r="H2222" s="28"/>
      <c r="I2222" s="27"/>
      <c r="J2222" s="28"/>
      <c r="K2222" s="27"/>
      <c r="L2222" s="28"/>
      <c r="M2222" s="86"/>
    </row>
    <row r="2223" spans="1:30" ht="18" customHeight="1" x14ac:dyDescent="0.15">
      <c r="A2223" s="209"/>
      <c r="B2223" s="209"/>
      <c r="C2223" s="210"/>
      <c r="D2223" s="209"/>
      <c r="E2223" s="27"/>
      <c r="F2223" s="28"/>
      <c r="G2223" s="27"/>
      <c r="H2223" s="28"/>
      <c r="I2223" s="27"/>
      <c r="J2223" s="28"/>
      <c r="K2223" s="27"/>
      <c r="L2223" s="28"/>
      <c r="M2223" s="86"/>
    </row>
    <row r="2224" spans="1:30" ht="18" customHeight="1" x14ac:dyDescent="0.15">
      <c r="A2224" s="209"/>
      <c r="B2224" s="209"/>
      <c r="C2224" s="210"/>
      <c r="D2224" s="209"/>
      <c r="E2224" s="27"/>
      <c r="F2224" s="28"/>
      <c r="G2224" s="27"/>
      <c r="H2224" s="28"/>
      <c r="I2224" s="27"/>
      <c r="J2224" s="28"/>
      <c r="K2224" s="27"/>
      <c r="L2224" s="28"/>
      <c r="M2224" s="86"/>
    </row>
    <row r="2225" spans="1:30" ht="18" customHeight="1" x14ac:dyDescent="0.15">
      <c r="A2225" s="209"/>
      <c r="B2225" s="209"/>
      <c r="C2225" s="210"/>
      <c r="D2225" s="209"/>
      <c r="E2225" s="27"/>
      <c r="F2225" s="28"/>
      <c r="G2225" s="27"/>
      <c r="H2225" s="28"/>
      <c r="I2225" s="27"/>
      <c r="J2225" s="28"/>
      <c r="K2225" s="27"/>
      <c r="L2225" s="28"/>
      <c r="M2225" s="86"/>
    </row>
    <row r="2226" spans="1:30" ht="18" customHeight="1" x14ac:dyDescent="0.15">
      <c r="A2226" s="209"/>
      <c r="B2226" s="209"/>
      <c r="C2226" s="210"/>
      <c r="D2226" s="209"/>
      <c r="E2226" s="27"/>
      <c r="F2226" s="28"/>
      <c r="G2226" s="27"/>
      <c r="H2226" s="28"/>
      <c r="I2226" s="27"/>
      <c r="J2226" s="28"/>
      <c r="K2226" s="27"/>
      <c r="L2226" s="28"/>
      <c r="M2226" s="86"/>
    </row>
    <row r="2227" spans="1:30" ht="18" customHeight="1" x14ac:dyDescent="0.15">
      <c r="A2227" s="209"/>
      <c r="B2227" s="209"/>
      <c r="C2227" s="210"/>
      <c r="D2227" s="209"/>
      <c r="E2227" s="27"/>
      <c r="F2227" s="28"/>
      <c r="G2227" s="27"/>
      <c r="H2227" s="28"/>
      <c r="I2227" s="27"/>
      <c r="J2227" s="28"/>
      <c r="K2227" s="27"/>
      <c r="L2227" s="28"/>
      <c r="M2227" s="86"/>
    </row>
    <row r="2228" spans="1:30" ht="18" customHeight="1" x14ac:dyDescent="0.15">
      <c r="A2228" s="190"/>
      <c r="B2228" s="206"/>
      <c r="C2228" s="190"/>
      <c r="D2228" s="2"/>
      <c r="E2228" s="27"/>
      <c r="F2228" s="28"/>
      <c r="G2228" s="27"/>
      <c r="H2228" s="28"/>
      <c r="I2228" s="27"/>
      <c r="J2228" s="28"/>
      <c r="K2228" s="27"/>
      <c r="L2228" s="28"/>
      <c r="M2228" s="86"/>
    </row>
    <row r="2229" spans="1:30" ht="18" customHeight="1" x14ac:dyDescent="0.15">
      <c r="A2229" s="190"/>
      <c r="B2229" s="206"/>
      <c r="C2229" s="190"/>
      <c r="D2229" s="2"/>
      <c r="E2229" s="27"/>
      <c r="F2229" s="28"/>
      <c r="G2229" s="27"/>
      <c r="H2229" s="28"/>
      <c r="I2229" s="27"/>
      <c r="J2229" s="28"/>
      <c r="K2229" s="27"/>
      <c r="L2229" s="28"/>
      <c r="M2229" s="86"/>
    </row>
    <row r="2230" spans="1:30" ht="18.399999999999999" customHeight="1" x14ac:dyDescent="0.15">
      <c r="A2230" s="207"/>
      <c r="B2230" s="208"/>
      <c r="C2230" s="99"/>
      <c r="D2230" s="63"/>
      <c r="E2230" s="64"/>
      <c r="F2230" s="65"/>
      <c r="G2230" s="66"/>
      <c r="H2230" s="65"/>
      <c r="I2230" s="66"/>
      <c r="J2230" s="65"/>
      <c r="K2230" s="66"/>
      <c r="L2230" s="65"/>
      <c r="M2230" s="186"/>
      <c r="AA2230" s="42"/>
      <c r="AB2230" s="8"/>
      <c r="AC2230" s="42"/>
      <c r="AD2230" s="7"/>
    </row>
  </sheetData>
  <mergeCells count="9">
    <mergeCell ref="I2:J2"/>
    <mergeCell ref="K2:L2"/>
    <mergeCell ref="M2:M3"/>
    <mergeCell ref="A2:A3"/>
    <mergeCell ref="B2:B3"/>
    <mergeCell ref="C2:C3"/>
    <mergeCell ref="D2:D3"/>
    <mergeCell ref="E2:F2"/>
    <mergeCell ref="G2:H2"/>
  </mergeCells>
  <phoneticPr fontId="6" type="noConversion"/>
  <pageMargins left="0.78740157480314965" right="0.31496062992125984" top="0.39370078740157483" bottom="0.39370078740157483" header="0.51181102362204722" footer="0.51181102362204722"/>
  <pageSetup paperSize="9" scale="9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8067-7C0C-4024-A071-CCFE5140856C}">
  <dimension ref="A1:AC285"/>
  <sheetViews>
    <sheetView view="pageBreakPreview" zoomScaleNormal="100" zoomScaleSheetLayoutView="100" workbookViewId="0">
      <pane xSplit="4" ySplit="2" topLeftCell="E153" activePane="bottomRight" state="frozen"/>
      <selection activeCell="F23" sqref="F23"/>
      <selection pane="topRight" activeCell="F23" sqref="F23"/>
      <selection pane="bottomLeft" activeCell="F23" sqref="F23"/>
      <selection pane="bottomRight" activeCell="F23" sqref="F23"/>
    </sheetView>
  </sheetViews>
  <sheetFormatPr defaultRowHeight="18.399999999999999" customHeight="1" x14ac:dyDescent="0.15"/>
  <cols>
    <col min="1" max="1" width="27.6640625" customWidth="1"/>
    <col min="2" max="2" width="20" customWidth="1"/>
    <col min="3" max="3" width="8" customWidth="1"/>
    <col min="4" max="4" width="5" customWidth="1"/>
    <col min="5" max="10" width="13" customWidth="1"/>
    <col min="11" max="11" width="10" customWidth="1"/>
    <col min="12" max="25" width="0" hidden="1" customWidth="1"/>
  </cols>
  <sheetData>
    <row r="1" spans="1:29" ht="18.399999999999999" customHeight="1" thickBot="1" x14ac:dyDescent="0.2">
      <c r="A1" t="s">
        <v>1887</v>
      </c>
    </row>
    <row r="2" spans="1:29" ht="18.399999999999999" customHeight="1" thickBot="1" x14ac:dyDescent="0.2">
      <c r="A2" s="16" t="s">
        <v>452</v>
      </c>
      <c r="B2" s="17" t="s">
        <v>1087</v>
      </c>
      <c r="C2" s="17" t="s">
        <v>74</v>
      </c>
      <c r="D2" s="17" t="s">
        <v>2660</v>
      </c>
      <c r="E2" s="17" t="s">
        <v>2761</v>
      </c>
      <c r="F2" s="17" t="s">
        <v>1952</v>
      </c>
      <c r="G2" s="17"/>
      <c r="H2" s="17" t="s">
        <v>1158</v>
      </c>
      <c r="I2" s="17"/>
      <c r="J2" s="17" t="s">
        <v>186</v>
      </c>
      <c r="K2" s="19" t="s">
        <v>726</v>
      </c>
      <c r="V2" s="1" t="s">
        <v>1762</v>
      </c>
      <c r="W2" s="1" t="s">
        <v>2431</v>
      </c>
      <c r="X2" s="1" t="s">
        <v>2373</v>
      </c>
      <c r="Y2" s="1" t="s">
        <v>909</v>
      </c>
      <c r="AA2" s="1" t="s">
        <v>618</v>
      </c>
    </row>
    <row r="3" spans="1:29" ht="18.399999999999999" customHeight="1" x14ac:dyDescent="0.15">
      <c r="A3" s="11" t="s">
        <v>1387</v>
      </c>
      <c r="B3" s="2" t="s">
        <v>1482</v>
      </c>
      <c r="C3" s="2">
        <v>1</v>
      </c>
      <c r="D3" s="2" t="s">
        <v>2825</v>
      </c>
      <c r="E3" s="29">
        <f t="shared" ref="E3:E34" si="0">F3+H3+J3</f>
        <v>5859</v>
      </c>
      <c r="F3" s="29">
        <f>일위대가_산근!C4</f>
        <v>1054</v>
      </c>
      <c r="G3" s="29"/>
      <c r="H3" s="29">
        <f>일위대가_산근!D4</f>
        <v>3467</v>
      </c>
      <c r="I3" s="29"/>
      <c r="J3" s="29">
        <f>일위대가_산근!E4</f>
        <v>1338</v>
      </c>
      <c r="K3" s="20" t="s">
        <v>2856</v>
      </c>
      <c r="L3" t="s">
        <v>2856</v>
      </c>
      <c r="M3" t="s">
        <v>2633</v>
      </c>
      <c r="N3" t="s">
        <v>2405</v>
      </c>
      <c r="V3" s="29">
        <v>1054</v>
      </c>
      <c r="W3" s="29">
        <v>3467</v>
      </c>
      <c r="X3" s="29">
        <v>1338</v>
      </c>
      <c r="Y3" s="29">
        <v>5859</v>
      </c>
      <c r="AA3" s="7" t="b">
        <f t="shared" ref="AA3:AA34" si="1">EXACT($E3,$Y3)</f>
        <v>1</v>
      </c>
      <c r="AC3" s="34" t="str">
        <f>HYPERLINK("#일위대가_산근!A4","NX1510 →")</f>
        <v>NX1510 →</v>
      </c>
    </row>
    <row r="4" spans="1:29" ht="18.399999999999999" customHeight="1" x14ac:dyDescent="0.15">
      <c r="A4" s="11" t="s">
        <v>742</v>
      </c>
      <c r="B4" s="2" t="s">
        <v>576</v>
      </c>
      <c r="C4" s="2">
        <v>1</v>
      </c>
      <c r="D4" s="2" t="s">
        <v>2825</v>
      </c>
      <c r="E4" s="29">
        <f t="shared" si="0"/>
        <v>5009</v>
      </c>
      <c r="F4" s="29">
        <f>일위대가_산근!C27</f>
        <v>300</v>
      </c>
      <c r="G4" s="29"/>
      <c r="H4" s="29">
        <f>일위대가_산근!D27</f>
        <v>4328</v>
      </c>
      <c r="I4" s="29"/>
      <c r="J4" s="29">
        <f>일위대가_산근!E27</f>
        <v>381</v>
      </c>
      <c r="K4" s="20" t="s">
        <v>2856</v>
      </c>
      <c r="L4" t="s">
        <v>2856</v>
      </c>
      <c r="M4" t="s">
        <v>69</v>
      </c>
      <c r="N4" t="s">
        <v>2405</v>
      </c>
      <c r="V4" s="29">
        <v>300</v>
      </c>
      <c r="W4" s="29">
        <v>4328</v>
      </c>
      <c r="X4" s="29">
        <v>381</v>
      </c>
      <c r="Y4" s="29">
        <v>5009</v>
      </c>
      <c r="AA4" s="7" t="b">
        <f t="shared" si="1"/>
        <v>1</v>
      </c>
      <c r="AC4" s="34" t="str">
        <f>HYPERLINK("#일위대가_산근!A27","N1070 →")</f>
        <v>N1070 →</v>
      </c>
    </row>
    <row r="5" spans="1:29" ht="18.399999999999999" customHeight="1" x14ac:dyDescent="0.15">
      <c r="A5" s="11" t="s">
        <v>2022</v>
      </c>
      <c r="B5" s="2" t="s">
        <v>2429</v>
      </c>
      <c r="C5" s="2">
        <v>1</v>
      </c>
      <c r="D5" s="2" t="s">
        <v>2825</v>
      </c>
      <c r="E5" s="29">
        <f t="shared" si="0"/>
        <v>1588</v>
      </c>
      <c r="F5" s="29">
        <f>일위대가_산근!C58</f>
        <v>285</v>
      </c>
      <c r="G5" s="29"/>
      <c r="H5" s="29">
        <f>일위대가_산근!D58</f>
        <v>940</v>
      </c>
      <c r="I5" s="29"/>
      <c r="J5" s="29">
        <f>일위대가_산근!E58</f>
        <v>363</v>
      </c>
      <c r="K5" s="20" t="s">
        <v>2856</v>
      </c>
      <c r="L5" t="s">
        <v>2856</v>
      </c>
      <c r="M5" t="s">
        <v>1705</v>
      </c>
      <c r="N5" t="s">
        <v>2405</v>
      </c>
      <c r="V5" s="29">
        <v>285</v>
      </c>
      <c r="W5" s="29">
        <v>940</v>
      </c>
      <c r="X5" s="29">
        <v>363</v>
      </c>
      <c r="Y5" s="29">
        <v>1588</v>
      </c>
      <c r="AA5" s="7" t="b">
        <f t="shared" si="1"/>
        <v>1</v>
      </c>
      <c r="AC5" s="34" t="str">
        <f>HYPERLINK("#일위대가_산근!A58","N0860 →")</f>
        <v>N0860 →</v>
      </c>
    </row>
    <row r="6" spans="1:29" ht="18.399999999999999" customHeight="1" x14ac:dyDescent="0.15">
      <c r="A6" s="11" t="s">
        <v>172</v>
      </c>
      <c r="B6" s="2" t="s">
        <v>565</v>
      </c>
      <c r="C6" s="2">
        <v>1</v>
      </c>
      <c r="D6" s="2" t="s">
        <v>2825</v>
      </c>
      <c r="E6" s="29">
        <f t="shared" si="0"/>
        <v>7144</v>
      </c>
      <c r="F6" s="29">
        <f>일위대가_산근!C83</f>
        <v>445</v>
      </c>
      <c r="G6" s="29"/>
      <c r="H6" s="29">
        <f>일위대가_산근!D83</f>
        <v>6329</v>
      </c>
      <c r="I6" s="29"/>
      <c r="J6" s="29">
        <f>일위대가_산근!E83</f>
        <v>370</v>
      </c>
      <c r="K6" s="20" t="s">
        <v>2856</v>
      </c>
      <c r="L6" t="s">
        <v>2856</v>
      </c>
      <c r="M6" t="s">
        <v>1429</v>
      </c>
      <c r="N6" t="s">
        <v>2405</v>
      </c>
      <c r="V6" s="29">
        <v>445</v>
      </c>
      <c r="W6" s="29">
        <v>6329</v>
      </c>
      <c r="X6" s="29">
        <v>370</v>
      </c>
      <c r="Y6" s="29">
        <v>7144</v>
      </c>
      <c r="AA6" s="7" t="b">
        <f t="shared" si="1"/>
        <v>1</v>
      </c>
      <c r="AC6" s="34" t="str">
        <f>HYPERLINK("#일위대가_산근!A83","N1010 →")</f>
        <v>N1010 →</v>
      </c>
    </row>
    <row r="7" spans="1:29" ht="18.399999999999999" customHeight="1" x14ac:dyDescent="0.15">
      <c r="A7" s="11" t="s">
        <v>2219</v>
      </c>
      <c r="B7" s="2" t="s">
        <v>1174</v>
      </c>
      <c r="C7" s="2">
        <v>1</v>
      </c>
      <c r="D7" s="2" t="s">
        <v>1202</v>
      </c>
      <c r="E7" s="29">
        <f t="shared" si="0"/>
        <v>412</v>
      </c>
      <c r="F7" s="29">
        <f>일위대가_산근!C116</f>
        <v>20</v>
      </c>
      <c r="G7" s="29"/>
      <c r="H7" s="29">
        <f>일위대가_산근!D116</f>
        <v>386</v>
      </c>
      <c r="I7" s="29"/>
      <c r="J7" s="29">
        <f>일위대가_산근!E116</f>
        <v>6</v>
      </c>
      <c r="K7" s="20" t="s">
        <v>2856</v>
      </c>
      <c r="L7" t="s">
        <v>2856</v>
      </c>
      <c r="M7" t="s">
        <v>303</v>
      </c>
      <c r="N7" t="s">
        <v>2405</v>
      </c>
      <c r="V7" s="29">
        <v>20</v>
      </c>
      <c r="W7" s="29">
        <v>386</v>
      </c>
      <c r="X7" s="29">
        <v>6</v>
      </c>
      <c r="Y7" s="29">
        <v>412</v>
      </c>
      <c r="AA7" s="7" t="b">
        <f t="shared" si="1"/>
        <v>1</v>
      </c>
      <c r="AC7" s="34" t="str">
        <f>HYPERLINK("#일위대가_산근!A116","N0800 →")</f>
        <v>N0800 →</v>
      </c>
    </row>
    <row r="8" spans="1:29" ht="18.399999999999999" customHeight="1" x14ac:dyDescent="0.15">
      <c r="A8" s="11" t="s">
        <v>1047</v>
      </c>
      <c r="B8" s="2" t="s">
        <v>509</v>
      </c>
      <c r="C8" s="2">
        <v>1</v>
      </c>
      <c r="D8" s="2" t="s">
        <v>2825</v>
      </c>
      <c r="E8" s="29">
        <f t="shared" si="0"/>
        <v>10971</v>
      </c>
      <c r="F8" s="29">
        <f>일위대가_산근!C132</f>
        <v>1106</v>
      </c>
      <c r="G8" s="29"/>
      <c r="H8" s="29">
        <f>일위대가_산근!D132</f>
        <v>8824</v>
      </c>
      <c r="I8" s="29"/>
      <c r="J8" s="29">
        <f>일위대가_산근!E132</f>
        <v>1041</v>
      </c>
      <c r="K8" s="20" t="s">
        <v>2856</v>
      </c>
      <c r="L8" t="s">
        <v>2856</v>
      </c>
      <c r="M8" t="s">
        <v>2833</v>
      </c>
      <c r="N8" t="s">
        <v>2405</v>
      </c>
      <c r="V8" s="29">
        <v>1106</v>
      </c>
      <c r="W8" s="29">
        <v>8824</v>
      </c>
      <c r="X8" s="29">
        <v>1041</v>
      </c>
      <c r="Y8" s="29">
        <v>10971</v>
      </c>
      <c r="AA8" s="7" t="b">
        <f t="shared" si="1"/>
        <v>1</v>
      </c>
      <c r="AC8" s="34" t="str">
        <f>HYPERLINK("#일위대가_산근!A132","N0300 →")</f>
        <v>N0300 →</v>
      </c>
    </row>
    <row r="9" spans="1:29" ht="18.399999999999999" customHeight="1" x14ac:dyDescent="0.15">
      <c r="A9" s="11" t="s">
        <v>431</v>
      </c>
      <c r="B9" s="2" t="s">
        <v>144</v>
      </c>
      <c r="C9" s="2">
        <v>1</v>
      </c>
      <c r="D9" s="2" t="s">
        <v>556</v>
      </c>
      <c r="E9" s="29">
        <f t="shared" si="0"/>
        <v>11468</v>
      </c>
      <c r="F9" s="29">
        <f>'일위대가_호표(신규)'!H4</f>
        <v>119</v>
      </c>
      <c r="G9" s="29"/>
      <c r="H9" s="29">
        <f>'일위대가_호표(신규)'!J4</f>
        <v>11314</v>
      </c>
      <c r="I9" s="29"/>
      <c r="J9" s="29">
        <f>'일위대가_호표(신규)'!L4</f>
        <v>35</v>
      </c>
      <c r="K9" s="20" t="s">
        <v>2856</v>
      </c>
      <c r="L9" t="s">
        <v>2856</v>
      </c>
      <c r="M9" t="s">
        <v>2095</v>
      </c>
      <c r="N9" t="s">
        <v>1778</v>
      </c>
      <c r="V9" s="29">
        <v>114</v>
      </c>
      <c r="W9" s="29">
        <v>11314</v>
      </c>
      <c r="X9" s="29">
        <v>35</v>
      </c>
      <c r="Y9" s="29">
        <v>11463</v>
      </c>
      <c r="AA9" s="7" t="b">
        <f t="shared" si="1"/>
        <v>0</v>
      </c>
      <c r="AC9" s="34" t="str">
        <f>HYPERLINK("#일위대가_호표!A4","HX0020 →")</f>
        <v>HX0020 →</v>
      </c>
    </row>
    <row r="10" spans="1:29" ht="18.399999999999999" customHeight="1" x14ac:dyDescent="0.15">
      <c r="A10" s="11" t="s">
        <v>2375</v>
      </c>
      <c r="B10" s="2" t="s">
        <v>1831</v>
      </c>
      <c r="C10" s="2">
        <v>1</v>
      </c>
      <c r="D10" s="2" t="s">
        <v>556</v>
      </c>
      <c r="E10" s="29">
        <f t="shared" si="0"/>
        <v>91691</v>
      </c>
      <c r="F10" s="29">
        <f>'일위대가_호표(신규)'!H8</f>
        <v>1614</v>
      </c>
      <c r="G10" s="29"/>
      <c r="H10" s="29">
        <f>'일위대가_호표(신규)'!J8</f>
        <v>89527</v>
      </c>
      <c r="I10" s="29"/>
      <c r="J10" s="29">
        <f>'일위대가_호표(신규)'!L8</f>
        <v>550</v>
      </c>
      <c r="K10" s="20" t="s">
        <v>2856</v>
      </c>
      <c r="L10" t="s">
        <v>2856</v>
      </c>
      <c r="M10" t="s">
        <v>488</v>
      </c>
      <c r="N10" t="s">
        <v>1778</v>
      </c>
      <c r="V10" s="29">
        <v>1547</v>
      </c>
      <c r="W10" s="29">
        <v>89527</v>
      </c>
      <c r="X10" s="29">
        <v>550</v>
      </c>
      <c r="Y10" s="29">
        <v>91624</v>
      </c>
      <c r="AA10" s="7" t="b">
        <f t="shared" si="1"/>
        <v>0</v>
      </c>
      <c r="AC10" s="34" t="str">
        <f>HYPERLINK("#일위대가_호표!A8","HX0021 →")</f>
        <v>HX0021 →</v>
      </c>
    </row>
    <row r="11" spans="1:29" ht="18.399999999999999" customHeight="1" x14ac:dyDescent="0.15">
      <c r="A11" s="11" t="s">
        <v>2721</v>
      </c>
      <c r="B11" s="2" t="s">
        <v>150</v>
      </c>
      <c r="C11" s="2">
        <v>1</v>
      </c>
      <c r="D11" s="2" t="s">
        <v>556</v>
      </c>
      <c r="E11" s="29">
        <f t="shared" si="0"/>
        <v>171033</v>
      </c>
      <c r="F11" s="29">
        <f>'일위대가_호표(신규)'!H12</f>
        <v>3104</v>
      </c>
      <c r="G11" s="29"/>
      <c r="H11" s="29">
        <f>'일위대가_호표(신규)'!J12</f>
        <v>166977</v>
      </c>
      <c r="I11" s="29"/>
      <c r="J11" s="29">
        <f>'일위대가_호표(신규)'!L12</f>
        <v>952</v>
      </c>
      <c r="K11" s="20" t="s">
        <v>2856</v>
      </c>
      <c r="L11" t="s">
        <v>2856</v>
      </c>
      <c r="M11" t="s">
        <v>1673</v>
      </c>
      <c r="N11" t="s">
        <v>1778</v>
      </c>
      <c r="V11" s="29">
        <v>2970</v>
      </c>
      <c r="W11" s="29">
        <v>166977</v>
      </c>
      <c r="X11" s="29">
        <v>952</v>
      </c>
      <c r="Y11" s="29">
        <v>170899</v>
      </c>
      <c r="AA11" s="7" t="b">
        <f t="shared" si="1"/>
        <v>0</v>
      </c>
      <c r="AC11" s="34" t="str">
        <f>HYPERLINK("#일위대가_호표!A12","HX0022 →")</f>
        <v>HX0022 →</v>
      </c>
    </row>
    <row r="12" spans="1:29" ht="18.399999999999999" customHeight="1" x14ac:dyDescent="0.15">
      <c r="A12" s="11" t="s">
        <v>1468</v>
      </c>
      <c r="B12" s="2" t="s">
        <v>2079</v>
      </c>
      <c r="C12" s="2">
        <v>1</v>
      </c>
      <c r="D12" s="2" t="s">
        <v>556</v>
      </c>
      <c r="E12" s="29">
        <f t="shared" si="0"/>
        <v>49228</v>
      </c>
      <c r="F12" s="29">
        <f>'일위대가_호표(신규)'!H16</f>
        <v>745</v>
      </c>
      <c r="G12" s="29"/>
      <c r="H12" s="29">
        <f>'일위대가_호표(신규)'!J16</f>
        <v>48243</v>
      </c>
      <c r="I12" s="29"/>
      <c r="J12" s="29">
        <f>'일위대가_호표(신규)'!L16</f>
        <v>240</v>
      </c>
      <c r="K12" s="20" t="s">
        <v>2856</v>
      </c>
      <c r="L12" t="s">
        <v>2856</v>
      </c>
      <c r="M12" t="s">
        <v>16</v>
      </c>
      <c r="N12" t="s">
        <v>1778</v>
      </c>
      <c r="V12" s="29">
        <v>713</v>
      </c>
      <c r="W12" s="29">
        <v>48243</v>
      </c>
      <c r="X12" s="29">
        <v>240</v>
      </c>
      <c r="Y12" s="29">
        <v>49196</v>
      </c>
      <c r="AA12" s="7" t="b">
        <f t="shared" si="1"/>
        <v>0</v>
      </c>
      <c r="AC12" s="34" t="str">
        <f>HYPERLINK("#일위대가_호표!A16","HX0023 →")</f>
        <v>HX0023 →</v>
      </c>
    </row>
    <row r="13" spans="1:29" ht="18.399999999999999" customHeight="1" x14ac:dyDescent="0.15">
      <c r="A13" s="11" t="s">
        <v>1824</v>
      </c>
      <c r="B13" s="2" t="s">
        <v>2097</v>
      </c>
      <c r="C13" s="2">
        <v>1</v>
      </c>
      <c r="D13" s="2" t="s">
        <v>556</v>
      </c>
      <c r="E13" s="29">
        <f t="shared" si="0"/>
        <v>91516</v>
      </c>
      <c r="F13" s="29">
        <f>'일위대가_호표(신규)'!H20</f>
        <v>1583</v>
      </c>
      <c r="G13" s="29"/>
      <c r="H13" s="29">
        <f>'일위대가_호표(신규)'!J20</f>
        <v>89423</v>
      </c>
      <c r="I13" s="29"/>
      <c r="J13" s="29">
        <f>'일위대가_호표(신규)'!L20</f>
        <v>510</v>
      </c>
      <c r="K13" s="20" t="s">
        <v>2856</v>
      </c>
      <c r="L13" t="s">
        <v>2856</v>
      </c>
      <c r="M13" t="s">
        <v>1818</v>
      </c>
      <c r="N13" t="s">
        <v>1778</v>
      </c>
      <c r="V13" s="29">
        <v>1516</v>
      </c>
      <c r="W13" s="29">
        <v>89423</v>
      </c>
      <c r="X13" s="29">
        <v>510</v>
      </c>
      <c r="Y13" s="29">
        <v>91449</v>
      </c>
      <c r="AA13" s="7" t="b">
        <f t="shared" si="1"/>
        <v>0</v>
      </c>
      <c r="AC13" s="34" t="str">
        <f>HYPERLINK("#일위대가_호표!A20","HX0024 →")</f>
        <v>HX0024 →</v>
      </c>
    </row>
    <row r="14" spans="1:29" ht="18.399999999999999" customHeight="1" x14ac:dyDescent="0.15">
      <c r="A14" s="11" t="s">
        <v>1557</v>
      </c>
      <c r="B14" s="2" t="s">
        <v>1581</v>
      </c>
      <c r="C14" s="2">
        <v>1</v>
      </c>
      <c r="D14" s="2" t="s">
        <v>556</v>
      </c>
      <c r="E14" s="29">
        <f t="shared" si="0"/>
        <v>59722</v>
      </c>
      <c r="F14" s="29">
        <f>'일위대가_호표(신규)'!H24</f>
        <v>972</v>
      </c>
      <c r="G14" s="29"/>
      <c r="H14" s="29">
        <f>'일위대가_호표(신규)'!J24</f>
        <v>58396</v>
      </c>
      <c r="I14" s="29"/>
      <c r="J14" s="29">
        <f>'일위대가_호표(신규)'!L24</f>
        <v>354</v>
      </c>
      <c r="K14" s="20" t="s">
        <v>2856</v>
      </c>
      <c r="L14" t="s">
        <v>2856</v>
      </c>
      <c r="M14" t="s">
        <v>578</v>
      </c>
      <c r="N14" t="s">
        <v>1778</v>
      </c>
      <c r="V14" s="29">
        <v>933</v>
      </c>
      <c r="W14" s="29">
        <v>58396</v>
      </c>
      <c r="X14" s="29">
        <v>354</v>
      </c>
      <c r="Y14" s="29">
        <v>59683</v>
      </c>
      <c r="AA14" s="7" t="b">
        <f t="shared" si="1"/>
        <v>0</v>
      </c>
      <c r="AC14" s="34" t="str">
        <f>HYPERLINK("#일위대가_호표!A24","HX0025 →")</f>
        <v>HX0025 →</v>
      </c>
    </row>
    <row r="15" spans="1:29" ht="18.399999999999999" customHeight="1" x14ac:dyDescent="0.15">
      <c r="A15" s="11" t="s">
        <v>1909</v>
      </c>
      <c r="B15" s="2" t="s">
        <v>1816</v>
      </c>
      <c r="C15" s="2">
        <v>1</v>
      </c>
      <c r="D15" s="2" t="s">
        <v>556</v>
      </c>
      <c r="E15" s="29">
        <f t="shared" si="0"/>
        <v>59487</v>
      </c>
      <c r="F15" s="29">
        <f>'일위대가_호표(신규)'!H28</f>
        <v>930</v>
      </c>
      <c r="G15" s="29"/>
      <c r="H15" s="29">
        <f>'일위대가_호표(신규)'!J28</f>
        <v>58257</v>
      </c>
      <c r="I15" s="29"/>
      <c r="J15" s="29">
        <f>'일위대가_호표(신규)'!L28</f>
        <v>300</v>
      </c>
      <c r="K15" s="20" t="s">
        <v>2856</v>
      </c>
      <c r="L15" t="s">
        <v>2856</v>
      </c>
      <c r="M15" t="s">
        <v>1578</v>
      </c>
      <c r="N15" t="s">
        <v>1778</v>
      </c>
      <c r="V15" s="29">
        <v>891</v>
      </c>
      <c r="W15" s="29">
        <v>58257</v>
      </c>
      <c r="X15" s="29">
        <v>300</v>
      </c>
      <c r="Y15" s="29">
        <v>59448</v>
      </c>
      <c r="AA15" s="7" t="b">
        <f t="shared" si="1"/>
        <v>0</v>
      </c>
      <c r="AC15" s="34" t="str">
        <f>HYPERLINK("#일위대가_호표!A28","HX0026 →")</f>
        <v>HX0026 →</v>
      </c>
    </row>
    <row r="16" spans="1:29" ht="18.399999999999999" customHeight="1" x14ac:dyDescent="0.15">
      <c r="A16" s="11" t="s">
        <v>1136</v>
      </c>
      <c r="B16" s="2" t="s">
        <v>2659</v>
      </c>
      <c r="C16" s="2">
        <v>1</v>
      </c>
      <c r="D16" s="2" t="s">
        <v>556</v>
      </c>
      <c r="E16" s="29">
        <f t="shared" si="0"/>
        <v>35329</v>
      </c>
      <c r="F16" s="29">
        <f>'일위대가_호표(신규)'!H32</f>
        <v>490</v>
      </c>
      <c r="G16" s="29"/>
      <c r="H16" s="29">
        <f>'일위대가_호표(신규)'!J32</f>
        <v>34684</v>
      </c>
      <c r="I16" s="29"/>
      <c r="J16" s="29">
        <f>'일위대가_호표(신규)'!L32</f>
        <v>155</v>
      </c>
      <c r="K16" s="20" t="s">
        <v>2856</v>
      </c>
      <c r="L16" t="s">
        <v>2856</v>
      </c>
      <c r="M16" t="s">
        <v>278</v>
      </c>
      <c r="N16" t="s">
        <v>1778</v>
      </c>
      <c r="V16" s="29">
        <v>469</v>
      </c>
      <c r="W16" s="29">
        <v>34684</v>
      </c>
      <c r="X16" s="29">
        <v>155</v>
      </c>
      <c r="Y16" s="29">
        <v>35308</v>
      </c>
      <c r="AA16" s="7" t="b">
        <f t="shared" si="1"/>
        <v>0</v>
      </c>
      <c r="AC16" s="34" t="str">
        <f>HYPERLINK("#일위대가_호표!A32","HX0027 →")</f>
        <v>HX0027 →</v>
      </c>
    </row>
    <row r="17" spans="1:29" ht="18.399999999999999" customHeight="1" x14ac:dyDescent="0.15">
      <c r="A17" s="11" t="s">
        <v>728</v>
      </c>
      <c r="B17" s="2" t="s">
        <v>2586</v>
      </c>
      <c r="C17" s="2">
        <v>1</v>
      </c>
      <c r="D17" s="2" t="s">
        <v>556</v>
      </c>
      <c r="E17" s="29">
        <f t="shared" si="0"/>
        <v>49228</v>
      </c>
      <c r="F17" s="29">
        <f>'일위대가_호표(신규)'!H36</f>
        <v>745</v>
      </c>
      <c r="G17" s="29"/>
      <c r="H17" s="29">
        <f>'일위대가_호표(신규)'!J36</f>
        <v>48243</v>
      </c>
      <c r="I17" s="29"/>
      <c r="J17" s="29">
        <f>'일위대가_호표(신규)'!L36</f>
        <v>240</v>
      </c>
      <c r="K17" s="20" t="s">
        <v>2856</v>
      </c>
      <c r="L17" t="s">
        <v>2856</v>
      </c>
      <c r="M17" t="s">
        <v>1528</v>
      </c>
      <c r="N17" t="s">
        <v>1778</v>
      </c>
      <c r="V17" s="29">
        <v>713</v>
      </c>
      <c r="W17" s="29">
        <v>48243</v>
      </c>
      <c r="X17" s="29">
        <v>240</v>
      </c>
      <c r="Y17" s="29">
        <v>49196</v>
      </c>
      <c r="AA17" s="7" t="b">
        <f t="shared" si="1"/>
        <v>0</v>
      </c>
      <c r="AC17" s="34" t="str">
        <f>HYPERLINK("#일위대가_호표!A36","HX0028 →")</f>
        <v>HX0028 →</v>
      </c>
    </row>
    <row r="18" spans="1:29" ht="18.399999999999999" customHeight="1" x14ac:dyDescent="0.15">
      <c r="A18" s="11" t="s">
        <v>2140</v>
      </c>
      <c r="B18" s="2" t="s">
        <v>1281</v>
      </c>
      <c r="C18" s="2">
        <v>1</v>
      </c>
      <c r="D18" s="2" t="s">
        <v>556</v>
      </c>
      <c r="E18" s="29">
        <f t="shared" si="0"/>
        <v>35329</v>
      </c>
      <c r="F18" s="29">
        <f>'일위대가_호표(신규)'!H40</f>
        <v>490</v>
      </c>
      <c r="G18" s="29"/>
      <c r="H18" s="29">
        <f>'일위대가_호표(신규)'!J40</f>
        <v>34684</v>
      </c>
      <c r="I18" s="29"/>
      <c r="J18" s="29">
        <f>'일위대가_호표(신규)'!L40</f>
        <v>155</v>
      </c>
      <c r="K18" s="20" t="s">
        <v>2856</v>
      </c>
      <c r="L18" t="s">
        <v>2856</v>
      </c>
      <c r="M18" t="s">
        <v>340</v>
      </c>
      <c r="N18" t="s">
        <v>1778</v>
      </c>
      <c r="V18" s="29">
        <v>469</v>
      </c>
      <c r="W18" s="29">
        <v>34684</v>
      </c>
      <c r="X18" s="29">
        <v>155</v>
      </c>
      <c r="Y18" s="29">
        <v>35308</v>
      </c>
      <c r="AA18" s="7" t="b">
        <f t="shared" si="1"/>
        <v>0</v>
      </c>
      <c r="AC18" s="34" t="str">
        <f>HYPERLINK("#일위대가_호표!A40","HX0029 →")</f>
        <v>HX0029 →</v>
      </c>
    </row>
    <row r="19" spans="1:29" ht="18.399999999999999" customHeight="1" x14ac:dyDescent="0.15">
      <c r="A19" s="11" t="s">
        <v>50</v>
      </c>
      <c r="B19" s="2" t="s">
        <v>490</v>
      </c>
      <c r="C19" s="2">
        <v>1</v>
      </c>
      <c r="D19" s="2" t="s">
        <v>556</v>
      </c>
      <c r="E19" s="29">
        <f t="shared" si="0"/>
        <v>16038</v>
      </c>
      <c r="F19" s="29">
        <f>'일위대가_호표(신규)'!H44</f>
        <v>941</v>
      </c>
      <c r="G19" s="29"/>
      <c r="H19" s="29">
        <f>'일위대가_호표(신규)'!J44</f>
        <v>14018</v>
      </c>
      <c r="I19" s="29"/>
      <c r="J19" s="29">
        <f>'일위대가_호표(신규)'!L44</f>
        <v>1079</v>
      </c>
      <c r="K19" s="20" t="s">
        <v>2856</v>
      </c>
      <c r="L19" t="s">
        <v>2856</v>
      </c>
      <c r="M19" t="s">
        <v>2791</v>
      </c>
      <c r="N19" t="s">
        <v>1778</v>
      </c>
      <c r="V19" s="29">
        <v>936</v>
      </c>
      <c r="W19" s="29">
        <v>14018</v>
      </c>
      <c r="X19" s="29">
        <v>1079</v>
      </c>
      <c r="Y19" s="29">
        <v>16033</v>
      </c>
      <c r="AA19" s="7" t="b">
        <f t="shared" si="1"/>
        <v>0</v>
      </c>
      <c r="AC19" s="34" t="str">
        <f>HYPERLINK("#일위대가_호표!A44","HX0030 →")</f>
        <v>HX0030 →</v>
      </c>
    </row>
    <row r="20" spans="1:29" ht="18.399999999999999" customHeight="1" x14ac:dyDescent="0.15">
      <c r="A20" s="11" t="s">
        <v>2758</v>
      </c>
      <c r="B20" s="2" t="s">
        <v>945</v>
      </c>
      <c r="C20" s="2">
        <v>1</v>
      </c>
      <c r="D20" s="2" t="s">
        <v>556</v>
      </c>
      <c r="E20" s="29">
        <f t="shared" si="0"/>
        <v>49228</v>
      </c>
      <c r="F20" s="29">
        <f>'일위대가_호표(신규)'!H48</f>
        <v>745</v>
      </c>
      <c r="G20" s="29"/>
      <c r="H20" s="29">
        <f>'일위대가_호표(신규)'!J48</f>
        <v>48243</v>
      </c>
      <c r="I20" s="29"/>
      <c r="J20" s="29">
        <f>'일위대가_호표(신규)'!L48</f>
        <v>240</v>
      </c>
      <c r="K20" s="20" t="s">
        <v>2856</v>
      </c>
      <c r="L20" t="s">
        <v>2856</v>
      </c>
      <c r="M20" t="s">
        <v>1212</v>
      </c>
      <c r="N20" t="s">
        <v>1778</v>
      </c>
      <c r="V20" s="29">
        <v>713</v>
      </c>
      <c r="W20" s="29">
        <v>48243</v>
      </c>
      <c r="X20" s="29">
        <v>240</v>
      </c>
      <c r="Y20" s="29">
        <v>49196</v>
      </c>
      <c r="AA20" s="7" t="b">
        <f t="shared" si="1"/>
        <v>0</v>
      </c>
      <c r="AC20" s="34" t="str">
        <f>HYPERLINK("#일위대가_호표!A48","HX0031 →")</f>
        <v>HX0031 →</v>
      </c>
    </row>
    <row r="21" spans="1:29" ht="18.399999999999999" customHeight="1" x14ac:dyDescent="0.15">
      <c r="A21" s="11" t="s">
        <v>1167</v>
      </c>
      <c r="B21" s="2" t="s">
        <v>2364</v>
      </c>
      <c r="C21" s="2">
        <v>1</v>
      </c>
      <c r="D21" s="2" t="s">
        <v>556</v>
      </c>
      <c r="E21" s="29">
        <f t="shared" si="0"/>
        <v>37556</v>
      </c>
      <c r="F21" s="29">
        <f>'일위대가_호표(신규)'!H52</f>
        <v>891</v>
      </c>
      <c r="G21" s="29"/>
      <c r="H21" s="29">
        <f>'일위대가_호표(신규)'!J52</f>
        <v>36001</v>
      </c>
      <c r="I21" s="29"/>
      <c r="J21" s="29">
        <f>'일위대가_호표(신규)'!L52</f>
        <v>664</v>
      </c>
      <c r="K21" s="20" t="s">
        <v>2856</v>
      </c>
      <c r="L21" t="s">
        <v>2856</v>
      </c>
      <c r="M21" t="s">
        <v>2391</v>
      </c>
      <c r="N21" t="s">
        <v>1778</v>
      </c>
      <c r="V21" s="29">
        <v>870</v>
      </c>
      <c r="W21" s="29">
        <v>36001</v>
      </c>
      <c r="X21" s="29">
        <v>664</v>
      </c>
      <c r="Y21" s="29">
        <v>37535</v>
      </c>
      <c r="AA21" s="7" t="b">
        <f t="shared" si="1"/>
        <v>0</v>
      </c>
      <c r="AC21" s="34" t="str">
        <f>HYPERLINK("#일위대가_호표!A52","HX0032 →")</f>
        <v>HX0032 →</v>
      </c>
    </row>
    <row r="22" spans="1:29" ht="18.399999999999999" customHeight="1" x14ac:dyDescent="0.15">
      <c r="A22" s="11" t="s">
        <v>197</v>
      </c>
      <c r="B22" s="2" t="s">
        <v>1558</v>
      </c>
      <c r="C22" s="2">
        <v>1</v>
      </c>
      <c r="D22" s="2" t="s">
        <v>556</v>
      </c>
      <c r="E22" s="29">
        <f t="shared" si="0"/>
        <v>59487</v>
      </c>
      <c r="F22" s="29">
        <f>'일위대가_호표(신규)'!H56</f>
        <v>930</v>
      </c>
      <c r="G22" s="29"/>
      <c r="H22" s="29">
        <f>'일위대가_호표(신규)'!J56</f>
        <v>58257</v>
      </c>
      <c r="I22" s="29"/>
      <c r="J22" s="29">
        <f>'일위대가_호표(신규)'!L56</f>
        <v>300</v>
      </c>
      <c r="K22" s="20" t="s">
        <v>2856</v>
      </c>
      <c r="L22" t="s">
        <v>2856</v>
      </c>
      <c r="M22" t="s">
        <v>702</v>
      </c>
      <c r="N22" t="s">
        <v>1778</v>
      </c>
      <c r="V22" s="29">
        <v>891</v>
      </c>
      <c r="W22" s="29">
        <v>58257</v>
      </c>
      <c r="X22" s="29">
        <v>300</v>
      </c>
      <c r="Y22" s="29">
        <v>59448</v>
      </c>
      <c r="AA22" s="7" t="b">
        <f t="shared" si="1"/>
        <v>0</v>
      </c>
      <c r="AC22" s="34" t="str">
        <f>HYPERLINK("#일위대가_호표!A56","HX0033 →")</f>
        <v>HX0033 →</v>
      </c>
    </row>
    <row r="23" spans="1:29" ht="18.399999999999999" customHeight="1" x14ac:dyDescent="0.15">
      <c r="A23" s="11" t="s">
        <v>1460</v>
      </c>
      <c r="B23" s="2" t="s">
        <v>164</v>
      </c>
      <c r="C23" s="2">
        <v>1</v>
      </c>
      <c r="D23" s="2" t="s">
        <v>556</v>
      </c>
      <c r="E23" s="29">
        <f t="shared" si="0"/>
        <v>28813</v>
      </c>
      <c r="F23" s="29">
        <f>'일위대가_호표(신규)'!H60</f>
        <v>384</v>
      </c>
      <c r="G23" s="29"/>
      <c r="H23" s="29">
        <f>'일위대가_호표(신규)'!J60</f>
        <v>28284</v>
      </c>
      <c r="I23" s="29"/>
      <c r="J23" s="29">
        <f>'일위대가_호표(신규)'!L60</f>
        <v>145</v>
      </c>
      <c r="K23" s="20" t="s">
        <v>2856</v>
      </c>
      <c r="L23" t="s">
        <v>2856</v>
      </c>
      <c r="M23" t="s">
        <v>2540</v>
      </c>
      <c r="N23" t="s">
        <v>1778</v>
      </c>
      <c r="V23" s="29">
        <v>369</v>
      </c>
      <c r="W23" s="29">
        <v>28284</v>
      </c>
      <c r="X23" s="29">
        <v>145</v>
      </c>
      <c r="Y23" s="29">
        <v>28798</v>
      </c>
      <c r="AA23" s="7" t="b">
        <f t="shared" si="1"/>
        <v>0</v>
      </c>
      <c r="AC23" s="34" t="str">
        <f>HYPERLINK("#일위대가_호표!A60","HX0034 →")</f>
        <v>HX0034 →</v>
      </c>
    </row>
    <row r="24" spans="1:29" ht="18.399999999999999" customHeight="1" x14ac:dyDescent="0.15">
      <c r="A24" s="11" t="s">
        <v>1261</v>
      </c>
      <c r="B24" s="2" t="s">
        <v>18</v>
      </c>
      <c r="C24" s="2">
        <v>1</v>
      </c>
      <c r="D24" s="2" t="s">
        <v>556</v>
      </c>
      <c r="E24" s="29">
        <f t="shared" si="0"/>
        <v>22244</v>
      </c>
      <c r="F24" s="29">
        <f>'일위대가_호표(신규)'!H64</f>
        <v>248</v>
      </c>
      <c r="G24" s="29"/>
      <c r="H24" s="29">
        <f>'일위대가_호표(신규)'!J64</f>
        <v>21912</v>
      </c>
      <c r="I24" s="29"/>
      <c r="J24" s="29">
        <f>'일위대가_호표(신규)'!L64</f>
        <v>84</v>
      </c>
      <c r="K24" s="20" t="s">
        <v>2856</v>
      </c>
      <c r="L24" t="s">
        <v>2856</v>
      </c>
      <c r="M24" t="s">
        <v>1318</v>
      </c>
      <c r="N24" t="s">
        <v>1778</v>
      </c>
      <c r="V24" s="29">
        <v>238</v>
      </c>
      <c r="W24" s="29">
        <v>21912</v>
      </c>
      <c r="X24" s="29">
        <v>84</v>
      </c>
      <c r="Y24" s="29">
        <v>22234</v>
      </c>
      <c r="AA24" s="7" t="b">
        <f t="shared" si="1"/>
        <v>0</v>
      </c>
      <c r="AC24" s="34" t="str">
        <f>HYPERLINK("#일위대가_호표!A64","HX0035 →")</f>
        <v>HX0035 →</v>
      </c>
    </row>
    <row r="25" spans="1:29" ht="18.399999999999999" customHeight="1" x14ac:dyDescent="0.15">
      <c r="A25" s="11" t="s">
        <v>2693</v>
      </c>
      <c r="B25" s="2" t="s">
        <v>2797</v>
      </c>
      <c r="C25" s="2">
        <v>1</v>
      </c>
      <c r="D25" s="2" t="s">
        <v>556</v>
      </c>
      <c r="E25" s="29">
        <f t="shared" si="0"/>
        <v>22126</v>
      </c>
      <c r="F25" s="29">
        <f>'일위대가_호표(신규)'!H68</f>
        <v>227</v>
      </c>
      <c r="G25" s="29"/>
      <c r="H25" s="29">
        <f>'일위대가_호표(신규)'!J68</f>
        <v>21842</v>
      </c>
      <c r="I25" s="29"/>
      <c r="J25" s="29">
        <f>'일위대가_호표(신규)'!L68</f>
        <v>57</v>
      </c>
      <c r="K25" s="20" t="s">
        <v>2856</v>
      </c>
      <c r="L25" t="s">
        <v>2856</v>
      </c>
      <c r="M25" t="s">
        <v>2315</v>
      </c>
      <c r="N25" t="s">
        <v>1778</v>
      </c>
      <c r="V25" s="29">
        <v>217</v>
      </c>
      <c r="W25" s="29">
        <v>21842</v>
      </c>
      <c r="X25" s="29">
        <v>57</v>
      </c>
      <c r="Y25" s="29">
        <v>22116</v>
      </c>
      <c r="AA25" s="7" t="b">
        <f t="shared" si="1"/>
        <v>0</v>
      </c>
      <c r="AC25" s="34" t="str">
        <f>HYPERLINK("#일위대가_호표!A68","HX0036 →")</f>
        <v>HX0036 →</v>
      </c>
    </row>
    <row r="26" spans="1:29" ht="18.399999999999999" customHeight="1" x14ac:dyDescent="0.15">
      <c r="A26" s="11" t="s">
        <v>83</v>
      </c>
      <c r="B26" s="2" t="s">
        <v>1592</v>
      </c>
      <c r="C26" s="2">
        <v>1</v>
      </c>
      <c r="D26" s="2" t="s">
        <v>556</v>
      </c>
      <c r="E26" s="29">
        <f t="shared" si="0"/>
        <v>11468</v>
      </c>
      <c r="F26" s="29">
        <f>'일위대가_호표(신규)'!H72</f>
        <v>119</v>
      </c>
      <c r="G26" s="29"/>
      <c r="H26" s="29">
        <f>'일위대가_호표(신규)'!J72</f>
        <v>11314</v>
      </c>
      <c r="I26" s="29"/>
      <c r="J26" s="29">
        <f>'일위대가_호표(신규)'!L72</f>
        <v>35</v>
      </c>
      <c r="K26" s="20" t="s">
        <v>2856</v>
      </c>
      <c r="L26" t="s">
        <v>2856</v>
      </c>
      <c r="M26" t="s">
        <v>1016</v>
      </c>
      <c r="N26" t="s">
        <v>1778</v>
      </c>
      <c r="V26" s="29">
        <v>114</v>
      </c>
      <c r="W26" s="29">
        <v>11314</v>
      </c>
      <c r="X26" s="29">
        <v>35</v>
      </c>
      <c r="Y26" s="29">
        <v>11463</v>
      </c>
      <c r="AA26" s="7" t="b">
        <f t="shared" si="1"/>
        <v>0</v>
      </c>
      <c r="AC26" s="34" t="str">
        <f>HYPERLINK("#일위대가_호표!A72","HX0037 →")</f>
        <v>HX0037 →</v>
      </c>
    </row>
    <row r="27" spans="1:29" ht="18.399999999999999" customHeight="1" x14ac:dyDescent="0.15">
      <c r="A27" s="11" t="s">
        <v>384</v>
      </c>
      <c r="B27" s="2" t="s">
        <v>527</v>
      </c>
      <c r="C27" s="2">
        <v>1</v>
      </c>
      <c r="D27" s="2" t="s">
        <v>556</v>
      </c>
      <c r="E27" s="29">
        <f t="shared" si="0"/>
        <v>725</v>
      </c>
      <c r="F27" s="29">
        <f>'일위대가_호표(신규)'!H76</f>
        <v>10</v>
      </c>
      <c r="G27" s="29"/>
      <c r="H27" s="29">
        <f>'일위대가_호표(신규)'!J76</f>
        <v>702</v>
      </c>
      <c r="I27" s="29"/>
      <c r="J27" s="29">
        <f>'일위대가_호표(신규)'!L76</f>
        <v>13</v>
      </c>
      <c r="K27" s="20" t="s">
        <v>2856</v>
      </c>
      <c r="L27" t="s">
        <v>2856</v>
      </c>
      <c r="M27" t="s">
        <v>2246</v>
      </c>
      <c r="N27" t="s">
        <v>1778</v>
      </c>
      <c r="V27" s="29">
        <v>10</v>
      </c>
      <c r="W27" s="29">
        <v>702</v>
      </c>
      <c r="X27" s="29">
        <v>13</v>
      </c>
      <c r="Y27" s="29">
        <v>725</v>
      </c>
      <c r="AA27" s="7" t="b">
        <f t="shared" si="1"/>
        <v>1</v>
      </c>
      <c r="AC27" s="34" t="str">
        <f>HYPERLINK("#일위대가_호표!A76","HX0038 →")</f>
        <v>HX0038 →</v>
      </c>
    </row>
    <row r="28" spans="1:29" ht="18.399999999999999" customHeight="1" x14ac:dyDescent="0.15">
      <c r="A28" s="11" t="s">
        <v>1955</v>
      </c>
      <c r="B28" s="2" t="s">
        <v>1737</v>
      </c>
      <c r="C28" s="2">
        <v>1</v>
      </c>
      <c r="D28" s="2" t="s">
        <v>556</v>
      </c>
      <c r="E28" s="29">
        <f t="shared" si="0"/>
        <v>11468</v>
      </c>
      <c r="F28" s="29">
        <f>'일위대가_호표(신규)'!H80</f>
        <v>119</v>
      </c>
      <c r="G28" s="29"/>
      <c r="H28" s="29">
        <f>'일위대가_호표(신규)'!J80</f>
        <v>11314</v>
      </c>
      <c r="I28" s="29"/>
      <c r="J28" s="29">
        <f>'일위대가_호표(신규)'!L80</f>
        <v>35</v>
      </c>
      <c r="K28" s="20" t="s">
        <v>2856</v>
      </c>
      <c r="L28" t="s">
        <v>2856</v>
      </c>
      <c r="M28" t="s">
        <v>1070</v>
      </c>
      <c r="N28" t="s">
        <v>1778</v>
      </c>
      <c r="V28" s="29">
        <v>114</v>
      </c>
      <c r="W28" s="29">
        <v>11314</v>
      </c>
      <c r="X28" s="29">
        <v>35</v>
      </c>
      <c r="Y28" s="29">
        <v>11463</v>
      </c>
      <c r="AA28" s="7" t="b">
        <f t="shared" si="1"/>
        <v>0</v>
      </c>
      <c r="AC28" s="34" t="str">
        <f>HYPERLINK("#일위대가_호표!A80","HX0039 →")</f>
        <v>HX0039 →</v>
      </c>
    </row>
    <row r="29" spans="1:29" ht="18.399999999999999" customHeight="1" x14ac:dyDescent="0.15">
      <c r="A29" s="11" t="s">
        <v>1084</v>
      </c>
      <c r="B29" s="2" t="s">
        <v>1323</v>
      </c>
      <c r="C29" s="2">
        <v>1</v>
      </c>
      <c r="D29" s="2" t="s">
        <v>556</v>
      </c>
      <c r="E29" s="29">
        <f t="shared" si="0"/>
        <v>8062</v>
      </c>
      <c r="F29" s="29">
        <f>'일위대가_호표(신규)'!H84</f>
        <v>67</v>
      </c>
      <c r="G29" s="29"/>
      <c r="H29" s="29">
        <f>'일위대가_호표(신규)'!J84</f>
        <v>7971</v>
      </c>
      <c r="I29" s="29"/>
      <c r="J29" s="29">
        <f>'일위대가_호표(신규)'!L84</f>
        <v>24</v>
      </c>
      <c r="K29" s="20" t="s">
        <v>2856</v>
      </c>
      <c r="L29" t="s">
        <v>2856</v>
      </c>
      <c r="M29" t="s">
        <v>671</v>
      </c>
      <c r="N29" t="s">
        <v>1778</v>
      </c>
      <c r="V29" s="29">
        <v>65</v>
      </c>
      <c r="W29" s="29">
        <v>7971</v>
      </c>
      <c r="X29" s="29">
        <v>24</v>
      </c>
      <c r="Y29" s="29">
        <v>8060</v>
      </c>
      <c r="AA29" s="7" t="b">
        <f t="shared" si="1"/>
        <v>0</v>
      </c>
      <c r="AC29" s="34" t="str">
        <f>HYPERLINK("#일위대가_호표!A84","HX0040 →")</f>
        <v>HX0040 →</v>
      </c>
    </row>
    <row r="30" spans="1:29" ht="18.399999999999999" customHeight="1" x14ac:dyDescent="0.15">
      <c r="A30" s="11" t="s">
        <v>2614</v>
      </c>
      <c r="B30" s="2" t="s">
        <v>1558</v>
      </c>
      <c r="C30" s="2">
        <v>1</v>
      </c>
      <c r="D30" s="2" t="s">
        <v>556</v>
      </c>
      <c r="E30" s="29">
        <f t="shared" si="0"/>
        <v>59487</v>
      </c>
      <c r="F30" s="29">
        <f>'일위대가_호표(신규)'!H88</f>
        <v>930</v>
      </c>
      <c r="G30" s="29"/>
      <c r="H30" s="29">
        <f>'일위대가_호표(신규)'!J88</f>
        <v>58257</v>
      </c>
      <c r="I30" s="29"/>
      <c r="J30" s="29">
        <f>'일위대가_호표(신규)'!L88</f>
        <v>300</v>
      </c>
      <c r="K30" s="20" t="s">
        <v>2856</v>
      </c>
      <c r="L30" t="s">
        <v>2856</v>
      </c>
      <c r="M30" t="s">
        <v>1904</v>
      </c>
      <c r="N30" t="s">
        <v>1778</v>
      </c>
      <c r="V30" s="29">
        <v>891</v>
      </c>
      <c r="W30" s="29">
        <v>58257</v>
      </c>
      <c r="X30" s="29">
        <v>300</v>
      </c>
      <c r="Y30" s="29">
        <v>59448</v>
      </c>
      <c r="AA30" s="7" t="b">
        <f t="shared" si="1"/>
        <v>0</v>
      </c>
      <c r="AC30" s="34" t="str">
        <f>HYPERLINK("#일위대가_호표!A88","HX0041 →")</f>
        <v>HX0041 →</v>
      </c>
    </row>
    <row r="31" spans="1:29" ht="18.399999999999999" customHeight="1" x14ac:dyDescent="0.15">
      <c r="A31" s="11" t="s">
        <v>823</v>
      </c>
      <c r="B31" s="2" t="s">
        <v>2244</v>
      </c>
      <c r="C31" s="2">
        <v>1</v>
      </c>
      <c r="D31" s="2" t="s">
        <v>556</v>
      </c>
      <c r="E31" s="29">
        <f t="shared" si="0"/>
        <v>28637</v>
      </c>
      <c r="F31" s="29">
        <f>'일위대가_호표(신규)'!H92</f>
        <v>352</v>
      </c>
      <c r="G31" s="29"/>
      <c r="H31" s="29">
        <f>'일위대가_호표(신규)'!J92</f>
        <v>28180</v>
      </c>
      <c r="I31" s="29"/>
      <c r="J31" s="29">
        <f>'일위대가_호표(신규)'!L92</f>
        <v>105</v>
      </c>
      <c r="K31" s="20" t="s">
        <v>2856</v>
      </c>
      <c r="L31" t="s">
        <v>2856</v>
      </c>
      <c r="M31" t="s">
        <v>187</v>
      </c>
      <c r="N31" t="s">
        <v>1778</v>
      </c>
      <c r="V31" s="29">
        <v>337</v>
      </c>
      <c r="W31" s="29">
        <v>28180</v>
      </c>
      <c r="X31" s="29">
        <v>105</v>
      </c>
      <c r="Y31" s="29">
        <v>28622</v>
      </c>
      <c r="AA31" s="7" t="b">
        <f t="shared" si="1"/>
        <v>0</v>
      </c>
      <c r="AC31" s="34" t="str">
        <f>HYPERLINK("#일위대가_호표!A92","HX0042 →")</f>
        <v>HX0042 →</v>
      </c>
    </row>
    <row r="32" spans="1:29" ht="18.399999999999999" customHeight="1" x14ac:dyDescent="0.15">
      <c r="A32" s="11" t="s">
        <v>572</v>
      </c>
      <c r="B32" s="2" t="s">
        <v>1323</v>
      </c>
      <c r="C32" s="2">
        <v>1</v>
      </c>
      <c r="D32" s="2" t="s">
        <v>556</v>
      </c>
      <c r="E32" s="29">
        <f t="shared" si="0"/>
        <v>8062</v>
      </c>
      <c r="F32" s="29">
        <f>'일위대가_호표(신규)'!H96</f>
        <v>67</v>
      </c>
      <c r="G32" s="29"/>
      <c r="H32" s="29">
        <f>'일위대가_호표(신규)'!J96</f>
        <v>7971</v>
      </c>
      <c r="I32" s="29"/>
      <c r="J32" s="29">
        <f>'일위대가_호표(신규)'!L96</f>
        <v>24</v>
      </c>
      <c r="K32" s="20" t="s">
        <v>2856</v>
      </c>
      <c r="L32" t="s">
        <v>2856</v>
      </c>
      <c r="M32" t="s">
        <v>1507</v>
      </c>
      <c r="N32" t="s">
        <v>1778</v>
      </c>
      <c r="V32" s="29">
        <v>65</v>
      </c>
      <c r="W32" s="29">
        <v>7971</v>
      </c>
      <c r="X32" s="29">
        <v>24</v>
      </c>
      <c r="Y32" s="29">
        <v>8060</v>
      </c>
      <c r="AA32" s="7" t="b">
        <f t="shared" si="1"/>
        <v>0</v>
      </c>
      <c r="AC32" s="34" t="str">
        <f>HYPERLINK("#일위대가_호표!A96","HX0043 →")</f>
        <v>HX0043 →</v>
      </c>
    </row>
    <row r="33" spans="1:29" ht="18.399999999999999" customHeight="1" x14ac:dyDescent="0.15">
      <c r="A33" s="11" t="s">
        <v>2562</v>
      </c>
      <c r="B33" s="2" t="s">
        <v>1567</v>
      </c>
      <c r="C33" s="2">
        <v>1</v>
      </c>
      <c r="D33" s="2" t="s">
        <v>556</v>
      </c>
      <c r="E33" s="29">
        <f t="shared" si="0"/>
        <v>35329</v>
      </c>
      <c r="F33" s="29">
        <f>'일위대가_호표(신규)'!H100</f>
        <v>490</v>
      </c>
      <c r="G33" s="29"/>
      <c r="H33" s="29">
        <f>'일위대가_호표(신규)'!J100</f>
        <v>34684</v>
      </c>
      <c r="I33" s="29"/>
      <c r="J33" s="29">
        <f>'일위대가_호표(신규)'!L100</f>
        <v>155</v>
      </c>
      <c r="K33" s="20" t="s">
        <v>2856</v>
      </c>
      <c r="L33" t="s">
        <v>2856</v>
      </c>
      <c r="M33" t="s">
        <v>391</v>
      </c>
      <c r="N33" t="s">
        <v>1778</v>
      </c>
      <c r="V33" s="29">
        <v>469</v>
      </c>
      <c r="W33" s="29">
        <v>34684</v>
      </c>
      <c r="X33" s="29">
        <v>155</v>
      </c>
      <c r="Y33" s="29">
        <v>35308</v>
      </c>
      <c r="AA33" s="7" t="b">
        <f t="shared" si="1"/>
        <v>0</v>
      </c>
      <c r="AC33" s="34" t="str">
        <f>HYPERLINK("#일위대가_호표!A100","HX0044 →")</f>
        <v>HX0044 →</v>
      </c>
    </row>
    <row r="34" spans="1:29" ht="18.399999999999999" customHeight="1" x14ac:dyDescent="0.15">
      <c r="A34" s="11" t="s">
        <v>34</v>
      </c>
      <c r="B34" s="2" t="s">
        <v>2816</v>
      </c>
      <c r="C34" s="2">
        <v>1</v>
      </c>
      <c r="D34" s="2" t="s">
        <v>556</v>
      </c>
      <c r="E34" s="29">
        <f t="shared" si="0"/>
        <v>1628103</v>
      </c>
      <c r="F34" s="29">
        <f>'일위대가_호표(신규)'!H104</f>
        <v>35140</v>
      </c>
      <c r="G34" s="29"/>
      <c r="H34" s="29">
        <f>'일위대가_호표(신규)'!J104</f>
        <v>1581763</v>
      </c>
      <c r="I34" s="29"/>
      <c r="J34" s="29">
        <f>'일위대가_호표(신규)'!L104</f>
        <v>11200</v>
      </c>
      <c r="K34" s="20" t="s">
        <v>2856</v>
      </c>
      <c r="L34" t="s">
        <v>2856</v>
      </c>
      <c r="M34" t="s">
        <v>1988</v>
      </c>
      <c r="N34" t="s">
        <v>1778</v>
      </c>
      <c r="V34" s="29">
        <v>33648</v>
      </c>
      <c r="W34" s="29">
        <v>1581763</v>
      </c>
      <c r="X34" s="29">
        <v>11200</v>
      </c>
      <c r="Y34" s="29">
        <v>1626611</v>
      </c>
      <c r="AA34" s="7" t="b">
        <f t="shared" si="1"/>
        <v>0</v>
      </c>
      <c r="AC34" s="34" t="str">
        <f>HYPERLINK("#일위대가_호표!A104","HX0045 →")</f>
        <v>HX0045 →</v>
      </c>
    </row>
    <row r="35" spans="1:29" ht="18.399999999999999" customHeight="1" x14ac:dyDescent="0.15">
      <c r="A35" s="11" t="s">
        <v>2534</v>
      </c>
      <c r="B35" s="2" t="s">
        <v>1855</v>
      </c>
      <c r="C35" s="2">
        <v>1</v>
      </c>
      <c r="D35" s="2" t="s">
        <v>556</v>
      </c>
      <c r="E35" s="29">
        <f t="shared" ref="E35:E66" si="2">F35+H35+J35</f>
        <v>191123</v>
      </c>
      <c r="F35" s="29">
        <f>'일위대가_호표(신규)'!H108</f>
        <v>3719</v>
      </c>
      <c r="G35" s="29"/>
      <c r="H35" s="29">
        <f>'일위대가_호표(신규)'!J108</f>
        <v>186092</v>
      </c>
      <c r="I35" s="29"/>
      <c r="J35" s="29">
        <f>'일위대가_호표(신규)'!L108</f>
        <v>1312</v>
      </c>
      <c r="K35" s="20" t="s">
        <v>2856</v>
      </c>
      <c r="L35" t="s">
        <v>2856</v>
      </c>
      <c r="M35" t="s">
        <v>88</v>
      </c>
      <c r="N35" t="s">
        <v>1778</v>
      </c>
      <c r="V35" s="29">
        <v>3567</v>
      </c>
      <c r="W35" s="29">
        <v>186092</v>
      </c>
      <c r="X35" s="29">
        <v>1312</v>
      </c>
      <c r="Y35" s="29">
        <v>190971</v>
      </c>
      <c r="AA35" s="7" t="b">
        <f t="shared" ref="AA35:AA66" si="3">EXACT($E35,$Y35)</f>
        <v>0</v>
      </c>
      <c r="AC35" s="34" t="str">
        <f>HYPERLINK("#일위대가_호표!A108","HX0046 →")</f>
        <v>HX0046 →</v>
      </c>
    </row>
    <row r="36" spans="1:29" ht="18.399999999999999" customHeight="1" x14ac:dyDescent="0.15">
      <c r="A36" s="11" t="s">
        <v>1541</v>
      </c>
      <c r="B36" s="2" t="s">
        <v>824</v>
      </c>
      <c r="C36" s="2">
        <v>1</v>
      </c>
      <c r="D36" s="2" t="s">
        <v>556</v>
      </c>
      <c r="E36" s="29">
        <f t="shared" si="2"/>
        <v>59722</v>
      </c>
      <c r="F36" s="29">
        <f>'일위대가_호표(신규)'!H112</f>
        <v>972</v>
      </c>
      <c r="G36" s="29"/>
      <c r="H36" s="29">
        <f>'일위대가_호표(신규)'!J112</f>
        <v>58396</v>
      </c>
      <c r="I36" s="29"/>
      <c r="J36" s="29">
        <f>'일위대가_호표(신규)'!L112</f>
        <v>354</v>
      </c>
      <c r="K36" s="20" t="s">
        <v>2856</v>
      </c>
      <c r="L36" t="s">
        <v>2856</v>
      </c>
      <c r="M36" t="s">
        <v>1756</v>
      </c>
      <c r="N36" t="s">
        <v>1778</v>
      </c>
      <c r="V36" s="29">
        <v>933</v>
      </c>
      <c r="W36" s="29">
        <v>58396</v>
      </c>
      <c r="X36" s="29">
        <v>354</v>
      </c>
      <c r="Y36" s="29">
        <v>59683</v>
      </c>
      <c r="AA36" s="7" t="b">
        <f t="shared" si="3"/>
        <v>0</v>
      </c>
      <c r="AC36" s="34" t="str">
        <f>HYPERLINK("#일위대가_호표!A112","HX0047 →")</f>
        <v>HX0047 →</v>
      </c>
    </row>
    <row r="37" spans="1:29" ht="18.399999999999999" customHeight="1" x14ac:dyDescent="0.15">
      <c r="A37" s="11" t="s">
        <v>1206</v>
      </c>
      <c r="B37" s="2" t="s">
        <v>648</v>
      </c>
      <c r="C37" s="2">
        <v>1</v>
      </c>
      <c r="D37" s="2" t="s">
        <v>556</v>
      </c>
      <c r="E37" s="29">
        <f t="shared" si="2"/>
        <v>191123</v>
      </c>
      <c r="F37" s="29">
        <f>'일위대가_호표(신규)'!H116</f>
        <v>3719</v>
      </c>
      <c r="G37" s="29"/>
      <c r="H37" s="29">
        <f>'일위대가_호표(신규)'!J116</f>
        <v>186092</v>
      </c>
      <c r="I37" s="29"/>
      <c r="J37" s="29">
        <f>'일위대가_호표(신규)'!L116</f>
        <v>1312</v>
      </c>
      <c r="K37" s="20" t="s">
        <v>2856</v>
      </c>
      <c r="L37" t="s">
        <v>2856</v>
      </c>
      <c r="M37" t="s">
        <v>163</v>
      </c>
      <c r="N37" t="s">
        <v>1778</v>
      </c>
      <c r="V37" s="29">
        <v>3567</v>
      </c>
      <c r="W37" s="29">
        <v>186092</v>
      </c>
      <c r="X37" s="29">
        <v>1312</v>
      </c>
      <c r="Y37" s="29">
        <v>190971</v>
      </c>
      <c r="AA37" s="7" t="b">
        <f t="shared" si="3"/>
        <v>0</v>
      </c>
      <c r="AC37" s="34" t="str">
        <f>HYPERLINK("#일위대가_호표!A116","HX0048 →")</f>
        <v>HX0048 →</v>
      </c>
    </row>
    <row r="38" spans="1:29" ht="18.399999999999999" customHeight="1" x14ac:dyDescent="0.15">
      <c r="A38" s="11" t="s">
        <v>2151</v>
      </c>
      <c r="B38" s="2" t="s">
        <v>2116</v>
      </c>
      <c r="C38" s="2">
        <v>1</v>
      </c>
      <c r="D38" s="2" t="s">
        <v>556</v>
      </c>
      <c r="E38" s="29">
        <f t="shared" si="2"/>
        <v>49111</v>
      </c>
      <c r="F38" s="29">
        <f>'일위대가_호표(신규)'!H120</f>
        <v>724</v>
      </c>
      <c r="G38" s="29"/>
      <c r="H38" s="29">
        <f>'일위대가_호표(신규)'!J120</f>
        <v>48174</v>
      </c>
      <c r="I38" s="29"/>
      <c r="J38" s="29">
        <f>'일위대가_호표(신규)'!L120</f>
        <v>213</v>
      </c>
      <c r="K38" s="20" t="s">
        <v>2856</v>
      </c>
      <c r="L38" t="s">
        <v>2856</v>
      </c>
      <c r="M38" t="s">
        <v>1696</v>
      </c>
      <c r="N38" t="s">
        <v>1778</v>
      </c>
      <c r="V38" s="29">
        <v>692</v>
      </c>
      <c r="W38" s="29">
        <v>48174</v>
      </c>
      <c r="X38" s="29">
        <v>213</v>
      </c>
      <c r="Y38" s="29">
        <v>49079</v>
      </c>
      <c r="AA38" s="7" t="b">
        <f t="shared" si="3"/>
        <v>0</v>
      </c>
      <c r="AC38" s="34" t="str">
        <f>HYPERLINK("#일위대가_호표!A120","HX0049 →")</f>
        <v>HX0049 →</v>
      </c>
    </row>
    <row r="39" spans="1:29" ht="18.399999999999999" customHeight="1" x14ac:dyDescent="0.15">
      <c r="A39" s="11" t="s">
        <v>359</v>
      </c>
      <c r="B39" s="2" t="s">
        <v>1581</v>
      </c>
      <c r="C39" s="2">
        <v>1</v>
      </c>
      <c r="D39" s="2" t="s">
        <v>556</v>
      </c>
      <c r="E39" s="29">
        <f t="shared" si="2"/>
        <v>59722</v>
      </c>
      <c r="F39" s="29">
        <f>'일위대가_호표(신규)'!H124</f>
        <v>972</v>
      </c>
      <c r="G39" s="29"/>
      <c r="H39" s="29">
        <f>'일위대가_호표(신규)'!J124</f>
        <v>58396</v>
      </c>
      <c r="I39" s="29"/>
      <c r="J39" s="29">
        <f>'일위대가_호표(신규)'!L124</f>
        <v>354</v>
      </c>
      <c r="K39" s="20" t="s">
        <v>2856</v>
      </c>
      <c r="L39" t="s">
        <v>2856</v>
      </c>
      <c r="M39" t="s">
        <v>1393</v>
      </c>
      <c r="N39" t="s">
        <v>1778</v>
      </c>
      <c r="V39" s="29">
        <v>933</v>
      </c>
      <c r="W39" s="29">
        <v>58396</v>
      </c>
      <c r="X39" s="29">
        <v>354</v>
      </c>
      <c r="Y39" s="29">
        <v>59683</v>
      </c>
      <c r="AA39" s="7" t="b">
        <f t="shared" si="3"/>
        <v>0</v>
      </c>
      <c r="AC39" s="34" t="str">
        <f>HYPERLINK("#일위대가_호표!A124","HX0050 →")</f>
        <v>HX0050 →</v>
      </c>
    </row>
    <row r="40" spans="1:29" ht="18.399999999999999" customHeight="1" x14ac:dyDescent="0.15">
      <c r="A40" s="11" t="s">
        <v>754</v>
      </c>
      <c r="B40" s="2" t="s">
        <v>804</v>
      </c>
      <c r="C40" s="2">
        <v>1</v>
      </c>
      <c r="D40" s="2" t="s">
        <v>556</v>
      </c>
      <c r="E40" s="29">
        <f t="shared" si="2"/>
        <v>22244</v>
      </c>
      <c r="F40" s="29">
        <f>'일위대가_호표(신규)'!H128</f>
        <v>248</v>
      </c>
      <c r="G40" s="29"/>
      <c r="H40" s="29">
        <f>'일위대가_호표(신규)'!J128</f>
        <v>21912</v>
      </c>
      <c r="I40" s="29"/>
      <c r="J40" s="29">
        <f>'일위대가_호표(신규)'!L128</f>
        <v>84</v>
      </c>
      <c r="K40" s="20" t="s">
        <v>2856</v>
      </c>
      <c r="L40" t="s">
        <v>2856</v>
      </c>
      <c r="M40" t="s">
        <v>2615</v>
      </c>
      <c r="N40" t="s">
        <v>1778</v>
      </c>
      <c r="V40" s="29">
        <v>238</v>
      </c>
      <c r="W40" s="29">
        <v>21912</v>
      </c>
      <c r="X40" s="29">
        <v>84</v>
      </c>
      <c r="Y40" s="29">
        <v>22234</v>
      </c>
      <c r="AA40" s="7" t="b">
        <f t="shared" si="3"/>
        <v>0</v>
      </c>
      <c r="AC40" s="34" t="str">
        <f>HYPERLINK("#일위대가_호표!A128","HX0051 →")</f>
        <v>HX0051 →</v>
      </c>
    </row>
    <row r="41" spans="1:29" ht="18.399999999999999" customHeight="1" x14ac:dyDescent="0.15">
      <c r="A41" s="11" t="s">
        <v>1810</v>
      </c>
      <c r="B41" s="2" t="s">
        <v>1638</v>
      </c>
      <c r="C41" s="2">
        <v>1</v>
      </c>
      <c r="D41" s="2" t="s">
        <v>556</v>
      </c>
      <c r="E41" s="29">
        <f t="shared" si="2"/>
        <v>339946</v>
      </c>
      <c r="F41" s="29">
        <f>'일위대가_호표(신규)'!H132</f>
        <v>6873</v>
      </c>
      <c r="G41" s="29"/>
      <c r="H41" s="29">
        <f>'일위대가_호표(신규)'!J132</f>
        <v>330708</v>
      </c>
      <c r="I41" s="29"/>
      <c r="J41" s="29">
        <f>'일위대가_호표(신규)'!L132</f>
        <v>2365</v>
      </c>
      <c r="K41" s="20" t="s">
        <v>2856</v>
      </c>
      <c r="L41" t="s">
        <v>2856</v>
      </c>
      <c r="M41" t="s">
        <v>911</v>
      </c>
      <c r="N41" t="s">
        <v>1778</v>
      </c>
      <c r="V41" s="29">
        <v>6589</v>
      </c>
      <c r="W41" s="29">
        <v>330708</v>
      </c>
      <c r="X41" s="29">
        <v>2365</v>
      </c>
      <c r="Y41" s="29">
        <v>339662</v>
      </c>
      <c r="AA41" s="7" t="b">
        <f t="shared" si="3"/>
        <v>0</v>
      </c>
      <c r="AC41" s="34" t="str">
        <f>HYPERLINK("#일위대가_호표!A132","HX0052 →")</f>
        <v>HX0052 →</v>
      </c>
    </row>
    <row r="42" spans="1:29" ht="18.399999999999999" customHeight="1" x14ac:dyDescent="0.15">
      <c r="A42" s="11" t="s">
        <v>2216</v>
      </c>
      <c r="B42" s="2" t="s">
        <v>1048</v>
      </c>
      <c r="C42" s="2">
        <v>1</v>
      </c>
      <c r="D42" s="2" t="s">
        <v>556</v>
      </c>
      <c r="E42" s="29">
        <f t="shared" si="2"/>
        <v>22244</v>
      </c>
      <c r="F42" s="29">
        <f>'일위대가_호표(신규)'!H136</f>
        <v>248</v>
      </c>
      <c r="G42" s="29"/>
      <c r="H42" s="29">
        <f>'일위대가_호표(신규)'!J136</f>
        <v>21912</v>
      </c>
      <c r="I42" s="29"/>
      <c r="J42" s="29">
        <f>'일위대가_호표(신규)'!L136</f>
        <v>84</v>
      </c>
      <c r="K42" s="20" t="s">
        <v>2856</v>
      </c>
      <c r="L42" t="s">
        <v>2856</v>
      </c>
      <c r="M42" t="s">
        <v>2222</v>
      </c>
      <c r="N42" t="s">
        <v>1778</v>
      </c>
      <c r="V42" s="29">
        <v>238</v>
      </c>
      <c r="W42" s="29">
        <v>21912</v>
      </c>
      <c r="X42" s="29">
        <v>84</v>
      </c>
      <c r="Y42" s="29">
        <v>22234</v>
      </c>
      <c r="AA42" s="7" t="b">
        <f t="shared" si="3"/>
        <v>0</v>
      </c>
      <c r="AC42" s="34" t="str">
        <f>HYPERLINK("#일위대가_호표!A136","HX0053 →")</f>
        <v>HX0053 →</v>
      </c>
    </row>
    <row r="43" spans="1:29" ht="18.399999999999999" customHeight="1" x14ac:dyDescent="0.15">
      <c r="A43" s="11" t="s">
        <v>29</v>
      </c>
      <c r="B43" s="2" t="s">
        <v>1072</v>
      </c>
      <c r="C43" s="2">
        <v>1</v>
      </c>
      <c r="D43" s="2" t="s">
        <v>556</v>
      </c>
      <c r="E43" s="29">
        <f t="shared" si="2"/>
        <v>28637</v>
      </c>
      <c r="F43" s="29">
        <f>'일위대가_호표(신규)'!H140</f>
        <v>352</v>
      </c>
      <c r="G43" s="29"/>
      <c r="H43" s="29">
        <f>'일위대가_호표(신규)'!J140</f>
        <v>28180</v>
      </c>
      <c r="I43" s="29"/>
      <c r="J43" s="29">
        <f>'일위대가_호표(신규)'!L140</f>
        <v>105</v>
      </c>
      <c r="K43" s="20" t="s">
        <v>2856</v>
      </c>
      <c r="L43" t="s">
        <v>2856</v>
      </c>
      <c r="M43" t="s">
        <v>1137</v>
      </c>
      <c r="N43" t="s">
        <v>1778</v>
      </c>
      <c r="V43" s="29">
        <v>337</v>
      </c>
      <c r="W43" s="29">
        <v>28180</v>
      </c>
      <c r="X43" s="29">
        <v>105</v>
      </c>
      <c r="Y43" s="29">
        <v>28622</v>
      </c>
      <c r="AA43" s="7" t="b">
        <f t="shared" si="3"/>
        <v>0</v>
      </c>
      <c r="AC43" s="34" t="str">
        <f>HYPERLINK("#일위대가_호표!A140","HX0054 →")</f>
        <v>HX0054 →</v>
      </c>
    </row>
    <row r="44" spans="1:29" ht="18.399999999999999" customHeight="1" x14ac:dyDescent="0.15">
      <c r="A44" s="11" t="s">
        <v>1071</v>
      </c>
      <c r="B44" s="2" t="s">
        <v>2676</v>
      </c>
      <c r="C44" s="2">
        <v>1</v>
      </c>
      <c r="D44" s="2" t="s">
        <v>556</v>
      </c>
      <c r="E44" s="29">
        <f t="shared" si="2"/>
        <v>190302</v>
      </c>
      <c r="F44" s="29">
        <f>'일위대가_호표(신규)'!H144</f>
        <v>3571</v>
      </c>
      <c r="G44" s="29"/>
      <c r="H44" s="29">
        <f>'일위대가_호표(신규)'!J144</f>
        <v>185607</v>
      </c>
      <c r="I44" s="29"/>
      <c r="J44" s="29">
        <f>'일위대가_호표(신규)'!L144</f>
        <v>1124</v>
      </c>
      <c r="K44" s="20" t="s">
        <v>2856</v>
      </c>
      <c r="L44" t="s">
        <v>2856</v>
      </c>
      <c r="M44" t="s">
        <v>2715</v>
      </c>
      <c r="N44" t="s">
        <v>1778</v>
      </c>
      <c r="V44" s="29">
        <v>3419</v>
      </c>
      <c r="W44" s="29">
        <v>185607</v>
      </c>
      <c r="X44" s="29">
        <v>1124</v>
      </c>
      <c r="Y44" s="29">
        <v>190150</v>
      </c>
      <c r="AA44" s="7" t="b">
        <f t="shared" si="3"/>
        <v>0</v>
      </c>
      <c r="AC44" s="34" t="str">
        <f>HYPERLINK("#일위대가_호표!A144","HX0055 →")</f>
        <v>HX0055 →</v>
      </c>
    </row>
    <row r="45" spans="1:29" ht="18.399999999999999" customHeight="1" x14ac:dyDescent="0.15">
      <c r="A45" s="11" t="s">
        <v>2149</v>
      </c>
      <c r="B45" s="2" t="s">
        <v>489</v>
      </c>
      <c r="C45" s="2">
        <v>1</v>
      </c>
      <c r="D45" s="2" t="s">
        <v>556</v>
      </c>
      <c r="E45" s="29">
        <f t="shared" si="2"/>
        <v>91691</v>
      </c>
      <c r="F45" s="29">
        <f>'일위대가_호표(신규)'!H148</f>
        <v>1614</v>
      </c>
      <c r="G45" s="29"/>
      <c r="H45" s="29">
        <f>'일위대가_호표(신규)'!J148</f>
        <v>89527</v>
      </c>
      <c r="I45" s="29"/>
      <c r="J45" s="29">
        <f>'일위대가_호표(신규)'!L148</f>
        <v>550</v>
      </c>
      <c r="K45" s="20" t="s">
        <v>2856</v>
      </c>
      <c r="L45" t="s">
        <v>2856</v>
      </c>
      <c r="M45" t="s">
        <v>807</v>
      </c>
      <c r="N45" t="s">
        <v>1778</v>
      </c>
      <c r="V45" s="29">
        <v>1547</v>
      </c>
      <c r="W45" s="29">
        <v>89527</v>
      </c>
      <c r="X45" s="29">
        <v>550</v>
      </c>
      <c r="Y45" s="29">
        <v>91624</v>
      </c>
      <c r="AA45" s="7" t="b">
        <f t="shared" si="3"/>
        <v>0</v>
      </c>
      <c r="AC45" s="34" t="str">
        <f>HYPERLINK("#일위대가_호표!A148","HX0056 →")</f>
        <v>HX0056 →</v>
      </c>
    </row>
    <row r="46" spans="1:29" ht="18.399999999999999" customHeight="1" x14ac:dyDescent="0.15">
      <c r="A46" s="11" t="s">
        <v>2513</v>
      </c>
      <c r="B46" s="2" t="s">
        <v>1104</v>
      </c>
      <c r="C46" s="2">
        <v>1</v>
      </c>
      <c r="D46" s="2" t="s">
        <v>556</v>
      </c>
      <c r="E46" s="29">
        <f t="shared" si="2"/>
        <v>22244</v>
      </c>
      <c r="F46" s="29">
        <f>'일위대가_호표(신규)'!H152</f>
        <v>248</v>
      </c>
      <c r="G46" s="29"/>
      <c r="H46" s="29">
        <f>'일위대가_호표(신규)'!J152</f>
        <v>21912</v>
      </c>
      <c r="I46" s="29"/>
      <c r="J46" s="29">
        <f>'일위대가_호표(신규)'!L152</f>
        <v>84</v>
      </c>
      <c r="K46" s="20" t="s">
        <v>2856</v>
      </c>
      <c r="L46" t="s">
        <v>2856</v>
      </c>
      <c r="M46" t="s">
        <v>2485</v>
      </c>
      <c r="N46" t="s">
        <v>1778</v>
      </c>
      <c r="V46" s="29">
        <v>238</v>
      </c>
      <c r="W46" s="29">
        <v>21912</v>
      </c>
      <c r="X46" s="29">
        <v>84</v>
      </c>
      <c r="Y46" s="29">
        <v>22234</v>
      </c>
      <c r="AA46" s="7" t="b">
        <f t="shared" si="3"/>
        <v>0</v>
      </c>
      <c r="AC46" s="34" t="str">
        <f>HYPERLINK("#일위대가_호표!A152","HX0057 →")</f>
        <v>HX0057 →</v>
      </c>
    </row>
    <row r="47" spans="1:29" ht="18.399999999999999" customHeight="1" x14ac:dyDescent="0.15">
      <c r="A47" s="11" t="s">
        <v>2359</v>
      </c>
      <c r="B47" s="2" t="s">
        <v>2228</v>
      </c>
      <c r="C47" s="2">
        <v>1</v>
      </c>
      <c r="D47" s="2" t="s">
        <v>556</v>
      </c>
      <c r="E47" s="29">
        <f t="shared" si="2"/>
        <v>35329</v>
      </c>
      <c r="F47" s="29">
        <f>'일위대가_호표(신규)'!H156</f>
        <v>490</v>
      </c>
      <c r="G47" s="29"/>
      <c r="H47" s="29">
        <f>'일위대가_호표(신규)'!J156</f>
        <v>34684</v>
      </c>
      <c r="I47" s="29"/>
      <c r="J47" s="29">
        <f>'일위대가_호표(신규)'!L156</f>
        <v>155</v>
      </c>
      <c r="K47" s="20" t="s">
        <v>2856</v>
      </c>
      <c r="L47" t="s">
        <v>2856</v>
      </c>
      <c r="M47" t="s">
        <v>862</v>
      </c>
      <c r="N47" t="s">
        <v>1778</v>
      </c>
      <c r="V47" s="29">
        <v>469</v>
      </c>
      <c r="W47" s="29">
        <v>34684</v>
      </c>
      <c r="X47" s="29">
        <v>155</v>
      </c>
      <c r="Y47" s="29">
        <v>35308</v>
      </c>
      <c r="AA47" s="7" t="b">
        <f t="shared" si="3"/>
        <v>0</v>
      </c>
      <c r="AC47" s="34" t="str">
        <f>HYPERLINK("#일위대가_호표!A156","HX0058 →")</f>
        <v>HX0058 →</v>
      </c>
    </row>
    <row r="48" spans="1:29" ht="18.399999999999999" customHeight="1" x14ac:dyDescent="0.15">
      <c r="A48" s="11" t="s">
        <v>1681</v>
      </c>
      <c r="B48" s="2" t="s">
        <v>929</v>
      </c>
      <c r="C48" s="2">
        <v>1</v>
      </c>
      <c r="D48" s="2" t="s">
        <v>556</v>
      </c>
      <c r="E48" s="29">
        <f t="shared" si="2"/>
        <v>91516</v>
      </c>
      <c r="F48" s="29">
        <f>'일위대가_호표(신규)'!H160</f>
        <v>1583</v>
      </c>
      <c r="G48" s="29"/>
      <c r="H48" s="29">
        <f>'일위대가_호표(신규)'!J160</f>
        <v>89423</v>
      </c>
      <c r="I48" s="29"/>
      <c r="J48" s="29">
        <f>'일위대가_호표(신규)'!L160</f>
        <v>510</v>
      </c>
      <c r="K48" s="20" t="s">
        <v>2856</v>
      </c>
      <c r="L48" t="s">
        <v>2856</v>
      </c>
      <c r="M48" t="s">
        <v>2407</v>
      </c>
      <c r="N48" t="s">
        <v>1778</v>
      </c>
      <c r="V48" s="29">
        <v>1516</v>
      </c>
      <c r="W48" s="29">
        <v>89423</v>
      </c>
      <c r="X48" s="29">
        <v>510</v>
      </c>
      <c r="Y48" s="29">
        <v>91449</v>
      </c>
      <c r="AA48" s="7" t="b">
        <f t="shared" si="3"/>
        <v>0</v>
      </c>
      <c r="AC48" s="34" t="str">
        <f>HYPERLINK("#일위대가_호표!A160","HX0059 →")</f>
        <v>HX0059 →</v>
      </c>
    </row>
    <row r="49" spans="1:29" ht="18.399999999999999" customHeight="1" x14ac:dyDescent="0.15">
      <c r="A49" s="11" t="s">
        <v>1353</v>
      </c>
      <c r="B49" s="2" t="s">
        <v>1581</v>
      </c>
      <c r="C49" s="2">
        <v>1</v>
      </c>
      <c r="D49" s="2" t="s">
        <v>556</v>
      </c>
      <c r="E49" s="29">
        <f t="shared" si="2"/>
        <v>59722</v>
      </c>
      <c r="F49" s="29">
        <f>'일위대가_호표(신규)'!H164</f>
        <v>972</v>
      </c>
      <c r="G49" s="29"/>
      <c r="H49" s="29">
        <f>'일위대가_호표(신규)'!J164</f>
        <v>58396</v>
      </c>
      <c r="I49" s="29"/>
      <c r="J49" s="29">
        <f>'일위대가_호표(신규)'!L164</f>
        <v>354</v>
      </c>
      <c r="K49" s="20" t="s">
        <v>2856</v>
      </c>
      <c r="L49" t="s">
        <v>2856</v>
      </c>
      <c r="M49" t="s">
        <v>2139</v>
      </c>
      <c r="N49" t="s">
        <v>1778</v>
      </c>
      <c r="V49" s="29">
        <v>933</v>
      </c>
      <c r="W49" s="29">
        <v>58396</v>
      </c>
      <c r="X49" s="29">
        <v>354</v>
      </c>
      <c r="Y49" s="29">
        <v>59683</v>
      </c>
      <c r="AA49" s="7" t="b">
        <f t="shared" si="3"/>
        <v>0</v>
      </c>
      <c r="AC49" s="34" t="str">
        <f>HYPERLINK("#일위대가_호표!A164","HX0060 →")</f>
        <v>HX0060 →</v>
      </c>
    </row>
    <row r="50" spans="1:29" ht="18.399999999999999" customHeight="1" x14ac:dyDescent="0.15">
      <c r="A50" s="11" t="s">
        <v>299</v>
      </c>
      <c r="B50" s="2" t="s">
        <v>2790</v>
      </c>
      <c r="C50" s="2">
        <v>1</v>
      </c>
      <c r="D50" s="2" t="s">
        <v>556</v>
      </c>
      <c r="E50" s="29">
        <f t="shared" si="2"/>
        <v>28637</v>
      </c>
      <c r="F50" s="29">
        <f>'일위대가_호표(신규)'!H168</f>
        <v>352</v>
      </c>
      <c r="G50" s="29"/>
      <c r="H50" s="29">
        <f>'일위대가_호표(신규)'!J168</f>
        <v>28180</v>
      </c>
      <c r="I50" s="29"/>
      <c r="J50" s="29">
        <f>'일위대가_호표(신규)'!L168</f>
        <v>105</v>
      </c>
      <c r="K50" s="20" t="s">
        <v>2856</v>
      </c>
      <c r="L50" t="s">
        <v>2856</v>
      </c>
      <c r="M50" t="s">
        <v>451</v>
      </c>
      <c r="N50" t="s">
        <v>1778</v>
      </c>
      <c r="V50" s="29">
        <v>337</v>
      </c>
      <c r="W50" s="29">
        <v>28180</v>
      </c>
      <c r="X50" s="29">
        <v>105</v>
      </c>
      <c r="Y50" s="29">
        <v>28622</v>
      </c>
      <c r="AA50" s="7" t="b">
        <f t="shared" si="3"/>
        <v>0</v>
      </c>
      <c r="AC50" s="34" t="str">
        <f>HYPERLINK("#일위대가_호표!A168","HX0061 →")</f>
        <v>HX0061 →</v>
      </c>
    </row>
    <row r="51" spans="1:29" ht="18.399999999999999" customHeight="1" x14ac:dyDescent="0.15">
      <c r="A51" s="11" t="s">
        <v>1307</v>
      </c>
      <c r="B51" s="2" t="s">
        <v>2228</v>
      </c>
      <c r="C51" s="2">
        <v>1</v>
      </c>
      <c r="D51" s="2" t="s">
        <v>556</v>
      </c>
      <c r="E51" s="29">
        <f t="shared" si="2"/>
        <v>35329</v>
      </c>
      <c r="F51" s="29">
        <f>'일위대가_호표(신규)'!H172</f>
        <v>490</v>
      </c>
      <c r="G51" s="29"/>
      <c r="H51" s="29">
        <f>'일위대가_호표(신규)'!J172</f>
        <v>34684</v>
      </c>
      <c r="I51" s="29"/>
      <c r="J51" s="29">
        <f>'일위대가_호표(신규)'!L172</f>
        <v>155</v>
      </c>
      <c r="K51" s="20" t="s">
        <v>2856</v>
      </c>
      <c r="L51" t="s">
        <v>2856</v>
      </c>
      <c r="M51" t="s">
        <v>1642</v>
      </c>
      <c r="N51" t="s">
        <v>1778</v>
      </c>
      <c r="V51" s="29">
        <v>469</v>
      </c>
      <c r="W51" s="29">
        <v>34684</v>
      </c>
      <c r="X51" s="29">
        <v>155</v>
      </c>
      <c r="Y51" s="29">
        <v>35308</v>
      </c>
      <c r="AA51" s="7" t="b">
        <f t="shared" si="3"/>
        <v>0</v>
      </c>
      <c r="AC51" s="34" t="str">
        <f>HYPERLINK("#일위대가_호표!A172","HX0062 →")</f>
        <v>HX0062 →</v>
      </c>
    </row>
    <row r="52" spans="1:29" ht="18.399999999999999" customHeight="1" x14ac:dyDescent="0.15">
      <c r="A52" s="11" t="s">
        <v>190</v>
      </c>
      <c r="B52" s="2" t="s">
        <v>1125</v>
      </c>
      <c r="C52" s="2">
        <v>1</v>
      </c>
      <c r="D52" s="2" t="s">
        <v>556</v>
      </c>
      <c r="E52" s="29">
        <f t="shared" si="2"/>
        <v>28637</v>
      </c>
      <c r="F52" s="29">
        <f>'일위대가_호표(신규)'!H176</f>
        <v>352</v>
      </c>
      <c r="G52" s="29"/>
      <c r="H52" s="29">
        <f>'일위대가_호표(신규)'!J176</f>
        <v>28180</v>
      </c>
      <c r="I52" s="29"/>
      <c r="J52" s="29">
        <f>'일위대가_호표(신규)'!L176</f>
        <v>105</v>
      </c>
      <c r="K52" s="20" t="s">
        <v>2856</v>
      </c>
      <c r="L52" t="s">
        <v>2856</v>
      </c>
      <c r="M52" t="s">
        <v>55</v>
      </c>
      <c r="N52" t="s">
        <v>1778</v>
      </c>
      <c r="V52" s="29">
        <v>337</v>
      </c>
      <c r="W52" s="29">
        <v>28180</v>
      </c>
      <c r="X52" s="29">
        <v>105</v>
      </c>
      <c r="Y52" s="29">
        <v>28622</v>
      </c>
      <c r="AA52" s="7" t="b">
        <f t="shared" si="3"/>
        <v>0</v>
      </c>
      <c r="AC52" s="34" t="str">
        <f>HYPERLINK("#일위대가_호표!A176","HX0063 →")</f>
        <v>HX0063 →</v>
      </c>
    </row>
    <row r="53" spans="1:29" ht="18.399999999999999" customHeight="1" x14ac:dyDescent="0.15">
      <c r="A53" s="11" t="s">
        <v>1119</v>
      </c>
      <c r="B53" s="2" t="s">
        <v>318</v>
      </c>
      <c r="C53" s="2">
        <v>1</v>
      </c>
      <c r="D53" s="2" t="s">
        <v>556</v>
      </c>
      <c r="E53" s="29">
        <f t="shared" si="2"/>
        <v>339946</v>
      </c>
      <c r="F53" s="29">
        <f>'일위대가_호표(신규)'!H180</f>
        <v>6873</v>
      </c>
      <c r="G53" s="29"/>
      <c r="H53" s="29">
        <f>'일위대가_호표(신규)'!J180</f>
        <v>330708</v>
      </c>
      <c r="I53" s="29"/>
      <c r="J53" s="29">
        <f>'일위대가_호표(신규)'!L180</f>
        <v>2365</v>
      </c>
      <c r="K53" s="20" t="s">
        <v>2856</v>
      </c>
      <c r="L53" t="s">
        <v>2856</v>
      </c>
      <c r="M53" t="s">
        <v>1857</v>
      </c>
      <c r="N53" t="s">
        <v>1778</v>
      </c>
      <c r="V53" s="29">
        <v>6589</v>
      </c>
      <c r="W53" s="29">
        <v>330708</v>
      </c>
      <c r="X53" s="29">
        <v>2365</v>
      </c>
      <c r="Y53" s="29">
        <v>339662</v>
      </c>
      <c r="AA53" s="7" t="b">
        <f t="shared" si="3"/>
        <v>0</v>
      </c>
      <c r="AC53" s="34" t="str">
        <f>HYPERLINK("#일위대가_호표!A180","HX0064 →")</f>
        <v>HX0064 →</v>
      </c>
    </row>
    <row r="54" spans="1:29" ht="18.399999999999999" customHeight="1" x14ac:dyDescent="0.15">
      <c r="A54" s="11" t="s">
        <v>1620</v>
      </c>
      <c r="B54" s="2" t="s">
        <v>1374</v>
      </c>
      <c r="C54" s="2">
        <v>1</v>
      </c>
      <c r="D54" s="2" t="s">
        <v>556</v>
      </c>
      <c r="E54" s="29">
        <f t="shared" si="2"/>
        <v>120377</v>
      </c>
      <c r="F54" s="29">
        <f>'일위대가_호표(신규)'!H184</f>
        <v>2112</v>
      </c>
      <c r="G54" s="29"/>
      <c r="H54" s="29">
        <f>'일위대가_호표(신규)'!J184</f>
        <v>117592</v>
      </c>
      <c r="I54" s="29"/>
      <c r="J54" s="29">
        <f>'일위대가_호표(신규)'!L184</f>
        <v>673</v>
      </c>
      <c r="K54" s="20" t="s">
        <v>2856</v>
      </c>
      <c r="L54" t="s">
        <v>2856</v>
      </c>
      <c r="M54" t="s">
        <v>512</v>
      </c>
      <c r="N54" t="s">
        <v>1778</v>
      </c>
      <c r="V54" s="29">
        <v>2023</v>
      </c>
      <c r="W54" s="29">
        <v>117592</v>
      </c>
      <c r="X54" s="29">
        <v>673</v>
      </c>
      <c r="Y54" s="29">
        <v>120288</v>
      </c>
      <c r="AA54" s="7" t="b">
        <f t="shared" si="3"/>
        <v>0</v>
      </c>
      <c r="AC54" s="34" t="str">
        <f>HYPERLINK("#일위대가_호표!A184","HX0065 →")</f>
        <v>HX0065 →</v>
      </c>
    </row>
    <row r="55" spans="1:29" ht="18.399999999999999" customHeight="1" x14ac:dyDescent="0.15">
      <c r="A55" s="11" t="s">
        <v>4</v>
      </c>
      <c r="B55" s="2" t="s">
        <v>253</v>
      </c>
      <c r="C55" s="2">
        <v>1</v>
      </c>
      <c r="D55" s="2" t="s">
        <v>556</v>
      </c>
      <c r="E55" s="29">
        <f t="shared" si="2"/>
        <v>59487</v>
      </c>
      <c r="F55" s="29">
        <f>'일위대가_호표(신규)'!H188</f>
        <v>930</v>
      </c>
      <c r="G55" s="29"/>
      <c r="H55" s="29">
        <f>'일위대가_호표(신규)'!J188</f>
        <v>58257</v>
      </c>
      <c r="I55" s="29"/>
      <c r="J55" s="29">
        <f>'일위대가_호표(신규)'!L188</f>
        <v>300</v>
      </c>
      <c r="K55" s="20" t="s">
        <v>2856</v>
      </c>
      <c r="L55" t="s">
        <v>2856</v>
      </c>
      <c r="M55" t="s">
        <v>1542</v>
      </c>
      <c r="N55" t="s">
        <v>1778</v>
      </c>
      <c r="V55" s="29">
        <v>891</v>
      </c>
      <c r="W55" s="29">
        <v>58257</v>
      </c>
      <c r="X55" s="29">
        <v>300</v>
      </c>
      <c r="Y55" s="29">
        <v>59448</v>
      </c>
      <c r="AA55" s="7" t="b">
        <f t="shared" si="3"/>
        <v>0</v>
      </c>
      <c r="AC55" s="34" t="str">
        <f>HYPERLINK("#일위대가_호표!A188","HX0066 →")</f>
        <v>HX0066 →</v>
      </c>
    </row>
    <row r="56" spans="1:29" ht="18.399999999999999" customHeight="1" x14ac:dyDescent="0.15">
      <c r="A56" s="11" t="s">
        <v>1634</v>
      </c>
      <c r="B56" s="2" t="s">
        <v>2189</v>
      </c>
      <c r="C56" s="2">
        <v>1</v>
      </c>
      <c r="D56" s="2" t="s">
        <v>556</v>
      </c>
      <c r="E56" s="29">
        <f t="shared" si="2"/>
        <v>622988</v>
      </c>
      <c r="F56" s="29">
        <f>'일위대가_호표(신규)'!H192</f>
        <v>74150</v>
      </c>
      <c r="G56" s="29"/>
      <c r="H56" s="29">
        <f>'일위대가_호표(신규)'!J192</f>
        <v>443066</v>
      </c>
      <c r="I56" s="29"/>
      <c r="J56" s="29">
        <f>'일위대가_호표(신규)'!L192</f>
        <v>105772</v>
      </c>
      <c r="K56" s="20" t="s">
        <v>2856</v>
      </c>
      <c r="L56" t="s">
        <v>2856</v>
      </c>
      <c r="M56" t="s">
        <v>1623</v>
      </c>
      <c r="N56" t="s">
        <v>1778</v>
      </c>
      <c r="V56" s="29">
        <v>74150</v>
      </c>
      <c r="W56" s="29">
        <v>443066</v>
      </c>
      <c r="X56" s="29">
        <v>105772</v>
      </c>
      <c r="Y56" s="29">
        <v>622988</v>
      </c>
      <c r="AA56" s="7" t="b">
        <f t="shared" si="3"/>
        <v>1</v>
      </c>
      <c r="AC56" s="34" t="str">
        <f>HYPERLINK("#일위대가_호표!A192","HP001 →")</f>
        <v>HP001 →</v>
      </c>
    </row>
    <row r="57" spans="1:29" ht="18.399999999999999" customHeight="1" x14ac:dyDescent="0.15">
      <c r="A57" s="11" t="s">
        <v>2558</v>
      </c>
      <c r="B57" s="2" t="s">
        <v>1660</v>
      </c>
      <c r="C57" s="2">
        <v>1</v>
      </c>
      <c r="D57" s="2" t="s">
        <v>556</v>
      </c>
      <c r="E57" s="29">
        <f t="shared" si="2"/>
        <v>635833</v>
      </c>
      <c r="F57" s="29">
        <f>'일위대가_호표(신규)'!H200</f>
        <v>86995</v>
      </c>
      <c r="G57" s="29"/>
      <c r="H57" s="29">
        <f>'일위대가_호표(신규)'!J200</f>
        <v>443066</v>
      </c>
      <c r="I57" s="29"/>
      <c r="J57" s="29">
        <f>'일위대가_호표(신규)'!L200</f>
        <v>105772</v>
      </c>
      <c r="K57" s="20" t="s">
        <v>2856</v>
      </c>
      <c r="L57" t="s">
        <v>2856</v>
      </c>
      <c r="M57" t="s">
        <v>463</v>
      </c>
      <c r="N57" t="s">
        <v>1778</v>
      </c>
      <c r="V57" s="29">
        <v>86995</v>
      </c>
      <c r="W57" s="29">
        <v>443066</v>
      </c>
      <c r="X57" s="29">
        <v>105772</v>
      </c>
      <c r="Y57" s="29">
        <v>635833</v>
      </c>
      <c r="AA57" s="7" t="b">
        <f t="shared" si="3"/>
        <v>1</v>
      </c>
      <c r="AC57" s="34" t="str">
        <f>HYPERLINK("#일위대가_호표!A200","HP002 →")</f>
        <v>HP002 →</v>
      </c>
    </row>
    <row r="58" spans="1:29" ht="18.399999999999999" customHeight="1" x14ac:dyDescent="0.15">
      <c r="A58" s="11" t="s">
        <v>583</v>
      </c>
      <c r="B58" s="2" t="s">
        <v>2483</v>
      </c>
      <c r="C58" s="2">
        <v>1</v>
      </c>
      <c r="D58" s="2" t="s">
        <v>556</v>
      </c>
      <c r="E58" s="29">
        <f t="shared" si="2"/>
        <v>622988</v>
      </c>
      <c r="F58" s="29">
        <f>'일위대가_호표(신규)'!H208</f>
        <v>74150</v>
      </c>
      <c r="G58" s="29"/>
      <c r="H58" s="29">
        <f>'일위대가_호표(신규)'!J208</f>
        <v>443066</v>
      </c>
      <c r="I58" s="29"/>
      <c r="J58" s="29">
        <f>'일위대가_호표(신규)'!L208</f>
        <v>105772</v>
      </c>
      <c r="K58" s="20" t="s">
        <v>2856</v>
      </c>
      <c r="L58" t="s">
        <v>2856</v>
      </c>
      <c r="M58" t="s">
        <v>2121</v>
      </c>
      <c r="N58" t="s">
        <v>1778</v>
      </c>
      <c r="V58" s="29">
        <v>74150</v>
      </c>
      <c r="W58" s="29">
        <v>443066</v>
      </c>
      <c r="X58" s="29">
        <v>105772</v>
      </c>
      <c r="Y58" s="29">
        <v>622988</v>
      </c>
      <c r="AA58" s="7" t="b">
        <f t="shared" si="3"/>
        <v>1</v>
      </c>
      <c r="AC58" s="34" t="str">
        <f>HYPERLINK("#일위대가_호표!A208","HP003 →")</f>
        <v>HP003 →</v>
      </c>
    </row>
    <row r="59" spans="1:29" ht="18.399999999999999" customHeight="1" x14ac:dyDescent="0.15">
      <c r="A59" s="11" t="s">
        <v>1999</v>
      </c>
      <c r="B59" s="2" t="s">
        <v>2447</v>
      </c>
      <c r="C59" s="2">
        <v>1</v>
      </c>
      <c r="D59" s="2" t="s">
        <v>556</v>
      </c>
      <c r="E59" s="29">
        <f t="shared" si="2"/>
        <v>1210755</v>
      </c>
      <c r="F59" s="29">
        <f>'일위대가_호표(신규)'!H216</f>
        <v>144943</v>
      </c>
      <c r="G59" s="29"/>
      <c r="H59" s="29">
        <f>'일위대가_호표(신규)'!J216</f>
        <v>785059</v>
      </c>
      <c r="I59" s="29"/>
      <c r="J59" s="29">
        <f>'일위대가_호표(신규)'!L216</f>
        <v>280753</v>
      </c>
      <c r="K59" s="20" t="s">
        <v>2856</v>
      </c>
      <c r="L59" t="s">
        <v>2856</v>
      </c>
      <c r="M59" t="s">
        <v>327</v>
      </c>
      <c r="N59" t="s">
        <v>1778</v>
      </c>
      <c r="V59" s="29">
        <v>144943</v>
      </c>
      <c r="W59" s="29">
        <v>785059</v>
      </c>
      <c r="X59" s="29">
        <v>280753</v>
      </c>
      <c r="Y59" s="29">
        <v>1210755</v>
      </c>
      <c r="AA59" s="7" t="b">
        <f t="shared" si="3"/>
        <v>1</v>
      </c>
      <c r="AC59" s="34" t="str">
        <f>HYPERLINK("#일위대가_호표!A216","HP004 →")</f>
        <v>HP004 →</v>
      </c>
    </row>
    <row r="60" spans="1:29" ht="18.399999999999999" customHeight="1" x14ac:dyDescent="0.15">
      <c r="A60" s="11" t="s">
        <v>718</v>
      </c>
      <c r="B60" s="2" t="s">
        <v>1721</v>
      </c>
      <c r="C60" s="2">
        <v>1</v>
      </c>
      <c r="D60" s="2" t="s">
        <v>556</v>
      </c>
      <c r="E60" s="29">
        <f t="shared" si="2"/>
        <v>859723</v>
      </c>
      <c r="F60" s="29">
        <f>'일위대가_호표(신규)'!H224</f>
        <v>106503</v>
      </c>
      <c r="G60" s="29"/>
      <c r="H60" s="29">
        <f>'일위대가_호표(신규)'!J224</f>
        <v>598140</v>
      </c>
      <c r="I60" s="29"/>
      <c r="J60" s="29">
        <f>'일위대가_호표(신규)'!L224</f>
        <v>155080</v>
      </c>
      <c r="K60" s="20" t="s">
        <v>2856</v>
      </c>
      <c r="L60" t="s">
        <v>2856</v>
      </c>
      <c r="M60" t="s">
        <v>1514</v>
      </c>
      <c r="N60" t="s">
        <v>1778</v>
      </c>
      <c r="V60" s="29">
        <v>106503</v>
      </c>
      <c r="W60" s="29">
        <v>598140</v>
      </c>
      <c r="X60" s="29">
        <v>155080</v>
      </c>
      <c r="Y60" s="29">
        <v>859723</v>
      </c>
      <c r="AA60" s="7" t="b">
        <f t="shared" si="3"/>
        <v>1</v>
      </c>
      <c r="AC60" s="34" t="str">
        <f>HYPERLINK("#일위대가_호표!A224","HP005 →")</f>
        <v>HP005 →</v>
      </c>
    </row>
    <row r="61" spans="1:29" ht="18.399999999999999" customHeight="1" x14ac:dyDescent="0.15">
      <c r="A61" s="11" t="s">
        <v>2320</v>
      </c>
      <c r="B61" s="2" t="s">
        <v>1183</v>
      </c>
      <c r="C61" s="2">
        <v>1</v>
      </c>
      <c r="D61" s="2" t="s">
        <v>556</v>
      </c>
      <c r="E61" s="29">
        <f t="shared" si="2"/>
        <v>631487</v>
      </c>
      <c r="F61" s="29">
        <f>'일위대가_호표(신규)'!H232</f>
        <v>82649</v>
      </c>
      <c r="G61" s="29"/>
      <c r="H61" s="29">
        <f>'일위대가_호표(신규)'!J232</f>
        <v>443066</v>
      </c>
      <c r="I61" s="29"/>
      <c r="J61" s="29">
        <f>'일위대가_호표(신규)'!L232</f>
        <v>105772</v>
      </c>
      <c r="K61" s="20" t="s">
        <v>2856</v>
      </c>
      <c r="L61" t="s">
        <v>2856</v>
      </c>
      <c r="M61" t="s">
        <v>543</v>
      </c>
      <c r="N61" t="s">
        <v>1778</v>
      </c>
      <c r="V61" s="29">
        <v>82649</v>
      </c>
      <c r="W61" s="29">
        <v>443066</v>
      </c>
      <c r="X61" s="29">
        <v>105772</v>
      </c>
      <c r="Y61" s="29">
        <v>631487</v>
      </c>
      <c r="AA61" s="7" t="b">
        <f t="shared" si="3"/>
        <v>1</v>
      </c>
      <c r="AC61" s="34" t="str">
        <f>HYPERLINK("#일위대가_호표!A232","HP006 →")</f>
        <v>HP006 →</v>
      </c>
    </row>
    <row r="62" spans="1:29" ht="18.399999999999999" customHeight="1" x14ac:dyDescent="0.15">
      <c r="A62" s="11" t="s">
        <v>1851</v>
      </c>
      <c r="B62" s="2" t="s">
        <v>395</v>
      </c>
      <c r="C62" s="2">
        <v>1</v>
      </c>
      <c r="D62" s="2" t="s">
        <v>556</v>
      </c>
      <c r="E62" s="29">
        <f t="shared" si="2"/>
        <v>622988</v>
      </c>
      <c r="F62" s="29">
        <f>'일위대가_호표(신규)'!H240</f>
        <v>74150</v>
      </c>
      <c r="G62" s="29"/>
      <c r="H62" s="29">
        <f>'일위대가_호표(신규)'!J240</f>
        <v>443066</v>
      </c>
      <c r="I62" s="29"/>
      <c r="J62" s="29">
        <f>'일위대가_호표(신규)'!L240</f>
        <v>105772</v>
      </c>
      <c r="K62" s="20" t="s">
        <v>2856</v>
      </c>
      <c r="L62" t="s">
        <v>2856</v>
      </c>
      <c r="M62" t="s">
        <v>1829</v>
      </c>
      <c r="N62" t="s">
        <v>1778</v>
      </c>
      <c r="V62" s="29">
        <v>74150</v>
      </c>
      <c r="W62" s="29">
        <v>443066</v>
      </c>
      <c r="X62" s="29">
        <v>105772</v>
      </c>
      <c r="Y62" s="29">
        <v>622988</v>
      </c>
      <c r="AA62" s="7" t="b">
        <f t="shared" si="3"/>
        <v>1</v>
      </c>
      <c r="AC62" s="34" t="str">
        <f>HYPERLINK("#일위대가_호표!A240","HP007 →")</f>
        <v>HP007 →</v>
      </c>
    </row>
    <row r="63" spans="1:29" ht="18.399999999999999" customHeight="1" x14ac:dyDescent="0.15">
      <c r="A63" s="11" t="s">
        <v>571</v>
      </c>
      <c r="B63" s="2" t="s">
        <v>2159</v>
      </c>
      <c r="C63" s="2">
        <v>1</v>
      </c>
      <c r="D63" s="2" t="s">
        <v>556</v>
      </c>
      <c r="E63" s="29">
        <f t="shared" si="2"/>
        <v>620822</v>
      </c>
      <c r="F63" s="29">
        <f>'일위대가_호표(신규)'!H248</f>
        <v>71984</v>
      </c>
      <c r="G63" s="29"/>
      <c r="H63" s="29">
        <f>'일위대가_호표(신규)'!J248</f>
        <v>443066</v>
      </c>
      <c r="I63" s="29"/>
      <c r="J63" s="29">
        <f>'일위대가_호표(신규)'!L248</f>
        <v>105772</v>
      </c>
      <c r="K63" s="20" t="s">
        <v>2856</v>
      </c>
      <c r="L63" t="s">
        <v>2856</v>
      </c>
      <c r="M63" t="s">
        <v>580</v>
      </c>
      <c r="N63" t="s">
        <v>1778</v>
      </c>
      <c r="V63" s="29">
        <v>71984</v>
      </c>
      <c r="W63" s="29">
        <v>443066</v>
      </c>
      <c r="X63" s="29">
        <v>105772</v>
      </c>
      <c r="Y63" s="29">
        <v>620822</v>
      </c>
      <c r="AA63" s="7" t="b">
        <f t="shared" si="3"/>
        <v>1</v>
      </c>
      <c r="AC63" s="34" t="str">
        <f>HYPERLINK("#일위대가_호표!A248","HP008 →")</f>
        <v>HP008 →</v>
      </c>
    </row>
    <row r="64" spans="1:29" ht="18.399999999999999" customHeight="1" x14ac:dyDescent="0.15">
      <c r="A64" s="11" t="s">
        <v>2223</v>
      </c>
      <c r="B64" s="2" t="s">
        <v>2040</v>
      </c>
      <c r="C64" s="2">
        <v>1</v>
      </c>
      <c r="D64" s="2" t="s">
        <v>556</v>
      </c>
      <c r="E64" s="29">
        <f t="shared" si="2"/>
        <v>206888</v>
      </c>
      <c r="F64" s="29">
        <f>'일위대가_호표(신규)'!H256</f>
        <v>28618</v>
      </c>
      <c r="G64" s="29"/>
      <c r="H64" s="29">
        <f>'일위대가_호표(신규)'!J256</f>
        <v>161829</v>
      </c>
      <c r="I64" s="29"/>
      <c r="J64" s="29">
        <f>'일위대가_호표(신규)'!L256</f>
        <v>16441</v>
      </c>
      <c r="K64" s="20" t="s">
        <v>2856</v>
      </c>
      <c r="L64" t="s">
        <v>2856</v>
      </c>
      <c r="M64" t="s">
        <v>1819</v>
      </c>
      <c r="N64" t="s">
        <v>1778</v>
      </c>
      <c r="V64" s="29">
        <v>28618</v>
      </c>
      <c r="W64" s="29">
        <v>161829</v>
      </c>
      <c r="X64" s="29">
        <v>16441</v>
      </c>
      <c r="Y64" s="29">
        <v>206888</v>
      </c>
      <c r="AA64" s="7" t="b">
        <f t="shared" si="3"/>
        <v>1</v>
      </c>
      <c r="AC64" s="34" t="str">
        <f>HYPERLINK("#일위대가_호표!A256","HP009 →")</f>
        <v>HP009 →</v>
      </c>
    </row>
    <row r="65" spans="1:29" ht="18.399999999999999" customHeight="1" x14ac:dyDescent="0.15">
      <c r="A65" s="11" t="s">
        <v>651</v>
      </c>
      <c r="B65" s="2" t="s">
        <v>1374</v>
      </c>
      <c r="C65" s="2">
        <v>1</v>
      </c>
      <c r="D65" s="2" t="s">
        <v>556</v>
      </c>
      <c r="E65" s="29">
        <f t="shared" si="2"/>
        <v>630473</v>
      </c>
      <c r="F65" s="29">
        <f>'일위대가_호표(신규)'!H264</f>
        <v>81635</v>
      </c>
      <c r="G65" s="29"/>
      <c r="H65" s="29">
        <f>'일위대가_호표(신규)'!J264</f>
        <v>443066</v>
      </c>
      <c r="I65" s="29"/>
      <c r="J65" s="29">
        <f>'일위대가_호표(신규)'!L264</f>
        <v>105772</v>
      </c>
      <c r="K65" s="20" t="s">
        <v>2856</v>
      </c>
      <c r="L65" t="s">
        <v>2856</v>
      </c>
      <c r="M65" t="s">
        <v>2328</v>
      </c>
      <c r="N65" t="s">
        <v>1778</v>
      </c>
      <c r="V65" s="29">
        <v>81635</v>
      </c>
      <c r="W65" s="29">
        <v>443066</v>
      </c>
      <c r="X65" s="29">
        <v>105772</v>
      </c>
      <c r="Y65" s="29">
        <v>630473</v>
      </c>
      <c r="AA65" s="7" t="b">
        <f t="shared" si="3"/>
        <v>1</v>
      </c>
      <c r="AC65" s="34" t="str">
        <f>HYPERLINK("#일위대가_호표!A264","HP011 →")</f>
        <v>HP011 →</v>
      </c>
    </row>
    <row r="66" spans="1:29" ht="18.399999999999999" customHeight="1" x14ac:dyDescent="0.15">
      <c r="A66" s="11" t="s">
        <v>2737</v>
      </c>
      <c r="B66" s="2" t="s">
        <v>2079</v>
      </c>
      <c r="C66" s="2">
        <v>1</v>
      </c>
      <c r="D66" s="2" t="s">
        <v>556</v>
      </c>
      <c r="E66" s="29">
        <f t="shared" si="2"/>
        <v>306244</v>
      </c>
      <c r="F66" s="29">
        <f>'일위대가_호표(신규)'!H272</f>
        <v>45801</v>
      </c>
      <c r="G66" s="29"/>
      <c r="H66" s="29">
        <f>'일위대가_호표(신규)'!J272</f>
        <v>236423</v>
      </c>
      <c r="I66" s="29"/>
      <c r="J66" s="29">
        <f>'일위대가_호표(신규)'!L272</f>
        <v>24020</v>
      </c>
      <c r="K66" s="20" t="s">
        <v>2856</v>
      </c>
      <c r="L66" t="s">
        <v>2856</v>
      </c>
      <c r="M66" t="s">
        <v>1201</v>
      </c>
      <c r="N66" t="s">
        <v>1778</v>
      </c>
      <c r="V66" s="29">
        <v>45801</v>
      </c>
      <c r="W66" s="29">
        <v>236423</v>
      </c>
      <c r="X66" s="29">
        <v>24020</v>
      </c>
      <c r="Y66" s="29">
        <v>306244</v>
      </c>
      <c r="AA66" s="7" t="b">
        <f t="shared" si="3"/>
        <v>1</v>
      </c>
      <c r="AC66" s="34" t="str">
        <f>HYPERLINK("#일위대가_호표!A272","HP012 →")</f>
        <v>HP012 →</v>
      </c>
    </row>
    <row r="67" spans="1:29" ht="18.399999999999999" customHeight="1" x14ac:dyDescent="0.15">
      <c r="A67" s="11" t="s">
        <v>2345</v>
      </c>
      <c r="B67" s="2" t="s">
        <v>1581</v>
      </c>
      <c r="C67" s="2">
        <v>1</v>
      </c>
      <c r="D67" s="2" t="s">
        <v>556</v>
      </c>
      <c r="E67" s="29">
        <f t="shared" ref="E67:E98" si="4">F67+H67+J67</f>
        <v>621638</v>
      </c>
      <c r="F67" s="29">
        <f>'일위대가_호표(신규)'!H280</f>
        <v>72800</v>
      </c>
      <c r="G67" s="29"/>
      <c r="H67" s="29">
        <f>'일위대가_호표(신규)'!J280</f>
        <v>443066</v>
      </c>
      <c r="I67" s="29"/>
      <c r="J67" s="29">
        <f>'일위대가_호표(신규)'!L280</f>
        <v>105772</v>
      </c>
      <c r="K67" s="20" t="s">
        <v>2856</v>
      </c>
      <c r="L67" t="s">
        <v>2856</v>
      </c>
      <c r="M67" t="s">
        <v>2824</v>
      </c>
      <c r="N67" t="s">
        <v>1778</v>
      </c>
      <c r="V67" s="29">
        <v>72800</v>
      </c>
      <c r="W67" s="29">
        <v>443066</v>
      </c>
      <c r="X67" s="29">
        <v>105772</v>
      </c>
      <c r="Y67" s="29">
        <v>621638</v>
      </c>
      <c r="AA67" s="7" t="b">
        <f t="shared" ref="AA67:AA98" si="5">EXACT($E67,$Y67)</f>
        <v>1</v>
      </c>
      <c r="AC67" s="34" t="str">
        <f>HYPERLINK("#일위대가_호표!A280","HP013 →")</f>
        <v>HP013 →</v>
      </c>
    </row>
    <row r="68" spans="1:29" ht="18.399999999999999" customHeight="1" x14ac:dyDescent="0.15">
      <c r="A68" s="11" t="s">
        <v>2009</v>
      </c>
      <c r="B68" s="2" t="s">
        <v>2586</v>
      </c>
      <c r="C68" s="2">
        <v>1</v>
      </c>
      <c r="D68" s="2" t="s">
        <v>556</v>
      </c>
      <c r="E68" s="29">
        <f t="shared" si="4"/>
        <v>306244</v>
      </c>
      <c r="F68" s="29">
        <f>'일위대가_호표(신규)'!H288</f>
        <v>45801</v>
      </c>
      <c r="G68" s="29"/>
      <c r="H68" s="29">
        <f>'일위대가_호표(신규)'!J288</f>
        <v>236423</v>
      </c>
      <c r="I68" s="29"/>
      <c r="J68" s="29">
        <f>'일위대가_호표(신규)'!L288</f>
        <v>24020</v>
      </c>
      <c r="K68" s="20" t="s">
        <v>2856</v>
      </c>
      <c r="L68" t="s">
        <v>2856</v>
      </c>
      <c r="M68" t="s">
        <v>1082</v>
      </c>
      <c r="N68" t="s">
        <v>1778</v>
      </c>
      <c r="V68" s="29">
        <v>45801</v>
      </c>
      <c r="W68" s="29">
        <v>236423</v>
      </c>
      <c r="X68" s="29">
        <v>24020</v>
      </c>
      <c r="Y68" s="29">
        <v>306244</v>
      </c>
      <c r="AA68" s="7" t="b">
        <f t="shared" si="5"/>
        <v>1</v>
      </c>
      <c r="AC68" s="34" t="str">
        <f>HYPERLINK("#일위대가_호표!A288","HP014 →")</f>
        <v>HP014 →</v>
      </c>
    </row>
    <row r="69" spans="1:29" ht="18.399999999999999" customHeight="1" x14ac:dyDescent="0.15">
      <c r="A69" s="11" t="s">
        <v>820</v>
      </c>
      <c r="B69" s="2" t="s">
        <v>143</v>
      </c>
      <c r="C69" s="2">
        <v>1</v>
      </c>
      <c r="D69" s="2" t="s">
        <v>556</v>
      </c>
      <c r="E69" s="29">
        <f t="shared" si="4"/>
        <v>1214598</v>
      </c>
      <c r="F69" s="29">
        <f>'일위대가_호표(신규)'!H296</f>
        <v>148786</v>
      </c>
      <c r="G69" s="29"/>
      <c r="H69" s="29">
        <f>'일위대가_호표(신규)'!J296</f>
        <v>785059</v>
      </c>
      <c r="I69" s="29"/>
      <c r="J69" s="29">
        <f>'일위대가_호표(신규)'!L296</f>
        <v>280753</v>
      </c>
      <c r="K69" s="20" t="s">
        <v>2856</v>
      </c>
      <c r="L69" t="s">
        <v>2856</v>
      </c>
      <c r="M69" t="s">
        <v>2251</v>
      </c>
      <c r="N69" t="s">
        <v>1778</v>
      </c>
      <c r="V69" s="29">
        <v>148786</v>
      </c>
      <c r="W69" s="29">
        <v>785059</v>
      </c>
      <c r="X69" s="29">
        <v>280753</v>
      </c>
      <c r="Y69" s="29">
        <v>1214598</v>
      </c>
      <c r="AA69" s="7" t="b">
        <f t="shared" si="5"/>
        <v>1</v>
      </c>
      <c r="AC69" s="34" t="str">
        <f>HYPERLINK("#일위대가_호표!A296","HP015 →")</f>
        <v>HP015 →</v>
      </c>
    </row>
    <row r="70" spans="1:29" ht="18.399999999999999" customHeight="1" x14ac:dyDescent="0.15">
      <c r="A70" s="11" t="s">
        <v>2065</v>
      </c>
      <c r="B70" s="2" t="s">
        <v>2792</v>
      </c>
      <c r="C70" s="2">
        <v>1</v>
      </c>
      <c r="D70" s="2" t="s">
        <v>556</v>
      </c>
      <c r="E70" s="29">
        <f t="shared" si="4"/>
        <v>1760791</v>
      </c>
      <c r="F70" s="29">
        <f>'일위대가_호표(신규)'!H304</f>
        <v>240840</v>
      </c>
      <c r="G70" s="29"/>
      <c r="H70" s="29">
        <f>'일위대가_호표(신규)'!J304</f>
        <v>1017669</v>
      </c>
      <c r="I70" s="29"/>
      <c r="J70" s="29">
        <f>'일위대가_호표(신규)'!L304</f>
        <v>502282</v>
      </c>
      <c r="K70" s="20" t="s">
        <v>2856</v>
      </c>
      <c r="L70" t="s">
        <v>2856</v>
      </c>
      <c r="M70" t="s">
        <v>1286</v>
      </c>
      <c r="N70" t="s">
        <v>1778</v>
      </c>
      <c r="V70" s="29">
        <v>240840</v>
      </c>
      <c r="W70" s="29">
        <v>1017669</v>
      </c>
      <c r="X70" s="29">
        <v>502282</v>
      </c>
      <c r="Y70" s="29">
        <v>1760791</v>
      </c>
      <c r="AA70" s="7" t="b">
        <f t="shared" si="5"/>
        <v>1</v>
      </c>
      <c r="AC70" s="34" t="str">
        <f>HYPERLINK("#일위대가_호표!A304","HP016 →")</f>
        <v>HP016 →</v>
      </c>
    </row>
    <row r="71" spans="1:29" ht="18.399999999999999" customHeight="1" x14ac:dyDescent="0.15">
      <c r="A71" s="11" t="s">
        <v>450</v>
      </c>
      <c r="B71" s="2" t="s">
        <v>2215</v>
      </c>
      <c r="C71" s="2">
        <v>1</v>
      </c>
      <c r="D71" s="2" t="s">
        <v>556</v>
      </c>
      <c r="E71" s="29">
        <f t="shared" si="4"/>
        <v>1214598</v>
      </c>
      <c r="F71" s="29">
        <f>'일위대가_호표(신규)'!H312</f>
        <v>148786</v>
      </c>
      <c r="G71" s="29"/>
      <c r="H71" s="29">
        <f>'일위대가_호표(신규)'!J312</f>
        <v>785059</v>
      </c>
      <c r="I71" s="29"/>
      <c r="J71" s="29">
        <f>'일위대가_호표(신규)'!L312</f>
        <v>280753</v>
      </c>
      <c r="K71" s="20" t="s">
        <v>2856</v>
      </c>
      <c r="L71" t="s">
        <v>2856</v>
      </c>
      <c r="M71" t="s">
        <v>2563</v>
      </c>
      <c r="N71" t="s">
        <v>1778</v>
      </c>
      <c r="V71" s="29">
        <v>148786</v>
      </c>
      <c r="W71" s="29">
        <v>785059</v>
      </c>
      <c r="X71" s="29">
        <v>280753</v>
      </c>
      <c r="Y71" s="29">
        <v>1214598</v>
      </c>
      <c r="AA71" s="7" t="b">
        <f t="shared" si="5"/>
        <v>1</v>
      </c>
      <c r="AC71" s="34" t="str">
        <f>HYPERLINK("#일위대가_호표!A312","HP017 →")</f>
        <v>HP017 →</v>
      </c>
    </row>
    <row r="72" spans="1:29" ht="18.399999999999999" customHeight="1" x14ac:dyDescent="0.15">
      <c r="A72" s="11" t="s">
        <v>1308</v>
      </c>
      <c r="B72" s="2" t="s">
        <v>2403</v>
      </c>
      <c r="C72" s="2">
        <v>1</v>
      </c>
      <c r="D72" s="2" t="s">
        <v>556</v>
      </c>
      <c r="E72" s="29">
        <f t="shared" si="4"/>
        <v>165131</v>
      </c>
      <c r="F72" s="29">
        <f>'일위대가_호표(신규)'!H320</f>
        <v>24744</v>
      </c>
      <c r="G72" s="29"/>
      <c r="H72" s="29">
        <f>'일위대가_호표(신규)'!J320</f>
        <v>127440</v>
      </c>
      <c r="I72" s="29"/>
      <c r="J72" s="29">
        <f>'일위대가_호표(신규)'!L320</f>
        <v>12947</v>
      </c>
      <c r="K72" s="20" t="s">
        <v>2856</v>
      </c>
      <c r="L72" t="s">
        <v>2856</v>
      </c>
      <c r="M72" t="s">
        <v>1297</v>
      </c>
      <c r="N72" t="s">
        <v>1778</v>
      </c>
      <c r="V72" s="29">
        <v>24744</v>
      </c>
      <c r="W72" s="29">
        <v>127440</v>
      </c>
      <c r="X72" s="29">
        <v>12947</v>
      </c>
      <c r="Y72" s="29">
        <v>165131</v>
      </c>
      <c r="AA72" s="7" t="b">
        <f t="shared" si="5"/>
        <v>1</v>
      </c>
      <c r="AC72" s="34" t="str">
        <f>HYPERLINK("#일위대가_호표!A320","HP018 →")</f>
        <v>HP018 →</v>
      </c>
    </row>
    <row r="73" spans="1:29" ht="18.399999999999999" customHeight="1" x14ac:dyDescent="0.15">
      <c r="A73" s="11" t="s">
        <v>41</v>
      </c>
      <c r="B73" s="2" t="s">
        <v>2797</v>
      </c>
      <c r="C73" s="2">
        <v>1</v>
      </c>
      <c r="D73" s="2" t="s">
        <v>556</v>
      </c>
      <c r="E73" s="29">
        <f t="shared" si="4"/>
        <v>165131</v>
      </c>
      <c r="F73" s="29">
        <f>'일위대가_호표(신규)'!H328</f>
        <v>24744</v>
      </c>
      <c r="G73" s="29"/>
      <c r="H73" s="29">
        <f>'일위대가_호표(신규)'!J328</f>
        <v>127440</v>
      </c>
      <c r="I73" s="29"/>
      <c r="J73" s="29">
        <f>'일위대가_호표(신규)'!L328</f>
        <v>12947</v>
      </c>
      <c r="K73" s="20" t="s">
        <v>2856</v>
      </c>
      <c r="L73" t="s">
        <v>2856</v>
      </c>
      <c r="M73" t="s">
        <v>2528</v>
      </c>
      <c r="N73" t="s">
        <v>1778</v>
      </c>
      <c r="V73" s="29">
        <v>24744</v>
      </c>
      <c r="W73" s="29">
        <v>127440</v>
      </c>
      <c r="X73" s="29">
        <v>12947</v>
      </c>
      <c r="Y73" s="29">
        <v>165131</v>
      </c>
      <c r="AA73" s="7" t="b">
        <f t="shared" si="5"/>
        <v>1</v>
      </c>
      <c r="AC73" s="34" t="str">
        <f>HYPERLINK("#일위대가_호표!A328","HP019 →")</f>
        <v>HP019 →</v>
      </c>
    </row>
    <row r="74" spans="1:29" ht="18.399999999999999" customHeight="1" x14ac:dyDescent="0.15">
      <c r="A74" s="11" t="s">
        <v>2411</v>
      </c>
      <c r="B74" s="2" t="s">
        <v>473</v>
      </c>
      <c r="C74" s="2">
        <v>1</v>
      </c>
      <c r="D74" s="2" t="s">
        <v>556</v>
      </c>
      <c r="E74" s="29">
        <f t="shared" si="4"/>
        <v>165131</v>
      </c>
      <c r="F74" s="29">
        <f>'일위대가_호표(신규)'!H336</f>
        <v>24744</v>
      </c>
      <c r="G74" s="29"/>
      <c r="H74" s="29">
        <f>'일위대가_호표(신규)'!J336</f>
        <v>127440</v>
      </c>
      <c r="I74" s="29"/>
      <c r="J74" s="29">
        <f>'일위대가_호표(신규)'!L336</f>
        <v>12947</v>
      </c>
      <c r="K74" s="20" t="s">
        <v>2856</v>
      </c>
      <c r="L74" t="s">
        <v>2856</v>
      </c>
      <c r="M74" t="s">
        <v>1485</v>
      </c>
      <c r="N74" t="s">
        <v>1778</v>
      </c>
      <c r="V74" s="29">
        <v>24744</v>
      </c>
      <c r="W74" s="29">
        <v>127440</v>
      </c>
      <c r="X74" s="29">
        <v>12947</v>
      </c>
      <c r="Y74" s="29">
        <v>165131</v>
      </c>
      <c r="AA74" s="7" t="b">
        <f t="shared" si="5"/>
        <v>1</v>
      </c>
      <c r="AC74" s="34" t="str">
        <f>HYPERLINK("#일위대가_호표!A336","HP020 →")</f>
        <v>HP020 →</v>
      </c>
    </row>
    <row r="75" spans="1:29" ht="18.399999999999999" customHeight="1" x14ac:dyDescent="0.15">
      <c r="A75" s="11" t="s">
        <v>1941</v>
      </c>
      <c r="B75" s="2" t="s">
        <v>1592</v>
      </c>
      <c r="C75" s="2">
        <v>1</v>
      </c>
      <c r="D75" s="2" t="s">
        <v>556</v>
      </c>
      <c r="E75" s="29">
        <f t="shared" si="4"/>
        <v>165131</v>
      </c>
      <c r="F75" s="29">
        <f>'일위대가_호표(신규)'!H344</f>
        <v>24744</v>
      </c>
      <c r="G75" s="29"/>
      <c r="H75" s="29">
        <f>'일위대가_호표(신규)'!J344</f>
        <v>127440</v>
      </c>
      <c r="I75" s="29"/>
      <c r="J75" s="29">
        <f>'일위대가_호표(신규)'!L344</f>
        <v>12947</v>
      </c>
      <c r="K75" s="20" t="s">
        <v>2856</v>
      </c>
      <c r="L75" t="s">
        <v>2856</v>
      </c>
      <c r="M75" t="s">
        <v>220</v>
      </c>
      <c r="N75" t="s">
        <v>1778</v>
      </c>
      <c r="V75" s="29">
        <v>24744</v>
      </c>
      <c r="W75" s="29">
        <v>127440</v>
      </c>
      <c r="X75" s="29">
        <v>12947</v>
      </c>
      <c r="Y75" s="29">
        <v>165131</v>
      </c>
      <c r="AA75" s="7" t="b">
        <f t="shared" si="5"/>
        <v>1</v>
      </c>
      <c r="AC75" s="34" t="str">
        <f>HYPERLINK("#일위대가_호표!A344","HP021 →")</f>
        <v>HP021 →</v>
      </c>
    </row>
    <row r="76" spans="1:29" ht="18.399999999999999" customHeight="1" x14ac:dyDescent="0.15">
      <c r="A76" s="11" t="s">
        <v>1000</v>
      </c>
      <c r="B76" s="2" t="s">
        <v>1820</v>
      </c>
      <c r="C76" s="2">
        <v>1</v>
      </c>
      <c r="D76" s="2" t="s">
        <v>556</v>
      </c>
      <c r="E76" s="29">
        <f t="shared" si="4"/>
        <v>165131</v>
      </c>
      <c r="F76" s="29">
        <f>'일위대가_호표(신규)'!H352</f>
        <v>24744</v>
      </c>
      <c r="G76" s="29"/>
      <c r="H76" s="29">
        <f>'일위대가_호표(신규)'!J352</f>
        <v>127440</v>
      </c>
      <c r="I76" s="29"/>
      <c r="J76" s="29">
        <f>'일위대가_호표(신규)'!L352</f>
        <v>12947</v>
      </c>
      <c r="K76" s="20" t="s">
        <v>2856</v>
      </c>
      <c r="L76" t="s">
        <v>2856</v>
      </c>
      <c r="M76" t="s">
        <v>1893</v>
      </c>
      <c r="N76" t="s">
        <v>1778</v>
      </c>
      <c r="V76" s="29">
        <v>24744</v>
      </c>
      <c r="W76" s="29">
        <v>127440</v>
      </c>
      <c r="X76" s="29">
        <v>12947</v>
      </c>
      <c r="Y76" s="29">
        <v>165131</v>
      </c>
      <c r="AA76" s="7" t="b">
        <f t="shared" si="5"/>
        <v>1</v>
      </c>
      <c r="AC76" s="34" t="str">
        <f>HYPERLINK("#일위대가_호표!A352","HP022 →")</f>
        <v>HP022 →</v>
      </c>
    </row>
    <row r="77" spans="1:29" ht="18.399999999999999" customHeight="1" x14ac:dyDescent="0.15">
      <c r="A77" s="11" t="s">
        <v>654</v>
      </c>
      <c r="B77" s="2" t="s">
        <v>988</v>
      </c>
      <c r="C77" s="2">
        <v>1</v>
      </c>
      <c r="D77" s="2" t="s">
        <v>556</v>
      </c>
      <c r="E77" s="29">
        <f t="shared" si="4"/>
        <v>856463</v>
      </c>
      <c r="F77" s="29">
        <f>'일위대가_호표(신규)'!H360</f>
        <v>103243</v>
      </c>
      <c r="G77" s="29"/>
      <c r="H77" s="29">
        <f>'일위대가_호표(신규)'!J360</f>
        <v>598140</v>
      </c>
      <c r="I77" s="29"/>
      <c r="J77" s="29">
        <f>'일위대가_호표(신규)'!L360</f>
        <v>155080</v>
      </c>
      <c r="K77" s="20" t="s">
        <v>2856</v>
      </c>
      <c r="L77" t="s">
        <v>2856</v>
      </c>
      <c r="M77" t="s">
        <v>1733</v>
      </c>
      <c r="N77" t="s">
        <v>1778</v>
      </c>
      <c r="V77" s="29">
        <v>103243</v>
      </c>
      <c r="W77" s="29">
        <v>598140</v>
      </c>
      <c r="X77" s="29">
        <v>155080</v>
      </c>
      <c r="Y77" s="29">
        <v>856463</v>
      </c>
      <c r="AA77" s="7" t="b">
        <f t="shared" si="5"/>
        <v>1</v>
      </c>
      <c r="AC77" s="34" t="str">
        <f>HYPERLINK("#일위대가_호표!A360","HP024 →")</f>
        <v>HP024 →</v>
      </c>
    </row>
    <row r="78" spans="1:29" ht="18.399999999999999" customHeight="1" x14ac:dyDescent="0.15">
      <c r="A78" s="11" t="s">
        <v>45</v>
      </c>
      <c r="B78" s="2" t="s">
        <v>1281</v>
      </c>
      <c r="C78" s="2">
        <v>1</v>
      </c>
      <c r="D78" s="2" t="s">
        <v>556</v>
      </c>
      <c r="E78" s="29">
        <f t="shared" si="4"/>
        <v>305373</v>
      </c>
      <c r="F78" s="29">
        <f>'일위대가_호표(신규)'!H368</f>
        <v>44930</v>
      </c>
      <c r="G78" s="29"/>
      <c r="H78" s="29">
        <f>'일위대가_호표(신규)'!J368</f>
        <v>236423</v>
      </c>
      <c r="I78" s="29"/>
      <c r="J78" s="29">
        <f>'일위대가_호표(신규)'!L368</f>
        <v>24020</v>
      </c>
      <c r="K78" s="20" t="s">
        <v>2856</v>
      </c>
      <c r="L78" t="s">
        <v>2856</v>
      </c>
      <c r="M78" t="s">
        <v>110</v>
      </c>
      <c r="N78" t="s">
        <v>1778</v>
      </c>
      <c r="V78" s="29">
        <v>44930</v>
      </c>
      <c r="W78" s="29">
        <v>236423</v>
      </c>
      <c r="X78" s="29">
        <v>24020</v>
      </c>
      <c r="Y78" s="29">
        <v>305373</v>
      </c>
      <c r="AA78" s="7" t="b">
        <f t="shared" si="5"/>
        <v>1</v>
      </c>
      <c r="AC78" s="34" t="str">
        <f>HYPERLINK("#일위대가_호표!A368","HP025 →")</f>
        <v>HP025 →</v>
      </c>
    </row>
    <row r="79" spans="1:29" ht="18.399999999999999" customHeight="1" x14ac:dyDescent="0.15">
      <c r="A79" s="11" t="s">
        <v>1675</v>
      </c>
      <c r="B79" s="2" t="s">
        <v>244</v>
      </c>
      <c r="C79" s="2">
        <v>1</v>
      </c>
      <c r="D79" s="2" t="s">
        <v>556</v>
      </c>
      <c r="E79" s="29">
        <f t="shared" si="4"/>
        <v>863033</v>
      </c>
      <c r="F79" s="29">
        <f>'일위대가_호표(신규)'!H376</f>
        <v>109813</v>
      </c>
      <c r="G79" s="29"/>
      <c r="H79" s="29">
        <f>'일위대가_호표(신규)'!J376</f>
        <v>598140</v>
      </c>
      <c r="I79" s="29"/>
      <c r="J79" s="29">
        <f>'일위대가_호표(신규)'!L376</f>
        <v>155080</v>
      </c>
      <c r="K79" s="20" t="s">
        <v>2856</v>
      </c>
      <c r="L79" t="s">
        <v>2856</v>
      </c>
      <c r="M79" t="s">
        <v>1963</v>
      </c>
      <c r="N79" t="s">
        <v>1778</v>
      </c>
      <c r="V79" s="29">
        <v>109813</v>
      </c>
      <c r="W79" s="29">
        <v>598140</v>
      </c>
      <c r="X79" s="29">
        <v>155080</v>
      </c>
      <c r="Y79" s="29">
        <v>863033</v>
      </c>
      <c r="AA79" s="7" t="b">
        <f t="shared" si="5"/>
        <v>1</v>
      </c>
      <c r="AC79" s="34" t="str">
        <f>HYPERLINK("#일위대가_호표!A376","HP026 →")</f>
        <v>HP026 →</v>
      </c>
    </row>
    <row r="80" spans="1:29" ht="18.399999999999999" customHeight="1" x14ac:dyDescent="0.15">
      <c r="A80" s="11" t="s">
        <v>2743</v>
      </c>
      <c r="B80" s="2" t="s">
        <v>198</v>
      </c>
      <c r="C80" s="2">
        <v>1</v>
      </c>
      <c r="D80" s="2" t="s">
        <v>556</v>
      </c>
      <c r="E80" s="29">
        <f t="shared" si="4"/>
        <v>859723</v>
      </c>
      <c r="F80" s="29">
        <f>'일위대가_호표(신규)'!H384</f>
        <v>106503</v>
      </c>
      <c r="G80" s="29"/>
      <c r="H80" s="29">
        <f>'일위대가_호표(신규)'!J384</f>
        <v>598140</v>
      </c>
      <c r="I80" s="29"/>
      <c r="J80" s="29">
        <f>'일위대가_호표(신규)'!L384</f>
        <v>155080</v>
      </c>
      <c r="K80" s="20" t="s">
        <v>2856</v>
      </c>
      <c r="L80" t="s">
        <v>2856</v>
      </c>
      <c r="M80" t="s">
        <v>419</v>
      </c>
      <c r="N80" t="s">
        <v>1778</v>
      </c>
      <c r="V80" s="29">
        <v>106503</v>
      </c>
      <c r="W80" s="29">
        <v>598140</v>
      </c>
      <c r="X80" s="29">
        <v>155080</v>
      </c>
      <c r="Y80" s="29">
        <v>859723</v>
      </c>
      <c r="AA80" s="7" t="b">
        <f t="shared" si="5"/>
        <v>1</v>
      </c>
      <c r="AC80" s="34" t="str">
        <f>HYPERLINK("#일위대가_호표!A384","HP027 →")</f>
        <v>HP027 →</v>
      </c>
    </row>
    <row r="81" spans="1:29" ht="18.399999999999999" customHeight="1" x14ac:dyDescent="0.15">
      <c r="A81" s="11" t="s">
        <v>232</v>
      </c>
      <c r="B81" s="2" t="s">
        <v>1553</v>
      </c>
      <c r="C81" s="2">
        <v>1</v>
      </c>
      <c r="D81" s="2" t="s">
        <v>556</v>
      </c>
      <c r="E81" s="29">
        <f t="shared" si="4"/>
        <v>859723</v>
      </c>
      <c r="F81" s="29">
        <f>'일위대가_호표(신규)'!H392</f>
        <v>106503</v>
      </c>
      <c r="G81" s="29"/>
      <c r="H81" s="29">
        <f>'일위대가_호표(신규)'!J392</f>
        <v>598140</v>
      </c>
      <c r="I81" s="29"/>
      <c r="J81" s="29">
        <f>'일위대가_호표(신규)'!L392</f>
        <v>155080</v>
      </c>
      <c r="K81" s="20" t="s">
        <v>2856</v>
      </c>
      <c r="L81" t="s">
        <v>2856</v>
      </c>
      <c r="M81" t="s">
        <v>2049</v>
      </c>
      <c r="N81" t="s">
        <v>1778</v>
      </c>
      <c r="V81" s="29">
        <v>106503</v>
      </c>
      <c r="W81" s="29">
        <v>598140</v>
      </c>
      <c r="X81" s="29">
        <v>155080</v>
      </c>
      <c r="Y81" s="29">
        <v>859723</v>
      </c>
      <c r="AA81" s="7" t="b">
        <f t="shared" si="5"/>
        <v>1</v>
      </c>
      <c r="AC81" s="34" t="str">
        <f>HYPERLINK("#일위대가_호표!A392","HP028 →")</f>
        <v>HP028 →</v>
      </c>
    </row>
    <row r="82" spans="1:29" ht="18.399999999999999" customHeight="1" x14ac:dyDescent="0.15">
      <c r="A82" s="11" t="s">
        <v>1259</v>
      </c>
      <c r="B82" s="2" t="s">
        <v>1864</v>
      </c>
      <c r="C82" s="2">
        <v>1</v>
      </c>
      <c r="D82" s="2" t="s">
        <v>556</v>
      </c>
      <c r="E82" s="29">
        <f t="shared" si="4"/>
        <v>859723</v>
      </c>
      <c r="F82" s="29">
        <f>'일위대가_호표(신규)'!H400</f>
        <v>106503</v>
      </c>
      <c r="G82" s="29"/>
      <c r="H82" s="29">
        <f>'일위대가_호표(신규)'!J400</f>
        <v>598140</v>
      </c>
      <c r="I82" s="29"/>
      <c r="J82" s="29">
        <f>'일위대가_호표(신규)'!L400</f>
        <v>155080</v>
      </c>
      <c r="K82" s="20" t="s">
        <v>2856</v>
      </c>
      <c r="L82" t="s">
        <v>2856</v>
      </c>
      <c r="M82" t="s">
        <v>358</v>
      </c>
      <c r="N82" t="s">
        <v>1778</v>
      </c>
      <c r="V82" s="29">
        <v>106503</v>
      </c>
      <c r="W82" s="29">
        <v>598140</v>
      </c>
      <c r="X82" s="29">
        <v>155080</v>
      </c>
      <c r="Y82" s="29">
        <v>859723</v>
      </c>
      <c r="AA82" s="7" t="b">
        <f t="shared" si="5"/>
        <v>1</v>
      </c>
      <c r="AC82" s="34" t="str">
        <f>HYPERLINK("#일위대가_호표!A400","HP029 →")</f>
        <v>HP029 →</v>
      </c>
    </row>
    <row r="83" spans="1:29" ht="18.399999999999999" customHeight="1" x14ac:dyDescent="0.15">
      <c r="A83" s="11" t="s">
        <v>1619</v>
      </c>
      <c r="B83" s="2" t="s">
        <v>2133</v>
      </c>
      <c r="C83" s="2">
        <v>1</v>
      </c>
      <c r="D83" s="2" t="s">
        <v>556</v>
      </c>
      <c r="E83" s="29">
        <f t="shared" si="4"/>
        <v>856463</v>
      </c>
      <c r="F83" s="29">
        <f>'일위대가_호표(신규)'!H408</f>
        <v>103243</v>
      </c>
      <c r="G83" s="29"/>
      <c r="H83" s="29">
        <f>'일위대가_호표(신규)'!J408</f>
        <v>598140</v>
      </c>
      <c r="I83" s="29"/>
      <c r="J83" s="29">
        <f>'일위대가_호표(신규)'!L408</f>
        <v>155080</v>
      </c>
      <c r="K83" s="20" t="s">
        <v>2856</v>
      </c>
      <c r="L83" t="s">
        <v>2856</v>
      </c>
      <c r="M83" t="s">
        <v>2194</v>
      </c>
      <c r="N83" t="s">
        <v>1778</v>
      </c>
      <c r="V83" s="29">
        <v>103243</v>
      </c>
      <c r="W83" s="29">
        <v>598140</v>
      </c>
      <c r="X83" s="29">
        <v>155080</v>
      </c>
      <c r="Y83" s="29">
        <v>856463</v>
      </c>
      <c r="AA83" s="7" t="b">
        <f t="shared" si="5"/>
        <v>1</v>
      </c>
      <c r="AC83" s="34" t="str">
        <f>HYPERLINK("#일위대가_호표!A408","HP030 →")</f>
        <v>HP030 →</v>
      </c>
    </row>
    <row r="84" spans="1:29" ht="18.399999999999999" customHeight="1" x14ac:dyDescent="0.15">
      <c r="A84" s="11" t="s">
        <v>2719</v>
      </c>
      <c r="B84" s="2" t="s">
        <v>837</v>
      </c>
      <c r="C84" s="2">
        <v>1</v>
      </c>
      <c r="D84" s="2" t="s">
        <v>556</v>
      </c>
      <c r="E84" s="29">
        <f t="shared" si="4"/>
        <v>620822</v>
      </c>
      <c r="F84" s="29">
        <f>'일위대가_호표(신규)'!H416</f>
        <v>71984</v>
      </c>
      <c r="G84" s="29"/>
      <c r="H84" s="29">
        <f>'일위대가_호표(신규)'!J416</f>
        <v>443066</v>
      </c>
      <c r="I84" s="29"/>
      <c r="J84" s="29">
        <f>'일위대가_호표(신규)'!L416</f>
        <v>105772</v>
      </c>
      <c r="K84" s="20" t="s">
        <v>2856</v>
      </c>
      <c r="L84" t="s">
        <v>2856</v>
      </c>
      <c r="M84" t="s">
        <v>931</v>
      </c>
      <c r="N84" t="s">
        <v>1778</v>
      </c>
      <c r="V84" s="29">
        <v>71984</v>
      </c>
      <c r="W84" s="29">
        <v>443066</v>
      </c>
      <c r="X84" s="29">
        <v>105772</v>
      </c>
      <c r="Y84" s="29">
        <v>620822</v>
      </c>
      <c r="AA84" s="7" t="b">
        <f t="shared" si="5"/>
        <v>1</v>
      </c>
      <c r="AC84" s="34" t="str">
        <f>HYPERLINK("#일위대가_호표!A416","HP031 →")</f>
        <v>HP031 →</v>
      </c>
    </row>
    <row r="85" spans="1:29" ht="18.399999999999999" customHeight="1" x14ac:dyDescent="0.15">
      <c r="A85" s="11" t="s">
        <v>620</v>
      </c>
      <c r="B85" s="2" t="s">
        <v>1558</v>
      </c>
      <c r="C85" s="2">
        <v>1</v>
      </c>
      <c r="D85" s="2" t="s">
        <v>556</v>
      </c>
      <c r="E85" s="29">
        <f t="shared" si="4"/>
        <v>620822</v>
      </c>
      <c r="F85" s="29">
        <f>'일위대가_호표(신규)'!H424</f>
        <v>71984</v>
      </c>
      <c r="G85" s="29"/>
      <c r="H85" s="29">
        <f>'일위대가_호표(신규)'!J424</f>
        <v>443066</v>
      </c>
      <c r="I85" s="29"/>
      <c r="J85" s="29">
        <f>'일위대가_호표(신규)'!L424</f>
        <v>105772</v>
      </c>
      <c r="K85" s="20" t="s">
        <v>2856</v>
      </c>
      <c r="L85" t="s">
        <v>2856</v>
      </c>
      <c r="M85" t="s">
        <v>2596</v>
      </c>
      <c r="N85" t="s">
        <v>1778</v>
      </c>
      <c r="V85" s="29">
        <v>71984</v>
      </c>
      <c r="W85" s="29">
        <v>443066</v>
      </c>
      <c r="X85" s="29">
        <v>105772</v>
      </c>
      <c r="Y85" s="29">
        <v>620822</v>
      </c>
      <c r="AA85" s="7" t="b">
        <f t="shared" si="5"/>
        <v>1</v>
      </c>
      <c r="AC85" s="34" t="str">
        <f>HYPERLINK("#일위대가_호표!A424","HP032 →")</f>
        <v>HP032 →</v>
      </c>
    </row>
    <row r="86" spans="1:29" ht="18.399999999999999" customHeight="1" x14ac:dyDescent="0.15">
      <c r="A86" s="11" t="s">
        <v>1156</v>
      </c>
      <c r="B86" s="2" t="s">
        <v>1157</v>
      </c>
      <c r="C86" s="2">
        <v>1</v>
      </c>
      <c r="D86" s="2" t="s">
        <v>556</v>
      </c>
      <c r="E86" s="29">
        <f t="shared" si="4"/>
        <v>631487</v>
      </c>
      <c r="F86" s="29">
        <f>'일위대가_호표(신규)'!H432</f>
        <v>82649</v>
      </c>
      <c r="G86" s="29"/>
      <c r="H86" s="29">
        <f>'일위대가_호표(신규)'!J432</f>
        <v>443066</v>
      </c>
      <c r="I86" s="29"/>
      <c r="J86" s="29">
        <f>'일위대가_호표(신규)'!L432</f>
        <v>105772</v>
      </c>
      <c r="K86" s="20" t="s">
        <v>2856</v>
      </c>
      <c r="L86" t="s">
        <v>2856</v>
      </c>
      <c r="M86" t="s">
        <v>1415</v>
      </c>
      <c r="N86" t="s">
        <v>1778</v>
      </c>
      <c r="V86" s="29">
        <v>82649</v>
      </c>
      <c r="W86" s="29">
        <v>443066</v>
      </c>
      <c r="X86" s="29">
        <v>105772</v>
      </c>
      <c r="Y86" s="29">
        <v>631487</v>
      </c>
      <c r="AA86" s="7" t="b">
        <f t="shared" si="5"/>
        <v>1</v>
      </c>
      <c r="AC86" s="34" t="str">
        <f>HYPERLINK("#일위대가_호표!A432","HP033 →")</f>
        <v>HP033 →</v>
      </c>
    </row>
    <row r="87" spans="1:29" ht="18.399999999999999" customHeight="1" x14ac:dyDescent="0.15">
      <c r="A87" s="11" t="s">
        <v>2764</v>
      </c>
      <c r="B87" s="2" t="s">
        <v>21</v>
      </c>
      <c r="C87" s="2">
        <v>1</v>
      </c>
      <c r="D87" s="2" t="s">
        <v>556</v>
      </c>
      <c r="E87" s="29">
        <f t="shared" si="4"/>
        <v>859723</v>
      </c>
      <c r="F87" s="29">
        <f>'일위대가_호표(신규)'!H440</f>
        <v>106503</v>
      </c>
      <c r="G87" s="29"/>
      <c r="H87" s="29">
        <f>'일위대가_호표(신규)'!J440</f>
        <v>598140</v>
      </c>
      <c r="I87" s="29"/>
      <c r="J87" s="29">
        <f>'일위대가_호표(신규)'!L440</f>
        <v>155080</v>
      </c>
      <c r="K87" s="20" t="s">
        <v>2856</v>
      </c>
      <c r="L87" t="s">
        <v>2856</v>
      </c>
      <c r="M87" t="s">
        <v>2469</v>
      </c>
      <c r="N87" t="s">
        <v>1778</v>
      </c>
      <c r="V87" s="29">
        <v>106503</v>
      </c>
      <c r="W87" s="29">
        <v>598140</v>
      </c>
      <c r="X87" s="29">
        <v>155080</v>
      </c>
      <c r="Y87" s="29">
        <v>859723</v>
      </c>
      <c r="AA87" s="7" t="b">
        <f t="shared" si="5"/>
        <v>1</v>
      </c>
      <c r="AC87" s="34" t="str">
        <f>HYPERLINK("#일위대가_호표!A440","HP034 →")</f>
        <v>HP034 →</v>
      </c>
    </row>
    <row r="88" spans="1:29" ht="18.399999999999999" customHeight="1" x14ac:dyDescent="0.15">
      <c r="A88" s="11" t="s">
        <v>720</v>
      </c>
      <c r="B88" s="2" t="s">
        <v>1599</v>
      </c>
      <c r="C88" s="2">
        <v>1</v>
      </c>
      <c r="D88" s="2" t="s">
        <v>556</v>
      </c>
      <c r="E88" s="29">
        <f t="shared" si="4"/>
        <v>1210755</v>
      </c>
      <c r="F88" s="29">
        <f>'일위대가_호표(신규)'!H448</f>
        <v>144943</v>
      </c>
      <c r="G88" s="29"/>
      <c r="H88" s="29">
        <f>'일위대가_호표(신규)'!J448</f>
        <v>785059</v>
      </c>
      <c r="I88" s="29"/>
      <c r="J88" s="29">
        <f>'일위대가_호표(신규)'!L448</f>
        <v>280753</v>
      </c>
      <c r="K88" s="20" t="s">
        <v>2856</v>
      </c>
      <c r="L88" t="s">
        <v>2856</v>
      </c>
      <c r="M88" t="s">
        <v>828</v>
      </c>
      <c r="N88" t="s">
        <v>1778</v>
      </c>
      <c r="V88" s="29">
        <v>144943</v>
      </c>
      <c r="W88" s="29">
        <v>785059</v>
      </c>
      <c r="X88" s="29">
        <v>280753</v>
      </c>
      <c r="Y88" s="29">
        <v>1210755</v>
      </c>
      <c r="AA88" s="7" t="b">
        <f t="shared" si="5"/>
        <v>1</v>
      </c>
      <c r="AC88" s="34" t="str">
        <f>HYPERLINK("#일위대가_호표!A448","HP035 →")</f>
        <v>HP035 →</v>
      </c>
    </row>
    <row r="89" spans="1:29" ht="18.399999999999999" customHeight="1" x14ac:dyDescent="0.15">
      <c r="A89" s="11" t="s">
        <v>2321</v>
      </c>
      <c r="B89" s="2" t="s">
        <v>1558</v>
      </c>
      <c r="C89" s="2">
        <v>1</v>
      </c>
      <c r="D89" s="2" t="s">
        <v>556</v>
      </c>
      <c r="E89" s="29">
        <f t="shared" si="4"/>
        <v>620822</v>
      </c>
      <c r="F89" s="29">
        <f>'일위대가_호표(신규)'!H456</f>
        <v>71984</v>
      </c>
      <c r="G89" s="29"/>
      <c r="H89" s="29">
        <f>'일위대가_호표(신규)'!J456</f>
        <v>443066</v>
      </c>
      <c r="I89" s="29"/>
      <c r="J89" s="29">
        <f>'일위대가_호표(신규)'!L456</f>
        <v>105772</v>
      </c>
      <c r="K89" s="20" t="s">
        <v>2856</v>
      </c>
      <c r="L89" t="s">
        <v>2856</v>
      </c>
      <c r="M89" t="s">
        <v>2692</v>
      </c>
      <c r="N89" t="s">
        <v>1778</v>
      </c>
      <c r="V89" s="29">
        <v>71984</v>
      </c>
      <c r="W89" s="29">
        <v>443066</v>
      </c>
      <c r="X89" s="29">
        <v>105772</v>
      </c>
      <c r="Y89" s="29">
        <v>620822</v>
      </c>
      <c r="AA89" s="7" t="b">
        <f t="shared" si="5"/>
        <v>1</v>
      </c>
      <c r="AC89" s="34" t="str">
        <f>HYPERLINK("#일위대가_호표!A456","HP036 →")</f>
        <v>HP036 →</v>
      </c>
    </row>
    <row r="90" spans="1:29" ht="18.399999999999999" customHeight="1" x14ac:dyDescent="0.15">
      <c r="A90" s="11" t="s">
        <v>373</v>
      </c>
      <c r="B90" s="2" t="s">
        <v>693</v>
      </c>
      <c r="C90" s="2">
        <v>1</v>
      </c>
      <c r="D90" s="2" t="s">
        <v>556</v>
      </c>
      <c r="E90" s="29">
        <f t="shared" si="4"/>
        <v>620822</v>
      </c>
      <c r="F90" s="29">
        <f>'일위대가_호표(신규)'!H464</f>
        <v>71984</v>
      </c>
      <c r="G90" s="29"/>
      <c r="H90" s="29">
        <f>'일위대가_호표(신규)'!J464</f>
        <v>443066</v>
      </c>
      <c r="I90" s="29"/>
      <c r="J90" s="29">
        <f>'일위대가_호표(신규)'!L464</f>
        <v>105772</v>
      </c>
      <c r="K90" s="20" t="s">
        <v>2856</v>
      </c>
      <c r="L90" t="s">
        <v>2856</v>
      </c>
      <c r="M90" t="s">
        <v>1159</v>
      </c>
      <c r="N90" t="s">
        <v>1778</v>
      </c>
      <c r="V90" s="29">
        <v>71984</v>
      </c>
      <c r="W90" s="29">
        <v>443066</v>
      </c>
      <c r="X90" s="29">
        <v>105772</v>
      </c>
      <c r="Y90" s="29">
        <v>620822</v>
      </c>
      <c r="AA90" s="7" t="b">
        <f t="shared" si="5"/>
        <v>1</v>
      </c>
      <c r="AC90" s="34" t="str">
        <f>HYPERLINK("#일위대가_호표!A464","HP037 →")</f>
        <v>HP037 →</v>
      </c>
    </row>
    <row r="91" spans="1:29" ht="18.399999999999999" customHeight="1" x14ac:dyDescent="0.15">
      <c r="A91" s="11" t="s">
        <v>2007</v>
      </c>
      <c r="B91" s="2" t="s">
        <v>1567</v>
      </c>
      <c r="C91" s="2">
        <v>1</v>
      </c>
      <c r="D91" s="2" t="s">
        <v>556</v>
      </c>
      <c r="E91" s="29">
        <f t="shared" si="4"/>
        <v>305373</v>
      </c>
      <c r="F91" s="29">
        <f>'일위대가_호표(신규)'!H472</f>
        <v>44930</v>
      </c>
      <c r="G91" s="29"/>
      <c r="H91" s="29">
        <f>'일위대가_호표(신규)'!J472</f>
        <v>236423</v>
      </c>
      <c r="I91" s="29"/>
      <c r="J91" s="29">
        <f>'일위대가_호표(신규)'!L472</f>
        <v>24020</v>
      </c>
      <c r="K91" s="20" t="s">
        <v>2856</v>
      </c>
      <c r="L91" t="s">
        <v>2856</v>
      </c>
      <c r="M91" t="s">
        <v>2752</v>
      </c>
      <c r="N91" t="s">
        <v>1778</v>
      </c>
      <c r="V91" s="29">
        <v>44930</v>
      </c>
      <c r="W91" s="29">
        <v>236423</v>
      </c>
      <c r="X91" s="29">
        <v>24020</v>
      </c>
      <c r="Y91" s="29">
        <v>305373</v>
      </c>
      <c r="AA91" s="7" t="b">
        <f t="shared" si="5"/>
        <v>1</v>
      </c>
      <c r="AC91" s="34" t="str">
        <f>HYPERLINK("#일위대가_호표!A472","HP038 →")</f>
        <v>HP038 →</v>
      </c>
    </row>
    <row r="92" spans="1:29" ht="18.399999999999999" customHeight="1" x14ac:dyDescent="0.15">
      <c r="A92" s="11" t="s">
        <v>2217</v>
      </c>
      <c r="B92" s="2" t="s">
        <v>494</v>
      </c>
      <c r="C92" s="2">
        <v>1</v>
      </c>
      <c r="D92" s="2" t="s">
        <v>556</v>
      </c>
      <c r="E92" s="29">
        <f t="shared" si="4"/>
        <v>252669</v>
      </c>
      <c r="F92" s="29">
        <f>'일위대가_호표(신규)'!H480</f>
        <v>39580</v>
      </c>
      <c r="G92" s="29"/>
      <c r="H92" s="29">
        <f>'일위대가_호표(신규)'!J480</f>
        <v>193437</v>
      </c>
      <c r="I92" s="29"/>
      <c r="J92" s="29">
        <f>'일위대가_호표(신규)'!L480</f>
        <v>19652</v>
      </c>
      <c r="K92" s="20" t="s">
        <v>2856</v>
      </c>
      <c r="L92" t="s">
        <v>2856</v>
      </c>
      <c r="M92" t="s">
        <v>1097</v>
      </c>
      <c r="N92" t="s">
        <v>1778</v>
      </c>
      <c r="V92" s="29">
        <v>39580</v>
      </c>
      <c r="W92" s="29">
        <v>193437</v>
      </c>
      <c r="X92" s="29">
        <v>19652</v>
      </c>
      <c r="Y92" s="29">
        <v>252669</v>
      </c>
      <c r="AA92" s="7" t="b">
        <f t="shared" si="5"/>
        <v>1</v>
      </c>
      <c r="AC92" s="34" t="str">
        <f>HYPERLINK("#일위대가_호표!A480","HP039 →")</f>
        <v>HP039 →</v>
      </c>
    </row>
    <row r="93" spans="1:29" ht="18.399999999999999" customHeight="1" x14ac:dyDescent="0.15">
      <c r="A93" s="11" t="s">
        <v>980</v>
      </c>
      <c r="B93" s="2" t="s">
        <v>2244</v>
      </c>
      <c r="C93" s="2">
        <v>1</v>
      </c>
      <c r="D93" s="2" t="s">
        <v>556</v>
      </c>
      <c r="E93" s="29">
        <f t="shared" si="4"/>
        <v>252953</v>
      </c>
      <c r="F93" s="29">
        <f>'일위대가_호표(신규)'!H488</f>
        <v>39864</v>
      </c>
      <c r="G93" s="29"/>
      <c r="H93" s="29">
        <f>'일위대가_호표(신규)'!J488</f>
        <v>193437</v>
      </c>
      <c r="I93" s="29"/>
      <c r="J93" s="29">
        <f>'일위대가_호표(신규)'!L488</f>
        <v>19652</v>
      </c>
      <c r="K93" s="20" t="s">
        <v>2856</v>
      </c>
      <c r="L93" t="s">
        <v>2856</v>
      </c>
      <c r="M93" t="s">
        <v>37</v>
      </c>
      <c r="N93" t="s">
        <v>1778</v>
      </c>
      <c r="V93" s="29">
        <v>39864</v>
      </c>
      <c r="W93" s="29">
        <v>193437</v>
      </c>
      <c r="X93" s="29">
        <v>19652</v>
      </c>
      <c r="Y93" s="29">
        <v>252953</v>
      </c>
      <c r="AA93" s="7" t="b">
        <f t="shared" si="5"/>
        <v>1</v>
      </c>
      <c r="AC93" s="34" t="str">
        <f>HYPERLINK("#일위대가_호표!A488","HP040 →")</f>
        <v>HP040 →</v>
      </c>
    </row>
    <row r="94" spans="1:29" ht="18.399999999999999" customHeight="1" x14ac:dyDescent="0.15">
      <c r="A94" s="11" t="s">
        <v>812</v>
      </c>
      <c r="B94" s="2" t="s">
        <v>881</v>
      </c>
      <c r="C94" s="2">
        <v>1</v>
      </c>
      <c r="D94" s="2" t="s">
        <v>556</v>
      </c>
      <c r="E94" s="29">
        <f t="shared" si="4"/>
        <v>620822</v>
      </c>
      <c r="F94" s="29">
        <f>'일위대가_호표(신규)'!H496</f>
        <v>71984</v>
      </c>
      <c r="G94" s="29"/>
      <c r="H94" s="29">
        <f>'일위대가_호표(신규)'!J496</f>
        <v>443066</v>
      </c>
      <c r="I94" s="29"/>
      <c r="J94" s="29">
        <f>'일위대가_호표(신규)'!L496</f>
        <v>105772</v>
      </c>
      <c r="K94" s="20" t="s">
        <v>2856</v>
      </c>
      <c r="L94" t="s">
        <v>2856</v>
      </c>
      <c r="M94" t="s">
        <v>1659</v>
      </c>
      <c r="N94" t="s">
        <v>1778</v>
      </c>
      <c r="V94" s="29">
        <v>71984</v>
      </c>
      <c r="W94" s="29">
        <v>443066</v>
      </c>
      <c r="X94" s="29">
        <v>105772</v>
      </c>
      <c r="Y94" s="29">
        <v>620822</v>
      </c>
      <c r="AA94" s="7" t="b">
        <f t="shared" si="5"/>
        <v>1</v>
      </c>
      <c r="AC94" s="34" t="str">
        <f>HYPERLINK("#일위대가_호표!A496","HP041 →")</f>
        <v>HP041 →</v>
      </c>
    </row>
    <row r="95" spans="1:29" ht="18.399999999999999" customHeight="1" x14ac:dyDescent="0.15">
      <c r="A95" s="11" t="s">
        <v>1935</v>
      </c>
      <c r="B95" s="2" t="s">
        <v>1567</v>
      </c>
      <c r="C95" s="2">
        <v>1</v>
      </c>
      <c r="D95" s="2" t="s">
        <v>556</v>
      </c>
      <c r="E95" s="29">
        <f t="shared" si="4"/>
        <v>305373</v>
      </c>
      <c r="F95" s="29">
        <f>'일위대가_호표(신규)'!H504</f>
        <v>44930</v>
      </c>
      <c r="G95" s="29"/>
      <c r="H95" s="29">
        <f>'일위대가_호표(신규)'!J504</f>
        <v>236423</v>
      </c>
      <c r="I95" s="29"/>
      <c r="J95" s="29">
        <f>'일위대가_호표(신규)'!L504</f>
        <v>24020</v>
      </c>
      <c r="K95" s="20" t="s">
        <v>2856</v>
      </c>
      <c r="L95" t="s">
        <v>2856</v>
      </c>
      <c r="M95" t="s">
        <v>508</v>
      </c>
      <c r="N95" t="s">
        <v>1778</v>
      </c>
      <c r="V95" s="29">
        <v>44930</v>
      </c>
      <c r="W95" s="29">
        <v>236423</v>
      </c>
      <c r="X95" s="29">
        <v>24020</v>
      </c>
      <c r="Y95" s="29">
        <v>305373</v>
      </c>
      <c r="AA95" s="7" t="b">
        <f t="shared" si="5"/>
        <v>1</v>
      </c>
      <c r="AC95" s="34" t="str">
        <f>HYPERLINK("#일위대가_호표!A504","HP042 →")</f>
        <v>HP042 →</v>
      </c>
    </row>
    <row r="96" spans="1:29" ht="18.399999999999999" customHeight="1" x14ac:dyDescent="0.15">
      <c r="A96" s="11" t="s">
        <v>279</v>
      </c>
      <c r="B96" s="2" t="s">
        <v>1498</v>
      </c>
      <c r="C96" s="2">
        <v>1</v>
      </c>
      <c r="D96" s="2" t="s">
        <v>556</v>
      </c>
      <c r="E96" s="29">
        <f t="shared" si="4"/>
        <v>1760791</v>
      </c>
      <c r="F96" s="29">
        <f>'일위대가_호표(신규)'!H512</f>
        <v>240840</v>
      </c>
      <c r="G96" s="29"/>
      <c r="H96" s="29">
        <f>'일위대가_호표(신규)'!J512</f>
        <v>1017669</v>
      </c>
      <c r="I96" s="29"/>
      <c r="J96" s="29">
        <f>'일위대가_호표(신규)'!L512</f>
        <v>502282</v>
      </c>
      <c r="K96" s="20" t="s">
        <v>2856</v>
      </c>
      <c r="L96" t="s">
        <v>2856</v>
      </c>
      <c r="M96" t="s">
        <v>2075</v>
      </c>
      <c r="N96" t="s">
        <v>1778</v>
      </c>
      <c r="V96" s="29">
        <v>240840</v>
      </c>
      <c r="W96" s="29">
        <v>1017669</v>
      </c>
      <c r="X96" s="29">
        <v>502282</v>
      </c>
      <c r="Y96" s="29">
        <v>1760791</v>
      </c>
      <c r="AA96" s="7" t="b">
        <f t="shared" si="5"/>
        <v>1</v>
      </c>
      <c r="AC96" s="34" t="str">
        <f>HYPERLINK("#일위대가_호표!A512","HP043 →")</f>
        <v>HP043 →</v>
      </c>
    </row>
    <row r="97" spans="1:29" ht="18.399999999999999" customHeight="1" x14ac:dyDescent="0.15">
      <c r="A97" s="11" t="s">
        <v>1519</v>
      </c>
      <c r="B97" s="2" t="s">
        <v>2756</v>
      </c>
      <c r="C97" s="2">
        <v>1</v>
      </c>
      <c r="D97" s="2" t="s">
        <v>556</v>
      </c>
      <c r="E97" s="29">
        <f t="shared" si="4"/>
        <v>631487</v>
      </c>
      <c r="F97" s="29">
        <f>'일위대가_호표(신규)'!H520</f>
        <v>82649</v>
      </c>
      <c r="G97" s="29"/>
      <c r="H97" s="29">
        <f>'일위대가_호표(신규)'!J520</f>
        <v>443066</v>
      </c>
      <c r="I97" s="29"/>
      <c r="J97" s="29">
        <f>'일위대가_호표(신규)'!L520</f>
        <v>105772</v>
      </c>
      <c r="K97" s="20" t="s">
        <v>2856</v>
      </c>
      <c r="L97" t="s">
        <v>2856</v>
      </c>
      <c r="M97" t="s">
        <v>289</v>
      </c>
      <c r="N97" t="s">
        <v>1778</v>
      </c>
      <c r="V97" s="29">
        <v>82649</v>
      </c>
      <c r="W97" s="29">
        <v>443066</v>
      </c>
      <c r="X97" s="29">
        <v>105772</v>
      </c>
      <c r="Y97" s="29">
        <v>631487</v>
      </c>
      <c r="AA97" s="7" t="b">
        <f t="shared" si="5"/>
        <v>1</v>
      </c>
      <c r="AC97" s="34" t="str">
        <f>HYPERLINK("#일위대가_호표!A520","HP044 →")</f>
        <v>HP044 →</v>
      </c>
    </row>
    <row r="98" spans="1:29" ht="18.399999999999999" customHeight="1" x14ac:dyDescent="0.15">
      <c r="A98" s="11" t="s">
        <v>2062</v>
      </c>
      <c r="B98" s="2" t="s">
        <v>2256</v>
      </c>
      <c r="C98" s="2">
        <v>1</v>
      </c>
      <c r="D98" s="2" t="s">
        <v>556</v>
      </c>
      <c r="E98" s="29">
        <f t="shared" si="4"/>
        <v>1210755</v>
      </c>
      <c r="F98" s="29">
        <f>'일위대가_호표(신규)'!H528</f>
        <v>144943</v>
      </c>
      <c r="G98" s="29"/>
      <c r="H98" s="29">
        <f>'일위대가_호표(신규)'!J528</f>
        <v>785059</v>
      </c>
      <c r="I98" s="29"/>
      <c r="J98" s="29">
        <f>'일위대가_호표(신규)'!L528</f>
        <v>280753</v>
      </c>
      <c r="K98" s="20" t="s">
        <v>2856</v>
      </c>
      <c r="L98" t="s">
        <v>2856</v>
      </c>
      <c r="M98" t="s">
        <v>1563</v>
      </c>
      <c r="N98" t="s">
        <v>1778</v>
      </c>
      <c r="V98" s="29">
        <v>144943</v>
      </c>
      <c r="W98" s="29">
        <v>785059</v>
      </c>
      <c r="X98" s="29">
        <v>280753</v>
      </c>
      <c r="Y98" s="29">
        <v>1210755</v>
      </c>
      <c r="AA98" s="7" t="b">
        <f t="shared" si="5"/>
        <v>1</v>
      </c>
      <c r="AC98" s="34" t="str">
        <f>HYPERLINK("#일위대가_호표!A528","HP045 →")</f>
        <v>HP045 →</v>
      </c>
    </row>
    <row r="99" spans="1:29" ht="18.399999999999999" customHeight="1" x14ac:dyDescent="0.15">
      <c r="A99" s="11" t="s">
        <v>418</v>
      </c>
      <c r="B99" s="2" t="s">
        <v>1567</v>
      </c>
      <c r="C99" s="2">
        <v>1</v>
      </c>
      <c r="D99" s="2" t="s">
        <v>556</v>
      </c>
      <c r="E99" s="29">
        <f t="shared" ref="E99:E127" si="6">F99+H99+J99</f>
        <v>305373</v>
      </c>
      <c r="F99" s="29">
        <f>'일위대가_호표(신규)'!H536</f>
        <v>44930</v>
      </c>
      <c r="G99" s="29"/>
      <c r="H99" s="29">
        <f>'일위대가_호표(신규)'!J536</f>
        <v>236423</v>
      </c>
      <c r="I99" s="29"/>
      <c r="J99" s="29">
        <f>'일위대가_호표(신규)'!L536</f>
        <v>24020</v>
      </c>
      <c r="K99" s="20" t="s">
        <v>2856</v>
      </c>
      <c r="L99" t="s">
        <v>2856</v>
      </c>
      <c r="M99" t="s">
        <v>597</v>
      </c>
      <c r="N99" t="s">
        <v>1778</v>
      </c>
      <c r="V99" s="29">
        <v>44930</v>
      </c>
      <c r="W99" s="29">
        <v>236423</v>
      </c>
      <c r="X99" s="29">
        <v>24020</v>
      </c>
      <c r="Y99" s="29">
        <v>305373</v>
      </c>
      <c r="AA99" s="7" t="b">
        <f t="shared" ref="AA99:AA125" si="7">EXACT($E99,$Y99)</f>
        <v>1</v>
      </c>
      <c r="AC99" s="34" t="str">
        <f>HYPERLINK("#일위대가_호표!A536","HP046 →")</f>
        <v>HP046 →</v>
      </c>
    </row>
    <row r="100" spans="1:29" ht="18.399999999999999" customHeight="1" x14ac:dyDescent="0.15">
      <c r="A100" s="11" t="s">
        <v>2325</v>
      </c>
      <c r="B100" s="2" t="s">
        <v>494</v>
      </c>
      <c r="C100" s="2">
        <v>1</v>
      </c>
      <c r="D100" s="2" t="s">
        <v>556</v>
      </c>
      <c r="E100" s="29">
        <f t="shared" si="6"/>
        <v>252669</v>
      </c>
      <c r="F100" s="29">
        <f>'일위대가_호표(신규)'!H544</f>
        <v>39580</v>
      </c>
      <c r="G100" s="29"/>
      <c r="H100" s="29">
        <f>'일위대가_호표(신규)'!J544</f>
        <v>193437</v>
      </c>
      <c r="I100" s="29"/>
      <c r="J100" s="29">
        <f>'일위대가_호표(신규)'!L544</f>
        <v>19652</v>
      </c>
      <c r="K100" s="20" t="s">
        <v>2856</v>
      </c>
      <c r="L100" t="s">
        <v>2856</v>
      </c>
      <c r="M100" t="s">
        <v>1792</v>
      </c>
      <c r="N100" t="s">
        <v>1778</v>
      </c>
      <c r="V100" s="29">
        <v>39580</v>
      </c>
      <c r="W100" s="29">
        <v>193437</v>
      </c>
      <c r="X100" s="29">
        <v>19652</v>
      </c>
      <c r="Y100" s="29">
        <v>252669</v>
      </c>
      <c r="AA100" s="7" t="b">
        <f t="shared" si="7"/>
        <v>1</v>
      </c>
      <c r="AC100" s="34" t="str">
        <f>HYPERLINK("#일위대가_호표!A544","HP047 →")</f>
        <v>HP047 →</v>
      </c>
    </row>
    <row r="101" spans="1:29" ht="18.399999999999999" customHeight="1" x14ac:dyDescent="0.15">
      <c r="A101" s="11" t="s">
        <v>751</v>
      </c>
      <c r="B101" s="2" t="s">
        <v>2159</v>
      </c>
      <c r="C101" s="2">
        <v>1</v>
      </c>
      <c r="D101" s="2" t="s">
        <v>556</v>
      </c>
      <c r="E101" s="29">
        <f t="shared" si="6"/>
        <v>620822</v>
      </c>
      <c r="F101" s="29">
        <f>'일위대가_호표(신규)'!H552</f>
        <v>71984</v>
      </c>
      <c r="G101" s="29"/>
      <c r="H101" s="29">
        <f>'일위대가_호표(신규)'!J552</f>
        <v>443066</v>
      </c>
      <c r="I101" s="29"/>
      <c r="J101" s="29">
        <f>'일위대가_호표(신규)'!L552</f>
        <v>105772</v>
      </c>
      <c r="K101" s="20" t="s">
        <v>2856</v>
      </c>
      <c r="L101" t="s">
        <v>2856</v>
      </c>
      <c r="M101" t="s">
        <v>534</v>
      </c>
      <c r="N101" t="s">
        <v>1778</v>
      </c>
      <c r="V101" s="29">
        <v>71984</v>
      </c>
      <c r="W101" s="29">
        <v>443066</v>
      </c>
      <c r="X101" s="29">
        <v>105772</v>
      </c>
      <c r="Y101" s="29">
        <v>620822</v>
      </c>
      <c r="AA101" s="7" t="b">
        <f t="shared" si="7"/>
        <v>1</v>
      </c>
      <c r="AC101" s="34" t="str">
        <f>HYPERLINK("#일위대가_호표!A552","HP048 →")</f>
        <v>HP048 →</v>
      </c>
    </row>
    <row r="102" spans="1:29" ht="18.399999999999999" customHeight="1" x14ac:dyDescent="0.15">
      <c r="A102" s="11" t="s">
        <v>594</v>
      </c>
      <c r="B102" s="2" t="s">
        <v>523</v>
      </c>
      <c r="C102" s="2">
        <v>1</v>
      </c>
      <c r="D102" s="2" t="s">
        <v>556</v>
      </c>
      <c r="E102" s="29">
        <f t="shared" si="6"/>
        <v>306244</v>
      </c>
      <c r="F102" s="29">
        <f>'일위대가_호표(신규)'!H560</f>
        <v>45801</v>
      </c>
      <c r="G102" s="29"/>
      <c r="H102" s="29">
        <f>'일위대가_호표(신규)'!J560</f>
        <v>236423</v>
      </c>
      <c r="I102" s="29"/>
      <c r="J102" s="29">
        <f>'일위대가_호표(신규)'!L560</f>
        <v>24020</v>
      </c>
      <c r="K102" s="20" t="s">
        <v>2856</v>
      </c>
      <c r="L102" t="s">
        <v>2856</v>
      </c>
      <c r="M102" t="s">
        <v>1867</v>
      </c>
      <c r="N102" t="s">
        <v>1778</v>
      </c>
      <c r="V102" s="29">
        <v>45801</v>
      </c>
      <c r="W102" s="29">
        <v>236423</v>
      </c>
      <c r="X102" s="29">
        <v>24020</v>
      </c>
      <c r="Y102" s="29">
        <v>306244</v>
      </c>
      <c r="AA102" s="7" t="b">
        <f t="shared" si="7"/>
        <v>1</v>
      </c>
      <c r="AC102" s="34" t="str">
        <f>HYPERLINK("#일위대가_호표!A560","HP049 →")</f>
        <v>HP049 →</v>
      </c>
    </row>
    <row r="103" spans="1:29" ht="18.399999999999999" customHeight="1" x14ac:dyDescent="0.15">
      <c r="A103" s="11" t="s">
        <v>1874</v>
      </c>
      <c r="B103" s="2" t="s">
        <v>1567</v>
      </c>
      <c r="C103" s="2">
        <v>1</v>
      </c>
      <c r="D103" s="2" t="s">
        <v>556</v>
      </c>
      <c r="E103" s="29">
        <f t="shared" si="6"/>
        <v>305373</v>
      </c>
      <c r="F103" s="29">
        <f>'일위대가_호표(신규)'!H568</f>
        <v>44930</v>
      </c>
      <c r="G103" s="29"/>
      <c r="H103" s="29">
        <f>'일위대가_호표(신규)'!J568</f>
        <v>236423</v>
      </c>
      <c r="I103" s="29"/>
      <c r="J103" s="29">
        <f>'일위대가_호표(신규)'!L568</f>
        <v>24020</v>
      </c>
      <c r="K103" s="20" t="s">
        <v>2856</v>
      </c>
      <c r="L103" t="s">
        <v>2856</v>
      </c>
      <c r="M103" t="s">
        <v>724</v>
      </c>
      <c r="N103" t="s">
        <v>1778</v>
      </c>
      <c r="V103" s="29">
        <v>44930</v>
      </c>
      <c r="W103" s="29">
        <v>236423</v>
      </c>
      <c r="X103" s="29">
        <v>24020</v>
      </c>
      <c r="Y103" s="29">
        <v>305373</v>
      </c>
      <c r="AA103" s="7" t="b">
        <f t="shared" si="7"/>
        <v>1</v>
      </c>
      <c r="AC103" s="34" t="str">
        <f>HYPERLINK("#일위대가_호표!A568","HP050 →")</f>
        <v>HP050 →</v>
      </c>
    </row>
    <row r="104" spans="1:29" ht="18.399999999999999" customHeight="1" x14ac:dyDescent="0.15">
      <c r="A104" s="11" t="s">
        <v>521</v>
      </c>
      <c r="B104" s="2" t="s">
        <v>1187</v>
      </c>
      <c r="C104" s="2">
        <v>1</v>
      </c>
      <c r="D104" s="2" t="s">
        <v>556</v>
      </c>
      <c r="E104" s="29">
        <f t="shared" si="6"/>
        <v>1210755</v>
      </c>
      <c r="F104" s="29">
        <f>'일위대가_호표(신규)'!H576</f>
        <v>144943</v>
      </c>
      <c r="G104" s="29"/>
      <c r="H104" s="29">
        <f>'일위대가_호표(신규)'!J576</f>
        <v>785059</v>
      </c>
      <c r="I104" s="29"/>
      <c r="J104" s="29">
        <f>'일위대가_호표(신규)'!L576</f>
        <v>280753</v>
      </c>
      <c r="K104" s="20" t="s">
        <v>2856</v>
      </c>
      <c r="L104" t="s">
        <v>2856</v>
      </c>
      <c r="M104" t="s">
        <v>2367</v>
      </c>
      <c r="N104" t="s">
        <v>1778</v>
      </c>
      <c r="V104" s="29">
        <v>144943</v>
      </c>
      <c r="W104" s="29">
        <v>785059</v>
      </c>
      <c r="X104" s="29">
        <v>280753</v>
      </c>
      <c r="Y104" s="29">
        <v>1210755</v>
      </c>
      <c r="AA104" s="7" t="b">
        <f t="shared" si="7"/>
        <v>1</v>
      </c>
      <c r="AC104" s="34" t="str">
        <f>HYPERLINK("#일위대가_호표!A576","HP051 →")</f>
        <v>HP051 →</v>
      </c>
    </row>
    <row r="105" spans="1:29" ht="18.399999999999999" customHeight="1" x14ac:dyDescent="0.15">
      <c r="A105" s="11" t="s">
        <v>2336</v>
      </c>
      <c r="B105" s="2" t="s">
        <v>2322</v>
      </c>
      <c r="C105" s="2">
        <v>1</v>
      </c>
      <c r="D105" s="2" t="s">
        <v>556</v>
      </c>
      <c r="E105" s="29">
        <f t="shared" si="6"/>
        <v>252669</v>
      </c>
      <c r="F105" s="29">
        <f>'일위대가_호표(신규)'!H584</f>
        <v>39580</v>
      </c>
      <c r="G105" s="29"/>
      <c r="H105" s="29">
        <f>'일위대가_호표(신규)'!J584</f>
        <v>193437</v>
      </c>
      <c r="I105" s="29"/>
      <c r="J105" s="29">
        <f>'일위대가_호표(신규)'!L584</f>
        <v>19652</v>
      </c>
      <c r="K105" s="20" t="s">
        <v>2856</v>
      </c>
      <c r="L105" t="s">
        <v>2856</v>
      </c>
      <c r="M105" t="s">
        <v>1235</v>
      </c>
      <c r="N105" t="s">
        <v>1778</v>
      </c>
      <c r="V105" s="29">
        <v>39580</v>
      </c>
      <c r="W105" s="29">
        <v>193437</v>
      </c>
      <c r="X105" s="29">
        <v>19652</v>
      </c>
      <c r="Y105" s="29">
        <v>252669</v>
      </c>
      <c r="AA105" s="7" t="b">
        <f t="shared" si="7"/>
        <v>1</v>
      </c>
      <c r="AC105" s="34" t="str">
        <f>HYPERLINK("#일위대가_호표!A584","HP052 →")</f>
        <v>HP052 →</v>
      </c>
    </row>
    <row r="106" spans="1:29" ht="18.399999999999999" customHeight="1" x14ac:dyDescent="0.15">
      <c r="A106" s="11" t="s">
        <v>417</v>
      </c>
      <c r="B106" s="2" t="s">
        <v>2499</v>
      </c>
      <c r="C106" s="2">
        <v>1</v>
      </c>
      <c r="D106" s="2" t="s">
        <v>556</v>
      </c>
      <c r="E106" s="29">
        <f t="shared" si="6"/>
        <v>1210755</v>
      </c>
      <c r="F106" s="29">
        <f>'일위대가_호표(신규)'!H592</f>
        <v>144943</v>
      </c>
      <c r="G106" s="29"/>
      <c r="H106" s="29">
        <f>'일위대가_호표(신규)'!J592</f>
        <v>785059</v>
      </c>
      <c r="I106" s="29"/>
      <c r="J106" s="29">
        <f>'일위대가_호표(신규)'!L592</f>
        <v>280753</v>
      </c>
      <c r="K106" s="20" t="s">
        <v>2856</v>
      </c>
      <c r="L106" t="s">
        <v>2856</v>
      </c>
      <c r="M106" t="s">
        <v>2773</v>
      </c>
      <c r="N106" t="s">
        <v>1778</v>
      </c>
      <c r="V106" s="29">
        <v>144943</v>
      </c>
      <c r="W106" s="29">
        <v>785059</v>
      </c>
      <c r="X106" s="29">
        <v>280753</v>
      </c>
      <c r="Y106" s="29">
        <v>1210755</v>
      </c>
      <c r="AA106" s="7" t="b">
        <f t="shared" si="7"/>
        <v>1</v>
      </c>
      <c r="AC106" s="34" t="str">
        <f>HYPERLINK("#일위대가_호표!A592","HP053 →")</f>
        <v>HP053 →</v>
      </c>
    </row>
    <row r="107" spans="1:29" ht="18.399999999999999" customHeight="1" x14ac:dyDescent="0.15">
      <c r="A107" s="11" t="s">
        <v>2225</v>
      </c>
      <c r="B107" s="2" t="s">
        <v>290</v>
      </c>
      <c r="C107" s="2">
        <v>1</v>
      </c>
      <c r="D107" s="2" t="s">
        <v>556</v>
      </c>
      <c r="E107" s="29">
        <f t="shared" si="6"/>
        <v>856463</v>
      </c>
      <c r="F107" s="29">
        <f>'일위대가_호표(신규)'!H600</f>
        <v>103243</v>
      </c>
      <c r="G107" s="29"/>
      <c r="H107" s="29">
        <f>'일위대가_호표(신규)'!J600</f>
        <v>598140</v>
      </c>
      <c r="I107" s="29"/>
      <c r="J107" s="29">
        <f>'일위대가_호표(신규)'!L600</f>
        <v>155080</v>
      </c>
      <c r="K107" s="20" t="s">
        <v>2856</v>
      </c>
      <c r="L107" t="s">
        <v>2856</v>
      </c>
      <c r="M107" t="s">
        <v>1034</v>
      </c>
      <c r="N107" t="s">
        <v>1778</v>
      </c>
      <c r="V107" s="29">
        <v>103243</v>
      </c>
      <c r="W107" s="29">
        <v>598140</v>
      </c>
      <c r="X107" s="29">
        <v>155080</v>
      </c>
      <c r="Y107" s="29">
        <v>856463</v>
      </c>
      <c r="AA107" s="7" t="b">
        <f t="shared" si="7"/>
        <v>1</v>
      </c>
      <c r="AC107" s="34" t="str">
        <f>HYPERLINK("#일위대가_호표!A600","HP054 →")</f>
        <v>HP054 →</v>
      </c>
    </row>
    <row r="108" spans="1:29" ht="18.399999999999999" customHeight="1" x14ac:dyDescent="0.15">
      <c r="A108" s="11" t="s">
        <v>972</v>
      </c>
      <c r="B108" s="2" t="s">
        <v>648</v>
      </c>
      <c r="C108" s="2">
        <v>1</v>
      </c>
      <c r="D108" s="2" t="s">
        <v>556</v>
      </c>
      <c r="E108" s="29">
        <f t="shared" si="6"/>
        <v>859723</v>
      </c>
      <c r="F108" s="29">
        <f>'일위대가_호표(신규)'!H608</f>
        <v>106503</v>
      </c>
      <c r="G108" s="29"/>
      <c r="H108" s="29">
        <f>'일위대가_호표(신규)'!J608</f>
        <v>598140</v>
      </c>
      <c r="I108" s="29"/>
      <c r="J108" s="29">
        <f>'일위대가_호표(신규)'!L608</f>
        <v>155080</v>
      </c>
      <c r="K108" s="20" t="s">
        <v>2856</v>
      </c>
      <c r="L108" t="s">
        <v>2856</v>
      </c>
      <c r="M108" t="s">
        <v>2297</v>
      </c>
      <c r="N108" t="s">
        <v>1778</v>
      </c>
      <c r="V108" s="29">
        <v>106503</v>
      </c>
      <c r="W108" s="29">
        <v>598140</v>
      </c>
      <c r="X108" s="29">
        <v>155080</v>
      </c>
      <c r="Y108" s="29">
        <v>859723</v>
      </c>
      <c r="AA108" s="7" t="b">
        <f t="shared" si="7"/>
        <v>1</v>
      </c>
      <c r="AC108" s="34" t="str">
        <f>HYPERLINK("#일위대가_호표!A608","HP055 →")</f>
        <v>HP055 →</v>
      </c>
    </row>
    <row r="109" spans="1:29" ht="18.399999999999999" customHeight="1" x14ac:dyDescent="0.15">
      <c r="A109" s="11" t="s">
        <v>2061</v>
      </c>
      <c r="B109" s="2" t="s">
        <v>2577</v>
      </c>
      <c r="C109" s="2">
        <v>1</v>
      </c>
      <c r="D109" s="2" t="s">
        <v>556</v>
      </c>
      <c r="E109" s="29">
        <f t="shared" si="6"/>
        <v>622522</v>
      </c>
      <c r="F109" s="29">
        <f>'일위대가_호표(신규)'!H616</f>
        <v>73684</v>
      </c>
      <c r="G109" s="29"/>
      <c r="H109" s="29">
        <f>'일위대가_호표(신규)'!J616</f>
        <v>443066</v>
      </c>
      <c r="I109" s="29"/>
      <c r="J109" s="29">
        <f>'일위대가_호표(신규)'!L616</f>
        <v>105772</v>
      </c>
      <c r="K109" s="20" t="s">
        <v>2856</v>
      </c>
      <c r="L109" t="s">
        <v>2856</v>
      </c>
      <c r="M109" t="s">
        <v>1336</v>
      </c>
      <c r="N109" t="s">
        <v>1778</v>
      </c>
      <c r="V109" s="29">
        <v>73684</v>
      </c>
      <c r="W109" s="29">
        <v>443066</v>
      </c>
      <c r="X109" s="29">
        <v>105772</v>
      </c>
      <c r="Y109" s="29">
        <v>622522</v>
      </c>
      <c r="AA109" s="7" t="b">
        <f t="shared" si="7"/>
        <v>1</v>
      </c>
      <c r="AC109" s="34" t="str">
        <f>HYPERLINK("#일위대가_호표!A616","HP056 →")</f>
        <v>HP056 →</v>
      </c>
    </row>
    <row r="110" spans="1:29" ht="18.399999999999999" customHeight="1" x14ac:dyDescent="0.15">
      <c r="A110" s="11" t="s">
        <v>2379</v>
      </c>
      <c r="B110" s="2" t="s">
        <v>109</v>
      </c>
      <c r="C110" s="2">
        <v>1</v>
      </c>
      <c r="D110" s="2" t="s">
        <v>556</v>
      </c>
      <c r="E110" s="29">
        <f t="shared" si="6"/>
        <v>856463</v>
      </c>
      <c r="F110" s="29">
        <f>'일위대가_호표(신규)'!H624</f>
        <v>103243</v>
      </c>
      <c r="G110" s="29"/>
      <c r="H110" s="29">
        <f>'일위대가_호표(신규)'!J624</f>
        <v>598140</v>
      </c>
      <c r="I110" s="29"/>
      <c r="J110" s="29">
        <f>'일위대가_호표(신규)'!L624</f>
        <v>155080</v>
      </c>
      <c r="K110" s="20" t="s">
        <v>2856</v>
      </c>
      <c r="L110" t="s">
        <v>2856</v>
      </c>
      <c r="M110" t="s">
        <v>1543</v>
      </c>
      <c r="N110" t="s">
        <v>1778</v>
      </c>
      <c r="V110" s="29">
        <v>103243</v>
      </c>
      <c r="W110" s="29">
        <v>598140</v>
      </c>
      <c r="X110" s="29">
        <v>155080</v>
      </c>
      <c r="Y110" s="29">
        <v>856463</v>
      </c>
      <c r="AA110" s="7" t="b">
        <f t="shared" si="7"/>
        <v>1</v>
      </c>
      <c r="AC110" s="34" t="str">
        <f>HYPERLINK("#일위대가_호표!A624","HP056-1 →")</f>
        <v>HP056-1 →</v>
      </c>
    </row>
    <row r="111" spans="1:29" ht="18.399999999999999" customHeight="1" x14ac:dyDescent="0.15">
      <c r="A111" s="11" t="s">
        <v>575</v>
      </c>
      <c r="B111" s="2" t="s">
        <v>2659</v>
      </c>
      <c r="C111" s="2">
        <v>1</v>
      </c>
      <c r="D111" s="2" t="s">
        <v>556</v>
      </c>
      <c r="E111" s="29">
        <f t="shared" si="6"/>
        <v>305373</v>
      </c>
      <c r="F111" s="29">
        <f>'일위대가_호표(신규)'!H632</f>
        <v>44930</v>
      </c>
      <c r="G111" s="29"/>
      <c r="H111" s="29">
        <f>'일위대가_호표(신규)'!J632</f>
        <v>236423</v>
      </c>
      <c r="I111" s="29"/>
      <c r="J111" s="29">
        <f>'일위대가_호표(신규)'!L632</f>
        <v>24020</v>
      </c>
      <c r="K111" s="20" t="s">
        <v>2856</v>
      </c>
      <c r="L111" t="s">
        <v>2856</v>
      </c>
      <c r="M111" t="s">
        <v>515</v>
      </c>
      <c r="N111" t="s">
        <v>1778</v>
      </c>
      <c r="V111" s="29">
        <v>44930</v>
      </c>
      <c r="W111" s="29">
        <v>236423</v>
      </c>
      <c r="X111" s="29">
        <v>24020</v>
      </c>
      <c r="Y111" s="29">
        <v>305373</v>
      </c>
      <c r="AA111" s="7" t="b">
        <f t="shared" si="7"/>
        <v>1</v>
      </c>
      <c r="AC111" s="34" t="str">
        <f>HYPERLINK("#일위대가_호표!A632","HP056-2 →")</f>
        <v>HP056-2 →</v>
      </c>
    </row>
    <row r="112" spans="1:29" ht="18.399999999999999" customHeight="1" x14ac:dyDescent="0.15">
      <c r="A112" s="11" t="s">
        <v>908</v>
      </c>
      <c r="B112" s="2" t="s">
        <v>2169</v>
      </c>
      <c r="C112" s="2">
        <v>1</v>
      </c>
      <c r="D112" s="2" t="s">
        <v>556</v>
      </c>
      <c r="E112" s="29">
        <f t="shared" si="6"/>
        <v>622522</v>
      </c>
      <c r="F112" s="29">
        <f>'일위대가_호표(신규)'!H640</f>
        <v>73684</v>
      </c>
      <c r="G112" s="29"/>
      <c r="H112" s="29">
        <f>'일위대가_호표(신규)'!J640</f>
        <v>443066</v>
      </c>
      <c r="I112" s="29"/>
      <c r="J112" s="29">
        <f>'일위대가_호표(신규)'!L640</f>
        <v>105772</v>
      </c>
      <c r="K112" s="20" t="s">
        <v>2856</v>
      </c>
      <c r="L112" t="s">
        <v>2856</v>
      </c>
      <c r="M112" t="s">
        <v>1853</v>
      </c>
      <c r="N112" t="s">
        <v>1778</v>
      </c>
      <c r="V112" s="29">
        <v>73684</v>
      </c>
      <c r="W112" s="29">
        <v>443066</v>
      </c>
      <c r="X112" s="29">
        <v>105772</v>
      </c>
      <c r="Y112" s="29">
        <v>622522</v>
      </c>
      <c r="AA112" s="7" t="b">
        <f t="shared" si="7"/>
        <v>1</v>
      </c>
      <c r="AC112" s="34" t="str">
        <f>HYPERLINK("#일위대가_호표!A640","HP056-3 →")</f>
        <v>HP056-3 →</v>
      </c>
    </row>
    <row r="113" spans="1:29" ht="18.399999999999999" customHeight="1" x14ac:dyDescent="0.15">
      <c r="A113" s="11" t="s">
        <v>1973</v>
      </c>
      <c r="B113" s="2" t="s">
        <v>459</v>
      </c>
      <c r="C113" s="2">
        <v>1</v>
      </c>
      <c r="D113" s="2" t="s">
        <v>556</v>
      </c>
      <c r="E113" s="29">
        <f t="shared" si="6"/>
        <v>306244</v>
      </c>
      <c r="F113" s="29">
        <f>'일위대가_호표(신규)'!H648</f>
        <v>45801</v>
      </c>
      <c r="G113" s="29"/>
      <c r="H113" s="29">
        <f>'일위대가_호표(신규)'!J648</f>
        <v>236423</v>
      </c>
      <c r="I113" s="29"/>
      <c r="J113" s="29">
        <f>'일위대가_호표(신규)'!L648</f>
        <v>24020</v>
      </c>
      <c r="K113" s="20" t="s">
        <v>2856</v>
      </c>
      <c r="L113" t="s">
        <v>2856</v>
      </c>
      <c r="M113" t="s">
        <v>2517</v>
      </c>
      <c r="N113" t="s">
        <v>1778</v>
      </c>
      <c r="V113" s="29">
        <v>45801</v>
      </c>
      <c r="W113" s="29">
        <v>236423</v>
      </c>
      <c r="X113" s="29">
        <v>24020</v>
      </c>
      <c r="Y113" s="29">
        <v>306244</v>
      </c>
      <c r="AA113" s="7" t="b">
        <f t="shared" si="7"/>
        <v>1</v>
      </c>
      <c r="AC113" s="34" t="str">
        <f>HYPERLINK("#일위대가_호표!A648","HP057 →")</f>
        <v>HP057 →</v>
      </c>
    </row>
    <row r="114" spans="1:29" ht="18.399999999999999" customHeight="1" x14ac:dyDescent="0.15">
      <c r="A114" s="11" t="s">
        <v>2361</v>
      </c>
      <c r="B114" s="2" t="s">
        <v>1133</v>
      </c>
      <c r="C114" s="2">
        <v>1</v>
      </c>
      <c r="D114" s="2" t="s">
        <v>556</v>
      </c>
      <c r="E114" s="29">
        <f t="shared" si="6"/>
        <v>863033</v>
      </c>
      <c r="F114" s="29">
        <f>'일위대가_호표(신규)'!H656</f>
        <v>109813</v>
      </c>
      <c r="G114" s="29"/>
      <c r="H114" s="29">
        <f>'일위대가_호표(신규)'!J656</f>
        <v>598140</v>
      </c>
      <c r="I114" s="29"/>
      <c r="J114" s="29">
        <f>'일위대가_호표(신규)'!L656</f>
        <v>155080</v>
      </c>
      <c r="K114" s="20" t="s">
        <v>2856</v>
      </c>
      <c r="L114" t="s">
        <v>2856</v>
      </c>
      <c r="M114" t="s">
        <v>1256</v>
      </c>
      <c r="N114" t="s">
        <v>1778</v>
      </c>
      <c r="V114" s="29">
        <v>109813</v>
      </c>
      <c r="W114" s="29">
        <v>598140</v>
      </c>
      <c r="X114" s="29">
        <v>155080</v>
      </c>
      <c r="Y114" s="29">
        <v>863033</v>
      </c>
      <c r="AA114" s="7" t="b">
        <f t="shared" si="7"/>
        <v>1</v>
      </c>
      <c r="AC114" s="34" t="str">
        <f>HYPERLINK("#일위대가_호표!A656","HP058 →")</f>
        <v>HP058 →</v>
      </c>
    </row>
    <row r="115" spans="1:29" ht="18.399999999999999" customHeight="1" x14ac:dyDescent="0.15">
      <c r="A115" s="11" t="s">
        <v>542</v>
      </c>
      <c r="B115" s="2" t="s">
        <v>376</v>
      </c>
      <c r="C115" s="2">
        <v>1</v>
      </c>
      <c r="D115" s="2" t="s">
        <v>556</v>
      </c>
      <c r="E115" s="29">
        <f t="shared" si="6"/>
        <v>630473</v>
      </c>
      <c r="F115" s="29">
        <f>'일위대가_호표(신규)'!H664</f>
        <v>81635</v>
      </c>
      <c r="G115" s="29"/>
      <c r="H115" s="29">
        <f>'일위대가_호표(신규)'!J664</f>
        <v>443066</v>
      </c>
      <c r="I115" s="29"/>
      <c r="J115" s="29">
        <f>'일위대가_호표(신규)'!L664</f>
        <v>105772</v>
      </c>
      <c r="K115" s="20" t="s">
        <v>2856</v>
      </c>
      <c r="L115" t="s">
        <v>2856</v>
      </c>
      <c r="M115" t="s">
        <v>2576</v>
      </c>
      <c r="N115" t="s">
        <v>1778</v>
      </c>
      <c r="V115" s="29">
        <v>81635</v>
      </c>
      <c r="W115" s="29">
        <v>443066</v>
      </c>
      <c r="X115" s="29">
        <v>105772</v>
      </c>
      <c r="Y115" s="29">
        <v>630473</v>
      </c>
      <c r="AA115" s="7" t="b">
        <f t="shared" si="7"/>
        <v>1</v>
      </c>
      <c r="AC115" s="34" t="str">
        <f>HYPERLINK("#일위대가_호표!A664","HP059 →")</f>
        <v>HP059 →</v>
      </c>
    </row>
    <row r="116" spans="1:29" ht="18.399999999999999" customHeight="1" x14ac:dyDescent="0.15">
      <c r="A116" s="11" t="s">
        <v>1031</v>
      </c>
      <c r="B116" s="2" t="s">
        <v>1868</v>
      </c>
      <c r="C116" s="2">
        <v>1</v>
      </c>
      <c r="D116" s="2" t="s">
        <v>556</v>
      </c>
      <c r="E116" s="29">
        <f t="shared" si="6"/>
        <v>621638</v>
      </c>
      <c r="F116" s="29">
        <f>'일위대가_호표(신규)'!H672</f>
        <v>72800</v>
      </c>
      <c r="G116" s="29"/>
      <c r="H116" s="29">
        <f>'일위대가_호표(신규)'!J672</f>
        <v>443066</v>
      </c>
      <c r="I116" s="29"/>
      <c r="J116" s="29">
        <f>'일위대가_호표(신규)'!L672</f>
        <v>105772</v>
      </c>
      <c r="K116" s="20" t="s">
        <v>2856</v>
      </c>
      <c r="L116" t="s">
        <v>2856</v>
      </c>
      <c r="M116" t="s">
        <v>1438</v>
      </c>
      <c r="N116" t="s">
        <v>1778</v>
      </c>
      <c r="V116" s="29">
        <v>72800</v>
      </c>
      <c r="W116" s="29">
        <v>443066</v>
      </c>
      <c r="X116" s="29">
        <v>105772</v>
      </c>
      <c r="Y116" s="29">
        <v>621638</v>
      </c>
      <c r="AA116" s="7" t="b">
        <f t="shared" si="7"/>
        <v>1</v>
      </c>
      <c r="AC116" s="34" t="str">
        <f>HYPERLINK("#일위대가_호표!A672","HP060 →")</f>
        <v>HP060 →</v>
      </c>
    </row>
    <row r="117" spans="1:29" ht="18.399999999999999" customHeight="1" x14ac:dyDescent="0.15">
      <c r="A117" s="11" t="s">
        <v>2096</v>
      </c>
      <c r="B117" s="2" t="s">
        <v>2228</v>
      </c>
      <c r="C117" s="2">
        <v>1</v>
      </c>
      <c r="D117" s="2" t="s">
        <v>556</v>
      </c>
      <c r="E117" s="29">
        <f t="shared" si="6"/>
        <v>305373</v>
      </c>
      <c r="F117" s="29">
        <f>'일위대가_호표(신규)'!H680</f>
        <v>44930</v>
      </c>
      <c r="G117" s="29"/>
      <c r="H117" s="29">
        <f>'일위대가_호표(신규)'!J680</f>
        <v>236423</v>
      </c>
      <c r="I117" s="29"/>
      <c r="J117" s="29">
        <f>'일위대가_호표(신규)'!L680</f>
        <v>24020</v>
      </c>
      <c r="K117" s="20" t="s">
        <v>2856</v>
      </c>
      <c r="L117" t="s">
        <v>2856</v>
      </c>
      <c r="M117" t="s">
        <v>264</v>
      </c>
      <c r="N117" t="s">
        <v>1778</v>
      </c>
      <c r="V117" s="29">
        <v>44930</v>
      </c>
      <c r="W117" s="29">
        <v>236423</v>
      </c>
      <c r="X117" s="29">
        <v>24020</v>
      </c>
      <c r="Y117" s="29">
        <v>305373</v>
      </c>
      <c r="AA117" s="7" t="b">
        <f t="shared" si="7"/>
        <v>1</v>
      </c>
      <c r="AC117" s="34" t="str">
        <f>HYPERLINK("#일위대가_호표!A680","HP061 →")</f>
        <v>HP061 →</v>
      </c>
    </row>
    <row r="118" spans="1:29" ht="18.399999999999999" customHeight="1" x14ac:dyDescent="0.15">
      <c r="A118" s="11" t="s">
        <v>406</v>
      </c>
      <c r="B118" s="2" t="s">
        <v>2228</v>
      </c>
      <c r="C118" s="2">
        <v>1</v>
      </c>
      <c r="D118" s="2" t="s">
        <v>556</v>
      </c>
      <c r="E118" s="29">
        <f t="shared" si="6"/>
        <v>305373</v>
      </c>
      <c r="F118" s="29">
        <f>'일위대가_호표(신규)'!H688</f>
        <v>44930</v>
      </c>
      <c r="G118" s="29"/>
      <c r="H118" s="29">
        <f>'일위대가_호표(신규)'!J688</f>
        <v>236423</v>
      </c>
      <c r="I118" s="29"/>
      <c r="J118" s="29">
        <f>'일위대가_호표(신규)'!L688</f>
        <v>24020</v>
      </c>
      <c r="K118" s="20" t="s">
        <v>2856</v>
      </c>
      <c r="L118" t="s">
        <v>2856</v>
      </c>
      <c r="M118" t="s">
        <v>1924</v>
      </c>
      <c r="N118" t="s">
        <v>1778</v>
      </c>
      <c r="V118" s="29">
        <v>44930</v>
      </c>
      <c r="W118" s="29">
        <v>236423</v>
      </c>
      <c r="X118" s="29">
        <v>24020</v>
      </c>
      <c r="Y118" s="29">
        <v>305373</v>
      </c>
      <c r="AA118" s="7" t="b">
        <f t="shared" si="7"/>
        <v>1</v>
      </c>
      <c r="AC118" s="34" t="str">
        <f>HYPERLINK("#일위대가_호표!A688","HP062 →")</f>
        <v>HP062 →</v>
      </c>
    </row>
    <row r="119" spans="1:29" ht="18.399999999999999" customHeight="1" x14ac:dyDescent="0.15">
      <c r="A119" s="11" t="s">
        <v>2197</v>
      </c>
      <c r="B119" s="2" t="s">
        <v>1125</v>
      </c>
      <c r="C119" s="2">
        <v>1</v>
      </c>
      <c r="D119" s="2" t="s">
        <v>556</v>
      </c>
      <c r="E119" s="29">
        <f t="shared" si="6"/>
        <v>252669</v>
      </c>
      <c r="F119" s="29">
        <f>'일위대가_호표(신규)'!H696</f>
        <v>39580</v>
      </c>
      <c r="G119" s="29"/>
      <c r="H119" s="29">
        <f>'일위대가_호표(신규)'!J696</f>
        <v>193437</v>
      </c>
      <c r="I119" s="29"/>
      <c r="J119" s="29">
        <f>'일위대가_호표(신규)'!L696</f>
        <v>19652</v>
      </c>
      <c r="K119" s="20" t="s">
        <v>2856</v>
      </c>
      <c r="L119" t="s">
        <v>2856</v>
      </c>
      <c r="M119" t="s">
        <v>639</v>
      </c>
      <c r="N119" t="s">
        <v>1778</v>
      </c>
      <c r="V119" s="29">
        <v>39580</v>
      </c>
      <c r="W119" s="29">
        <v>193437</v>
      </c>
      <c r="X119" s="29">
        <v>19652</v>
      </c>
      <c r="Y119" s="29">
        <v>252669</v>
      </c>
      <c r="AA119" s="7" t="b">
        <f t="shared" si="7"/>
        <v>1</v>
      </c>
      <c r="AC119" s="34" t="str">
        <f>HYPERLINK("#일위대가_호표!A696","HP063 →")</f>
        <v>HP063 →</v>
      </c>
    </row>
    <row r="120" spans="1:29" ht="18.399999999999999" customHeight="1" x14ac:dyDescent="0.15">
      <c r="A120" s="11" t="s">
        <v>449</v>
      </c>
      <c r="B120" s="2" t="s">
        <v>2461</v>
      </c>
      <c r="C120" s="2">
        <v>1</v>
      </c>
      <c r="D120" s="2" t="s">
        <v>556</v>
      </c>
      <c r="E120" s="29">
        <f t="shared" si="6"/>
        <v>622522</v>
      </c>
      <c r="F120" s="29">
        <f>'일위대가_호표(신규)'!H704</f>
        <v>73684</v>
      </c>
      <c r="G120" s="29"/>
      <c r="H120" s="29">
        <f>'일위대가_호표(신규)'!J704</f>
        <v>443066</v>
      </c>
      <c r="I120" s="29"/>
      <c r="J120" s="29">
        <f>'일위대가_호표(신규)'!L704</f>
        <v>105772</v>
      </c>
      <c r="K120" s="20" t="s">
        <v>2856</v>
      </c>
      <c r="L120" t="s">
        <v>2856</v>
      </c>
      <c r="M120" t="s">
        <v>1688</v>
      </c>
      <c r="N120" t="s">
        <v>1778</v>
      </c>
      <c r="V120" s="29">
        <v>73684</v>
      </c>
      <c r="W120" s="29">
        <v>443066</v>
      </c>
      <c r="X120" s="29">
        <v>105772</v>
      </c>
      <c r="Y120" s="29">
        <v>622522</v>
      </c>
      <c r="AA120" s="7" t="b">
        <f t="shared" si="7"/>
        <v>1</v>
      </c>
      <c r="AC120" s="34" t="str">
        <f>HYPERLINK("#일위대가_호표!A704","HP064 →")</f>
        <v>HP064 →</v>
      </c>
    </row>
    <row r="121" spans="1:29" ht="18.399999999999999" customHeight="1" x14ac:dyDescent="0.15">
      <c r="A121" s="11" t="s">
        <v>2245</v>
      </c>
      <c r="B121" s="2" t="s">
        <v>1125</v>
      </c>
      <c r="C121" s="2">
        <v>1</v>
      </c>
      <c r="D121" s="2" t="s">
        <v>556</v>
      </c>
      <c r="E121" s="29">
        <f t="shared" si="6"/>
        <v>252669</v>
      </c>
      <c r="F121" s="29">
        <f>'일위대가_호표(신규)'!H712</f>
        <v>39580</v>
      </c>
      <c r="G121" s="29"/>
      <c r="H121" s="29">
        <f>'일위대가_호표(신규)'!J712</f>
        <v>193437</v>
      </c>
      <c r="I121" s="29"/>
      <c r="J121" s="29">
        <f>'일위대가_호표(신규)'!L712</f>
        <v>19652</v>
      </c>
      <c r="K121" s="20" t="s">
        <v>2856</v>
      </c>
      <c r="L121" t="s">
        <v>2856</v>
      </c>
      <c r="M121" t="s">
        <v>161</v>
      </c>
      <c r="N121" t="s">
        <v>1778</v>
      </c>
      <c r="V121" s="29">
        <v>39580</v>
      </c>
      <c r="W121" s="29">
        <v>193437</v>
      </c>
      <c r="X121" s="29">
        <v>19652</v>
      </c>
      <c r="Y121" s="29">
        <v>252669</v>
      </c>
      <c r="AA121" s="7" t="b">
        <f t="shared" si="7"/>
        <v>1</v>
      </c>
      <c r="AC121" s="34" t="str">
        <f>HYPERLINK("#일위대가_호표!A712","HP065 →")</f>
        <v>HP065 →</v>
      </c>
    </row>
    <row r="122" spans="1:29" ht="18.399999999999999" customHeight="1" x14ac:dyDescent="0.15">
      <c r="A122" s="11" t="s">
        <v>2434</v>
      </c>
      <c r="B122" s="2" t="s">
        <v>2264</v>
      </c>
      <c r="C122" s="2">
        <v>1</v>
      </c>
      <c r="D122" s="2" t="s">
        <v>556</v>
      </c>
      <c r="E122" s="29">
        <f t="shared" si="6"/>
        <v>856463</v>
      </c>
      <c r="F122" s="29">
        <f>'일위대가_호표(신규)'!H720</f>
        <v>103243</v>
      </c>
      <c r="G122" s="29"/>
      <c r="H122" s="29">
        <f>'일위대가_호표(신규)'!J720</f>
        <v>598140</v>
      </c>
      <c r="I122" s="29"/>
      <c r="J122" s="29">
        <f>'일위대가_호표(신규)'!L720</f>
        <v>155080</v>
      </c>
      <c r="K122" s="20" t="s">
        <v>2856</v>
      </c>
      <c r="L122" t="s">
        <v>2856</v>
      </c>
      <c r="M122" t="s">
        <v>2014</v>
      </c>
      <c r="N122" t="s">
        <v>1778</v>
      </c>
      <c r="V122" s="29">
        <v>103243</v>
      </c>
      <c r="W122" s="29">
        <v>598140</v>
      </c>
      <c r="X122" s="29">
        <v>155080</v>
      </c>
      <c r="Y122" s="29">
        <v>856463</v>
      </c>
      <c r="AA122" s="7" t="b">
        <f t="shared" si="7"/>
        <v>1</v>
      </c>
      <c r="AC122" s="34" t="str">
        <f>HYPERLINK("#일위대가_호표!A720","HP066 →")</f>
        <v>HP066 →</v>
      </c>
    </row>
    <row r="123" spans="1:29" ht="18.399999999999999" customHeight="1" x14ac:dyDescent="0.15">
      <c r="A123" s="11" t="s">
        <v>1078</v>
      </c>
      <c r="B123" s="2" t="s">
        <v>2244</v>
      </c>
      <c r="C123" s="2">
        <v>1</v>
      </c>
      <c r="D123" s="2" t="s">
        <v>556</v>
      </c>
      <c r="E123" s="29">
        <f t="shared" si="6"/>
        <v>252953</v>
      </c>
      <c r="F123" s="29">
        <f>'일위대가_호표(신규)'!H728</f>
        <v>39864</v>
      </c>
      <c r="G123" s="29"/>
      <c r="H123" s="29">
        <f>'일위대가_호표(신규)'!J728</f>
        <v>193437</v>
      </c>
      <c r="I123" s="29"/>
      <c r="J123" s="29">
        <f>'일위대가_호표(신규)'!L728</f>
        <v>19652</v>
      </c>
      <c r="K123" s="20" t="s">
        <v>2856</v>
      </c>
      <c r="L123" t="s">
        <v>2856</v>
      </c>
      <c r="M123" t="s">
        <v>372</v>
      </c>
      <c r="N123" t="s">
        <v>1778</v>
      </c>
      <c r="V123" s="29">
        <v>39864</v>
      </c>
      <c r="W123" s="29">
        <v>193437</v>
      </c>
      <c r="X123" s="29">
        <v>19652</v>
      </c>
      <c r="Y123" s="29">
        <v>252953</v>
      </c>
      <c r="AA123" s="7" t="b">
        <f t="shared" si="7"/>
        <v>1</v>
      </c>
      <c r="AC123" s="34" t="str">
        <f>HYPERLINK("#일위대가_호표!A728","HP067 →")</f>
        <v>HP067 →</v>
      </c>
    </row>
    <row r="124" spans="1:29" ht="18.399999999999999" customHeight="1" x14ac:dyDescent="0.15">
      <c r="A124" s="11" t="s">
        <v>741</v>
      </c>
      <c r="B124" s="2" t="s">
        <v>1816</v>
      </c>
      <c r="C124" s="2">
        <v>1</v>
      </c>
      <c r="D124" s="2" t="s">
        <v>556</v>
      </c>
      <c r="E124" s="29">
        <f t="shared" si="6"/>
        <v>620822</v>
      </c>
      <c r="F124" s="29">
        <f>'일위대가_호표(신규)'!H736</f>
        <v>71984</v>
      </c>
      <c r="G124" s="29"/>
      <c r="H124" s="29">
        <f>'일위대가_호표(신규)'!J736</f>
        <v>443066</v>
      </c>
      <c r="I124" s="29"/>
      <c r="J124" s="29">
        <f>'일위대가_호표(신규)'!L736</f>
        <v>105772</v>
      </c>
      <c r="K124" s="20" t="s">
        <v>2856</v>
      </c>
      <c r="L124" t="s">
        <v>2856</v>
      </c>
      <c r="M124" t="s">
        <v>2011</v>
      </c>
      <c r="N124" t="s">
        <v>1778</v>
      </c>
      <c r="V124" s="29">
        <v>71984</v>
      </c>
      <c r="W124" s="29">
        <v>443066</v>
      </c>
      <c r="X124" s="29">
        <v>105772</v>
      </c>
      <c r="Y124" s="29">
        <v>620822</v>
      </c>
      <c r="AA124" s="7" t="b">
        <f t="shared" si="7"/>
        <v>1</v>
      </c>
      <c r="AC124" s="34" t="str">
        <f>HYPERLINK("#일위대가_호표!A736","HP068 →")</f>
        <v>HP068 →</v>
      </c>
    </row>
    <row r="125" spans="1:29" ht="18.399999999999999" customHeight="1" x14ac:dyDescent="0.15">
      <c r="A125" s="11" t="s">
        <v>2354</v>
      </c>
      <c r="B125" s="2" t="s">
        <v>2019</v>
      </c>
      <c r="C125" s="2">
        <v>1</v>
      </c>
      <c r="D125" s="2" t="s">
        <v>556</v>
      </c>
      <c r="E125" s="29">
        <f t="shared" si="6"/>
        <v>252669</v>
      </c>
      <c r="F125" s="29">
        <f>'일위대가_호표(신규)'!H744</f>
        <v>39580</v>
      </c>
      <c r="G125" s="29"/>
      <c r="H125" s="29">
        <f>'일위대가_호표(신규)'!J744</f>
        <v>193437</v>
      </c>
      <c r="I125" s="29"/>
      <c r="J125" s="29">
        <f>'일위대가_호표(신규)'!L744</f>
        <v>19652</v>
      </c>
      <c r="K125" s="20" t="s">
        <v>2856</v>
      </c>
      <c r="L125" t="s">
        <v>2856</v>
      </c>
      <c r="M125" t="s">
        <v>411</v>
      </c>
      <c r="N125" t="s">
        <v>1778</v>
      </c>
      <c r="V125" s="29">
        <v>39580</v>
      </c>
      <c r="W125" s="29">
        <v>193437</v>
      </c>
      <c r="X125" s="29">
        <v>19652</v>
      </c>
      <c r="Y125" s="29">
        <v>252669</v>
      </c>
      <c r="AA125" s="7" t="b">
        <f t="shared" si="7"/>
        <v>1</v>
      </c>
      <c r="AC125" s="34" t="str">
        <f>HYPERLINK("#일위대가_호표!A744","HP069 →")</f>
        <v>HP069 →</v>
      </c>
    </row>
    <row r="126" spans="1:29" ht="18.399999999999999" customHeight="1" x14ac:dyDescent="0.15">
      <c r="A126" s="98" t="str">
        <f>'일위대가_호표(신규)'!A752</f>
        <v>No.1 수목이식(굴취,가식,정식)</v>
      </c>
      <c r="B126" s="99" t="str">
        <f>'일위대가_호표(신규)'!B752</f>
        <v>R38</v>
      </c>
      <c r="C126" s="63">
        <v>1</v>
      </c>
      <c r="D126" s="63" t="s">
        <v>556</v>
      </c>
      <c r="E126" s="100">
        <f t="shared" si="6"/>
        <v>1471634</v>
      </c>
      <c r="F126" s="101">
        <f>'일위대가_호표(신규)'!H759</f>
        <v>156588</v>
      </c>
      <c r="G126" s="101"/>
      <c r="H126" s="101">
        <f>'일위대가_호표(신규)'!J759</f>
        <v>1044292</v>
      </c>
      <c r="I126" s="101"/>
      <c r="J126" s="101">
        <f>'일위대가_호표(신규)'!L759</f>
        <v>270754</v>
      </c>
      <c r="K126" s="102"/>
      <c r="V126" s="29"/>
      <c r="W126" s="29"/>
      <c r="X126" s="29"/>
      <c r="Y126" s="29"/>
      <c r="AA126" s="7"/>
      <c r="AC126" s="34"/>
    </row>
    <row r="127" spans="1:29" ht="18.399999999999999" customHeight="1" x14ac:dyDescent="0.15">
      <c r="A127" s="98" t="str">
        <f>'일위대가_호표(신규)'!A761</f>
        <v>No.2 수목이식(굴취,가식,정식)</v>
      </c>
      <c r="B127" s="99" t="str">
        <f>'일위대가_호표(신규)'!B761</f>
        <v>R30</v>
      </c>
      <c r="C127" s="63">
        <v>1</v>
      </c>
      <c r="D127" s="63" t="s">
        <v>556</v>
      </c>
      <c r="E127" s="100">
        <f t="shared" si="6"/>
        <v>1464617</v>
      </c>
      <c r="F127" s="101">
        <f>'일위대가_호표(신규)'!H768</f>
        <v>149571</v>
      </c>
      <c r="G127" s="101"/>
      <c r="H127" s="101">
        <f>'일위대가_호표(신규)'!J768</f>
        <v>1044292</v>
      </c>
      <c r="I127" s="101"/>
      <c r="J127" s="101">
        <f>'일위대가_호표(신규)'!L768</f>
        <v>270754</v>
      </c>
      <c r="K127" s="102"/>
      <c r="V127" s="29"/>
      <c r="W127" s="29"/>
      <c r="X127" s="29"/>
      <c r="Y127" s="29"/>
      <c r="AA127" s="7"/>
      <c r="AC127" s="34"/>
    </row>
    <row r="128" spans="1:29" ht="18.399999999999999" customHeight="1" x14ac:dyDescent="0.15">
      <c r="A128" s="98" t="str">
        <f>'일위대가_호표(신규)'!A770</f>
        <v>No.3  수목이식(굴취,가식,정식)</v>
      </c>
      <c r="B128" s="99" t="str">
        <f>'일위대가_호표(신규)'!B770</f>
        <v>R22</v>
      </c>
      <c r="C128" s="63">
        <v>1</v>
      </c>
      <c r="D128" s="63" t="s">
        <v>556</v>
      </c>
      <c r="E128" s="100">
        <f>SUM(F128:J128)</f>
        <v>1065463</v>
      </c>
      <c r="F128" s="101">
        <f>'일위대가_호표(신규)'!H777</f>
        <v>107248</v>
      </c>
      <c r="G128" s="101"/>
      <c r="H128" s="101">
        <f>'일위대가_호표(신규)'!J777</f>
        <v>773548</v>
      </c>
      <c r="I128" s="101"/>
      <c r="J128" s="101">
        <f>'일위대가_호표(신규)'!L777</f>
        <v>184667</v>
      </c>
      <c r="K128" s="102"/>
      <c r="V128" s="29"/>
      <c r="W128" s="29"/>
      <c r="X128" s="29"/>
      <c r="Y128" s="29"/>
      <c r="AA128" s="7"/>
      <c r="AC128" s="34"/>
    </row>
    <row r="129" spans="1:29" ht="18.399999999999999" customHeight="1" x14ac:dyDescent="0.15">
      <c r="A129" s="98" t="str">
        <f>'일위대가_호표(신규)'!A779</f>
        <v>No.4  수목이식(굴취,가식,정식)</v>
      </c>
      <c r="B129" s="99" t="str">
        <f>'일위대가_호표(신규)'!B779</f>
        <v>R20</v>
      </c>
      <c r="C129" s="63">
        <v>1</v>
      </c>
      <c r="D129" s="63" t="s">
        <v>556</v>
      </c>
      <c r="E129" s="100">
        <f>SUM(F129:J129)</f>
        <v>1064751</v>
      </c>
      <c r="F129" s="101">
        <f>'일위대가_호표(신규)'!H786</f>
        <v>106536</v>
      </c>
      <c r="G129" s="101"/>
      <c r="H129" s="101">
        <f>'일위대가_호표(신규)'!J786</f>
        <v>773548</v>
      </c>
      <c r="I129" s="101"/>
      <c r="J129" s="101">
        <f>'일위대가_호표(신규)'!L786</f>
        <v>184667</v>
      </c>
      <c r="K129" s="102"/>
      <c r="V129" s="29"/>
      <c r="W129" s="29"/>
      <c r="X129" s="29"/>
      <c r="Y129" s="29"/>
      <c r="AA129" s="7"/>
      <c r="AC129" s="34"/>
    </row>
    <row r="130" spans="1:29" ht="18.399999999999999" customHeight="1" x14ac:dyDescent="0.15">
      <c r="A130" s="98" t="str">
        <f>'일위대가_호표(신규)'!A788</f>
        <v>No.5  수목이식(굴취,가식,정식)</v>
      </c>
      <c r="B130" s="99" t="str">
        <f>'일위대가_호표(신규)'!B788</f>
        <v>R15</v>
      </c>
      <c r="C130" s="63">
        <v>1</v>
      </c>
      <c r="D130" s="63" t="s">
        <v>556</v>
      </c>
      <c r="E130" s="100">
        <f>SUM(F130:J130)</f>
        <v>515421</v>
      </c>
      <c r="F130" s="101">
        <f>'일위대가_호표(신규)'!H795</f>
        <v>60715</v>
      </c>
      <c r="G130" s="101"/>
      <c r="H130" s="101">
        <f>'일위대가_호표(신규)'!J795</f>
        <v>412770</v>
      </c>
      <c r="I130" s="101"/>
      <c r="J130" s="101">
        <f>'일위대가_호표(신규)'!L795</f>
        <v>41936</v>
      </c>
      <c r="K130" s="102"/>
      <c r="V130" s="29"/>
      <c r="W130" s="29"/>
      <c r="X130" s="29"/>
      <c r="Y130" s="29"/>
      <c r="AA130" s="7"/>
      <c r="AC130" s="34"/>
    </row>
    <row r="131" spans="1:29" ht="18.399999999999999" customHeight="1" x14ac:dyDescent="0.15">
      <c r="A131" s="11" t="s">
        <v>1305</v>
      </c>
      <c r="B131" s="2" t="s">
        <v>664</v>
      </c>
      <c r="C131" s="2">
        <v>1</v>
      </c>
      <c r="D131" s="2" t="s">
        <v>556</v>
      </c>
      <c r="E131" s="29">
        <f t="shared" ref="E131:E162" si="8">F131+H131+J131</f>
        <v>647275</v>
      </c>
      <c r="F131" s="29">
        <f>'일위대가_호표(신규)'!H797</f>
        <v>528892</v>
      </c>
      <c r="G131" s="29"/>
      <c r="H131" s="29">
        <f>'일위대가_호표(신규)'!J797</f>
        <v>107465</v>
      </c>
      <c r="I131" s="29"/>
      <c r="J131" s="29">
        <f>'일위대가_호표(신규)'!L797</f>
        <v>10918</v>
      </c>
      <c r="K131" s="20" t="s">
        <v>2856</v>
      </c>
      <c r="L131" t="s">
        <v>2856</v>
      </c>
      <c r="M131" t="s">
        <v>236</v>
      </c>
      <c r="N131" t="s">
        <v>1778</v>
      </c>
      <c r="V131" s="29">
        <v>528892</v>
      </c>
      <c r="W131" s="29">
        <v>107465</v>
      </c>
      <c r="X131" s="29">
        <v>10918</v>
      </c>
      <c r="Y131" s="29">
        <v>647275</v>
      </c>
      <c r="AA131" s="7" t="b">
        <f t="shared" ref="AA131:AA162" si="9">EXACT($E131,$Y131)</f>
        <v>1</v>
      </c>
      <c r="AC131" s="34" t="str">
        <f>HYPERLINK("#일위대가_호표!A752","HT050 →")</f>
        <v>HT050 →</v>
      </c>
    </row>
    <row r="132" spans="1:29" ht="18.399999999999999" customHeight="1" x14ac:dyDescent="0.15">
      <c r="A132" s="11" t="s">
        <v>2616</v>
      </c>
      <c r="B132" s="2" t="s">
        <v>2781</v>
      </c>
      <c r="C132" s="2">
        <v>1</v>
      </c>
      <c r="D132" s="2" t="s">
        <v>556</v>
      </c>
      <c r="E132" s="29">
        <f t="shared" si="8"/>
        <v>211011</v>
      </c>
      <c r="F132" s="29">
        <f>'일위대가_호표(신규)'!H803</f>
        <v>129400</v>
      </c>
      <c r="G132" s="29"/>
      <c r="H132" s="29">
        <f>'일위대가_호표(신규)'!J803</f>
        <v>81611</v>
      </c>
      <c r="I132" s="29"/>
      <c r="J132" s="29">
        <f>'일위대가_호표(신규)'!L803</f>
        <v>0</v>
      </c>
      <c r="K132" s="20" t="s">
        <v>2856</v>
      </c>
      <c r="L132" t="s">
        <v>2856</v>
      </c>
      <c r="M132" t="s">
        <v>85</v>
      </c>
      <c r="N132" t="s">
        <v>1778</v>
      </c>
      <c r="V132" s="29">
        <v>129400</v>
      </c>
      <c r="W132" s="29">
        <v>81611</v>
      </c>
      <c r="X132" s="29">
        <v>0</v>
      </c>
      <c r="Y132" s="29">
        <v>211011</v>
      </c>
      <c r="AA132" s="7" t="b">
        <f t="shared" si="9"/>
        <v>1</v>
      </c>
      <c r="AC132" s="34" t="str">
        <f>HYPERLINK("#일위대가_호표!A758","HT2111-R8 →")</f>
        <v>HT2111-R8 →</v>
      </c>
    </row>
    <row r="133" spans="1:29" ht="18.399999999999999" customHeight="1" x14ac:dyDescent="0.15">
      <c r="A133" s="11" t="s">
        <v>1630</v>
      </c>
      <c r="B133" s="2" t="s">
        <v>2264</v>
      </c>
      <c r="C133" s="2">
        <v>1</v>
      </c>
      <c r="D133" s="2" t="s">
        <v>556</v>
      </c>
      <c r="E133" s="29">
        <f t="shared" si="8"/>
        <v>2575854</v>
      </c>
      <c r="F133" s="29">
        <f>'일위대가_호표(신규)'!H809</f>
        <v>2254845</v>
      </c>
      <c r="G133" s="29"/>
      <c r="H133" s="29">
        <f>'일위대가_호표(신규)'!J809</f>
        <v>249225</v>
      </c>
      <c r="I133" s="29"/>
      <c r="J133" s="29">
        <f>'일위대가_호표(신규)'!L809</f>
        <v>71784</v>
      </c>
      <c r="K133" s="20" t="s">
        <v>2856</v>
      </c>
      <c r="L133" t="s">
        <v>2856</v>
      </c>
      <c r="M133" t="s">
        <v>1551</v>
      </c>
      <c r="N133" t="s">
        <v>1778</v>
      </c>
      <c r="V133" s="29">
        <v>2254845</v>
      </c>
      <c r="W133" s="29">
        <v>249225</v>
      </c>
      <c r="X133" s="29">
        <v>71784</v>
      </c>
      <c r="Y133" s="29">
        <v>2575854</v>
      </c>
      <c r="AA133" s="7" t="b">
        <f t="shared" si="9"/>
        <v>1</v>
      </c>
      <c r="AC133" s="34" t="str">
        <f>HYPERLINK("#일위대가_호표!A764","HT2115-30 →")</f>
        <v>HT2115-30 →</v>
      </c>
    </row>
    <row r="134" spans="1:29" ht="18.399999999999999" customHeight="1" x14ac:dyDescent="0.15">
      <c r="A134" s="11" t="s">
        <v>2476</v>
      </c>
      <c r="B134" s="2" t="s">
        <v>28</v>
      </c>
      <c r="C134" s="2">
        <v>1</v>
      </c>
      <c r="D134" s="2" t="s">
        <v>556</v>
      </c>
      <c r="E134" s="29">
        <f t="shared" si="8"/>
        <v>295864</v>
      </c>
      <c r="F134" s="29">
        <f>'일위대가_호표(신규)'!H815</f>
        <v>212300</v>
      </c>
      <c r="G134" s="29"/>
      <c r="H134" s="29">
        <f>'일위대가_호표(신규)'!J815</f>
        <v>75857</v>
      </c>
      <c r="I134" s="29"/>
      <c r="J134" s="29">
        <f>'일위대가_호표(신규)'!L815</f>
        <v>7707</v>
      </c>
      <c r="K134" s="20" t="s">
        <v>2856</v>
      </c>
      <c r="L134" t="s">
        <v>2856</v>
      </c>
      <c r="M134" t="s">
        <v>472</v>
      </c>
      <c r="N134" t="s">
        <v>1778</v>
      </c>
      <c r="V134" s="29">
        <v>212300</v>
      </c>
      <c r="W134" s="29">
        <v>75857</v>
      </c>
      <c r="X134" s="29">
        <v>7707</v>
      </c>
      <c r="Y134" s="29">
        <v>295864</v>
      </c>
      <c r="AA134" s="7" t="b">
        <f t="shared" si="9"/>
        <v>1</v>
      </c>
      <c r="AC134" s="34" t="str">
        <f>HYPERLINK("#일위대가_호표!A770","HT2114-R10 →")</f>
        <v>HT2114-R10 →</v>
      </c>
    </row>
    <row r="135" spans="1:29" ht="18.399999999999999" customHeight="1" x14ac:dyDescent="0.15">
      <c r="A135" s="11" t="s">
        <v>1847</v>
      </c>
      <c r="B135" s="2" t="s">
        <v>28</v>
      </c>
      <c r="C135" s="2">
        <v>1</v>
      </c>
      <c r="D135" s="2" t="s">
        <v>556</v>
      </c>
      <c r="E135" s="29">
        <f t="shared" si="8"/>
        <v>267464</v>
      </c>
      <c r="F135" s="29">
        <f>'일위대가_호표(신규)'!H821</f>
        <v>183900</v>
      </c>
      <c r="G135" s="29"/>
      <c r="H135" s="29">
        <f>'일위대가_호표(신규)'!J821</f>
        <v>75857</v>
      </c>
      <c r="I135" s="29"/>
      <c r="J135" s="29">
        <f>'일위대가_호표(신규)'!L821</f>
        <v>7707</v>
      </c>
      <c r="K135" s="20" t="s">
        <v>2856</v>
      </c>
      <c r="L135" t="s">
        <v>2856</v>
      </c>
      <c r="M135" t="s">
        <v>734</v>
      </c>
      <c r="N135" t="s">
        <v>1778</v>
      </c>
      <c r="V135" s="29">
        <v>183900</v>
      </c>
      <c r="W135" s="29">
        <v>75857</v>
      </c>
      <c r="X135" s="29">
        <v>7707</v>
      </c>
      <c r="Y135" s="29">
        <v>267464</v>
      </c>
      <c r="AA135" s="7" t="b">
        <f t="shared" si="9"/>
        <v>1</v>
      </c>
      <c r="AC135" s="34" t="str">
        <f>HYPERLINK("#일위대가_호표!A776","HT2120-R10 →")</f>
        <v>HT2120-R10 →</v>
      </c>
    </row>
    <row r="136" spans="1:29" ht="18.399999999999999" customHeight="1" x14ac:dyDescent="0.15">
      <c r="A136" s="11" t="s">
        <v>1987</v>
      </c>
      <c r="B136" s="2" t="s">
        <v>494</v>
      </c>
      <c r="C136" s="2">
        <v>1</v>
      </c>
      <c r="D136" s="2" t="s">
        <v>556</v>
      </c>
      <c r="E136" s="29">
        <f t="shared" si="8"/>
        <v>489975</v>
      </c>
      <c r="F136" s="29">
        <f>'일위대가_호표(신규)'!H827</f>
        <v>371592</v>
      </c>
      <c r="G136" s="29"/>
      <c r="H136" s="29">
        <f>'일위대가_호표(신규)'!J827</f>
        <v>107465</v>
      </c>
      <c r="I136" s="29"/>
      <c r="J136" s="29">
        <f>'일위대가_호표(신규)'!L827</f>
        <v>10918</v>
      </c>
      <c r="K136" s="20" t="s">
        <v>2856</v>
      </c>
      <c r="L136" t="s">
        <v>2856</v>
      </c>
      <c r="M136" t="s">
        <v>2082</v>
      </c>
      <c r="N136" t="s">
        <v>1778</v>
      </c>
      <c r="V136" s="29">
        <v>371592</v>
      </c>
      <c r="W136" s="29">
        <v>107465</v>
      </c>
      <c r="X136" s="29">
        <v>10918</v>
      </c>
      <c r="Y136" s="29">
        <v>489975</v>
      </c>
      <c r="AA136" s="7" t="b">
        <f t="shared" si="9"/>
        <v>1</v>
      </c>
      <c r="AC136" s="34" t="str">
        <f>HYPERLINK("#일위대가_호표!A782","HT2139-R12 →")</f>
        <v>HT2139-R12 →</v>
      </c>
    </row>
    <row r="137" spans="1:29" ht="18.399999999999999" customHeight="1" x14ac:dyDescent="0.15">
      <c r="A137" s="11" t="s">
        <v>2516</v>
      </c>
      <c r="B137" s="2" t="s">
        <v>1567</v>
      </c>
      <c r="C137" s="2">
        <v>1</v>
      </c>
      <c r="D137" s="2" t="s">
        <v>556</v>
      </c>
      <c r="E137" s="29">
        <f t="shared" si="8"/>
        <v>697275</v>
      </c>
      <c r="F137" s="29">
        <f>'일위대가_호표(신규)'!H833</f>
        <v>578892</v>
      </c>
      <c r="G137" s="29"/>
      <c r="H137" s="29">
        <f>'일위대가_호표(신규)'!J833</f>
        <v>107465</v>
      </c>
      <c r="I137" s="29"/>
      <c r="J137" s="29">
        <f>'일위대가_호표(신규)'!L833</f>
        <v>10918</v>
      </c>
      <c r="K137" s="20" t="s">
        <v>2856</v>
      </c>
      <c r="L137" t="s">
        <v>2856</v>
      </c>
      <c r="M137" t="s">
        <v>1096</v>
      </c>
      <c r="N137" t="s">
        <v>1778</v>
      </c>
      <c r="V137" s="29">
        <v>578892</v>
      </c>
      <c r="W137" s="29">
        <v>107465</v>
      </c>
      <c r="X137" s="29">
        <v>10918</v>
      </c>
      <c r="Y137" s="29">
        <v>697275</v>
      </c>
      <c r="AA137" s="7" t="b">
        <f t="shared" si="9"/>
        <v>1</v>
      </c>
      <c r="AC137" s="34" t="str">
        <f>HYPERLINK("#일위대가_호표!A788","HT2141-R15 →")</f>
        <v>HT2141-R15 →</v>
      </c>
    </row>
    <row r="138" spans="1:29" ht="18.399999999999999" customHeight="1" x14ac:dyDescent="0.15">
      <c r="A138" s="11" t="s">
        <v>2788</v>
      </c>
      <c r="B138" s="2" t="s">
        <v>1783</v>
      </c>
      <c r="C138" s="2">
        <v>1</v>
      </c>
      <c r="D138" s="2" t="s">
        <v>556</v>
      </c>
      <c r="E138" s="29">
        <f t="shared" si="8"/>
        <v>597275</v>
      </c>
      <c r="F138" s="29">
        <f>'일위대가_호표(신규)'!H839</f>
        <v>478892</v>
      </c>
      <c r="G138" s="29"/>
      <c r="H138" s="29">
        <f>'일위대가_호표(신규)'!J839</f>
        <v>107465</v>
      </c>
      <c r="I138" s="29"/>
      <c r="J138" s="29">
        <f>'일위대가_호표(신규)'!L839</f>
        <v>10918</v>
      </c>
      <c r="K138" s="20" t="s">
        <v>2856</v>
      </c>
      <c r="L138" t="s">
        <v>2856</v>
      </c>
      <c r="M138" t="s">
        <v>2214</v>
      </c>
      <c r="N138" t="s">
        <v>1778</v>
      </c>
      <c r="V138" s="29">
        <v>478892</v>
      </c>
      <c r="W138" s="29">
        <v>107465</v>
      </c>
      <c r="X138" s="29">
        <v>10918</v>
      </c>
      <c r="Y138" s="29">
        <v>597275</v>
      </c>
      <c r="AA138" s="7" t="b">
        <f t="shared" si="9"/>
        <v>1</v>
      </c>
      <c r="AC138" s="34" t="str">
        <f>HYPERLINK("#일위대가_호표!A794","HT2152-B12 →")</f>
        <v>HT2152-B12 →</v>
      </c>
    </row>
    <row r="139" spans="1:29" ht="18.399999999999999" customHeight="1" x14ac:dyDescent="0.15">
      <c r="A139" s="11" t="s">
        <v>507</v>
      </c>
      <c r="B139" s="2" t="s">
        <v>53</v>
      </c>
      <c r="C139" s="2">
        <v>1</v>
      </c>
      <c r="D139" s="2" t="s">
        <v>556</v>
      </c>
      <c r="E139" s="29">
        <f t="shared" si="8"/>
        <v>786716</v>
      </c>
      <c r="F139" s="29">
        <f>'일위대가_호표(신규)'!H845</f>
        <v>546600</v>
      </c>
      <c r="G139" s="29"/>
      <c r="H139" s="29">
        <f>'일위대가_호표(신규)'!J845</f>
        <v>193841</v>
      </c>
      <c r="I139" s="29"/>
      <c r="J139" s="29">
        <f>'일위대가_호표(신규)'!L845</f>
        <v>46275</v>
      </c>
      <c r="K139" s="20" t="s">
        <v>2856</v>
      </c>
      <c r="L139" t="s">
        <v>2856</v>
      </c>
      <c r="M139" t="s">
        <v>2590</v>
      </c>
      <c r="N139" t="s">
        <v>1778</v>
      </c>
      <c r="V139" s="29">
        <v>546600</v>
      </c>
      <c r="W139" s="29">
        <v>193841</v>
      </c>
      <c r="X139" s="29">
        <v>46275</v>
      </c>
      <c r="Y139" s="29">
        <v>786716</v>
      </c>
      <c r="AA139" s="7" t="b">
        <f t="shared" si="9"/>
        <v>1</v>
      </c>
      <c r="AC139" s="34" t="str">
        <f>HYPERLINK("#일위대가_호표!A800","HT2205-R25 →")</f>
        <v>HT2205-R25 →</v>
      </c>
    </row>
    <row r="140" spans="1:29" ht="18.399999999999999" customHeight="1" x14ac:dyDescent="0.15">
      <c r="A140" s="11" t="s">
        <v>471</v>
      </c>
      <c r="B140" s="2" t="s">
        <v>1567</v>
      </c>
      <c r="C140" s="2">
        <v>1</v>
      </c>
      <c r="D140" s="2" t="s">
        <v>556</v>
      </c>
      <c r="E140" s="29">
        <f t="shared" si="8"/>
        <v>647275</v>
      </c>
      <c r="F140" s="29">
        <f>'일위대가_호표(신규)'!H851</f>
        <v>528892</v>
      </c>
      <c r="G140" s="29"/>
      <c r="H140" s="29">
        <f>'일위대가_호표(신규)'!J851</f>
        <v>107465</v>
      </c>
      <c r="I140" s="29"/>
      <c r="J140" s="29">
        <f>'일위대가_호표(신규)'!L851</f>
        <v>10918</v>
      </c>
      <c r="K140" s="20" t="s">
        <v>2856</v>
      </c>
      <c r="L140" t="s">
        <v>2856</v>
      </c>
      <c r="M140" t="s">
        <v>2842</v>
      </c>
      <c r="N140" t="s">
        <v>1778</v>
      </c>
      <c r="V140" s="29">
        <v>528892</v>
      </c>
      <c r="W140" s="29">
        <v>107465</v>
      </c>
      <c r="X140" s="29">
        <v>10918</v>
      </c>
      <c r="Y140" s="29">
        <v>647275</v>
      </c>
      <c r="AA140" s="7" t="b">
        <f t="shared" si="9"/>
        <v>1</v>
      </c>
      <c r="AC140" s="34" t="str">
        <f>HYPERLINK("#일위대가_호표!A806","HT2210-R15 →")</f>
        <v>HT2210-R15 →</v>
      </c>
    </row>
    <row r="141" spans="1:29" ht="18.399999999999999" customHeight="1" x14ac:dyDescent="0.15">
      <c r="A141" s="11" t="s">
        <v>1144</v>
      </c>
      <c r="B141" s="2" t="s">
        <v>2322</v>
      </c>
      <c r="C141" s="2">
        <v>1</v>
      </c>
      <c r="D141" s="2" t="s">
        <v>556</v>
      </c>
      <c r="E141" s="29">
        <f t="shared" si="8"/>
        <v>539975</v>
      </c>
      <c r="F141" s="29">
        <f>'일위대가_호표(신규)'!H857</f>
        <v>421592</v>
      </c>
      <c r="G141" s="29"/>
      <c r="H141" s="29">
        <f>'일위대가_호표(신규)'!J857</f>
        <v>107465</v>
      </c>
      <c r="I141" s="29"/>
      <c r="J141" s="29">
        <f>'일위대가_호표(신규)'!L857</f>
        <v>10918</v>
      </c>
      <c r="K141" s="20" t="s">
        <v>2856</v>
      </c>
      <c r="L141" t="s">
        <v>2856</v>
      </c>
      <c r="M141" t="s">
        <v>1666</v>
      </c>
      <c r="N141" t="s">
        <v>1778</v>
      </c>
      <c r="V141" s="29">
        <v>421592</v>
      </c>
      <c r="W141" s="29">
        <v>107465</v>
      </c>
      <c r="X141" s="29">
        <v>10918</v>
      </c>
      <c r="Y141" s="29">
        <v>539975</v>
      </c>
      <c r="AA141" s="7" t="b">
        <f t="shared" si="9"/>
        <v>1</v>
      </c>
      <c r="AC141" s="34" t="str">
        <f>HYPERLINK("#일위대가_호표!A812","HT2234-R12 →")</f>
        <v>HT2234-R12 →</v>
      </c>
    </row>
    <row r="142" spans="1:29" ht="18.399999999999999" customHeight="1" x14ac:dyDescent="0.15">
      <c r="A142" s="11" t="s">
        <v>727</v>
      </c>
      <c r="B142" s="2" t="s">
        <v>988</v>
      </c>
      <c r="C142" s="2">
        <v>1</v>
      </c>
      <c r="D142" s="2" t="s">
        <v>556</v>
      </c>
      <c r="E142" s="29">
        <f t="shared" si="8"/>
        <v>3025854</v>
      </c>
      <c r="F142" s="29">
        <f>'일위대가_호표(신규)'!H863</f>
        <v>2704845</v>
      </c>
      <c r="G142" s="29"/>
      <c r="H142" s="29">
        <f>'일위대가_호표(신규)'!J863</f>
        <v>249225</v>
      </c>
      <c r="I142" s="29"/>
      <c r="J142" s="29">
        <f>'일위대가_호표(신규)'!L863</f>
        <v>71784</v>
      </c>
      <c r="K142" s="20" t="s">
        <v>2856</v>
      </c>
      <c r="L142" t="s">
        <v>2856</v>
      </c>
      <c r="M142" t="s">
        <v>2390</v>
      </c>
      <c r="N142" t="s">
        <v>1778</v>
      </c>
      <c r="V142" s="29">
        <v>2704845</v>
      </c>
      <c r="W142" s="29">
        <v>249225</v>
      </c>
      <c r="X142" s="29">
        <v>71784</v>
      </c>
      <c r="Y142" s="29">
        <v>3025854</v>
      </c>
      <c r="AA142" s="7" t="b">
        <f t="shared" si="9"/>
        <v>1</v>
      </c>
      <c r="AC142" s="34" t="str">
        <f>HYPERLINK("#일위대가_호표!A818","HT2290-30 →")</f>
        <v>HT2290-30 →</v>
      </c>
    </row>
    <row r="143" spans="1:29" ht="18.399999999999999" customHeight="1" x14ac:dyDescent="0.15">
      <c r="A143" s="11" t="s">
        <v>2585</v>
      </c>
      <c r="B143" s="2" t="s">
        <v>1558</v>
      </c>
      <c r="C143" s="2">
        <v>1</v>
      </c>
      <c r="D143" s="2" t="s">
        <v>556</v>
      </c>
      <c r="E143" s="29">
        <f t="shared" si="8"/>
        <v>1147275</v>
      </c>
      <c r="F143" s="29">
        <f>'일위대가_호표(신규)'!H869</f>
        <v>1028892</v>
      </c>
      <c r="G143" s="29"/>
      <c r="H143" s="29">
        <f>'일위대가_호표(신규)'!J869</f>
        <v>107465</v>
      </c>
      <c r="I143" s="29"/>
      <c r="J143" s="29">
        <f>'일위대가_호표(신규)'!L869</f>
        <v>10918</v>
      </c>
      <c r="K143" s="20" t="s">
        <v>2856</v>
      </c>
      <c r="L143" t="s">
        <v>2856</v>
      </c>
      <c r="M143" t="s">
        <v>1669</v>
      </c>
      <c r="N143" t="s">
        <v>1778</v>
      </c>
      <c r="V143" s="29">
        <v>1028892</v>
      </c>
      <c r="W143" s="29">
        <v>107465</v>
      </c>
      <c r="X143" s="29">
        <v>10918</v>
      </c>
      <c r="Y143" s="29">
        <v>1147275</v>
      </c>
      <c r="AA143" s="7" t="b">
        <f t="shared" si="9"/>
        <v>1</v>
      </c>
      <c r="AC143" s="34" t="str">
        <f>HYPERLINK("#일위대가_호표!A824","HT2290-20 →")</f>
        <v>HT2290-20 →</v>
      </c>
    </row>
    <row r="144" spans="1:29" ht="18.399999999999999" customHeight="1" x14ac:dyDescent="0.15">
      <c r="A144" s="11" t="s">
        <v>840</v>
      </c>
      <c r="B144" s="2" t="s">
        <v>1377</v>
      </c>
      <c r="C144" s="2">
        <v>1</v>
      </c>
      <c r="D144" s="2" t="s">
        <v>556</v>
      </c>
      <c r="E144" s="29">
        <f t="shared" si="8"/>
        <v>10972</v>
      </c>
      <c r="F144" s="29">
        <f>'일위대가_호표(신규)'!H875</f>
        <v>6800</v>
      </c>
      <c r="G144" s="29"/>
      <c r="H144" s="29">
        <f>'일위대가_호표(신규)'!J875</f>
        <v>4172</v>
      </c>
      <c r="I144" s="29"/>
      <c r="J144" s="29">
        <f>'일위대가_호표(신규)'!L875</f>
        <v>0</v>
      </c>
      <c r="K144" s="20" t="s">
        <v>2856</v>
      </c>
      <c r="L144" t="s">
        <v>2856</v>
      </c>
      <c r="M144" t="s">
        <v>1161</v>
      </c>
      <c r="N144" t="s">
        <v>1778</v>
      </c>
      <c r="V144" s="29">
        <v>6800</v>
      </c>
      <c r="W144" s="29">
        <v>4172</v>
      </c>
      <c r="X144" s="29">
        <v>0</v>
      </c>
      <c r="Y144" s="29">
        <v>10972</v>
      </c>
      <c r="AA144" s="7" t="b">
        <f t="shared" si="9"/>
        <v>1</v>
      </c>
      <c r="AC144" s="34" t="str">
        <f>HYPERLINK("#일위대가_호표!A830","HT3160 →")</f>
        <v>HT3160 →</v>
      </c>
    </row>
    <row r="145" spans="1:29" ht="18.399999999999999" customHeight="1" x14ac:dyDescent="0.15">
      <c r="A145" s="11" t="s">
        <v>681</v>
      </c>
      <c r="B145" s="2" t="s">
        <v>1407</v>
      </c>
      <c r="C145" s="2">
        <v>1</v>
      </c>
      <c r="D145" s="2" t="s">
        <v>556</v>
      </c>
      <c r="E145" s="29">
        <f t="shared" si="8"/>
        <v>9322</v>
      </c>
      <c r="F145" s="29">
        <f>'일위대가_호표(신규)'!H880</f>
        <v>5150</v>
      </c>
      <c r="G145" s="29"/>
      <c r="H145" s="29">
        <f>'일위대가_호표(신규)'!J880</f>
        <v>4172</v>
      </c>
      <c r="I145" s="29"/>
      <c r="J145" s="29">
        <f>'일위대가_호표(신규)'!L880</f>
        <v>0</v>
      </c>
      <c r="K145" s="20" t="s">
        <v>2856</v>
      </c>
      <c r="L145" t="s">
        <v>2856</v>
      </c>
      <c r="M145" t="s">
        <v>1178</v>
      </c>
      <c r="N145" t="s">
        <v>1778</v>
      </c>
      <c r="V145" s="29">
        <v>5150</v>
      </c>
      <c r="W145" s="29">
        <v>4172</v>
      </c>
      <c r="X145" s="29">
        <v>0</v>
      </c>
      <c r="Y145" s="29">
        <v>9322</v>
      </c>
      <c r="AA145" s="7" t="b">
        <f t="shared" si="9"/>
        <v>1</v>
      </c>
      <c r="AC145" s="34" t="str">
        <f>HYPERLINK("#일위대가_호표!A835","HT3531 →")</f>
        <v>HT3531 →</v>
      </c>
    </row>
    <row r="146" spans="1:29" ht="18.399999999999999" customHeight="1" x14ac:dyDescent="0.15">
      <c r="A146" s="11" t="s">
        <v>2020</v>
      </c>
      <c r="B146" s="2" t="s">
        <v>863</v>
      </c>
      <c r="C146" s="2">
        <v>1</v>
      </c>
      <c r="D146" s="2" t="s">
        <v>556</v>
      </c>
      <c r="E146" s="29">
        <f t="shared" si="8"/>
        <v>6481</v>
      </c>
      <c r="F146" s="29">
        <f>'일위대가_호표(신규)'!H885</f>
        <v>3700</v>
      </c>
      <c r="G146" s="29"/>
      <c r="H146" s="29">
        <f>'일위대가_호표(신규)'!J885</f>
        <v>2781</v>
      </c>
      <c r="I146" s="29"/>
      <c r="J146" s="29">
        <f>'일위대가_호표(신규)'!L885</f>
        <v>0</v>
      </c>
      <c r="K146" s="20" t="s">
        <v>2856</v>
      </c>
      <c r="L146" t="s">
        <v>2856</v>
      </c>
      <c r="M146" t="s">
        <v>245</v>
      </c>
      <c r="N146" t="s">
        <v>1778</v>
      </c>
      <c r="V146" s="29">
        <v>3700</v>
      </c>
      <c r="W146" s="29">
        <v>2781</v>
      </c>
      <c r="X146" s="29">
        <v>0</v>
      </c>
      <c r="Y146" s="29">
        <v>6481</v>
      </c>
      <c r="AA146" s="7" t="b">
        <f t="shared" si="9"/>
        <v>1</v>
      </c>
      <c r="AC146" s="34" t="str">
        <f>HYPERLINK("#일위대가_호표!A840","HT3480-04 →")</f>
        <v>HT3480-04 →</v>
      </c>
    </row>
    <row r="147" spans="1:29" ht="18.399999999999999" customHeight="1" x14ac:dyDescent="0.15">
      <c r="A147" s="11" t="s">
        <v>2442</v>
      </c>
      <c r="B147" s="2" t="s">
        <v>2464</v>
      </c>
      <c r="C147" s="2">
        <v>1</v>
      </c>
      <c r="D147" s="2" t="s">
        <v>556</v>
      </c>
      <c r="E147" s="29">
        <f t="shared" si="8"/>
        <v>11472</v>
      </c>
      <c r="F147" s="29">
        <f>'일위대가_호표(신규)'!H890</f>
        <v>7300</v>
      </c>
      <c r="G147" s="29"/>
      <c r="H147" s="29">
        <f>'일위대가_호표(신규)'!J890</f>
        <v>4172</v>
      </c>
      <c r="I147" s="29"/>
      <c r="J147" s="29">
        <f>'일위대가_호표(신규)'!L890</f>
        <v>0</v>
      </c>
      <c r="K147" s="20" t="s">
        <v>2856</v>
      </c>
      <c r="L147" t="s">
        <v>2856</v>
      </c>
      <c r="M147" t="s">
        <v>416</v>
      </c>
      <c r="N147" t="s">
        <v>1778</v>
      </c>
      <c r="V147" s="29">
        <v>7300</v>
      </c>
      <c r="W147" s="29">
        <v>4172</v>
      </c>
      <c r="X147" s="29">
        <v>0</v>
      </c>
      <c r="Y147" s="29">
        <v>11472</v>
      </c>
      <c r="AA147" s="7" t="b">
        <f t="shared" si="9"/>
        <v>1</v>
      </c>
      <c r="AC147" s="34" t="str">
        <f>HYPERLINK("#일위대가_호표!A845","HT3170 →")</f>
        <v>HT3170 →</v>
      </c>
    </row>
    <row r="148" spans="1:29" ht="18.399999999999999" customHeight="1" x14ac:dyDescent="0.15">
      <c r="A148" s="11" t="s">
        <v>1649</v>
      </c>
      <c r="B148" s="2" t="s">
        <v>1407</v>
      </c>
      <c r="C148" s="2">
        <v>1</v>
      </c>
      <c r="D148" s="2" t="s">
        <v>556</v>
      </c>
      <c r="E148" s="29">
        <f t="shared" si="8"/>
        <v>9372</v>
      </c>
      <c r="F148" s="29">
        <f>'일위대가_호표(신규)'!H895</f>
        <v>5200</v>
      </c>
      <c r="G148" s="29"/>
      <c r="H148" s="29">
        <f>'일위대가_호표(신규)'!J895</f>
        <v>4172</v>
      </c>
      <c r="I148" s="29"/>
      <c r="J148" s="29">
        <f>'일위대가_호표(신규)'!L895</f>
        <v>0</v>
      </c>
      <c r="K148" s="20" t="s">
        <v>2856</v>
      </c>
      <c r="L148" t="s">
        <v>2856</v>
      </c>
      <c r="M148" t="s">
        <v>2608</v>
      </c>
      <c r="N148" t="s">
        <v>1778</v>
      </c>
      <c r="V148" s="29">
        <v>5200</v>
      </c>
      <c r="W148" s="29">
        <v>4172</v>
      </c>
      <c r="X148" s="29">
        <v>0</v>
      </c>
      <c r="Y148" s="29">
        <v>9372</v>
      </c>
      <c r="AA148" s="7" t="b">
        <f t="shared" si="9"/>
        <v>1</v>
      </c>
      <c r="AC148" s="34" t="str">
        <f>HYPERLINK("#일위대가_호표!A850","HT3180 →")</f>
        <v>HT3180 →</v>
      </c>
    </row>
    <row r="149" spans="1:29" ht="18.399999999999999" customHeight="1" x14ac:dyDescent="0.15">
      <c r="A149" s="11" t="s">
        <v>2081</v>
      </c>
      <c r="B149" s="2" t="s">
        <v>863</v>
      </c>
      <c r="C149" s="2">
        <v>1</v>
      </c>
      <c r="D149" s="2" t="s">
        <v>556</v>
      </c>
      <c r="E149" s="29">
        <f t="shared" si="8"/>
        <v>4881</v>
      </c>
      <c r="F149" s="29">
        <f>'일위대가_호표(신규)'!H900</f>
        <v>2100</v>
      </c>
      <c r="G149" s="29"/>
      <c r="H149" s="29">
        <f>'일위대가_호표(신규)'!J900</f>
        <v>2781</v>
      </c>
      <c r="I149" s="29"/>
      <c r="J149" s="29">
        <f>'일위대가_호표(신규)'!L900</f>
        <v>0</v>
      </c>
      <c r="K149" s="20" t="s">
        <v>2856</v>
      </c>
      <c r="L149" t="s">
        <v>2856</v>
      </c>
      <c r="M149" t="s">
        <v>2440</v>
      </c>
      <c r="N149" t="s">
        <v>1778</v>
      </c>
      <c r="V149" s="29">
        <v>2100</v>
      </c>
      <c r="W149" s="29">
        <v>2781</v>
      </c>
      <c r="X149" s="29">
        <v>0</v>
      </c>
      <c r="Y149" s="29">
        <v>4881</v>
      </c>
      <c r="AA149" s="7" t="b">
        <f t="shared" si="9"/>
        <v>1</v>
      </c>
      <c r="AC149" s="34" t="str">
        <f>HYPERLINK("#일위대가_호표!A855","HT3210-03 →")</f>
        <v>HT3210-03 →</v>
      </c>
    </row>
    <row r="150" spans="1:29" ht="18.399999999999999" customHeight="1" x14ac:dyDescent="0.15">
      <c r="A150" s="11" t="s">
        <v>1466</v>
      </c>
      <c r="B150" s="2" t="s">
        <v>2656</v>
      </c>
      <c r="C150" s="2">
        <v>1</v>
      </c>
      <c r="D150" s="2" t="s">
        <v>556</v>
      </c>
      <c r="E150" s="29">
        <f t="shared" si="8"/>
        <v>8381</v>
      </c>
      <c r="F150" s="29">
        <f>'일위대가_호표(신규)'!H905</f>
        <v>5600</v>
      </c>
      <c r="G150" s="29"/>
      <c r="H150" s="29">
        <f>'일위대가_호표(신규)'!J905</f>
        <v>2781</v>
      </c>
      <c r="I150" s="29"/>
      <c r="J150" s="29">
        <f>'일위대가_호표(신규)'!L905</f>
        <v>0</v>
      </c>
      <c r="K150" s="20" t="s">
        <v>2856</v>
      </c>
      <c r="L150" t="s">
        <v>2856</v>
      </c>
      <c r="M150" t="s">
        <v>108</v>
      </c>
      <c r="N150" t="s">
        <v>1778</v>
      </c>
      <c r="V150" s="29">
        <v>5600</v>
      </c>
      <c r="W150" s="29">
        <v>2781</v>
      </c>
      <c r="X150" s="29">
        <v>0</v>
      </c>
      <c r="Y150" s="29">
        <v>8381</v>
      </c>
      <c r="AA150" s="7" t="b">
        <f t="shared" si="9"/>
        <v>1</v>
      </c>
      <c r="AC150" s="34" t="str">
        <f>HYPERLINK("#일위대가_호표!A860","HT3220-03 →")</f>
        <v>HT3220-03 →</v>
      </c>
    </row>
    <row r="151" spans="1:29" ht="18.399999999999999" customHeight="1" x14ac:dyDescent="0.15">
      <c r="A151" s="11" t="s">
        <v>2089</v>
      </c>
      <c r="B151" s="2" t="s">
        <v>863</v>
      </c>
      <c r="C151" s="2">
        <v>1</v>
      </c>
      <c r="D151" s="2" t="s">
        <v>556</v>
      </c>
      <c r="E151" s="29">
        <f t="shared" si="8"/>
        <v>4881</v>
      </c>
      <c r="F151" s="29">
        <f>'일위대가_호표(신규)'!H910</f>
        <v>2100</v>
      </c>
      <c r="G151" s="29"/>
      <c r="H151" s="29">
        <f>'일위대가_호표(신규)'!J910</f>
        <v>2781</v>
      </c>
      <c r="I151" s="29"/>
      <c r="J151" s="29">
        <f>'일위대가_호표(신규)'!L910</f>
        <v>0</v>
      </c>
      <c r="K151" s="20" t="s">
        <v>2856</v>
      </c>
      <c r="L151" t="s">
        <v>2856</v>
      </c>
      <c r="M151" t="s">
        <v>2080</v>
      </c>
      <c r="N151" t="s">
        <v>1778</v>
      </c>
      <c r="V151" s="29">
        <v>2100</v>
      </c>
      <c r="W151" s="29">
        <v>2781</v>
      </c>
      <c r="X151" s="29">
        <v>0</v>
      </c>
      <c r="Y151" s="29">
        <v>4881</v>
      </c>
      <c r="AA151" s="7" t="b">
        <f t="shared" si="9"/>
        <v>1</v>
      </c>
      <c r="AC151" s="34" t="str">
        <f>HYPERLINK("#일위대가_호표!A865","HT3230-03 →")</f>
        <v>HT3230-03 →</v>
      </c>
    </row>
    <row r="152" spans="1:29" ht="18.399999999999999" customHeight="1" x14ac:dyDescent="0.15">
      <c r="A152" s="11" t="s">
        <v>877</v>
      </c>
      <c r="B152" s="2" t="s">
        <v>1407</v>
      </c>
      <c r="C152" s="2">
        <v>1</v>
      </c>
      <c r="D152" s="2" t="s">
        <v>556</v>
      </c>
      <c r="E152" s="29">
        <f t="shared" si="8"/>
        <v>18172</v>
      </c>
      <c r="F152" s="29">
        <f>'일위대가_호표(신규)'!H915</f>
        <v>14000</v>
      </c>
      <c r="G152" s="29"/>
      <c r="H152" s="29">
        <f>'일위대가_호표(신규)'!J915</f>
        <v>4172</v>
      </c>
      <c r="I152" s="29"/>
      <c r="J152" s="29">
        <f>'일위대가_호표(신규)'!L915</f>
        <v>0</v>
      </c>
      <c r="K152" s="20" t="s">
        <v>2856</v>
      </c>
      <c r="L152" t="s">
        <v>2856</v>
      </c>
      <c r="M152" t="s">
        <v>1589</v>
      </c>
      <c r="N152" t="s">
        <v>1778</v>
      </c>
      <c r="V152" s="29">
        <v>14000</v>
      </c>
      <c r="W152" s="29">
        <v>4172</v>
      </c>
      <c r="X152" s="29">
        <v>0</v>
      </c>
      <c r="Y152" s="29">
        <v>18172</v>
      </c>
      <c r="AA152" s="7" t="b">
        <f t="shared" si="9"/>
        <v>1</v>
      </c>
      <c r="AC152" s="34" t="str">
        <f>HYPERLINK("#일위대가_호표!A870","HT3300 →")</f>
        <v>HT3300 →</v>
      </c>
    </row>
    <row r="153" spans="1:29" ht="18.399999999999999" customHeight="1" x14ac:dyDescent="0.15">
      <c r="A153" s="11" t="s">
        <v>2800</v>
      </c>
      <c r="B153" s="2" t="s">
        <v>2393</v>
      </c>
      <c r="C153" s="2">
        <v>1</v>
      </c>
      <c r="D153" s="2" t="s">
        <v>556</v>
      </c>
      <c r="E153" s="29">
        <f t="shared" si="8"/>
        <v>10961</v>
      </c>
      <c r="F153" s="29">
        <f>'일위대가_호표(신규)'!H920</f>
        <v>5000</v>
      </c>
      <c r="G153" s="29"/>
      <c r="H153" s="29">
        <f>'일위대가_호표(신규)'!J920</f>
        <v>5961</v>
      </c>
      <c r="I153" s="29"/>
      <c r="J153" s="29">
        <f>'일위대가_호표(신규)'!L920</f>
        <v>0</v>
      </c>
      <c r="K153" s="20" t="s">
        <v>2856</v>
      </c>
      <c r="L153" t="s">
        <v>2856</v>
      </c>
      <c r="M153" t="s">
        <v>1959</v>
      </c>
      <c r="N153" t="s">
        <v>1778</v>
      </c>
      <c r="V153" s="29">
        <v>5000</v>
      </c>
      <c r="W153" s="29">
        <v>5961</v>
      </c>
      <c r="X153" s="29">
        <v>0</v>
      </c>
      <c r="Y153" s="29">
        <v>10961</v>
      </c>
      <c r="AA153" s="7" t="b">
        <f t="shared" si="9"/>
        <v>1</v>
      </c>
      <c r="AC153" s="34" t="str">
        <f>HYPERLINK("#일위대가_호표!A875","HT3320-03 →")</f>
        <v>HT3320-03 →</v>
      </c>
    </row>
    <row r="154" spans="1:29" ht="18.399999999999999" customHeight="1" x14ac:dyDescent="0.15">
      <c r="A154" s="11" t="s">
        <v>1883</v>
      </c>
      <c r="B154" s="2" t="s">
        <v>863</v>
      </c>
      <c r="C154" s="2">
        <v>1</v>
      </c>
      <c r="D154" s="2" t="s">
        <v>556</v>
      </c>
      <c r="E154" s="29">
        <f t="shared" si="8"/>
        <v>4981</v>
      </c>
      <c r="F154" s="29">
        <f>'일위대가_호표(신규)'!H925</f>
        <v>2200</v>
      </c>
      <c r="G154" s="29"/>
      <c r="H154" s="29">
        <f>'일위대가_호표(신규)'!J925</f>
        <v>2781</v>
      </c>
      <c r="I154" s="29"/>
      <c r="J154" s="29">
        <f>'일위대가_호표(신규)'!L925</f>
        <v>0</v>
      </c>
      <c r="K154" s="20" t="s">
        <v>2856</v>
      </c>
      <c r="L154" t="s">
        <v>2856</v>
      </c>
      <c r="M154" t="s">
        <v>339</v>
      </c>
      <c r="N154" t="s">
        <v>1778</v>
      </c>
      <c r="V154" s="29">
        <v>2200</v>
      </c>
      <c r="W154" s="29">
        <v>2781</v>
      </c>
      <c r="X154" s="29">
        <v>0</v>
      </c>
      <c r="Y154" s="29">
        <v>4981</v>
      </c>
      <c r="AA154" s="7" t="b">
        <f t="shared" si="9"/>
        <v>1</v>
      </c>
      <c r="AC154" s="34" t="str">
        <f>HYPERLINK("#일위대가_호표!A880","HT3330-03 →")</f>
        <v>HT3330-03 →</v>
      </c>
    </row>
    <row r="155" spans="1:29" ht="18.399999999999999" customHeight="1" x14ac:dyDescent="0.15">
      <c r="A155" s="11" t="s">
        <v>2818</v>
      </c>
      <c r="B155" s="2" t="s">
        <v>863</v>
      </c>
      <c r="C155" s="2">
        <v>1</v>
      </c>
      <c r="D155" s="2" t="s">
        <v>556</v>
      </c>
      <c r="E155" s="29">
        <f t="shared" si="8"/>
        <v>4681</v>
      </c>
      <c r="F155" s="29">
        <f>'일위대가_호표(신규)'!H930</f>
        <v>1900</v>
      </c>
      <c r="G155" s="29"/>
      <c r="H155" s="29">
        <f>'일위대가_호표(신규)'!J930</f>
        <v>2781</v>
      </c>
      <c r="I155" s="29"/>
      <c r="J155" s="29">
        <f>'일위대가_호표(신규)'!L930</f>
        <v>0</v>
      </c>
      <c r="K155" s="20" t="s">
        <v>2856</v>
      </c>
      <c r="L155" t="s">
        <v>2856</v>
      </c>
      <c r="M155" t="s">
        <v>165</v>
      </c>
      <c r="N155" t="s">
        <v>1778</v>
      </c>
      <c r="V155" s="29">
        <v>1900</v>
      </c>
      <c r="W155" s="29">
        <v>2781</v>
      </c>
      <c r="X155" s="29">
        <v>0</v>
      </c>
      <c r="Y155" s="29">
        <v>4681</v>
      </c>
      <c r="AA155" s="7" t="b">
        <f t="shared" si="9"/>
        <v>1</v>
      </c>
      <c r="AC155" s="34" t="str">
        <f>HYPERLINK("#일위대가_호표!A885","HT3340-03 →")</f>
        <v>HT3340-03 →</v>
      </c>
    </row>
    <row r="156" spans="1:29" ht="18.399999999999999" customHeight="1" x14ac:dyDescent="0.15">
      <c r="A156" s="11" t="s">
        <v>652</v>
      </c>
      <c r="B156" s="2" t="s">
        <v>497</v>
      </c>
      <c r="C156" s="2">
        <v>1</v>
      </c>
      <c r="D156" s="2" t="s">
        <v>556</v>
      </c>
      <c r="E156" s="29">
        <f t="shared" si="8"/>
        <v>6272</v>
      </c>
      <c r="F156" s="29">
        <f>'일위대가_호표(신규)'!H935</f>
        <v>2100</v>
      </c>
      <c r="G156" s="29"/>
      <c r="H156" s="29">
        <f>'일위대가_호표(신규)'!J935</f>
        <v>4172</v>
      </c>
      <c r="I156" s="29"/>
      <c r="J156" s="29">
        <f>'일위대가_호표(신규)'!L935</f>
        <v>0</v>
      </c>
      <c r="K156" s="20" t="s">
        <v>2856</v>
      </c>
      <c r="L156" t="s">
        <v>2856</v>
      </c>
      <c r="M156" t="s">
        <v>607</v>
      </c>
      <c r="N156" t="s">
        <v>1778</v>
      </c>
      <c r="V156" s="29">
        <v>2100</v>
      </c>
      <c r="W156" s="29">
        <v>4172</v>
      </c>
      <c r="X156" s="29">
        <v>0</v>
      </c>
      <c r="Y156" s="29">
        <v>6272</v>
      </c>
      <c r="AA156" s="7" t="b">
        <f t="shared" si="9"/>
        <v>1</v>
      </c>
      <c r="AC156" s="34" t="str">
        <f>HYPERLINK("#일위대가_호표!A890","HT3350-08 →")</f>
        <v>HT3350-08 →</v>
      </c>
    </row>
    <row r="157" spans="1:29" ht="18.399999999999999" customHeight="1" x14ac:dyDescent="0.15">
      <c r="A157" s="11" t="s">
        <v>2777</v>
      </c>
      <c r="B157" s="2" t="s">
        <v>497</v>
      </c>
      <c r="C157" s="2">
        <v>1</v>
      </c>
      <c r="D157" s="2" t="s">
        <v>556</v>
      </c>
      <c r="E157" s="29">
        <f t="shared" si="8"/>
        <v>6272</v>
      </c>
      <c r="F157" s="29">
        <f>'일위대가_호표(신규)'!H940</f>
        <v>2100</v>
      </c>
      <c r="G157" s="29"/>
      <c r="H157" s="29">
        <f>'일위대가_호표(신규)'!J940</f>
        <v>4172</v>
      </c>
      <c r="I157" s="29"/>
      <c r="J157" s="29">
        <f>'일위대가_호표(신규)'!L940</f>
        <v>0</v>
      </c>
      <c r="K157" s="20" t="s">
        <v>2856</v>
      </c>
      <c r="L157" t="s">
        <v>2856</v>
      </c>
      <c r="M157" t="s">
        <v>2580</v>
      </c>
      <c r="N157" t="s">
        <v>1778</v>
      </c>
      <c r="V157" s="29">
        <v>2100</v>
      </c>
      <c r="W157" s="29">
        <v>4172</v>
      </c>
      <c r="X157" s="29">
        <v>0</v>
      </c>
      <c r="Y157" s="29">
        <v>6272</v>
      </c>
      <c r="AA157" s="7" t="b">
        <f t="shared" si="9"/>
        <v>1</v>
      </c>
      <c r="AC157" s="34" t="str">
        <f>HYPERLINK("#일위대가_호표!A895","HT3360-08 →")</f>
        <v>HT3360-08 →</v>
      </c>
    </row>
    <row r="158" spans="1:29" ht="18.399999999999999" customHeight="1" x14ac:dyDescent="0.15">
      <c r="A158" s="11" t="s">
        <v>2829</v>
      </c>
      <c r="B158" s="2" t="s">
        <v>747</v>
      </c>
      <c r="C158" s="2">
        <v>1</v>
      </c>
      <c r="D158" s="2" t="s">
        <v>203</v>
      </c>
      <c r="E158" s="29">
        <f t="shared" si="8"/>
        <v>5309</v>
      </c>
      <c r="F158" s="29">
        <f>'일위대가_호표(신규)'!H945</f>
        <v>5000</v>
      </c>
      <c r="G158" s="29"/>
      <c r="H158" s="29">
        <f>'일위대가_호표(신규)'!J945</f>
        <v>309</v>
      </c>
      <c r="I158" s="29"/>
      <c r="J158" s="29">
        <f>'일위대가_호표(신규)'!L945</f>
        <v>0</v>
      </c>
      <c r="K158" s="20" t="s">
        <v>2856</v>
      </c>
      <c r="L158" t="s">
        <v>2856</v>
      </c>
      <c r="M158" t="s">
        <v>222</v>
      </c>
      <c r="N158" t="s">
        <v>1778</v>
      </c>
      <c r="V158" s="29">
        <v>5000</v>
      </c>
      <c r="W158" s="29">
        <v>309</v>
      </c>
      <c r="X158" s="29">
        <v>0</v>
      </c>
      <c r="Y158" s="29">
        <v>5309</v>
      </c>
      <c r="AA158" s="7" t="b">
        <f t="shared" si="9"/>
        <v>1</v>
      </c>
      <c r="AC158" s="34" t="str">
        <f>HYPERLINK("#일위대가_호표!A900","HT4830 →")</f>
        <v>HT4830 →</v>
      </c>
    </row>
    <row r="159" spans="1:29" ht="18.399999999999999" customHeight="1" x14ac:dyDescent="0.15">
      <c r="A159" s="11" t="s">
        <v>1037</v>
      </c>
      <c r="B159" s="2" t="s">
        <v>1603</v>
      </c>
      <c r="C159" s="2">
        <v>1</v>
      </c>
      <c r="D159" s="2" t="s">
        <v>203</v>
      </c>
      <c r="E159" s="29">
        <f t="shared" si="8"/>
        <v>1809</v>
      </c>
      <c r="F159" s="29">
        <f>'일위대가_호표(신규)'!H950</f>
        <v>1500</v>
      </c>
      <c r="G159" s="29"/>
      <c r="H159" s="29">
        <f>'일위대가_호표(신규)'!J950</f>
        <v>309</v>
      </c>
      <c r="I159" s="29"/>
      <c r="J159" s="29">
        <f>'일위대가_호표(신규)'!L950</f>
        <v>0</v>
      </c>
      <c r="K159" s="20" t="s">
        <v>2856</v>
      </c>
      <c r="L159" t="s">
        <v>2856</v>
      </c>
      <c r="M159" t="s">
        <v>1972</v>
      </c>
      <c r="N159" t="s">
        <v>1778</v>
      </c>
      <c r="V159" s="29">
        <v>1500</v>
      </c>
      <c r="W159" s="29">
        <v>309</v>
      </c>
      <c r="X159" s="29">
        <v>0</v>
      </c>
      <c r="Y159" s="29">
        <v>1809</v>
      </c>
      <c r="AA159" s="7" t="b">
        <f t="shared" si="9"/>
        <v>1</v>
      </c>
      <c r="AC159" s="34" t="str">
        <f>HYPERLINK("#일위대가_호표!A905","HT54905 →")</f>
        <v>HT54905 →</v>
      </c>
    </row>
    <row r="160" spans="1:29" ht="18.399999999999999" customHeight="1" x14ac:dyDescent="0.15">
      <c r="A160" s="11" t="s">
        <v>2122</v>
      </c>
      <c r="B160" s="2" t="s">
        <v>590</v>
      </c>
      <c r="C160" s="2">
        <v>1</v>
      </c>
      <c r="D160" s="2" t="s">
        <v>203</v>
      </c>
      <c r="E160" s="29">
        <f t="shared" si="8"/>
        <v>4309</v>
      </c>
      <c r="F160" s="29">
        <f>'일위대가_호표(신규)'!H955</f>
        <v>4000</v>
      </c>
      <c r="G160" s="29"/>
      <c r="H160" s="29">
        <f>'일위대가_호표(신규)'!J955</f>
        <v>309</v>
      </c>
      <c r="I160" s="29"/>
      <c r="J160" s="29">
        <f>'일위대가_호표(신규)'!L955</f>
        <v>0</v>
      </c>
      <c r="K160" s="20" t="s">
        <v>2856</v>
      </c>
      <c r="L160" t="s">
        <v>2856</v>
      </c>
      <c r="M160" t="s">
        <v>1412</v>
      </c>
      <c r="N160" t="s">
        <v>1778</v>
      </c>
      <c r="V160" s="29">
        <v>4000</v>
      </c>
      <c r="W160" s="29">
        <v>309</v>
      </c>
      <c r="X160" s="29">
        <v>0</v>
      </c>
      <c r="Y160" s="29">
        <v>4309</v>
      </c>
      <c r="AA160" s="7" t="b">
        <f t="shared" si="9"/>
        <v>1</v>
      </c>
      <c r="AC160" s="34" t="str">
        <f>HYPERLINK("#일위대가_호표!A910","HT4981 →")</f>
        <v>HT4981 →</v>
      </c>
    </row>
    <row r="161" spans="1:29" ht="18.399999999999999" customHeight="1" x14ac:dyDescent="0.15">
      <c r="A161" s="11" t="s">
        <v>1903</v>
      </c>
      <c r="B161" s="2" t="s">
        <v>763</v>
      </c>
      <c r="C161" s="2">
        <v>1</v>
      </c>
      <c r="D161" s="2" t="s">
        <v>203</v>
      </c>
      <c r="E161" s="29">
        <f t="shared" si="8"/>
        <v>4309</v>
      </c>
      <c r="F161" s="29">
        <f>'일위대가_호표(신규)'!H960</f>
        <v>4000</v>
      </c>
      <c r="G161" s="29"/>
      <c r="H161" s="29">
        <f>'일위대가_호표(신규)'!J960</f>
        <v>309</v>
      </c>
      <c r="I161" s="29"/>
      <c r="J161" s="29">
        <f>'일위대가_호표(신규)'!L960</f>
        <v>0</v>
      </c>
      <c r="K161" s="20" t="s">
        <v>2856</v>
      </c>
      <c r="L161" t="s">
        <v>2856</v>
      </c>
      <c r="M161" t="s">
        <v>927</v>
      </c>
      <c r="N161" t="s">
        <v>1778</v>
      </c>
      <c r="V161" s="29">
        <v>4000</v>
      </c>
      <c r="W161" s="29">
        <v>309</v>
      </c>
      <c r="X161" s="29">
        <v>0</v>
      </c>
      <c r="Y161" s="29">
        <v>4309</v>
      </c>
      <c r="AA161" s="7" t="b">
        <f t="shared" si="9"/>
        <v>1</v>
      </c>
      <c r="AC161" s="34" t="str">
        <f>HYPERLINK("#일위대가_호표!A915","HT4983 →")</f>
        <v>HT4983 →</v>
      </c>
    </row>
    <row r="162" spans="1:29" ht="18.399999999999999" customHeight="1" x14ac:dyDescent="0.15">
      <c r="A162" s="11" t="s">
        <v>1384</v>
      </c>
      <c r="B162" s="2" t="s">
        <v>2575</v>
      </c>
      <c r="C162" s="2">
        <v>1</v>
      </c>
      <c r="D162" s="2" t="s">
        <v>203</v>
      </c>
      <c r="E162" s="29">
        <f t="shared" si="8"/>
        <v>809</v>
      </c>
      <c r="F162" s="29">
        <f>'일위대가_호표(신규)'!H965</f>
        <v>500</v>
      </c>
      <c r="G162" s="29"/>
      <c r="H162" s="29">
        <f>'일위대가_호표(신규)'!J965</f>
        <v>309</v>
      </c>
      <c r="I162" s="29"/>
      <c r="J162" s="29">
        <f>'일위대가_호표(신규)'!L965</f>
        <v>0</v>
      </c>
      <c r="K162" s="20" t="s">
        <v>2856</v>
      </c>
      <c r="L162" t="s">
        <v>2856</v>
      </c>
      <c r="M162" t="s">
        <v>1126</v>
      </c>
      <c r="N162" t="s">
        <v>1778</v>
      </c>
      <c r="V162" s="29">
        <v>500</v>
      </c>
      <c r="W162" s="29">
        <v>309</v>
      </c>
      <c r="X162" s="29">
        <v>0</v>
      </c>
      <c r="Y162" s="29">
        <v>809</v>
      </c>
      <c r="AA162" s="7" t="b">
        <f t="shared" si="9"/>
        <v>1</v>
      </c>
      <c r="AC162" s="34" t="str">
        <f>HYPERLINK("#일위대가_호표!A920","HT5200 →")</f>
        <v>HT5200 →</v>
      </c>
    </row>
    <row r="163" spans="1:29" ht="18.399999999999999" customHeight="1" x14ac:dyDescent="0.15">
      <c r="A163" s="11" t="s">
        <v>2519</v>
      </c>
      <c r="B163" s="2" t="s">
        <v>2796</v>
      </c>
      <c r="C163" s="2">
        <v>1</v>
      </c>
      <c r="D163" s="2" t="s">
        <v>203</v>
      </c>
      <c r="E163" s="29">
        <f t="shared" ref="E163:E194" si="10">F163+H163+J163</f>
        <v>5309</v>
      </c>
      <c r="F163" s="29">
        <f>'일위대가_호표(신규)'!H970</f>
        <v>5000</v>
      </c>
      <c r="G163" s="29"/>
      <c r="H163" s="29">
        <f>'일위대가_호표(신규)'!J970</f>
        <v>309</v>
      </c>
      <c r="I163" s="29"/>
      <c r="J163" s="29">
        <f>'일위대가_호표(신규)'!L970</f>
        <v>0</v>
      </c>
      <c r="K163" s="20" t="s">
        <v>2856</v>
      </c>
      <c r="L163" t="s">
        <v>2856</v>
      </c>
      <c r="M163" t="s">
        <v>2358</v>
      </c>
      <c r="N163" t="s">
        <v>1778</v>
      </c>
      <c r="V163" s="29">
        <v>5000</v>
      </c>
      <c r="W163" s="29">
        <v>309</v>
      </c>
      <c r="X163" s="29">
        <v>0</v>
      </c>
      <c r="Y163" s="29">
        <v>5309</v>
      </c>
      <c r="AA163" s="7" t="b">
        <f t="shared" ref="AA163:AA194" si="11">EXACT($E163,$Y163)</f>
        <v>1</v>
      </c>
      <c r="AC163" s="34" t="str">
        <f>HYPERLINK("#일위대가_호표!A925","HT4840 →")</f>
        <v>HT4840 →</v>
      </c>
    </row>
    <row r="164" spans="1:29" ht="18.399999999999999" customHeight="1" x14ac:dyDescent="0.15">
      <c r="A164" s="11" t="s">
        <v>2754</v>
      </c>
      <c r="B164" s="2" t="s">
        <v>590</v>
      </c>
      <c r="C164" s="2">
        <v>1</v>
      </c>
      <c r="D164" s="2" t="s">
        <v>203</v>
      </c>
      <c r="E164" s="29">
        <f t="shared" si="10"/>
        <v>3309</v>
      </c>
      <c r="F164" s="29">
        <f>'일위대가_호표(신규)'!H975</f>
        <v>3000</v>
      </c>
      <c r="G164" s="29"/>
      <c r="H164" s="29">
        <f>'일위대가_호표(신규)'!J975</f>
        <v>309</v>
      </c>
      <c r="I164" s="29"/>
      <c r="J164" s="29">
        <f>'일위대가_호표(신규)'!L975</f>
        <v>0</v>
      </c>
      <c r="K164" s="20" t="s">
        <v>2856</v>
      </c>
      <c r="L164" t="s">
        <v>2856</v>
      </c>
      <c r="M164" t="s">
        <v>119</v>
      </c>
      <c r="N164" t="s">
        <v>1778</v>
      </c>
      <c r="V164" s="29">
        <v>3000</v>
      </c>
      <c r="W164" s="29">
        <v>309</v>
      </c>
      <c r="X164" s="29">
        <v>0</v>
      </c>
      <c r="Y164" s="29">
        <v>3309</v>
      </c>
      <c r="AA164" s="7" t="b">
        <f t="shared" si="11"/>
        <v>1</v>
      </c>
      <c r="AC164" s="34" t="str">
        <f>HYPERLINK("#일위대가_호표!A930","HT54906 →")</f>
        <v>HT54906 →</v>
      </c>
    </row>
    <row r="165" spans="1:29" ht="18.399999999999999" customHeight="1" x14ac:dyDescent="0.15">
      <c r="A165" s="11" t="s">
        <v>49</v>
      </c>
      <c r="B165" s="2" t="s">
        <v>1571</v>
      </c>
      <c r="C165" s="2">
        <v>1</v>
      </c>
      <c r="D165" s="2" t="s">
        <v>203</v>
      </c>
      <c r="E165" s="29">
        <f t="shared" si="10"/>
        <v>1309</v>
      </c>
      <c r="F165" s="29">
        <f>'일위대가_호표(신규)'!H980</f>
        <v>1000</v>
      </c>
      <c r="G165" s="29"/>
      <c r="H165" s="29">
        <f>'일위대가_호표(신규)'!J980</f>
        <v>309</v>
      </c>
      <c r="I165" s="29"/>
      <c r="J165" s="29">
        <f>'일위대가_호표(신규)'!L980</f>
        <v>0</v>
      </c>
      <c r="K165" s="20" t="s">
        <v>2856</v>
      </c>
      <c r="L165" t="s">
        <v>2856</v>
      </c>
      <c r="M165" t="s">
        <v>2104</v>
      </c>
      <c r="N165" t="s">
        <v>1778</v>
      </c>
      <c r="V165" s="29">
        <v>1000</v>
      </c>
      <c r="W165" s="29">
        <v>309</v>
      </c>
      <c r="X165" s="29">
        <v>0</v>
      </c>
      <c r="Y165" s="29">
        <v>1309</v>
      </c>
      <c r="AA165" s="7" t="b">
        <f t="shared" si="11"/>
        <v>1</v>
      </c>
      <c r="AC165" s="34" t="str">
        <f>HYPERLINK("#일위대가_호표!A935","HT5160 →")</f>
        <v>HT5160 →</v>
      </c>
    </row>
    <row r="166" spans="1:29" ht="18.399999999999999" customHeight="1" x14ac:dyDescent="0.15">
      <c r="A166" s="11" t="s">
        <v>1888</v>
      </c>
      <c r="B166" s="2" t="s">
        <v>590</v>
      </c>
      <c r="C166" s="2">
        <v>1</v>
      </c>
      <c r="D166" s="2" t="s">
        <v>203</v>
      </c>
      <c r="E166" s="29">
        <f t="shared" si="10"/>
        <v>2309</v>
      </c>
      <c r="F166" s="29">
        <f>'일위대가_호표(신규)'!H985</f>
        <v>2000</v>
      </c>
      <c r="G166" s="29"/>
      <c r="H166" s="29">
        <f>'일위대가_호표(신규)'!J985</f>
        <v>309</v>
      </c>
      <c r="I166" s="29"/>
      <c r="J166" s="29">
        <f>'일위대가_호표(신규)'!L985</f>
        <v>0</v>
      </c>
      <c r="K166" s="20" t="s">
        <v>2856</v>
      </c>
      <c r="L166" t="s">
        <v>2856</v>
      </c>
      <c r="M166" t="s">
        <v>841</v>
      </c>
      <c r="N166" t="s">
        <v>1778</v>
      </c>
      <c r="V166" s="29">
        <v>2000</v>
      </c>
      <c r="W166" s="29">
        <v>309</v>
      </c>
      <c r="X166" s="29">
        <v>0</v>
      </c>
      <c r="Y166" s="29">
        <v>2309</v>
      </c>
      <c r="AA166" s="7" t="b">
        <f t="shared" si="11"/>
        <v>1</v>
      </c>
      <c r="AC166" s="34" t="str">
        <f>HYPERLINK("#일위대가_호표!A940","HT5242 →")</f>
        <v>HT5242 →</v>
      </c>
    </row>
    <row r="167" spans="1:29" ht="18.399999999999999" customHeight="1" x14ac:dyDescent="0.15">
      <c r="A167" s="11" t="s">
        <v>1708</v>
      </c>
      <c r="B167" s="2" t="s">
        <v>1811</v>
      </c>
      <c r="C167" s="2">
        <v>1</v>
      </c>
      <c r="D167" s="2" t="s">
        <v>203</v>
      </c>
      <c r="E167" s="29">
        <f t="shared" si="10"/>
        <v>2309</v>
      </c>
      <c r="F167" s="29">
        <f>'일위대가_호표(신규)'!H990</f>
        <v>2000</v>
      </c>
      <c r="G167" s="29"/>
      <c r="H167" s="29">
        <f>'일위대가_호표(신규)'!J990</f>
        <v>309</v>
      </c>
      <c r="I167" s="29"/>
      <c r="J167" s="29">
        <f>'일위대가_호표(신규)'!L990</f>
        <v>0</v>
      </c>
      <c r="K167" s="20" t="s">
        <v>2856</v>
      </c>
      <c r="L167" t="s">
        <v>2856</v>
      </c>
      <c r="M167" t="s">
        <v>2438</v>
      </c>
      <c r="N167" t="s">
        <v>1778</v>
      </c>
      <c r="V167" s="29">
        <v>2000</v>
      </c>
      <c r="W167" s="29">
        <v>309</v>
      </c>
      <c r="X167" s="29">
        <v>0</v>
      </c>
      <c r="Y167" s="29">
        <v>2309</v>
      </c>
      <c r="AA167" s="7" t="b">
        <f t="shared" si="11"/>
        <v>1</v>
      </c>
      <c r="AC167" s="34" t="str">
        <f>HYPERLINK("#일위대가_호표!A945","HT5243 →")</f>
        <v>HT5243 →</v>
      </c>
    </row>
    <row r="168" spans="1:29" ht="18.399999999999999" customHeight="1" x14ac:dyDescent="0.15">
      <c r="A168" s="11" t="s">
        <v>2356</v>
      </c>
      <c r="B168" s="2" t="s">
        <v>2465</v>
      </c>
      <c r="C168" s="2">
        <v>1</v>
      </c>
      <c r="D168" s="2" t="s">
        <v>203</v>
      </c>
      <c r="E168" s="29">
        <f t="shared" si="10"/>
        <v>1509</v>
      </c>
      <c r="F168" s="29">
        <f>'일위대가_호표(신규)'!H995</f>
        <v>1200</v>
      </c>
      <c r="G168" s="29"/>
      <c r="H168" s="29">
        <f>'일위대가_호표(신규)'!J995</f>
        <v>309</v>
      </c>
      <c r="I168" s="29"/>
      <c r="J168" s="29">
        <f>'일위대가_호표(신규)'!L995</f>
        <v>0</v>
      </c>
      <c r="K168" s="20" t="s">
        <v>2856</v>
      </c>
      <c r="L168" t="s">
        <v>2856</v>
      </c>
      <c r="M168" t="s">
        <v>2533</v>
      </c>
      <c r="N168" t="s">
        <v>1778</v>
      </c>
      <c r="V168" s="29">
        <v>1200</v>
      </c>
      <c r="W168" s="29">
        <v>309</v>
      </c>
      <c r="X168" s="29">
        <v>0</v>
      </c>
      <c r="Y168" s="29">
        <v>1509</v>
      </c>
      <c r="AA168" s="7" t="b">
        <f t="shared" si="11"/>
        <v>1</v>
      </c>
      <c r="AC168" s="34" t="str">
        <f>HYPERLINK("#일위대가_호표!A950","HT4780 →")</f>
        <v>HT4780 →</v>
      </c>
    </row>
    <row r="169" spans="1:29" ht="18.399999999999999" customHeight="1" x14ac:dyDescent="0.15">
      <c r="A169" s="11" t="s">
        <v>853</v>
      </c>
      <c r="B169" s="2" t="s">
        <v>590</v>
      </c>
      <c r="C169" s="2">
        <v>1</v>
      </c>
      <c r="D169" s="2" t="s">
        <v>203</v>
      </c>
      <c r="E169" s="29">
        <f t="shared" si="10"/>
        <v>8309</v>
      </c>
      <c r="F169" s="29">
        <f>'일위대가_호표(신규)'!H1000</f>
        <v>8000</v>
      </c>
      <c r="G169" s="29"/>
      <c r="H169" s="29">
        <f>'일위대가_호표(신규)'!J1000</f>
        <v>309</v>
      </c>
      <c r="I169" s="29"/>
      <c r="J169" s="29">
        <f>'일위대가_호표(신규)'!L1000</f>
        <v>0</v>
      </c>
      <c r="K169" s="20" t="s">
        <v>2856</v>
      </c>
      <c r="L169" t="s">
        <v>2856</v>
      </c>
      <c r="M169" t="s">
        <v>582</v>
      </c>
      <c r="N169" t="s">
        <v>1778</v>
      </c>
      <c r="V169" s="29">
        <v>8000</v>
      </c>
      <c r="W169" s="29">
        <v>309</v>
      </c>
      <c r="X169" s="29">
        <v>0</v>
      </c>
      <c r="Y169" s="29">
        <v>8309</v>
      </c>
      <c r="AA169" s="7" t="b">
        <f t="shared" si="11"/>
        <v>1</v>
      </c>
      <c r="AC169" s="34" t="str">
        <f>HYPERLINK("#일위대가_호표!A955","HT5271 →")</f>
        <v>HT5271 →</v>
      </c>
    </row>
    <row r="170" spans="1:29" ht="18.399999999999999" customHeight="1" x14ac:dyDescent="0.15">
      <c r="A170" s="11" t="s">
        <v>1520</v>
      </c>
      <c r="B170" s="2" t="s">
        <v>590</v>
      </c>
      <c r="C170" s="2">
        <v>1</v>
      </c>
      <c r="D170" s="2" t="s">
        <v>203</v>
      </c>
      <c r="E170" s="29">
        <f t="shared" si="10"/>
        <v>3309</v>
      </c>
      <c r="F170" s="29">
        <f>'일위대가_호표(신규)'!H1005</f>
        <v>3000</v>
      </c>
      <c r="G170" s="29"/>
      <c r="H170" s="29">
        <f>'일위대가_호표(신규)'!J1005</f>
        <v>309</v>
      </c>
      <c r="I170" s="29"/>
      <c r="J170" s="29">
        <f>'일위대가_호표(신규)'!L1005</f>
        <v>0</v>
      </c>
      <c r="K170" s="20" t="s">
        <v>2856</v>
      </c>
      <c r="L170" t="s">
        <v>2856</v>
      </c>
      <c r="M170" t="s">
        <v>1747</v>
      </c>
      <c r="N170" t="s">
        <v>1778</v>
      </c>
      <c r="V170" s="29">
        <v>3000</v>
      </c>
      <c r="W170" s="29">
        <v>309</v>
      </c>
      <c r="X170" s="29">
        <v>0</v>
      </c>
      <c r="Y170" s="29">
        <v>3309</v>
      </c>
      <c r="AA170" s="7" t="b">
        <f t="shared" si="11"/>
        <v>1</v>
      </c>
      <c r="AC170" s="34" t="str">
        <f>HYPERLINK("#일위대가_호표!A960","HT54907 →")</f>
        <v>HT54907 →</v>
      </c>
    </row>
    <row r="171" spans="1:29" ht="18.399999999999999" customHeight="1" x14ac:dyDescent="0.15">
      <c r="A171" s="11" t="s">
        <v>872</v>
      </c>
      <c r="B171" s="2" t="s">
        <v>763</v>
      </c>
      <c r="C171" s="2">
        <v>1</v>
      </c>
      <c r="D171" s="2" t="s">
        <v>203</v>
      </c>
      <c r="E171" s="29">
        <f t="shared" si="10"/>
        <v>5309</v>
      </c>
      <c r="F171" s="29">
        <f>'일위대가_호표(신규)'!H1010</f>
        <v>5000</v>
      </c>
      <c r="G171" s="29"/>
      <c r="H171" s="29">
        <f>'일위대가_호표(신규)'!J1010</f>
        <v>309</v>
      </c>
      <c r="I171" s="29"/>
      <c r="J171" s="29">
        <f>'일위대가_호표(신규)'!L1010</f>
        <v>0</v>
      </c>
      <c r="K171" s="20" t="s">
        <v>2856</v>
      </c>
      <c r="L171" t="s">
        <v>2856</v>
      </c>
      <c r="M171" t="s">
        <v>1665</v>
      </c>
      <c r="N171" t="s">
        <v>1778</v>
      </c>
      <c r="V171" s="29">
        <v>5000</v>
      </c>
      <c r="W171" s="29">
        <v>309</v>
      </c>
      <c r="X171" s="29">
        <v>0</v>
      </c>
      <c r="Y171" s="29">
        <v>5309</v>
      </c>
      <c r="AA171" s="7" t="b">
        <f t="shared" si="11"/>
        <v>1</v>
      </c>
      <c r="AC171" s="34" t="str">
        <f>HYPERLINK("#일위대가_호표!A965","HT4810 →")</f>
        <v>HT4810 →</v>
      </c>
    </row>
    <row r="172" spans="1:29" ht="18.399999999999999" customHeight="1" x14ac:dyDescent="0.15">
      <c r="A172" s="11" t="s">
        <v>1608</v>
      </c>
      <c r="B172" s="2" t="s">
        <v>1910</v>
      </c>
      <c r="C172" s="2">
        <v>1</v>
      </c>
      <c r="D172" s="2" t="s">
        <v>1202</v>
      </c>
      <c r="E172" s="29">
        <f t="shared" si="10"/>
        <v>11338</v>
      </c>
      <c r="F172" s="29">
        <f>'일위대가_호표(신규)'!H1015</f>
        <v>5400</v>
      </c>
      <c r="G172" s="29"/>
      <c r="H172" s="29">
        <f>'일위대가_호표(신규)'!J1015</f>
        <v>5938</v>
      </c>
      <c r="I172" s="29"/>
      <c r="J172" s="29">
        <f>'일위대가_호표(신규)'!L1015</f>
        <v>0</v>
      </c>
      <c r="K172" s="20" t="s">
        <v>2856</v>
      </c>
      <c r="L172" t="s">
        <v>2856</v>
      </c>
      <c r="M172" t="s">
        <v>199</v>
      </c>
      <c r="N172" t="s">
        <v>1778</v>
      </c>
      <c r="V172" s="29">
        <v>5400</v>
      </c>
      <c r="W172" s="29">
        <v>5938</v>
      </c>
      <c r="X172" s="29">
        <v>0</v>
      </c>
      <c r="Y172" s="29">
        <v>11338</v>
      </c>
      <c r="AA172" s="7" t="b">
        <f t="shared" si="11"/>
        <v>1</v>
      </c>
      <c r="AC172" s="34" t="str">
        <f>HYPERLINK("#일위대가_호표!A970","NT0100 →")</f>
        <v>NT0100 →</v>
      </c>
    </row>
    <row r="173" spans="1:29" ht="18.399999999999999" customHeight="1" x14ac:dyDescent="0.15">
      <c r="A173" s="11" t="s">
        <v>224</v>
      </c>
      <c r="B173" s="2" t="s">
        <v>1479</v>
      </c>
      <c r="C173" s="2">
        <v>1</v>
      </c>
      <c r="D173" s="2" t="s">
        <v>1796</v>
      </c>
      <c r="E173" s="29">
        <f t="shared" si="10"/>
        <v>40841</v>
      </c>
      <c r="F173" s="29">
        <f>'일위대가_호표(신규)'!H1019</f>
        <v>37500</v>
      </c>
      <c r="G173" s="29"/>
      <c r="H173" s="29">
        <f>'일위대가_호표(신규)'!J1019</f>
        <v>3341</v>
      </c>
      <c r="I173" s="29"/>
      <c r="J173" s="29">
        <f>'일위대가_호표(신규)'!L1019</f>
        <v>0</v>
      </c>
      <c r="K173" s="20" t="s">
        <v>2856</v>
      </c>
      <c r="L173" t="s">
        <v>2856</v>
      </c>
      <c r="M173" t="s">
        <v>1247</v>
      </c>
      <c r="N173" t="s">
        <v>1778</v>
      </c>
      <c r="V173" s="29">
        <v>37500</v>
      </c>
      <c r="W173" s="29">
        <v>3341</v>
      </c>
      <c r="X173" s="29">
        <v>0</v>
      </c>
      <c r="Y173" s="29">
        <v>40841</v>
      </c>
      <c r="AA173" s="7" t="b">
        <f t="shared" si="11"/>
        <v>1</v>
      </c>
      <c r="AC173" s="34" t="str">
        <f>HYPERLINK("#일위대가_호표!A974","NT9750 →")</f>
        <v>NT9750 →</v>
      </c>
    </row>
    <row r="174" spans="1:29" ht="18.399999999999999" customHeight="1" x14ac:dyDescent="0.15">
      <c r="A174" s="11" t="s">
        <v>993</v>
      </c>
      <c r="B174" s="2" t="s">
        <v>2226</v>
      </c>
      <c r="C174" s="2">
        <v>1</v>
      </c>
      <c r="D174" s="2" t="s">
        <v>1670</v>
      </c>
      <c r="E174" s="29">
        <f t="shared" si="10"/>
        <v>548875</v>
      </c>
      <c r="F174" s="68">
        <f>'일위대가_호표(신규)'!H1023</f>
        <v>462219</v>
      </c>
      <c r="G174" s="68"/>
      <c r="H174" s="68">
        <f>'일위대가_호표(신규)'!J1023</f>
        <v>75842</v>
      </c>
      <c r="I174" s="68"/>
      <c r="J174" s="68">
        <f>'일위대가_호표(신규)'!L1023</f>
        <v>10814</v>
      </c>
      <c r="K174" s="20" t="s">
        <v>2856</v>
      </c>
      <c r="L174" t="s">
        <v>2856</v>
      </c>
      <c r="M174" t="s">
        <v>1380</v>
      </c>
      <c r="N174" t="s">
        <v>1778</v>
      </c>
      <c r="V174" s="29">
        <v>462219</v>
      </c>
      <c r="W174" s="29">
        <v>75842</v>
      </c>
      <c r="X174" s="29">
        <v>7887</v>
      </c>
      <c r="Y174" s="29">
        <v>545948</v>
      </c>
      <c r="AA174" s="7" t="b">
        <f t="shared" si="11"/>
        <v>0</v>
      </c>
      <c r="AC174" s="34" t="str">
        <f>HYPERLINK("#일위대가_호표!A978","HW0109 →")</f>
        <v>HW0109 →</v>
      </c>
    </row>
    <row r="175" spans="1:29" ht="18.399999999999999" customHeight="1" x14ac:dyDescent="0.15">
      <c r="A175" s="11" t="s">
        <v>2439</v>
      </c>
      <c r="B175" s="2" t="s">
        <v>2856</v>
      </c>
      <c r="C175" s="2">
        <v>1</v>
      </c>
      <c r="D175" s="2" t="s">
        <v>1796</v>
      </c>
      <c r="E175" s="67">
        <f t="shared" si="10"/>
        <v>12039363</v>
      </c>
      <c r="F175" s="68">
        <f>'일위대가_호표(신규)'!H1034</f>
        <v>1395217</v>
      </c>
      <c r="G175" s="68"/>
      <c r="H175" s="68">
        <f>'일위대가_호표(신규)'!J1034</f>
        <v>6964470</v>
      </c>
      <c r="I175" s="68"/>
      <c r="J175" s="68">
        <f>'일위대가_호표(신규)'!L1034</f>
        <v>3679676</v>
      </c>
      <c r="K175" s="20" t="s">
        <v>2856</v>
      </c>
      <c r="L175" t="s">
        <v>2856</v>
      </c>
      <c r="M175" t="s">
        <v>1767</v>
      </c>
      <c r="N175" t="s">
        <v>1778</v>
      </c>
      <c r="V175" s="29">
        <v>1395217</v>
      </c>
      <c r="W175" s="29">
        <v>6964470</v>
      </c>
      <c r="X175" s="29">
        <v>263368</v>
      </c>
      <c r="Y175" s="29">
        <v>8623055</v>
      </c>
      <c r="AA175" s="7" t="b">
        <f t="shared" si="11"/>
        <v>0</v>
      </c>
      <c r="AC175" s="34" t="str">
        <f>HYPERLINK("#일위대가_호표!A989","HW0110 →")</f>
        <v>HW0110 →</v>
      </c>
    </row>
    <row r="176" spans="1:29" ht="18.399999999999999" customHeight="1" x14ac:dyDescent="0.15">
      <c r="A176" s="11" t="s">
        <v>1405</v>
      </c>
      <c r="B176" s="2" t="s">
        <v>23</v>
      </c>
      <c r="C176" s="2">
        <v>1</v>
      </c>
      <c r="D176" s="2" t="s">
        <v>1796</v>
      </c>
      <c r="E176" s="67">
        <f t="shared" si="10"/>
        <v>9576821</v>
      </c>
      <c r="F176" s="68">
        <f>'일위대가_호표(신규)'!H1047</f>
        <v>2386697</v>
      </c>
      <c r="G176" s="68"/>
      <c r="H176" s="68">
        <f>'일위대가_호표(신규)'!J1047</f>
        <v>6250093</v>
      </c>
      <c r="I176" s="68"/>
      <c r="J176" s="68">
        <f>'일위대가_호표(신규)'!L1047</f>
        <v>940031</v>
      </c>
      <c r="K176" s="20" t="s">
        <v>2856</v>
      </c>
      <c r="L176" t="s">
        <v>2856</v>
      </c>
      <c r="M176" t="s">
        <v>90</v>
      </c>
      <c r="N176" t="s">
        <v>1778</v>
      </c>
      <c r="V176" s="29">
        <v>2386697</v>
      </c>
      <c r="W176" s="29">
        <v>6250093</v>
      </c>
      <c r="X176" s="29">
        <v>105736</v>
      </c>
      <c r="Y176" s="29">
        <v>8742526</v>
      </c>
      <c r="AA176" s="7" t="b">
        <f t="shared" si="11"/>
        <v>0</v>
      </c>
      <c r="AC176" s="34" t="str">
        <f>HYPERLINK("#일위대가_호표!A1002","HW0111 →")</f>
        <v>HW0111 →</v>
      </c>
    </row>
    <row r="177" spans="1:29" ht="18.399999999999999" customHeight="1" x14ac:dyDescent="0.15">
      <c r="A177" s="11" t="s">
        <v>2191</v>
      </c>
      <c r="B177" s="2" t="s">
        <v>577</v>
      </c>
      <c r="C177" s="2">
        <v>1</v>
      </c>
      <c r="D177" s="2" t="s">
        <v>1796</v>
      </c>
      <c r="E177" s="67">
        <f t="shared" si="10"/>
        <v>5447375</v>
      </c>
      <c r="F177" s="68">
        <f>'일위대가_호표(신규)'!H1063</f>
        <v>1389821</v>
      </c>
      <c r="G177" s="68"/>
      <c r="H177" s="68">
        <f>'일위대가_호표(신규)'!J1063</f>
        <v>3545955</v>
      </c>
      <c r="I177" s="68"/>
      <c r="J177" s="68">
        <f>'일위대가_호표(신규)'!L1063</f>
        <v>511599</v>
      </c>
      <c r="K177" s="20" t="s">
        <v>2856</v>
      </c>
      <c r="L177" t="s">
        <v>2856</v>
      </c>
      <c r="M177" t="s">
        <v>1994</v>
      </c>
      <c r="N177" t="s">
        <v>1778</v>
      </c>
      <c r="V177" s="29">
        <v>1389821</v>
      </c>
      <c r="W177" s="29">
        <v>3545955</v>
      </c>
      <c r="X177" s="29">
        <v>62328</v>
      </c>
      <c r="Y177" s="29">
        <v>4998104</v>
      </c>
      <c r="AA177" s="7" t="b">
        <f t="shared" si="11"/>
        <v>0</v>
      </c>
      <c r="AC177" s="34" t="str">
        <f>HYPERLINK("#일위대가_호표!A1018","HW0112 →")</f>
        <v>HW0112 →</v>
      </c>
    </row>
    <row r="178" spans="1:29" ht="18.399999999999999" customHeight="1" x14ac:dyDescent="0.15">
      <c r="A178" s="11" t="s">
        <v>2091</v>
      </c>
      <c r="B178" s="2" t="s">
        <v>402</v>
      </c>
      <c r="C178" s="2">
        <v>1</v>
      </c>
      <c r="D178" s="2" t="s">
        <v>1796</v>
      </c>
      <c r="E178" s="67">
        <f t="shared" si="10"/>
        <v>3040546</v>
      </c>
      <c r="F178" s="68">
        <f>'일위대가_호표(신규)'!H1080</f>
        <v>759996</v>
      </c>
      <c r="G178" s="68"/>
      <c r="H178" s="68">
        <f>'일위대가_호표(신규)'!J1080</f>
        <v>1980591</v>
      </c>
      <c r="I178" s="68"/>
      <c r="J178" s="68">
        <f>'일위대가_호표(신규)'!L1080</f>
        <v>299959</v>
      </c>
      <c r="K178" s="20" t="s">
        <v>2856</v>
      </c>
      <c r="L178" t="s">
        <v>2856</v>
      </c>
      <c r="M178" t="s">
        <v>396</v>
      </c>
      <c r="N178" t="s">
        <v>1778</v>
      </c>
      <c r="V178" s="29">
        <v>759996</v>
      </c>
      <c r="W178" s="29">
        <v>1980591</v>
      </c>
      <c r="X178" s="29">
        <v>33692</v>
      </c>
      <c r="Y178" s="29">
        <v>2774279</v>
      </c>
      <c r="AA178" s="7" t="b">
        <f t="shared" si="11"/>
        <v>0</v>
      </c>
      <c r="AC178" s="34" t="str">
        <f>HYPERLINK("#일위대가_호표!A1035","HW0113 →")</f>
        <v>HW0113 →</v>
      </c>
    </row>
    <row r="179" spans="1:29" ht="18.399999999999999" customHeight="1" x14ac:dyDescent="0.15">
      <c r="A179" s="11" t="s">
        <v>1421</v>
      </c>
      <c r="B179" s="2" t="s">
        <v>897</v>
      </c>
      <c r="C179" s="2">
        <v>1</v>
      </c>
      <c r="D179" s="2" t="s">
        <v>1796</v>
      </c>
      <c r="E179" s="67">
        <f t="shared" si="10"/>
        <v>6029474</v>
      </c>
      <c r="F179" s="68">
        <f>'일위대가_호표(신규)'!H1096</f>
        <v>1529286</v>
      </c>
      <c r="G179" s="68"/>
      <c r="H179" s="68">
        <f>'일위대가_호표(신규)'!J1096</f>
        <v>3957592</v>
      </c>
      <c r="I179" s="68"/>
      <c r="J179" s="68">
        <f>'일위대가_호표(신규)'!L1096</f>
        <v>542596</v>
      </c>
      <c r="K179" s="20" t="s">
        <v>2856</v>
      </c>
      <c r="L179" t="s">
        <v>2856</v>
      </c>
      <c r="M179" t="s">
        <v>1504</v>
      </c>
      <c r="N179" t="s">
        <v>1778</v>
      </c>
      <c r="V179" s="29">
        <v>1529286</v>
      </c>
      <c r="W179" s="29">
        <v>3957592</v>
      </c>
      <c r="X179" s="29">
        <v>64738</v>
      </c>
      <c r="Y179" s="29">
        <v>5551616</v>
      </c>
      <c r="AA179" s="7" t="b">
        <f t="shared" si="11"/>
        <v>0</v>
      </c>
      <c r="AC179" s="34" t="str">
        <f>HYPERLINK("#일위대가_호표!A1051","HW0114 →")</f>
        <v>HW0114 →</v>
      </c>
    </row>
    <row r="180" spans="1:29" ht="18.399999999999999" customHeight="1" x14ac:dyDescent="0.15">
      <c r="A180" s="11" t="s">
        <v>2591</v>
      </c>
      <c r="B180" s="2" t="s">
        <v>171</v>
      </c>
      <c r="C180" s="2">
        <v>1</v>
      </c>
      <c r="D180" s="2" t="s">
        <v>760</v>
      </c>
      <c r="E180" s="29">
        <f t="shared" si="10"/>
        <v>395928</v>
      </c>
      <c r="F180" s="68">
        <f>'일위대가_호표(신규)'!H1112</f>
        <v>280202</v>
      </c>
      <c r="G180" s="68"/>
      <c r="H180" s="68">
        <f>'일위대가_호표(신규)'!J1112</f>
        <v>111174</v>
      </c>
      <c r="I180" s="68"/>
      <c r="J180" s="68">
        <f>'일위대가_호표(신규)'!L1112</f>
        <v>4552</v>
      </c>
      <c r="K180" s="20" t="s">
        <v>2856</v>
      </c>
      <c r="L180" t="s">
        <v>2856</v>
      </c>
      <c r="M180" t="s">
        <v>843</v>
      </c>
      <c r="N180" t="s">
        <v>1778</v>
      </c>
      <c r="V180" s="29">
        <v>280202</v>
      </c>
      <c r="W180" s="29">
        <v>111174</v>
      </c>
      <c r="X180" s="29">
        <v>51</v>
      </c>
      <c r="Y180" s="29">
        <v>391427</v>
      </c>
      <c r="AA180" s="7" t="b">
        <f t="shared" si="11"/>
        <v>0</v>
      </c>
      <c r="AC180" s="34" t="str">
        <f>HYPERLINK("#일위대가_호표!A1067","HW0009 →")</f>
        <v>HW0009 →</v>
      </c>
    </row>
    <row r="181" spans="1:29" ht="18.399999999999999" customHeight="1" x14ac:dyDescent="0.15">
      <c r="A181" s="11" t="s">
        <v>2473</v>
      </c>
      <c r="B181" s="2" t="s">
        <v>1937</v>
      </c>
      <c r="C181" s="2">
        <v>1</v>
      </c>
      <c r="D181" s="2" t="s">
        <v>760</v>
      </c>
      <c r="E181" s="29">
        <f t="shared" si="10"/>
        <v>299980</v>
      </c>
      <c r="F181" s="68">
        <f>'일위대가_호표(신규)'!H1118</f>
        <v>211723</v>
      </c>
      <c r="G181" s="68"/>
      <c r="H181" s="68">
        <f>'일위대가_호표(신규)'!J1118</f>
        <v>83705</v>
      </c>
      <c r="I181" s="68"/>
      <c r="J181" s="68">
        <f>'일위대가_호표(신규)'!L1118</f>
        <v>4552</v>
      </c>
      <c r="K181" s="20" t="s">
        <v>2856</v>
      </c>
      <c r="L181" t="s">
        <v>2856</v>
      </c>
      <c r="M181" t="s">
        <v>1892</v>
      </c>
      <c r="N181" t="s">
        <v>1778</v>
      </c>
      <c r="V181" s="29">
        <v>211723</v>
      </c>
      <c r="W181" s="29">
        <v>83705</v>
      </c>
      <c r="X181" s="29">
        <v>51</v>
      </c>
      <c r="Y181" s="29">
        <v>295479</v>
      </c>
      <c r="AA181" s="7" t="b">
        <f t="shared" si="11"/>
        <v>0</v>
      </c>
      <c r="AC181" s="34" t="str">
        <f>HYPERLINK("#일위대가_호표!A1073","HW0010 →")</f>
        <v>HW0010 →</v>
      </c>
    </row>
    <row r="182" spans="1:29" ht="18.399999999999999" customHeight="1" x14ac:dyDescent="0.15">
      <c r="A182" s="11" t="s">
        <v>573</v>
      </c>
      <c r="B182" s="2" t="s">
        <v>2047</v>
      </c>
      <c r="C182" s="2">
        <v>1</v>
      </c>
      <c r="D182" s="2" t="s">
        <v>2303</v>
      </c>
      <c r="E182" s="29">
        <f t="shared" si="10"/>
        <v>27787927</v>
      </c>
      <c r="F182" s="68">
        <f>'일위대가_호표(신규)'!H1124</f>
        <v>4818694</v>
      </c>
      <c r="G182" s="68"/>
      <c r="H182" s="68">
        <f>'일위대가_호표(신규)'!J1124</f>
        <v>19577202</v>
      </c>
      <c r="I182" s="68"/>
      <c r="J182" s="68">
        <f>'일위대가_호표(신규)'!L1124</f>
        <v>3392031</v>
      </c>
      <c r="K182" s="20" t="s">
        <v>2856</v>
      </c>
      <c r="L182" t="s">
        <v>2856</v>
      </c>
      <c r="M182" t="s">
        <v>663</v>
      </c>
      <c r="N182" t="s">
        <v>1778</v>
      </c>
      <c r="V182" s="29">
        <v>4818694</v>
      </c>
      <c r="W182" s="29">
        <v>19577202</v>
      </c>
      <c r="X182" s="29">
        <v>2963812</v>
      </c>
      <c r="Y182" s="29">
        <v>27359708</v>
      </c>
      <c r="AA182" s="7" t="b">
        <f t="shared" si="11"/>
        <v>0</v>
      </c>
      <c r="AC182" s="34" t="str">
        <f>HYPERLINK("#일위대가_호표!A1079","HW0117 →")</f>
        <v>HW0117 →</v>
      </c>
    </row>
    <row r="183" spans="1:29" ht="18.399999999999999" customHeight="1" x14ac:dyDescent="0.15">
      <c r="A183" s="11" t="s">
        <v>798</v>
      </c>
      <c r="B183" s="2" t="s">
        <v>2196</v>
      </c>
      <c r="C183" s="2">
        <v>1</v>
      </c>
      <c r="D183" s="2" t="s">
        <v>1796</v>
      </c>
      <c r="E183" s="29">
        <f t="shared" si="10"/>
        <v>6897986</v>
      </c>
      <c r="F183" s="68">
        <f>'일위대가_호표(신규)'!H1141</f>
        <v>1612402</v>
      </c>
      <c r="G183" s="68"/>
      <c r="H183" s="68">
        <f>'일위대가_호표(신규)'!J1141</f>
        <v>5207812</v>
      </c>
      <c r="I183" s="68"/>
      <c r="J183" s="68">
        <f>'일위대가_호표(신규)'!L1141</f>
        <v>77772</v>
      </c>
      <c r="K183" s="20" t="s">
        <v>2856</v>
      </c>
      <c r="L183" t="s">
        <v>2856</v>
      </c>
      <c r="M183" t="s">
        <v>1547</v>
      </c>
      <c r="N183" t="s">
        <v>1778</v>
      </c>
      <c r="V183" s="29">
        <v>1641272</v>
      </c>
      <c r="W183" s="29">
        <v>5363896</v>
      </c>
      <c r="X183" s="29">
        <v>64321</v>
      </c>
      <c r="Y183" s="29">
        <v>7069489</v>
      </c>
      <c r="AA183" s="7" t="b">
        <f t="shared" si="11"/>
        <v>0</v>
      </c>
      <c r="AC183" s="34" t="str">
        <f>HYPERLINK("#일위대가_호표!A1096","HW0131 →")</f>
        <v>HW0131 →</v>
      </c>
    </row>
    <row r="184" spans="1:29" ht="18.399999999999999" customHeight="1" x14ac:dyDescent="0.15">
      <c r="A184" s="11" t="s">
        <v>2838</v>
      </c>
      <c r="B184" s="2" t="s">
        <v>2202</v>
      </c>
      <c r="C184" s="2">
        <v>1</v>
      </c>
      <c r="D184" s="2" t="s">
        <v>1796</v>
      </c>
      <c r="E184" s="29">
        <f t="shared" si="10"/>
        <v>6909956</v>
      </c>
      <c r="F184" s="68">
        <f>'일위대가_호표(신규)'!H1160</f>
        <v>1667574</v>
      </c>
      <c r="G184" s="68"/>
      <c r="H184" s="68">
        <f>'일위대가_호표(신규)'!J1160</f>
        <v>5157115</v>
      </c>
      <c r="I184" s="68"/>
      <c r="J184" s="68">
        <f>'일위대가_호표(신규)'!L1160</f>
        <v>85267</v>
      </c>
      <c r="K184" s="20" t="s">
        <v>2856</v>
      </c>
      <c r="L184" t="s">
        <v>2856</v>
      </c>
      <c r="M184" t="s">
        <v>519</v>
      </c>
      <c r="N184" t="s">
        <v>1778</v>
      </c>
      <c r="V184" s="29">
        <v>1667574</v>
      </c>
      <c r="W184" s="29">
        <v>5157115</v>
      </c>
      <c r="X184" s="29">
        <v>63710</v>
      </c>
      <c r="Y184" s="29">
        <v>6888399</v>
      </c>
      <c r="AA184" s="7" t="b">
        <f t="shared" si="11"/>
        <v>0</v>
      </c>
      <c r="AC184" s="34" t="str">
        <f>HYPERLINK("#일위대가_호표!A1114","HW0132 →")</f>
        <v>HW0132 →</v>
      </c>
    </row>
    <row r="185" spans="1:29" ht="18.399999999999999" customHeight="1" x14ac:dyDescent="0.15">
      <c r="A185" s="11" t="s">
        <v>2617</v>
      </c>
      <c r="B185" s="2" t="s">
        <v>2856</v>
      </c>
      <c r="C185" s="2">
        <v>1</v>
      </c>
      <c r="D185" s="2" t="s">
        <v>1796</v>
      </c>
      <c r="E185" s="29">
        <f t="shared" si="10"/>
        <v>18126697</v>
      </c>
      <c r="F185" s="68">
        <f>'일위대가_호표(신규)'!H1178</f>
        <v>3896006</v>
      </c>
      <c r="G185" s="68"/>
      <c r="H185" s="68">
        <f>'일위대가_호표(신규)'!J1178</f>
        <v>10623831</v>
      </c>
      <c r="I185" s="68"/>
      <c r="J185" s="68">
        <f>'일위대가_호표(신규)'!L1178</f>
        <v>3606860</v>
      </c>
      <c r="K185" s="20" t="s">
        <v>2856</v>
      </c>
      <c r="L185" t="s">
        <v>2856</v>
      </c>
      <c r="M185" t="s">
        <v>448</v>
      </c>
      <c r="N185" t="s">
        <v>1778</v>
      </c>
      <c r="V185" s="29">
        <v>3896006</v>
      </c>
      <c r="W185" s="29">
        <v>10623831</v>
      </c>
      <c r="X185" s="29">
        <v>137199</v>
      </c>
      <c r="Y185" s="29">
        <v>14657036</v>
      </c>
      <c r="AA185" s="7" t="b">
        <f t="shared" si="11"/>
        <v>0</v>
      </c>
      <c r="AC185" s="34" t="str">
        <f>HYPERLINK("#일위대가_호표!A1132","HW0136 →")</f>
        <v>HW0136 →</v>
      </c>
    </row>
    <row r="186" spans="1:29" ht="18.399999999999999" customHeight="1" x14ac:dyDescent="0.15">
      <c r="A186" s="11" t="s">
        <v>1785</v>
      </c>
      <c r="B186" s="2" t="s">
        <v>913</v>
      </c>
      <c r="C186" s="2">
        <v>1</v>
      </c>
      <c r="D186" s="2" t="s">
        <v>1670</v>
      </c>
      <c r="E186" s="29">
        <f t="shared" si="10"/>
        <v>4626</v>
      </c>
      <c r="F186" s="29">
        <f>'일위대가_호표(신규)'!H1205</f>
        <v>1935</v>
      </c>
      <c r="G186" s="29"/>
      <c r="H186" s="29">
        <f>'일위대가_호표(신규)'!J1205</f>
        <v>2650</v>
      </c>
      <c r="I186" s="29"/>
      <c r="J186" s="29">
        <f>'일위대가_호표(신규)'!L1205</f>
        <v>41</v>
      </c>
      <c r="K186" s="20" t="s">
        <v>2856</v>
      </c>
      <c r="L186" t="s">
        <v>2856</v>
      </c>
      <c r="M186" t="s">
        <v>2275</v>
      </c>
      <c r="N186" t="s">
        <v>1778</v>
      </c>
      <c r="V186" s="29">
        <v>1935</v>
      </c>
      <c r="W186" s="29">
        <v>2650</v>
      </c>
      <c r="X186" s="29">
        <v>41</v>
      </c>
      <c r="Y186" s="29">
        <v>4626</v>
      </c>
      <c r="AA186" s="7" t="b">
        <f t="shared" si="11"/>
        <v>1</v>
      </c>
      <c r="AC186" s="34" t="str">
        <f>HYPERLINK("#일위대가_호표!A1159","HW0121 →")</f>
        <v>HW0121 →</v>
      </c>
    </row>
    <row r="187" spans="1:29" ht="18.399999999999999" customHeight="1" x14ac:dyDescent="0.15">
      <c r="A187" s="11" t="s">
        <v>270</v>
      </c>
      <c r="B187" s="2" t="s">
        <v>2419</v>
      </c>
      <c r="C187" s="2">
        <v>1</v>
      </c>
      <c r="D187" s="2" t="s">
        <v>1796</v>
      </c>
      <c r="E187" s="29">
        <f t="shared" si="10"/>
        <v>3407700</v>
      </c>
      <c r="F187" s="29">
        <f>'일위대가_호표(신규)'!H1211</f>
        <v>2922934</v>
      </c>
      <c r="G187" s="29"/>
      <c r="H187" s="29">
        <f>'일위대가_호표(신규)'!J1211</f>
        <v>468239</v>
      </c>
      <c r="I187" s="29"/>
      <c r="J187" s="29">
        <f>'일위대가_호표(신규)'!L1211</f>
        <v>16527</v>
      </c>
      <c r="K187" s="20" t="s">
        <v>2856</v>
      </c>
      <c r="L187" t="s">
        <v>2856</v>
      </c>
      <c r="M187" t="s">
        <v>1263</v>
      </c>
      <c r="N187" t="s">
        <v>1778</v>
      </c>
      <c r="V187" s="29">
        <v>2922934</v>
      </c>
      <c r="W187" s="29">
        <v>468239</v>
      </c>
      <c r="X187" s="29">
        <v>16527</v>
      </c>
      <c r="Y187" s="29">
        <v>3407700</v>
      </c>
      <c r="AA187" s="7" t="b">
        <f t="shared" si="11"/>
        <v>1</v>
      </c>
      <c r="AC187" s="34" t="str">
        <f>HYPERLINK("#일위대가_호표!A1165","HW0122 →")</f>
        <v>HW0122 →</v>
      </c>
    </row>
    <row r="188" spans="1:29" ht="18.399999999999999" customHeight="1" x14ac:dyDescent="0.15">
      <c r="A188" s="11" t="s">
        <v>229</v>
      </c>
      <c r="B188" s="2" t="s">
        <v>2419</v>
      </c>
      <c r="C188" s="2">
        <v>1</v>
      </c>
      <c r="D188" s="2" t="s">
        <v>1796</v>
      </c>
      <c r="E188" s="29">
        <f t="shared" si="10"/>
        <v>5849582</v>
      </c>
      <c r="F188" s="29">
        <f>'일위대가_호표(신규)'!H1221</f>
        <v>5016412</v>
      </c>
      <c r="G188" s="29"/>
      <c r="H188" s="29">
        <f>'일위대가_호표(신규)'!J1221</f>
        <v>763330</v>
      </c>
      <c r="I188" s="29"/>
      <c r="J188" s="29">
        <f>'일위대가_호표(신규)'!L1221</f>
        <v>69840</v>
      </c>
      <c r="K188" s="20" t="s">
        <v>2856</v>
      </c>
      <c r="L188" t="s">
        <v>2856</v>
      </c>
      <c r="M188" t="s">
        <v>2584</v>
      </c>
      <c r="N188" t="s">
        <v>1778</v>
      </c>
      <c r="V188" s="29">
        <v>5016412</v>
      </c>
      <c r="W188" s="29">
        <v>763330</v>
      </c>
      <c r="X188" s="29">
        <v>69840</v>
      </c>
      <c r="Y188" s="29">
        <v>5849582</v>
      </c>
      <c r="AA188" s="7" t="b">
        <f t="shared" si="11"/>
        <v>1</v>
      </c>
      <c r="AC188" s="34" t="str">
        <f>HYPERLINK("#일위대가_호표!A1175","HW0123 →")</f>
        <v>HW0123 →</v>
      </c>
    </row>
    <row r="189" spans="1:29" ht="18.399999999999999" customHeight="1" x14ac:dyDescent="0.15">
      <c r="A189" s="11" t="s">
        <v>1349</v>
      </c>
      <c r="B189" s="2" t="s">
        <v>2664</v>
      </c>
      <c r="C189" s="2">
        <v>1</v>
      </c>
      <c r="D189" s="2" t="s">
        <v>1796</v>
      </c>
      <c r="E189" s="29">
        <f t="shared" si="10"/>
        <v>18198344</v>
      </c>
      <c r="F189" s="29">
        <f>'일위대가_호표(신규)'!H1232</f>
        <v>9442278</v>
      </c>
      <c r="G189" s="29"/>
      <c r="H189" s="29">
        <f>'일위대가_호표(신규)'!J1232</f>
        <v>6939070</v>
      </c>
      <c r="I189" s="29"/>
      <c r="J189" s="29">
        <f>'일위대가_호표(신규)'!L1232</f>
        <v>1816996</v>
      </c>
      <c r="K189" s="20" t="s">
        <v>2856</v>
      </c>
      <c r="L189" t="s">
        <v>2856</v>
      </c>
      <c r="M189" t="s">
        <v>756</v>
      </c>
      <c r="N189" t="s">
        <v>1778</v>
      </c>
      <c r="V189" s="29">
        <v>9442278</v>
      </c>
      <c r="W189" s="29">
        <v>6939070</v>
      </c>
      <c r="X189" s="29">
        <v>858892</v>
      </c>
      <c r="Y189" s="29">
        <v>17240240</v>
      </c>
      <c r="AA189" s="7" t="b">
        <f t="shared" si="11"/>
        <v>0</v>
      </c>
      <c r="AC189" s="34" t="str">
        <f>HYPERLINK("#일위대가_호표!A1186","HW0124 →")</f>
        <v>HW0124 →</v>
      </c>
    </row>
    <row r="190" spans="1:29" ht="18.399999999999999" customHeight="1" x14ac:dyDescent="0.15">
      <c r="A190" s="11" t="s">
        <v>2090</v>
      </c>
      <c r="B190" s="2" t="s">
        <v>1915</v>
      </c>
      <c r="C190" s="2">
        <v>1</v>
      </c>
      <c r="D190" s="2" t="s">
        <v>1796</v>
      </c>
      <c r="E190" s="29">
        <f t="shared" si="10"/>
        <v>112172</v>
      </c>
      <c r="F190" s="29">
        <f>'일위대가_호표(신규)'!H1247</f>
        <v>41960</v>
      </c>
      <c r="G190" s="29"/>
      <c r="H190" s="29">
        <f>'일위대가_호표(신규)'!J1247</f>
        <v>62646</v>
      </c>
      <c r="I190" s="29"/>
      <c r="J190" s="29">
        <f>'일위대가_호표(신규)'!L1247</f>
        <v>7566</v>
      </c>
      <c r="K190" s="20" t="s">
        <v>2856</v>
      </c>
      <c r="L190" t="s">
        <v>2856</v>
      </c>
      <c r="M190" t="s">
        <v>1731</v>
      </c>
      <c r="N190" t="s">
        <v>1778</v>
      </c>
      <c r="V190" s="29">
        <v>41960</v>
      </c>
      <c r="W190" s="29">
        <v>62646</v>
      </c>
      <c r="X190" s="29">
        <v>7566</v>
      </c>
      <c r="Y190" s="29">
        <v>112172</v>
      </c>
      <c r="AA190" s="7" t="b">
        <f t="shared" si="11"/>
        <v>1</v>
      </c>
      <c r="AC190" s="34" t="str">
        <f>HYPERLINK("#일위대가_호표!A1201","HW0016 →")</f>
        <v>HW0016 →</v>
      </c>
    </row>
    <row r="191" spans="1:29" ht="18.399999999999999" customHeight="1" x14ac:dyDescent="0.15">
      <c r="A191" s="11" t="s">
        <v>89</v>
      </c>
      <c r="B191" s="2" t="s">
        <v>423</v>
      </c>
      <c r="C191" s="2">
        <v>1</v>
      </c>
      <c r="D191" s="2" t="s">
        <v>1796</v>
      </c>
      <c r="E191" s="29">
        <f t="shared" si="10"/>
        <v>61977</v>
      </c>
      <c r="F191" s="29">
        <f>'일위대가_호표(신규)'!H1251</f>
        <v>21856</v>
      </c>
      <c r="G191" s="29"/>
      <c r="H191" s="29">
        <f>'일위대가_호표(신규)'!J1251</f>
        <v>35798</v>
      </c>
      <c r="I191" s="29"/>
      <c r="J191" s="29">
        <f>'일위대가_호표(신규)'!L1251</f>
        <v>4323</v>
      </c>
      <c r="K191" s="20" t="s">
        <v>2856</v>
      </c>
      <c r="L191" t="s">
        <v>2856</v>
      </c>
      <c r="M191" t="s">
        <v>107</v>
      </c>
      <c r="N191" t="s">
        <v>1778</v>
      </c>
      <c r="V191" s="29">
        <v>21856</v>
      </c>
      <c r="W191" s="29">
        <v>35798</v>
      </c>
      <c r="X191" s="29">
        <v>4323</v>
      </c>
      <c r="Y191" s="29">
        <v>61977</v>
      </c>
      <c r="AA191" s="7" t="b">
        <f t="shared" si="11"/>
        <v>1</v>
      </c>
      <c r="AC191" s="34" t="str">
        <f>HYPERLINK("#일위대가_호표!A1205","HW0017 →")</f>
        <v>HW0017 →</v>
      </c>
    </row>
    <row r="192" spans="1:29" ht="18.399999999999999" customHeight="1" x14ac:dyDescent="0.15">
      <c r="A192" s="11" t="s">
        <v>383</v>
      </c>
      <c r="B192" s="2" t="s">
        <v>127</v>
      </c>
      <c r="C192" s="2">
        <v>1</v>
      </c>
      <c r="D192" s="2" t="s">
        <v>1202</v>
      </c>
      <c r="E192" s="29">
        <f t="shared" si="10"/>
        <v>82824</v>
      </c>
      <c r="F192" s="29">
        <f>'일위대가_호표(신규)'!H1255</f>
        <v>79654</v>
      </c>
      <c r="G192" s="29"/>
      <c r="H192" s="29">
        <f>'일위대가_호표(신규)'!J1255</f>
        <v>2826</v>
      </c>
      <c r="I192" s="29"/>
      <c r="J192" s="29">
        <f>'일위대가_호표(신규)'!L1255</f>
        <v>344</v>
      </c>
      <c r="K192" s="20" t="s">
        <v>2856</v>
      </c>
      <c r="L192" t="s">
        <v>2856</v>
      </c>
      <c r="M192" t="s">
        <v>2504</v>
      </c>
      <c r="N192" t="s">
        <v>1778</v>
      </c>
      <c r="V192" s="29">
        <v>79654</v>
      </c>
      <c r="W192" s="29">
        <v>2826</v>
      </c>
      <c r="X192" s="29">
        <v>344</v>
      </c>
      <c r="Y192" s="29">
        <v>82824</v>
      </c>
      <c r="AA192" s="7" t="b">
        <f t="shared" si="11"/>
        <v>1</v>
      </c>
      <c r="AC192" s="34" t="str">
        <f>HYPERLINK("#일위대가_호표!A1209","NP0400-100 →")</f>
        <v>NP0400-100 →</v>
      </c>
    </row>
    <row r="193" spans="1:29" ht="18.399999999999999" customHeight="1" x14ac:dyDescent="0.15">
      <c r="A193" s="11" t="s">
        <v>1849</v>
      </c>
      <c r="B193" s="2" t="s">
        <v>995</v>
      </c>
      <c r="C193" s="2">
        <v>1</v>
      </c>
      <c r="D193" s="2" t="s">
        <v>1202</v>
      </c>
      <c r="E193" s="29">
        <f t="shared" si="10"/>
        <v>23276</v>
      </c>
      <c r="F193" s="29">
        <f>'일위대가_호표(신규)'!H1263</f>
        <v>4867</v>
      </c>
      <c r="G193" s="29"/>
      <c r="H193" s="29">
        <f>'일위대가_호표(신규)'!J1263</f>
        <v>9521</v>
      </c>
      <c r="I193" s="29"/>
      <c r="J193" s="67">
        <f>'일위대가_호표(신규)'!L1263</f>
        <v>8888</v>
      </c>
      <c r="K193" s="20" t="s">
        <v>2856</v>
      </c>
      <c r="L193" t="s">
        <v>2856</v>
      </c>
      <c r="M193" t="s">
        <v>246</v>
      </c>
      <c r="N193" t="s">
        <v>1778</v>
      </c>
      <c r="V193" s="29">
        <v>4867</v>
      </c>
      <c r="W193" s="29">
        <v>9521</v>
      </c>
      <c r="X193" s="29">
        <v>998</v>
      </c>
      <c r="Y193" s="29">
        <v>15386</v>
      </c>
      <c r="AA193" s="7" t="b">
        <f t="shared" si="11"/>
        <v>0</v>
      </c>
      <c r="AC193" s="34" t="str">
        <f>HYPERLINK("#일위대가_호표!A1217","NP0410-60 →")</f>
        <v>NP0410-60 →</v>
      </c>
    </row>
    <row r="194" spans="1:29" ht="18.399999999999999" customHeight="1" x14ac:dyDescent="0.15">
      <c r="A194" s="11" t="s">
        <v>1814</v>
      </c>
      <c r="B194" s="2" t="s">
        <v>2663</v>
      </c>
      <c r="C194" s="2">
        <v>1</v>
      </c>
      <c r="D194" s="2" t="s">
        <v>1202</v>
      </c>
      <c r="E194" s="29">
        <f t="shared" si="10"/>
        <v>29847</v>
      </c>
      <c r="F194" s="29">
        <f>'일위대가_호표(신규)'!H1273</f>
        <v>26039</v>
      </c>
      <c r="G194" s="29"/>
      <c r="H194" s="29">
        <f>'일위대가_호표(신규)'!J1273</f>
        <v>3388</v>
      </c>
      <c r="I194" s="29"/>
      <c r="J194" s="29">
        <f>'일위대가_호표(신규)'!L1273</f>
        <v>420</v>
      </c>
      <c r="K194" s="20" t="s">
        <v>2856</v>
      </c>
      <c r="L194" t="s">
        <v>2856</v>
      </c>
      <c r="M194" t="s">
        <v>1378</v>
      </c>
      <c r="N194" t="s">
        <v>1778</v>
      </c>
      <c r="V194" s="29">
        <v>26039</v>
      </c>
      <c r="W194" s="29">
        <v>3388</v>
      </c>
      <c r="X194" s="29">
        <v>420</v>
      </c>
      <c r="Y194" s="29">
        <v>29847</v>
      </c>
      <c r="AA194" s="7" t="b">
        <f t="shared" si="11"/>
        <v>1</v>
      </c>
      <c r="AC194" s="34" t="str">
        <f>HYPERLINK("#일위대가_호표!A1227","NP0440-24 →")</f>
        <v>NP0440-24 →</v>
      </c>
    </row>
    <row r="195" spans="1:29" ht="18.399999999999999" customHeight="1" x14ac:dyDescent="0.15">
      <c r="A195" s="11" t="s">
        <v>553</v>
      </c>
      <c r="B195" s="2" t="s">
        <v>645</v>
      </c>
      <c r="C195" s="2">
        <v>1</v>
      </c>
      <c r="D195" s="2" t="s">
        <v>1202</v>
      </c>
      <c r="E195" s="29">
        <f t="shared" ref="E195:E226" si="12">F195+H195+J195</f>
        <v>15665</v>
      </c>
      <c r="F195" s="29">
        <f>'일위대가_호표(신규)'!H1281</f>
        <v>6594</v>
      </c>
      <c r="G195" s="29"/>
      <c r="H195" s="29">
        <f>'일위대가_호표(신규)'!J1281</f>
        <v>5633</v>
      </c>
      <c r="I195" s="29"/>
      <c r="J195" s="67">
        <f>'일위대가_호표(신규)'!L1281</f>
        <v>3438</v>
      </c>
      <c r="K195" s="20" t="s">
        <v>2856</v>
      </c>
      <c r="L195" t="s">
        <v>2856</v>
      </c>
      <c r="M195" t="s">
        <v>608</v>
      </c>
      <c r="N195" t="s">
        <v>1778</v>
      </c>
      <c r="V195" s="29">
        <v>6594</v>
      </c>
      <c r="W195" s="29">
        <v>5633</v>
      </c>
      <c r="X195" s="29">
        <v>776</v>
      </c>
      <c r="Y195" s="29">
        <v>13003</v>
      </c>
      <c r="AA195" s="7" t="b">
        <f t="shared" ref="AA195:AA226" si="13">EXACT($E195,$Y195)</f>
        <v>0</v>
      </c>
      <c r="AC195" s="34" t="str">
        <f>HYPERLINK("#일위대가_호표!A1235","NP0445-19 →")</f>
        <v>NP0445-19 →</v>
      </c>
    </row>
    <row r="196" spans="1:29" ht="18.399999999999999" customHeight="1" x14ac:dyDescent="0.15">
      <c r="A196" s="11" t="s">
        <v>2782</v>
      </c>
      <c r="B196" s="2" t="s">
        <v>2710</v>
      </c>
      <c r="C196" s="2">
        <v>1</v>
      </c>
      <c r="D196" s="2" t="s">
        <v>1796</v>
      </c>
      <c r="E196" s="29">
        <f t="shared" si="12"/>
        <v>92669</v>
      </c>
      <c r="F196" s="29">
        <f>'일위대가_호표(신규)'!H1292</f>
        <v>80402</v>
      </c>
      <c r="G196" s="29"/>
      <c r="H196" s="29">
        <f>'일위대가_호표(신규)'!J1292</f>
        <v>5493</v>
      </c>
      <c r="I196" s="29"/>
      <c r="J196" s="67">
        <f>'일위대가_호표(신규)'!L1292</f>
        <v>6774</v>
      </c>
      <c r="K196" s="20" t="s">
        <v>2856</v>
      </c>
      <c r="L196" t="s">
        <v>2856</v>
      </c>
      <c r="M196" t="s">
        <v>1478</v>
      </c>
      <c r="N196" t="s">
        <v>1778</v>
      </c>
      <c r="V196" s="29">
        <v>80402</v>
      </c>
      <c r="W196" s="29">
        <v>5493</v>
      </c>
      <c r="X196" s="29">
        <v>545</v>
      </c>
      <c r="Y196" s="29">
        <v>86440</v>
      </c>
      <c r="AA196" s="7" t="b">
        <f t="shared" si="13"/>
        <v>0</v>
      </c>
      <c r="AC196" s="34" t="str">
        <f>HYPERLINK("#일위대가_호표!A1246","NP0545 →")</f>
        <v>NP0545 →</v>
      </c>
    </row>
    <row r="197" spans="1:29" ht="18.399999999999999" customHeight="1" x14ac:dyDescent="0.15">
      <c r="A197" s="11" t="s">
        <v>1982</v>
      </c>
      <c r="B197" s="2" t="s">
        <v>2681</v>
      </c>
      <c r="C197" s="2">
        <v>1</v>
      </c>
      <c r="D197" s="2" t="s">
        <v>1670</v>
      </c>
      <c r="E197" s="29">
        <f t="shared" si="12"/>
        <v>60187</v>
      </c>
      <c r="F197" s="29">
        <f>'일위대가_호표(신규)'!H1296</f>
        <v>2157</v>
      </c>
      <c r="G197" s="29"/>
      <c r="H197" s="29">
        <f>'일위대가_호표(신규)'!J1296</f>
        <v>20610</v>
      </c>
      <c r="I197" s="29"/>
      <c r="J197" s="67">
        <f>'일위대가_호표(신규)'!L1296</f>
        <v>37420</v>
      </c>
      <c r="K197" s="20" t="s">
        <v>2856</v>
      </c>
      <c r="L197" t="s">
        <v>2856</v>
      </c>
      <c r="M197" t="s">
        <v>1902</v>
      </c>
      <c r="N197" t="s">
        <v>1778</v>
      </c>
      <c r="V197" s="29">
        <v>2157</v>
      </c>
      <c r="W197" s="29">
        <v>20610</v>
      </c>
      <c r="X197" s="29">
        <v>1555</v>
      </c>
      <c r="Y197" s="29">
        <v>24322</v>
      </c>
      <c r="AA197" s="7" t="b">
        <f t="shared" si="13"/>
        <v>0</v>
      </c>
      <c r="AC197" s="34" t="str">
        <f>HYPERLINK("#일위대가_호표!A1250","NP0470-24 →")</f>
        <v>NP0470-24 →</v>
      </c>
    </row>
    <row r="198" spans="1:29" ht="18.399999999999999" customHeight="1" x14ac:dyDescent="0.15">
      <c r="A198" s="11" t="s">
        <v>1355</v>
      </c>
      <c r="B198" s="2" t="s">
        <v>2681</v>
      </c>
      <c r="C198" s="2">
        <v>1</v>
      </c>
      <c r="D198" s="2" t="s">
        <v>1670</v>
      </c>
      <c r="E198" s="29">
        <f t="shared" si="12"/>
        <v>63501</v>
      </c>
      <c r="F198" s="29">
        <f>'일위대가_호표(신규)'!H1306</f>
        <v>2305</v>
      </c>
      <c r="G198" s="29"/>
      <c r="H198" s="29">
        <f>'일위대가_호표(신규)'!J1306</f>
        <v>22023</v>
      </c>
      <c r="I198" s="29"/>
      <c r="J198" s="67">
        <f>'일위대가_호표(신규)'!L1306</f>
        <v>39173</v>
      </c>
      <c r="K198" s="20" t="s">
        <v>2856</v>
      </c>
      <c r="L198" t="s">
        <v>2856</v>
      </c>
      <c r="M198" t="s">
        <v>1695</v>
      </c>
      <c r="N198" t="s">
        <v>1778</v>
      </c>
      <c r="V198" s="29">
        <v>2305</v>
      </c>
      <c r="W198" s="29">
        <v>22023</v>
      </c>
      <c r="X198" s="29">
        <v>1718</v>
      </c>
      <c r="Y198" s="29">
        <v>26046</v>
      </c>
      <c r="AA198" s="7" t="b">
        <f t="shared" si="13"/>
        <v>0</v>
      </c>
      <c r="AC198" s="34" t="str">
        <f>HYPERLINK("#일위대가_호표!A1260","NP0475-24 →")</f>
        <v>NP0475-24 →</v>
      </c>
    </row>
    <row r="199" spans="1:29" ht="18.399999999999999" customHeight="1" x14ac:dyDescent="0.15">
      <c r="A199" s="11" t="s">
        <v>1103</v>
      </c>
      <c r="B199" s="2" t="s">
        <v>2681</v>
      </c>
      <c r="C199" s="2">
        <v>1</v>
      </c>
      <c r="D199" s="2" t="s">
        <v>1670</v>
      </c>
      <c r="E199" s="29">
        <f t="shared" si="12"/>
        <v>60187</v>
      </c>
      <c r="F199" s="29">
        <f>'일위대가_호표(신규)'!H1316</f>
        <v>2157</v>
      </c>
      <c r="G199" s="29"/>
      <c r="H199" s="29">
        <f>'일위대가_호표(신규)'!J1316</f>
        <v>20610</v>
      </c>
      <c r="I199" s="29"/>
      <c r="J199" s="67">
        <f>'일위대가_호표(신규)'!L1316</f>
        <v>37420</v>
      </c>
      <c r="K199" s="20" t="s">
        <v>2856</v>
      </c>
      <c r="L199" t="s">
        <v>2856</v>
      </c>
      <c r="M199" t="s">
        <v>1368</v>
      </c>
      <c r="N199" t="s">
        <v>1778</v>
      </c>
      <c r="V199" s="29">
        <v>2157</v>
      </c>
      <c r="W199" s="29">
        <v>20610</v>
      </c>
      <c r="X199" s="29">
        <v>1555</v>
      </c>
      <c r="Y199" s="29">
        <v>24322</v>
      </c>
      <c r="AA199" s="7" t="b">
        <f t="shared" si="13"/>
        <v>0</v>
      </c>
      <c r="AC199" s="34" t="str">
        <f>HYPERLINK("#일위대가_호표!A1270","NP0480-24 →")</f>
        <v>NP0480-24 →</v>
      </c>
    </row>
    <row r="200" spans="1:29" ht="18.399999999999999" customHeight="1" x14ac:dyDescent="0.15">
      <c r="A200" s="11" t="s">
        <v>1896</v>
      </c>
      <c r="B200" s="2" t="s">
        <v>2681</v>
      </c>
      <c r="C200" s="2">
        <v>1</v>
      </c>
      <c r="D200" s="2" t="s">
        <v>1670</v>
      </c>
      <c r="E200" s="29">
        <f t="shared" si="12"/>
        <v>63501</v>
      </c>
      <c r="F200" s="29">
        <f>'일위대가_호표(신규)'!H1326</f>
        <v>2305</v>
      </c>
      <c r="G200" s="29"/>
      <c r="H200" s="29">
        <f>'일위대가_호표(신규)'!J1326</f>
        <v>22023</v>
      </c>
      <c r="I200" s="29"/>
      <c r="J200" s="67">
        <f>'일위대가_호표(신규)'!L1326</f>
        <v>39173</v>
      </c>
      <c r="K200" s="20" t="s">
        <v>2856</v>
      </c>
      <c r="L200" t="s">
        <v>2856</v>
      </c>
      <c r="M200" t="s">
        <v>802</v>
      </c>
      <c r="N200" t="s">
        <v>1778</v>
      </c>
      <c r="V200" s="29">
        <v>2305</v>
      </c>
      <c r="W200" s="29">
        <v>22023</v>
      </c>
      <c r="X200" s="29">
        <v>1718</v>
      </c>
      <c r="Y200" s="29">
        <v>26046</v>
      </c>
      <c r="AA200" s="7" t="b">
        <f t="shared" si="13"/>
        <v>0</v>
      </c>
      <c r="AC200" s="34" t="str">
        <f>HYPERLINK("#일위대가_호표!A1280","NP0485-24 →")</f>
        <v>NP0485-24 →</v>
      </c>
    </row>
    <row r="201" spans="1:29" ht="18.399999999999999" customHeight="1" x14ac:dyDescent="0.15">
      <c r="A201" s="11" t="s">
        <v>1356</v>
      </c>
      <c r="B201" s="2" t="s">
        <v>2248</v>
      </c>
      <c r="C201" s="2">
        <v>1</v>
      </c>
      <c r="D201" s="2" t="s">
        <v>1670</v>
      </c>
      <c r="E201" s="29">
        <f t="shared" si="12"/>
        <v>22844</v>
      </c>
      <c r="F201" s="29">
        <f>'일위대가_호표(신규)'!H1336</f>
        <v>14490</v>
      </c>
      <c r="G201" s="29"/>
      <c r="H201" s="29">
        <f>'일위대가_호표(신규)'!J1336</f>
        <v>8354</v>
      </c>
      <c r="I201" s="29"/>
      <c r="J201" s="29">
        <f>'일위대가_호표(신규)'!L1336</f>
        <v>0</v>
      </c>
      <c r="K201" s="20" t="s">
        <v>2856</v>
      </c>
      <c r="L201" t="s">
        <v>2856</v>
      </c>
      <c r="M201" t="s">
        <v>267</v>
      </c>
      <c r="N201" t="s">
        <v>1778</v>
      </c>
      <c r="V201" s="29">
        <v>14490</v>
      </c>
      <c r="W201" s="29">
        <v>8354</v>
      </c>
      <c r="X201" s="29">
        <v>0</v>
      </c>
      <c r="Y201" s="29">
        <v>22844</v>
      </c>
      <c r="AA201" s="7" t="b">
        <f t="shared" si="13"/>
        <v>1</v>
      </c>
      <c r="AC201" s="34" t="str">
        <f>HYPERLINK("#일위대가_호표!A1290","NP0517-24 →")</f>
        <v>NP0517-24 →</v>
      </c>
    </row>
    <row r="202" spans="1:29" ht="18.399999999999999" customHeight="1" x14ac:dyDescent="0.15">
      <c r="A202" s="11" t="s">
        <v>2506</v>
      </c>
      <c r="B202" s="2" t="s">
        <v>2248</v>
      </c>
      <c r="C202" s="2">
        <v>1</v>
      </c>
      <c r="D202" s="2" t="s">
        <v>1670</v>
      </c>
      <c r="E202" s="29">
        <f t="shared" si="12"/>
        <v>11911</v>
      </c>
      <c r="F202" s="29">
        <f>'일위대가_호표(신규)'!H1341</f>
        <v>341</v>
      </c>
      <c r="G202" s="29"/>
      <c r="H202" s="29">
        <f>'일위대가_호표(신규)'!J1341</f>
        <v>3168</v>
      </c>
      <c r="I202" s="29"/>
      <c r="J202" s="67">
        <f>'일위대가_호표(신규)'!L1341</f>
        <v>8402</v>
      </c>
      <c r="K202" s="20" t="s">
        <v>2856</v>
      </c>
      <c r="L202" t="s">
        <v>2856</v>
      </c>
      <c r="M202" t="s">
        <v>1372</v>
      </c>
      <c r="N202" t="s">
        <v>1778</v>
      </c>
      <c r="V202" s="29">
        <v>341</v>
      </c>
      <c r="W202" s="29">
        <v>3168</v>
      </c>
      <c r="X202" s="29">
        <v>95</v>
      </c>
      <c r="Y202" s="29">
        <v>3604</v>
      </c>
      <c r="AA202" s="7" t="b">
        <f t="shared" si="13"/>
        <v>0</v>
      </c>
      <c r="AC202" s="34" t="str">
        <f>HYPERLINK("#일위대가_호표!A1295","NP0516 →")</f>
        <v>NP0516 →</v>
      </c>
    </row>
    <row r="203" spans="1:29" ht="18.399999999999999" customHeight="1" x14ac:dyDescent="0.15">
      <c r="A203" s="11" t="s">
        <v>1501</v>
      </c>
      <c r="B203" s="2" t="s">
        <v>2338</v>
      </c>
      <c r="C203" s="2">
        <v>1</v>
      </c>
      <c r="D203" s="2" t="s">
        <v>556</v>
      </c>
      <c r="E203" s="29">
        <f t="shared" si="12"/>
        <v>11411</v>
      </c>
      <c r="F203" s="29">
        <f>'일위대가_호표(신규)'!H1344</f>
        <v>109</v>
      </c>
      <c r="G203" s="29"/>
      <c r="H203" s="29">
        <f>'일위대가_호표(신규)'!J1344</f>
        <v>11280</v>
      </c>
      <c r="I203" s="29"/>
      <c r="J203" s="29">
        <f>'일위대가_호표(신규)'!L1344</f>
        <v>22</v>
      </c>
      <c r="K203" s="20" t="s">
        <v>2856</v>
      </c>
      <c r="L203" t="s">
        <v>2856</v>
      </c>
      <c r="M203" t="s">
        <v>1579</v>
      </c>
      <c r="N203" t="s">
        <v>1778</v>
      </c>
      <c r="V203" s="29">
        <v>104</v>
      </c>
      <c r="W203" s="29">
        <v>11280</v>
      </c>
      <c r="X203" s="29">
        <v>22</v>
      </c>
      <c r="Y203" s="29">
        <v>11406</v>
      </c>
      <c r="AA203" s="7" t="b">
        <f t="shared" si="13"/>
        <v>0</v>
      </c>
      <c r="AC203" s="34" t="str">
        <f>HYPERLINK("#일위대가_호표!A1298","NT1015 →")</f>
        <v>NT1015 →</v>
      </c>
    </row>
    <row r="204" spans="1:29" ht="18.399999999999999" customHeight="1" x14ac:dyDescent="0.15">
      <c r="A204" s="11" t="s">
        <v>1165</v>
      </c>
      <c r="B204" s="2" t="s">
        <v>2828</v>
      </c>
      <c r="C204" s="2">
        <v>1</v>
      </c>
      <c r="D204" s="2" t="s">
        <v>556</v>
      </c>
      <c r="E204" s="29">
        <f t="shared" si="12"/>
        <v>90521</v>
      </c>
      <c r="F204" s="29">
        <f>'일위대가_호표(신규)'!H1353</f>
        <v>1404</v>
      </c>
      <c r="G204" s="29"/>
      <c r="H204" s="29">
        <f>'일위대가_호표(신규)'!J1353</f>
        <v>88834</v>
      </c>
      <c r="I204" s="29"/>
      <c r="J204" s="29">
        <f>'일위대가_호표(신규)'!L1353</f>
        <v>283</v>
      </c>
      <c r="K204" s="20" t="s">
        <v>2856</v>
      </c>
      <c r="L204" t="s">
        <v>2856</v>
      </c>
      <c r="M204" t="s">
        <v>2218</v>
      </c>
      <c r="N204" t="s">
        <v>1778</v>
      </c>
      <c r="V204" s="29">
        <v>1337</v>
      </c>
      <c r="W204" s="29">
        <v>88834</v>
      </c>
      <c r="X204" s="29">
        <v>283</v>
      </c>
      <c r="Y204" s="29">
        <v>90454</v>
      </c>
      <c r="AA204" s="7" t="b">
        <f t="shared" si="13"/>
        <v>0</v>
      </c>
      <c r="AC204" s="34" t="str">
        <f>HYPERLINK("#일위대가_호표!A1307","NT1060 →")</f>
        <v>NT1060 →</v>
      </c>
    </row>
    <row r="205" spans="1:29" ht="18.399999999999999" customHeight="1" x14ac:dyDescent="0.15">
      <c r="A205" s="11" t="s">
        <v>61</v>
      </c>
      <c r="B205" s="2" t="s">
        <v>1335</v>
      </c>
      <c r="C205" s="2">
        <v>1</v>
      </c>
      <c r="D205" s="2" t="s">
        <v>556</v>
      </c>
      <c r="E205" s="29">
        <f t="shared" si="12"/>
        <v>169335</v>
      </c>
      <c r="F205" s="29">
        <f>'일위대가_호표(신규)'!H1362</f>
        <v>2799</v>
      </c>
      <c r="G205" s="29"/>
      <c r="H205" s="29">
        <f>'일위대가_호표(신규)'!J1362</f>
        <v>165972</v>
      </c>
      <c r="I205" s="29"/>
      <c r="J205" s="29">
        <f>'일위대가_호표(신규)'!L1362</f>
        <v>564</v>
      </c>
      <c r="K205" s="20" t="s">
        <v>2856</v>
      </c>
      <c r="L205" t="s">
        <v>2856</v>
      </c>
      <c r="M205" t="s">
        <v>801</v>
      </c>
      <c r="N205" t="s">
        <v>1778</v>
      </c>
      <c r="V205" s="29">
        <v>2665</v>
      </c>
      <c r="W205" s="29">
        <v>165972</v>
      </c>
      <c r="X205" s="29">
        <v>564</v>
      </c>
      <c r="Y205" s="29">
        <v>169201</v>
      </c>
      <c r="AA205" s="7" t="b">
        <f t="shared" si="13"/>
        <v>0</v>
      </c>
      <c r="AC205" s="34" t="str">
        <f>HYPERLINK("#일위대가_호표!A1316","NT1080 →")</f>
        <v>NT1080 →</v>
      </c>
    </row>
    <row r="206" spans="1:29" ht="18.399999999999999" customHeight="1" x14ac:dyDescent="0.15">
      <c r="A206" s="11" t="s">
        <v>2550</v>
      </c>
      <c r="B206" s="2" t="s">
        <v>1702</v>
      </c>
      <c r="C206" s="2">
        <v>1</v>
      </c>
      <c r="D206" s="2" t="s">
        <v>556</v>
      </c>
      <c r="E206" s="29">
        <f t="shared" si="12"/>
        <v>48760</v>
      </c>
      <c r="F206" s="29">
        <f>'일위대가_호표(신규)'!H1371</f>
        <v>661</v>
      </c>
      <c r="G206" s="29"/>
      <c r="H206" s="29">
        <f>'일위대가_호표(신규)'!J1371</f>
        <v>47966</v>
      </c>
      <c r="I206" s="29"/>
      <c r="J206" s="29">
        <f>'일위대가_호표(신규)'!L1371</f>
        <v>133</v>
      </c>
      <c r="K206" s="20" t="s">
        <v>2856</v>
      </c>
      <c r="L206" t="s">
        <v>2856</v>
      </c>
      <c r="M206" t="s">
        <v>2272</v>
      </c>
      <c r="N206" t="s">
        <v>1778</v>
      </c>
      <c r="V206" s="29">
        <v>629</v>
      </c>
      <c r="W206" s="29">
        <v>47966</v>
      </c>
      <c r="X206" s="29">
        <v>133</v>
      </c>
      <c r="Y206" s="29">
        <v>48728</v>
      </c>
      <c r="AA206" s="7" t="b">
        <f t="shared" si="13"/>
        <v>0</v>
      </c>
      <c r="AC206" s="34" t="str">
        <f>HYPERLINK("#일위대가_호표!A1325","NT1045 →")</f>
        <v>NT1045 →</v>
      </c>
    </row>
    <row r="207" spans="1:29" ht="18.399999999999999" customHeight="1" x14ac:dyDescent="0.15">
      <c r="A207" s="11" t="s">
        <v>1426</v>
      </c>
      <c r="B207" s="2" t="s">
        <v>1277</v>
      </c>
      <c r="C207" s="2">
        <v>1</v>
      </c>
      <c r="D207" s="2" t="s">
        <v>556</v>
      </c>
      <c r="E207" s="29">
        <f t="shared" si="12"/>
        <v>58903</v>
      </c>
      <c r="F207" s="29">
        <f>'일위대가_호표(신규)'!H1380</f>
        <v>825</v>
      </c>
      <c r="G207" s="29"/>
      <c r="H207" s="29">
        <f>'일위대가_호표(신규)'!J1380</f>
        <v>57911</v>
      </c>
      <c r="I207" s="29"/>
      <c r="J207" s="29">
        <f>'일위대가_호표(신규)'!L1380</f>
        <v>167</v>
      </c>
      <c r="K207" s="20" t="s">
        <v>2856</v>
      </c>
      <c r="L207" t="s">
        <v>2856</v>
      </c>
      <c r="M207" t="s">
        <v>63</v>
      </c>
      <c r="N207" t="s">
        <v>1778</v>
      </c>
      <c r="V207" s="29">
        <v>786</v>
      </c>
      <c r="W207" s="29">
        <v>57911</v>
      </c>
      <c r="X207" s="29">
        <v>167</v>
      </c>
      <c r="Y207" s="29">
        <v>58864</v>
      </c>
      <c r="AA207" s="7" t="b">
        <f t="shared" si="13"/>
        <v>0</v>
      </c>
      <c r="AC207" s="34" t="str">
        <f>HYPERLINK("#일위대가_호표!A1334","NT1050 →")</f>
        <v>NT1050 →</v>
      </c>
    </row>
    <row r="208" spans="1:29" ht="18.399999999999999" customHeight="1" x14ac:dyDescent="0.15">
      <c r="A208" s="11" t="s">
        <v>1102</v>
      </c>
      <c r="B208" s="2" t="s">
        <v>1583</v>
      </c>
      <c r="C208" s="2">
        <v>1</v>
      </c>
      <c r="D208" s="2" t="s">
        <v>556</v>
      </c>
      <c r="E208" s="29">
        <f t="shared" si="12"/>
        <v>35038</v>
      </c>
      <c r="F208" s="29">
        <f>'일위대가_호표(신규)'!H1389</f>
        <v>438</v>
      </c>
      <c r="G208" s="29"/>
      <c r="H208" s="29">
        <f>'일위대가_호표(신규)'!J1389</f>
        <v>34511</v>
      </c>
      <c r="I208" s="29"/>
      <c r="J208" s="29">
        <f>'일위대가_호표(신규)'!L1389</f>
        <v>89</v>
      </c>
      <c r="K208" s="20" t="s">
        <v>2856</v>
      </c>
      <c r="L208" t="s">
        <v>2856</v>
      </c>
      <c r="M208" t="s">
        <v>761</v>
      </c>
      <c r="N208" t="s">
        <v>1778</v>
      </c>
      <c r="V208" s="29">
        <v>417</v>
      </c>
      <c r="W208" s="29">
        <v>34511</v>
      </c>
      <c r="X208" s="29">
        <v>89</v>
      </c>
      <c r="Y208" s="29">
        <v>35017</v>
      </c>
      <c r="AA208" s="7" t="b">
        <f t="shared" si="13"/>
        <v>0</v>
      </c>
      <c r="AC208" s="34" t="str">
        <f>HYPERLINK("#일위대가_호표!A1343","NT1040 →")</f>
        <v>NT1040 →</v>
      </c>
    </row>
    <row r="209" spans="1:29" ht="18.399999999999999" customHeight="1" x14ac:dyDescent="0.15">
      <c r="A209" s="11" t="s">
        <v>42</v>
      </c>
      <c r="B209" s="2" t="s">
        <v>297</v>
      </c>
      <c r="C209" s="2">
        <v>1</v>
      </c>
      <c r="D209" s="2" t="s">
        <v>556</v>
      </c>
      <c r="E209" s="29">
        <f t="shared" si="12"/>
        <v>28462</v>
      </c>
      <c r="F209" s="29">
        <f>'일위대가_호표(신규)'!H1398</f>
        <v>321</v>
      </c>
      <c r="G209" s="29"/>
      <c r="H209" s="29">
        <f>'일위대가_호표(신규)'!J1398</f>
        <v>28076</v>
      </c>
      <c r="I209" s="29"/>
      <c r="J209" s="29">
        <f>'일위대가_호표(신규)'!L1398</f>
        <v>65</v>
      </c>
      <c r="K209" s="20" t="s">
        <v>2856</v>
      </c>
      <c r="L209" t="s">
        <v>2856</v>
      </c>
      <c r="M209" t="s">
        <v>1464</v>
      </c>
      <c r="N209" t="s">
        <v>1778</v>
      </c>
      <c r="V209" s="29">
        <v>306</v>
      </c>
      <c r="W209" s="29">
        <v>28076</v>
      </c>
      <c r="X209" s="29">
        <v>65</v>
      </c>
      <c r="Y209" s="29">
        <v>28447</v>
      </c>
      <c r="AA209" s="7" t="b">
        <f t="shared" si="13"/>
        <v>0</v>
      </c>
      <c r="AC209" s="34" t="str">
        <f>HYPERLINK("#일위대가_호표!A1352","NT1030 →")</f>
        <v>NT1030 →</v>
      </c>
    </row>
    <row r="210" spans="1:29" ht="18.399999999999999" customHeight="1" x14ac:dyDescent="0.15">
      <c r="A210" s="11" t="s">
        <v>2536</v>
      </c>
      <c r="B210" s="2" t="s">
        <v>137</v>
      </c>
      <c r="C210" s="2">
        <v>1</v>
      </c>
      <c r="D210" s="2" t="s">
        <v>556</v>
      </c>
      <c r="E210" s="29">
        <f t="shared" si="12"/>
        <v>22069</v>
      </c>
      <c r="F210" s="29">
        <f>'일위대가_호표(신규)'!H1407</f>
        <v>217</v>
      </c>
      <c r="G210" s="29"/>
      <c r="H210" s="29">
        <f>'일위대가_호표(신규)'!J1407</f>
        <v>21808</v>
      </c>
      <c r="I210" s="29"/>
      <c r="J210" s="29">
        <f>'일위대가_호표(신규)'!L1407</f>
        <v>44</v>
      </c>
      <c r="K210" s="20" t="s">
        <v>2856</v>
      </c>
      <c r="L210" t="s">
        <v>2856</v>
      </c>
      <c r="M210" t="s">
        <v>2167</v>
      </c>
      <c r="N210" t="s">
        <v>1778</v>
      </c>
      <c r="V210" s="29">
        <v>207</v>
      </c>
      <c r="W210" s="29">
        <v>21808</v>
      </c>
      <c r="X210" s="29">
        <v>44</v>
      </c>
      <c r="Y210" s="29">
        <v>22059</v>
      </c>
      <c r="AA210" s="7" t="b">
        <f t="shared" si="13"/>
        <v>0</v>
      </c>
      <c r="AC210" s="34" t="str">
        <f>HYPERLINK("#일위대가_호표!A1361","NT1020 →")</f>
        <v>NT1020 →</v>
      </c>
    </row>
    <row r="211" spans="1:29" ht="18.399999999999999" customHeight="1" x14ac:dyDescent="0.15">
      <c r="A211" s="11" t="s">
        <v>1860</v>
      </c>
      <c r="B211" s="2" t="s">
        <v>1467</v>
      </c>
      <c r="C211" s="2">
        <v>1</v>
      </c>
      <c r="D211" s="2" t="s">
        <v>556</v>
      </c>
      <c r="E211" s="29">
        <f t="shared" si="12"/>
        <v>668</v>
      </c>
      <c r="F211" s="29">
        <f>'일위대가_호표(신규)'!H1416</f>
        <v>0</v>
      </c>
      <c r="G211" s="29"/>
      <c r="H211" s="29">
        <f>'일위대가_호표(신규)'!J1416</f>
        <v>668</v>
      </c>
      <c r="I211" s="29"/>
      <c r="J211" s="29">
        <f>'일위대가_호표(신규)'!L1416</f>
        <v>0</v>
      </c>
      <c r="K211" s="20" t="s">
        <v>2856</v>
      </c>
      <c r="L211" t="s">
        <v>2856</v>
      </c>
      <c r="M211" t="s">
        <v>2548</v>
      </c>
      <c r="N211" t="s">
        <v>1778</v>
      </c>
      <c r="V211" s="29">
        <v>0</v>
      </c>
      <c r="W211" s="29">
        <v>668</v>
      </c>
      <c r="X211" s="29">
        <v>0</v>
      </c>
      <c r="Y211" s="29">
        <v>668</v>
      </c>
      <c r="AA211" s="7" t="b">
        <f t="shared" si="13"/>
        <v>1</v>
      </c>
      <c r="AC211" s="34" t="str">
        <f>HYPERLINK("#일위대가_호표!A1370","NT1300-08 →")</f>
        <v>NT1300-08 →</v>
      </c>
    </row>
    <row r="212" spans="1:29" ht="18.399999999999999" customHeight="1" x14ac:dyDescent="0.15">
      <c r="A212" s="11" t="s">
        <v>1211</v>
      </c>
      <c r="B212" s="2" t="s">
        <v>1777</v>
      </c>
      <c r="C212" s="2">
        <v>1</v>
      </c>
      <c r="D212" s="2" t="s">
        <v>556</v>
      </c>
      <c r="E212" s="29">
        <f t="shared" si="12"/>
        <v>8005</v>
      </c>
      <c r="F212" s="29">
        <f>'일위대가_호표(신규)'!H1420</f>
        <v>57</v>
      </c>
      <c r="G212" s="29"/>
      <c r="H212" s="29">
        <f>'일위대가_호표(신규)'!J1420</f>
        <v>7937</v>
      </c>
      <c r="I212" s="29"/>
      <c r="J212" s="29">
        <f>'일위대가_호표(신규)'!L1420</f>
        <v>11</v>
      </c>
      <c r="K212" s="20" t="s">
        <v>2856</v>
      </c>
      <c r="L212" t="s">
        <v>2856</v>
      </c>
      <c r="M212" t="s">
        <v>701</v>
      </c>
      <c r="N212" t="s">
        <v>1778</v>
      </c>
      <c r="V212" s="29">
        <v>55</v>
      </c>
      <c r="W212" s="29">
        <v>7937</v>
      </c>
      <c r="X212" s="29">
        <v>11</v>
      </c>
      <c r="Y212" s="29">
        <v>8003</v>
      </c>
      <c r="AA212" s="7" t="b">
        <f t="shared" si="13"/>
        <v>0</v>
      </c>
      <c r="AC212" s="34" t="str">
        <f>HYPERLINK("#일위대가_호표!A1374","NT1000 →")</f>
        <v>NT1000 →</v>
      </c>
    </row>
    <row r="213" spans="1:29" ht="18.399999999999999" customHeight="1" x14ac:dyDescent="0.15">
      <c r="A213" s="11" t="s">
        <v>548</v>
      </c>
      <c r="B213" s="2" t="s">
        <v>1848</v>
      </c>
      <c r="C213" s="2">
        <v>1</v>
      </c>
      <c r="D213" s="2" t="s">
        <v>556</v>
      </c>
      <c r="E213" s="29">
        <f t="shared" si="12"/>
        <v>1606660</v>
      </c>
      <c r="F213" s="29">
        <f>'일위대가_호표(신규)'!H1432</f>
        <v>31283</v>
      </c>
      <c r="G213" s="29"/>
      <c r="H213" s="29">
        <f>'일위대가_호표(신규)'!J1432</f>
        <v>1569074</v>
      </c>
      <c r="I213" s="29"/>
      <c r="J213" s="29">
        <f>'일위대가_호표(신규)'!L1432</f>
        <v>6303</v>
      </c>
      <c r="K213" s="20" t="s">
        <v>2856</v>
      </c>
      <c r="L213" t="s">
        <v>2856</v>
      </c>
      <c r="M213" t="s">
        <v>550</v>
      </c>
      <c r="N213" t="s">
        <v>1778</v>
      </c>
      <c r="V213" s="29">
        <v>29791</v>
      </c>
      <c r="W213" s="29">
        <v>1569074</v>
      </c>
      <c r="X213" s="29">
        <v>6303</v>
      </c>
      <c r="Y213" s="29">
        <v>1605168</v>
      </c>
      <c r="AA213" s="7" t="b">
        <f t="shared" si="13"/>
        <v>0</v>
      </c>
      <c r="AC213" s="34" t="str">
        <f>HYPERLINK("#일위대가_호표!A1386","NT1150 →")</f>
        <v>NT1150 →</v>
      </c>
    </row>
    <row r="214" spans="1:29" ht="18.399999999999999" customHeight="1" x14ac:dyDescent="0.15">
      <c r="A214" s="11" t="s">
        <v>2353</v>
      </c>
      <c r="B214" s="2" t="s">
        <v>730</v>
      </c>
      <c r="C214" s="2">
        <v>1</v>
      </c>
      <c r="D214" s="2" t="s">
        <v>556</v>
      </c>
      <c r="E214" s="29">
        <f t="shared" si="12"/>
        <v>188194</v>
      </c>
      <c r="F214" s="29">
        <f>'일위대가_호표(신규)'!H1441</f>
        <v>3192</v>
      </c>
      <c r="G214" s="29"/>
      <c r="H214" s="29">
        <f>'일위대가_호표(신규)'!J1441</f>
        <v>184359</v>
      </c>
      <c r="I214" s="29"/>
      <c r="J214" s="29">
        <f>'일위대가_호표(신규)'!L1441</f>
        <v>643</v>
      </c>
      <c r="K214" s="20" t="s">
        <v>2856</v>
      </c>
      <c r="L214" t="s">
        <v>2856</v>
      </c>
      <c r="M214" t="s">
        <v>2229</v>
      </c>
      <c r="N214" t="s">
        <v>1778</v>
      </c>
      <c r="V214" s="29">
        <v>3040</v>
      </c>
      <c r="W214" s="29">
        <v>184359</v>
      </c>
      <c r="X214" s="29">
        <v>643</v>
      </c>
      <c r="Y214" s="29">
        <v>188042</v>
      </c>
      <c r="AA214" s="7" t="b">
        <f t="shared" si="13"/>
        <v>0</v>
      </c>
      <c r="AC214" s="34" t="str">
        <f>HYPERLINK("#일위대가_호표!A1395","NT1085 →")</f>
        <v>NT1085 →</v>
      </c>
    </row>
    <row r="215" spans="1:29" ht="18.399999999999999" customHeight="1" x14ac:dyDescent="0.15">
      <c r="A215" s="11" t="s">
        <v>1979</v>
      </c>
      <c r="B215" s="2" t="s">
        <v>1925</v>
      </c>
      <c r="C215" s="2">
        <v>1</v>
      </c>
      <c r="D215" s="2" t="s">
        <v>556</v>
      </c>
      <c r="E215" s="29">
        <f t="shared" si="12"/>
        <v>334850</v>
      </c>
      <c r="F215" s="29">
        <f>'일위대가_호표(신규)'!H1450</f>
        <v>5957</v>
      </c>
      <c r="G215" s="29"/>
      <c r="H215" s="29">
        <f>'일위대가_호표(신규)'!J1450</f>
        <v>327692</v>
      </c>
      <c r="I215" s="29"/>
      <c r="J215" s="29">
        <f>'일위대가_호표(신규)'!L1450</f>
        <v>1201</v>
      </c>
      <c r="K215" s="20" t="s">
        <v>2856</v>
      </c>
      <c r="L215" t="s">
        <v>2856</v>
      </c>
      <c r="M215" t="s">
        <v>1332</v>
      </c>
      <c r="N215" t="s">
        <v>1778</v>
      </c>
      <c r="V215" s="29">
        <v>5673</v>
      </c>
      <c r="W215" s="29">
        <v>327692</v>
      </c>
      <c r="X215" s="29">
        <v>1201</v>
      </c>
      <c r="Y215" s="29">
        <v>334566</v>
      </c>
      <c r="AA215" s="7" t="b">
        <f t="shared" si="13"/>
        <v>0</v>
      </c>
      <c r="AC215" s="34" t="str">
        <f>HYPERLINK("#일위대가_호표!A1404","NT1100 →")</f>
        <v>NT1100 →</v>
      </c>
    </row>
    <row r="216" spans="1:29" ht="18.399999999999999" customHeight="1" x14ac:dyDescent="0.15">
      <c r="A216" s="11" t="s">
        <v>903</v>
      </c>
      <c r="B216" s="2" t="s">
        <v>1618</v>
      </c>
      <c r="C216" s="2">
        <v>1</v>
      </c>
      <c r="D216" s="2" t="s">
        <v>556</v>
      </c>
      <c r="E216" s="29">
        <f t="shared" si="12"/>
        <v>119090</v>
      </c>
      <c r="F216" s="29">
        <f>'일위대가_호표(신규)'!H1459</f>
        <v>1881</v>
      </c>
      <c r="G216" s="29"/>
      <c r="H216" s="29">
        <f>'일위대가_호표(신규)'!J1459</f>
        <v>116830</v>
      </c>
      <c r="I216" s="29"/>
      <c r="J216" s="29">
        <f>'일위대가_호표(신규)'!L1459</f>
        <v>379</v>
      </c>
      <c r="K216" s="20" t="s">
        <v>2856</v>
      </c>
      <c r="L216" t="s">
        <v>2856</v>
      </c>
      <c r="M216" t="s">
        <v>1508</v>
      </c>
      <c r="N216" t="s">
        <v>1778</v>
      </c>
      <c r="V216" s="29">
        <v>1792</v>
      </c>
      <c r="W216" s="29">
        <v>116830</v>
      </c>
      <c r="X216" s="29">
        <v>379</v>
      </c>
      <c r="Y216" s="29">
        <v>119001</v>
      </c>
      <c r="AA216" s="7" t="b">
        <f t="shared" si="13"/>
        <v>0</v>
      </c>
      <c r="AC216" s="34" t="str">
        <f>HYPERLINK("#일위대가_호표!A1413","NT1070 →")</f>
        <v>NT1070 →</v>
      </c>
    </row>
    <row r="217" spans="1:29" ht="18.399999999999999" customHeight="1" x14ac:dyDescent="0.15">
      <c r="A217" s="11" t="s">
        <v>486</v>
      </c>
      <c r="B217" s="2" t="s">
        <v>2192</v>
      </c>
      <c r="C217" s="2">
        <v>1</v>
      </c>
      <c r="D217" s="2" t="s">
        <v>556</v>
      </c>
      <c r="E217" s="29">
        <f t="shared" si="12"/>
        <v>598895</v>
      </c>
      <c r="F217" s="29">
        <f>'일위대가_호표(신규)'!H1468</f>
        <v>50057</v>
      </c>
      <c r="G217" s="29"/>
      <c r="H217" s="29">
        <f>'일위대가_호표(신규)'!J1468</f>
        <v>443066</v>
      </c>
      <c r="I217" s="29"/>
      <c r="J217" s="29">
        <f>'일위대가_호표(신규)'!L1468</f>
        <v>105772</v>
      </c>
      <c r="K217" s="20" t="s">
        <v>2856</v>
      </c>
      <c r="L217" t="s">
        <v>2856</v>
      </c>
      <c r="M217" t="s">
        <v>2141</v>
      </c>
      <c r="N217" t="s">
        <v>1778</v>
      </c>
      <c r="V217" s="29">
        <v>50057</v>
      </c>
      <c r="W217" s="29">
        <v>443066</v>
      </c>
      <c r="X217" s="29">
        <v>105772</v>
      </c>
      <c r="Y217" s="29">
        <v>598895</v>
      </c>
      <c r="AA217" s="7" t="b">
        <f t="shared" si="13"/>
        <v>1</v>
      </c>
      <c r="AC217" s="34" t="str">
        <f>HYPERLINK("#일위대가_호표!A1422","NT205-25 →")</f>
        <v>NT205-25 →</v>
      </c>
    </row>
    <row r="218" spans="1:29" ht="18.399999999999999" customHeight="1" x14ac:dyDescent="0.15">
      <c r="A218" s="11" t="s">
        <v>725</v>
      </c>
      <c r="B218" s="2" t="s">
        <v>2526</v>
      </c>
      <c r="C218" s="2">
        <v>1</v>
      </c>
      <c r="D218" s="2" t="s">
        <v>556</v>
      </c>
      <c r="E218" s="29">
        <f t="shared" si="12"/>
        <v>1170507</v>
      </c>
      <c r="F218" s="29">
        <f>'일위대가_호표(신규)'!H1472</f>
        <v>104695</v>
      </c>
      <c r="G218" s="29"/>
      <c r="H218" s="29">
        <f>'일위대가_호표(신규)'!J1472</f>
        <v>785059</v>
      </c>
      <c r="I218" s="29"/>
      <c r="J218" s="29">
        <f>'일위대가_호표(신규)'!L1472</f>
        <v>280753</v>
      </c>
      <c r="K218" s="20" t="s">
        <v>2856</v>
      </c>
      <c r="L218" t="s">
        <v>2856</v>
      </c>
      <c r="M218" t="s">
        <v>2845</v>
      </c>
      <c r="N218" t="s">
        <v>1778</v>
      </c>
      <c r="V218" s="29">
        <v>104695</v>
      </c>
      <c r="W218" s="29">
        <v>785059</v>
      </c>
      <c r="X218" s="29">
        <v>280753</v>
      </c>
      <c r="Y218" s="29">
        <v>1170507</v>
      </c>
      <c r="AA218" s="7" t="b">
        <f t="shared" si="13"/>
        <v>1</v>
      </c>
      <c r="AC218" s="34" t="str">
        <f>HYPERLINK("#일위대가_호표!A1426","NT205-35 →")</f>
        <v>NT205-35 →</v>
      </c>
    </row>
    <row r="219" spans="1:29" ht="18.399999999999999" customHeight="1" x14ac:dyDescent="0.15">
      <c r="A219" s="11" t="s">
        <v>1993</v>
      </c>
      <c r="B219" s="2" t="s">
        <v>581</v>
      </c>
      <c r="C219" s="2">
        <v>1</v>
      </c>
      <c r="D219" s="2" t="s">
        <v>556</v>
      </c>
      <c r="E219" s="29">
        <f t="shared" si="12"/>
        <v>822785</v>
      </c>
      <c r="F219" s="29">
        <f>'일위대가_호표(신규)'!H1476</f>
        <v>69565</v>
      </c>
      <c r="G219" s="29"/>
      <c r="H219" s="29">
        <f>'일위대가_호표(신규)'!J1476</f>
        <v>598140</v>
      </c>
      <c r="I219" s="29"/>
      <c r="J219" s="29">
        <f>'일위대가_호표(신규)'!L1476</f>
        <v>155080</v>
      </c>
      <c r="K219" s="20" t="s">
        <v>2856</v>
      </c>
      <c r="L219" t="s">
        <v>2856</v>
      </c>
      <c r="M219" t="s">
        <v>1268</v>
      </c>
      <c r="N219" t="s">
        <v>1778</v>
      </c>
      <c r="V219" s="29">
        <v>69565</v>
      </c>
      <c r="W219" s="29">
        <v>598140</v>
      </c>
      <c r="X219" s="29">
        <v>155080</v>
      </c>
      <c r="Y219" s="29">
        <v>822785</v>
      </c>
      <c r="AA219" s="7" t="b">
        <f t="shared" si="13"/>
        <v>1</v>
      </c>
      <c r="AC219" s="34" t="str">
        <f>HYPERLINK("#일위대가_호표!A1430","NT205-30 →")</f>
        <v>NT205-30 →</v>
      </c>
    </row>
    <row r="220" spans="1:29" ht="18.399999999999999" customHeight="1" x14ac:dyDescent="0.15">
      <c r="A220" s="11" t="s">
        <v>2474</v>
      </c>
      <c r="B220" s="2" t="s">
        <v>2572</v>
      </c>
      <c r="C220" s="2">
        <v>1</v>
      </c>
      <c r="D220" s="2" t="s">
        <v>556</v>
      </c>
      <c r="E220" s="29">
        <f t="shared" si="12"/>
        <v>195123</v>
      </c>
      <c r="F220" s="29">
        <f>'일위대가_호표(신규)'!H1480</f>
        <v>16853</v>
      </c>
      <c r="G220" s="29"/>
      <c r="H220" s="29">
        <f>'일위대가_호표(신규)'!J1480</f>
        <v>161829</v>
      </c>
      <c r="I220" s="29"/>
      <c r="J220" s="29">
        <f>'일위대가_호표(신규)'!L1480</f>
        <v>16441</v>
      </c>
      <c r="K220" s="20" t="s">
        <v>2856</v>
      </c>
      <c r="L220" t="s">
        <v>2856</v>
      </c>
      <c r="M220" t="s">
        <v>2611</v>
      </c>
      <c r="N220" t="s">
        <v>1778</v>
      </c>
      <c r="V220" s="29">
        <v>16853</v>
      </c>
      <c r="W220" s="29">
        <v>161829</v>
      </c>
      <c r="X220" s="29">
        <v>16441</v>
      </c>
      <c r="Y220" s="29">
        <v>195123</v>
      </c>
      <c r="AA220" s="7" t="b">
        <f t="shared" si="13"/>
        <v>1</v>
      </c>
      <c r="AC220" s="34" t="str">
        <f>HYPERLINK("#일위대가_호표!A1434","NT205-14 →")</f>
        <v>NT205-14 →</v>
      </c>
    </row>
    <row r="221" spans="1:29" ht="18.399999999999999" customHeight="1" x14ac:dyDescent="0.15">
      <c r="A221" s="11" t="s">
        <v>1908</v>
      </c>
      <c r="B221" s="2" t="s">
        <v>2568</v>
      </c>
      <c r="C221" s="2">
        <v>1</v>
      </c>
      <c r="D221" s="2" t="s">
        <v>556</v>
      </c>
      <c r="E221" s="29">
        <f t="shared" si="12"/>
        <v>285065</v>
      </c>
      <c r="F221" s="29">
        <f>'일위대가_호표(신규)'!H1484</f>
        <v>24622</v>
      </c>
      <c r="G221" s="29"/>
      <c r="H221" s="29">
        <f>'일위대가_호표(신규)'!J1484</f>
        <v>236423</v>
      </c>
      <c r="I221" s="29"/>
      <c r="J221" s="29">
        <f>'일위대가_호표(신규)'!L1484</f>
        <v>24020</v>
      </c>
      <c r="K221" s="20" t="s">
        <v>2856</v>
      </c>
      <c r="L221" t="s">
        <v>2856</v>
      </c>
      <c r="M221" t="s">
        <v>520</v>
      </c>
      <c r="N221" t="s">
        <v>1778</v>
      </c>
      <c r="V221" s="29">
        <v>24622</v>
      </c>
      <c r="W221" s="29">
        <v>236423</v>
      </c>
      <c r="X221" s="29">
        <v>24020</v>
      </c>
      <c r="Y221" s="29">
        <v>285065</v>
      </c>
      <c r="AA221" s="7" t="b">
        <f t="shared" si="13"/>
        <v>1</v>
      </c>
      <c r="AC221" s="34" t="str">
        <f>HYPERLINK("#일위대가_호표!A1438","NT205-20 →")</f>
        <v>NT205-20 →</v>
      </c>
    </row>
    <row r="222" spans="1:29" ht="18.399999999999999" customHeight="1" x14ac:dyDescent="0.15">
      <c r="A222" s="11" t="s">
        <v>2181</v>
      </c>
      <c r="B222" s="2" t="s">
        <v>1301</v>
      </c>
      <c r="C222" s="2">
        <v>1</v>
      </c>
      <c r="D222" s="2" t="s">
        <v>556</v>
      </c>
      <c r="E222" s="29">
        <f t="shared" si="12"/>
        <v>1702511</v>
      </c>
      <c r="F222" s="29">
        <f>'일위대가_호표(신규)'!H1488</f>
        <v>182560</v>
      </c>
      <c r="G222" s="29"/>
      <c r="H222" s="29">
        <f>'일위대가_호표(신규)'!J1488</f>
        <v>1017669</v>
      </c>
      <c r="I222" s="29"/>
      <c r="J222" s="29">
        <f>'일위대가_호표(신규)'!L1488</f>
        <v>502282</v>
      </c>
      <c r="K222" s="20" t="s">
        <v>2856</v>
      </c>
      <c r="L222" t="s">
        <v>2856</v>
      </c>
      <c r="M222" t="s">
        <v>2037</v>
      </c>
      <c r="N222" t="s">
        <v>1778</v>
      </c>
      <c r="V222" s="29">
        <v>182560</v>
      </c>
      <c r="W222" s="29">
        <v>1017669</v>
      </c>
      <c r="X222" s="29">
        <v>502282</v>
      </c>
      <c r="Y222" s="29">
        <v>1702511</v>
      </c>
      <c r="AA222" s="7" t="b">
        <f t="shared" si="13"/>
        <v>1</v>
      </c>
      <c r="AC222" s="34" t="str">
        <f>HYPERLINK("#일위대가_호표!A1442","NT205-40 →")</f>
        <v>NT205-40 →</v>
      </c>
    </row>
    <row r="223" spans="1:29" ht="18.399999999999999" customHeight="1" x14ac:dyDescent="0.15">
      <c r="A223" s="11" t="s">
        <v>393</v>
      </c>
      <c r="B223" s="2" t="s">
        <v>1635</v>
      </c>
      <c r="C223" s="2">
        <v>1</v>
      </c>
      <c r="D223" s="2" t="s">
        <v>556</v>
      </c>
      <c r="E223" s="29">
        <f t="shared" si="12"/>
        <v>153659</v>
      </c>
      <c r="F223" s="29">
        <f>'일위대가_호표(신규)'!H1492</f>
        <v>13272</v>
      </c>
      <c r="G223" s="29"/>
      <c r="H223" s="29">
        <f>'일위대가_호표(신규)'!J1492</f>
        <v>127440</v>
      </c>
      <c r="I223" s="29"/>
      <c r="J223" s="29">
        <f>'일위대가_호표(신규)'!L1492</f>
        <v>12947</v>
      </c>
      <c r="K223" s="20" t="s">
        <v>2856</v>
      </c>
      <c r="L223" t="s">
        <v>2856</v>
      </c>
      <c r="M223" t="s">
        <v>2486</v>
      </c>
      <c r="N223" t="s">
        <v>1778</v>
      </c>
      <c r="V223" s="29">
        <v>13272</v>
      </c>
      <c r="W223" s="29">
        <v>127440</v>
      </c>
      <c r="X223" s="29">
        <v>12947</v>
      </c>
      <c r="Y223" s="29">
        <v>153659</v>
      </c>
      <c r="AA223" s="7" t="b">
        <f t="shared" si="13"/>
        <v>1</v>
      </c>
      <c r="AC223" s="34" t="str">
        <f>HYPERLINK("#일위대가_호표!A1446","NT205-12 →")</f>
        <v>NT205-12 →</v>
      </c>
    </row>
    <row r="224" spans="1:29" ht="18.399999999999999" customHeight="1" x14ac:dyDescent="0.15">
      <c r="A224" s="11" t="s">
        <v>838</v>
      </c>
      <c r="B224" s="2" t="s">
        <v>2520</v>
      </c>
      <c r="C224" s="2">
        <v>1</v>
      </c>
      <c r="D224" s="2" t="s">
        <v>556</v>
      </c>
      <c r="E224" s="29">
        <f t="shared" si="12"/>
        <v>233234</v>
      </c>
      <c r="F224" s="29">
        <f>'일위대가_호표(신규)'!H1496</f>
        <v>20145</v>
      </c>
      <c r="G224" s="29"/>
      <c r="H224" s="29">
        <f>'일위대가_호표(신규)'!J1496</f>
        <v>193437</v>
      </c>
      <c r="I224" s="29"/>
      <c r="J224" s="29">
        <f>'일위대가_호표(신규)'!L1496</f>
        <v>19652</v>
      </c>
      <c r="K224" s="20" t="s">
        <v>2856</v>
      </c>
      <c r="L224" t="s">
        <v>2856</v>
      </c>
      <c r="M224" t="s">
        <v>2163</v>
      </c>
      <c r="N224" t="s">
        <v>1778</v>
      </c>
      <c r="V224" s="29">
        <v>20145</v>
      </c>
      <c r="W224" s="29">
        <v>193437</v>
      </c>
      <c r="X224" s="29">
        <v>19652</v>
      </c>
      <c r="Y224" s="29">
        <v>233234</v>
      </c>
      <c r="AA224" s="7" t="b">
        <f t="shared" si="13"/>
        <v>1</v>
      </c>
      <c r="AC224" s="34" t="str">
        <f>HYPERLINK("#일위대가_호표!A1450","NT205-18 →")</f>
        <v>NT205-18 →</v>
      </c>
    </row>
    <row r="225" spans="1:29" ht="18.399999999999999" customHeight="1" x14ac:dyDescent="0.15">
      <c r="A225" s="11" t="s">
        <v>68</v>
      </c>
      <c r="B225" s="2" t="s">
        <v>1266</v>
      </c>
      <c r="C225" s="2">
        <v>1</v>
      </c>
      <c r="D225" s="2" t="s">
        <v>556</v>
      </c>
      <c r="E225" s="29">
        <f t="shared" si="12"/>
        <v>129575</v>
      </c>
      <c r="F225" s="29">
        <f>'일위대가_호표(신규)'!H1500</f>
        <v>11192</v>
      </c>
      <c r="G225" s="29"/>
      <c r="H225" s="29">
        <f>'일위대가_호표(신규)'!J1500</f>
        <v>107465</v>
      </c>
      <c r="I225" s="29"/>
      <c r="J225" s="29">
        <f>'일위대가_호표(신규)'!L1500</f>
        <v>10918</v>
      </c>
      <c r="K225" s="20" t="s">
        <v>2856</v>
      </c>
      <c r="L225" t="s">
        <v>2856</v>
      </c>
      <c r="M225" t="s">
        <v>1740</v>
      </c>
      <c r="N225" t="s">
        <v>1778</v>
      </c>
      <c r="V225" s="29">
        <v>11192</v>
      </c>
      <c r="W225" s="29">
        <v>107465</v>
      </c>
      <c r="X225" s="29">
        <v>10918</v>
      </c>
      <c r="Y225" s="29">
        <v>129575</v>
      </c>
      <c r="AA225" s="7" t="b">
        <f t="shared" si="13"/>
        <v>1</v>
      </c>
      <c r="AC225" s="34" t="str">
        <f>HYPERLINK("#일위대가_호표!A1454","NT0763 →")</f>
        <v>NT0763 →</v>
      </c>
    </row>
    <row r="226" spans="1:29" ht="18.399999999999999" customHeight="1" x14ac:dyDescent="0.15">
      <c r="A226" s="11" t="s">
        <v>357</v>
      </c>
      <c r="B226" s="2" t="s">
        <v>243</v>
      </c>
      <c r="C226" s="2">
        <v>1</v>
      </c>
      <c r="D226" s="2" t="s">
        <v>556</v>
      </c>
      <c r="E226" s="29">
        <f t="shared" si="12"/>
        <v>81611</v>
      </c>
      <c r="F226" s="29">
        <f>'일위대가_호표(신규)'!H1507</f>
        <v>0</v>
      </c>
      <c r="G226" s="29"/>
      <c r="H226" s="29">
        <f>'일위대가_호표(신규)'!J1507</f>
        <v>81611</v>
      </c>
      <c r="I226" s="29"/>
      <c r="J226" s="29">
        <f>'일위대가_호표(신규)'!L1507</f>
        <v>0</v>
      </c>
      <c r="K226" s="20" t="s">
        <v>2856</v>
      </c>
      <c r="L226" t="s">
        <v>2856</v>
      </c>
      <c r="M226" t="s">
        <v>1833</v>
      </c>
      <c r="N226" t="s">
        <v>1778</v>
      </c>
      <c r="V226" s="29">
        <v>0</v>
      </c>
      <c r="W226" s="29">
        <v>81611</v>
      </c>
      <c r="X226" s="29">
        <v>0</v>
      </c>
      <c r="Y226" s="29">
        <v>81611</v>
      </c>
      <c r="AA226" s="7" t="b">
        <f t="shared" si="13"/>
        <v>1</v>
      </c>
      <c r="AC226" s="34" t="str">
        <f>HYPERLINK("#일위대가_호표!A1461","NT0740 →")</f>
        <v>NT0740 →</v>
      </c>
    </row>
    <row r="227" spans="1:29" ht="18.399999999999999" customHeight="1" x14ac:dyDescent="0.15">
      <c r="A227" s="11" t="s">
        <v>975</v>
      </c>
      <c r="B227" s="2" t="s">
        <v>1420</v>
      </c>
      <c r="C227" s="2">
        <v>1</v>
      </c>
      <c r="D227" s="2" t="s">
        <v>556</v>
      </c>
      <c r="E227" s="29">
        <f t="shared" ref="E227:E258" si="14">F227+H227+J227</f>
        <v>351154</v>
      </c>
      <c r="F227" s="29">
        <f>'일위대가_호표(신규)'!H1513</f>
        <v>30145</v>
      </c>
      <c r="G227" s="29"/>
      <c r="H227" s="29">
        <f>'일위대가_호표(신규)'!J1513</f>
        <v>249225</v>
      </c>
      <c r="I227" s="29"/>
      <c r="J227" s="29">
        <f>'일위대가_호표(신규)'!L1513</f>
        <v>71784</v>
      </c>
      <c r="K227" s="20" t="s">
        <v>2856</v>
      </c>
      <c r="L227" t="s">
        <v>2856</v>
      </c>
      <c r="M227" t="s">
        <v>1750</v>
      </c>
      <c r="N227" t="s">
        <v>1778</v>
      </c>
      <c r="V227" s="29">
        <v>30145</v>
      </c>
      <c r="W227" s="29">
        <v>249225</v>
      </c>
      <c r="X227" s="29">
        <v>71784</v>
      </c>
      <c r="Y227" s="29">
        <v>351154</v>
      </c>
      <c r="AA227" s="7" t="b">
        <f t="shared" ref="AA227:AA258" si="15">EXACT($E227,$Y227)</f>
        <v>1</v>
      </c>
      <c r="AC227" s="34" t="str">
        <f>HYPERLINK("#일위대가_호표!A1467","NT0800 →")</f>
        <v>NT0800 →</v>
      </c>
    </row>
    <row r="228" spans="1:29" ht="18.399999999999999" customHeight="1" x14ac:dyDescent="0.15">
      <c r="A228" s="11" t="s">
        <v>1269</v>
      </c>
      <c r="B228" s="2" t="s">
        <v>2254</v>
      </c>
      <c r="C228" s="2">
        <v>1</v>
      </c>
      <c r="D228" s="2" t="s">
        <v>556</v>
      </c>
      <c r="E228" s="29">
        <f t="shared" si="14"/>
        <v>91464</v>
      </c>
      <c r="F228" s="29">
        <f>'일위대가_호표(신규)'!H1521</f>
        <v>7900</v>
      </c>
      <c r="G228" s="29"/>
      <c r="H228" s="29">
        <f>'일위대가_호표(신규)'!J1521</f>
        <v>75857</v>
      </c>
      <c r="I228" s="29"/>
      <c r="J228" s="29">
        <f>'일위대가_호표(신규)'!L1521</f>
        <v>7707</v>
      </c>
      <c r="K228" s="20" t="s">
        <v>2856</v>
      </c>
      <c r="L228" t="s">
        <v>2856</v>
      </c>
      <c r="M228" t="s">
        <v>2569</v>
      </c>
      <c r="N228" t="s">
        <v>1778</v>
      </c>
      <c r="V228" s="29">
        <v>7900</v>
      </c>
      <c r="W228" s="29">
        <v>75857</v>
      </c>
      <c r="X228" s="29">
        <v>7707</v>
      </c>
      <c r="Y228" s="29">
        <v>91464</v>
      </c>
      <c r="AA228" s="7" t="b">
        <f t="shared" si="15"/>
        <v>1</v>
      </c>
      <c r="AC228" s="34" t="str">
        <f>HYPERLINK("#일위대가_호표!A1475","NT0750 →")</f>
        <v>NT0750 →</v>
      </c>
    </row>
    <row r="229" spans="1:29" ht="18.399999999999999" customHeight="1" x14ac:dyDescent="0.15">
      <c r="A229" s="11" t="s">
        <v>1014</v>
      </c>
      <c r="B229" s="2" t="s">
        <v>775</v>
      </c>
      <c r="C229" s="2">
        <v>1</v>
      </c>
      <c r="D229" s="2" t="s">
        <v>556</v>
      </c>
      <c r="E229" s="29">
        <f t="shared" si="14"/>
        <v>262016</v>
      </c>
      <c r="F229" s="29">
        <f>'일위대가_호표(신규)'!H1528</f>
        <v>21900</v>
      </c>
      <c r="G229" s="29"/>
      <c r="H229" s="29">
        <f>'일위대가_호표(신규)'!J1528</f>
        <v>193841</v>
      </c>
      <c r="I229" s="29"/>
      <c r="J229" s="29">
        <f>'일위대가_호표(신규)'!L1528</f>
        <v>46275</v>
      </c>
      <c r="K229" s="20" t="s">
        <v>2856</v>
      </c>
      <c r="L229" t="s">
        <v>2856</v>
      </c>
      <c r="M229" t="s">
        <v>1162</v>
      </c>
      <c r="N229" t="s">
        <v>1778</v>
      </c>
      <c r="V229" s="29">
        <v>21900</v>
      </c>
      <c r="W229" s="29">
        <v>193841</v>
      </c>
      <c r="X229" s="29">
        <v>46275</v>
      </c>
      <c r="Y229" s="29">
        <v>262016</v>
      </c>
      <c r="AA229" s="7" t="b">
        <f t="shared" si="15"/>
        <v>1</v>
      </c>
      <c r="AC229" s="34" t="str">
        <f>HYPERLINK("#일위대가_호표!A1482","NT0770 →")</f>
        <v>NT0770 →</v>
      </c>
    </row>
    <row r="230" spans="1:29" ht="18.399999999999999" customHeight="1" x14ac:dyDescent="0.15">
      <c r="A230" s="11" t="s">
        <v>1689</v>
      </c>
      <c r="B230" s="2" t="s">
        <v>2283</v>
      </c>
      <c r="C230" s="2">
        <v>1</v>
      </c>
      <c r="D230" s="2" t="s">
        <v>556</v>
      </c>
      <c r="E230" s="29">
        <f t="shared" si="14"/>
        <v>4172</v>
      </c>
      <c r="F230" s="29">
        <f>'일위대가_호표(신규)'!H1535</f>
        <v>0</v>
      </c>
      <c r="G230" s="29"/>
      <c r="H230" s="29">
        <f>'일위대가_호표(신규)'!J1535</f>
        <v>4172</v>
      </c>
      <c r="I230" s="29"/>
      <c r="J230" s="29">
        <f>'일위대가_호표(신규)'!L1535</f>
        <v>0</v>
      </c>
      <c r="K230" s="20" t="s">
        <v>2856</v>
      </c>
      <c r="L230" t="s">
        <v>2856</v>
      </c>
      <c r="M230" t="s">
        <v>1186</v>
      </c>
      <c r="N230" t="s">
        <v>1778</v>
      </c>
      <c r="V230" s="29">
        <v>0</v>
      </c>
      <c r="W230" s="29">
        <v>4172</v>
      </c>
      <c r="X230" s="29">
        <v>0</v>
      </c>
      <c r="Y230" s="29">
        <v>4172</v>
      </c>
      <c r="AA230" s="7" t="b">
        <f t="shared" si="15"/>
        <v>1</v>
      </c>
      <c r="AC230" s="34" t="str">
        <f>HYPERLINK("#일위대가_호표!A1489","NT0930 →")</f>
        <v>NT0930 →</v>
      </c>
    </row>
    <row r="231" spans="1:29" ht="18.399999999999999" customHeight="1" x14ac:dyDescent="0.15">
      <c r="A231" s="11" t="s">
        <v>2606</v>
      </c>
      <c r="B231" s="2" t="s">
        <v>2494</v>
      </c>
      <c r="C231" s="2">
        <v>1</v>
      </c>
      <c r="D231" s="2" t="s">
        <v>556</v>
      </c>
      <c r="E231" s="29">
        <f t="shared" si="14"/>
        <v>2781</v>
      </c>
      <c r="F231" s="29">
        <f>'일위대가_호표(신규)'!H1540</f>
        <v>0</v>
      </c>
      <c r="G231" s="29"/>
      <c r="H231" s="29">
        <f>'일위대가_호표(신규)'!J1540</f>
        <v>2781</v>
      </c>
      <c r="I231" s="29"/>
      <c r="J231" s="29">
        <f>'일위대가_호표(신규)'!L1540</f>
        <v>0</v>
      </c>
      <c r="K231" s="20" t="s">
        <v>2856</v>
      </c>
      <c r="L231" t="s">
        <v>2856</v>
      </c>
      <c r="M231" t="s">
        <v>436</v>
      </c>
      <c r="N231" t="s">
        <v>1778</v>
      </c>
      <c r="V231" s="29">
        <v>0</v>
      </c>
      <c r="W231" s="29">
        <v>2781</v>
      </c>
      <c r="X231" s="29">
        <v>0</v>
      </c>
      <c r="Y231" s="29">
        <v>2781</v>
      </c>
      <c r="AA231" s="7" t="b">
        <f t="shared" si="15"/>
        <v>1</v>
      </c>
      <c r="AC231" s="34" t="str">
        <f>HYPERLINK("#일위대가_호표!A1494","NT0920 →")</f>
        <v>NT0920 →</v>
      </c>
    </row>
    <row r="232" spans="1:29" ht="18.399999999999999" customHeight="1" x14ac:dyDescent="0.15">
      <c r="A232" s="11" t="s">
        <v>1495</v>
      </c>
      <c r="B232" s="2" t="s">
        <v>2148</v>
      </c>
      <c r="C232" s="2">
        <v>1</v>
      </c>
      <c r="D232" s="2" t="s">
        <v>556</v>
      </c>
      <c r="E232" s="29">
        <f t="shared" si="14"/>
        <v>5961</v>
      </c>
      <c r="F232" s="29">
        <f>'일위대가_호표(신규)'!H1545</f>
        <v>0</v>
      </c>
      <c r="G232" s="29"/>
      <c r="H232" s="29">
        <f>'일위대가_호표(신규)'!J1545</f>
        <v>5961</v>
      </c>
      <c r="I232" s="29"/>
      <c r="J232" s="29">
        <f>'일위대가_호표(신규)'!L1545</f>
        <v>0</v>
      </c>
      <c r="K232" s="20" t="s">
        <v>2856</v>
      </c>
      <c r="L232" t="s">
        <v>2856</v>
      </c>
      <c r="M232" t="s">
        <v>1943</v>
      </c>
      <c r="N232" t="s">
        <v>1778</v>
      </c>
      <c r="V232" s="29">
        <v>0</v>
      </c>
      <c r="W232" s="29">
        <v>5961</v>
      </c>
      <c r="X232" s="29">
        <v>0</v>
      </c>
      <c r="Y232" s="29">
        <v>5961</v>
      </c>
      <c r="AA232" s="7" t="b">
        <f t="shared" si="15"/>
        <v>1</v>
      </c>
      <c r="AC232" s="34" t="str">
        <f>HYPERLINK("#일위대가_호표!A1499","NT0940 →")</f>
        <v>NT0940 →</v>
      </c>
    </row>
    <row r="233" spans="1:29" ht="18.399999999999999" customHeight="1" x14ac:dyDescent="0.15">
      <c r="A233" s="11" t="s">
        <v>7</v>
      </c>
      <c r="B233" s="2" t="s">
        <v>1641</v>
      </c>
      <c r="C233" s="2">
        <v>1</v>
      </c>
      <c r="D233" s="2" t="s">
        <v>203</v>
      </c>
      <c r="E233" s="29">
        <f t="shared" si="14"/>
        <v>309</v>
      </c>
      <c r="F233" s="29">
        <f>'일위대가_호표(신규)'!H1551</f>
        <v>0</v>
      </c>
      <c r="G233" s="29"/>
      <c r="H233" s="29">
        <f>'일위대가_호표(신규)'!J1551</f>
        <v>309</v>
      </c>
      <c r="I233" s="29"/>
      <c r="J233" s="29">
        <f>'일위대가_호표(신규)'!L1551</f>
        <v>0</v>
      </c>
      <c r="K233" s="20" t="s">
        <v>2856</v>
      </c>
      <c r="L233" t="s">
        <v>2856</v>
      </c>
      <c r="M233" t="s">
        <v>475</v>
      </c>
      <c r="N233" t="s">
        <v>1778</v>
      </c>
      <c r="V233" s="29">
        <v>0</v>
      </c>
      <c r="W233" s="29">
        <v>309</v>
      </c>
      <c r="X233" s="29">
        <v>0</v>
      </c>
      <c r="Y233" s="29">
        <v>309</v>
      </c>
      <c r="AA233" s="7" t="b">
        <f t="shared" si="15"/>
        <v>1</v>
      </c>
      <c r="AC233" s="34" t="str">
        <f>HYPERLINK("#일위대가_호표!A1505","NT0960 →")</f>
        <v>NT0960 →</v>
      </c>
    </row>
    <row r="234" spans="1:29" ht="18.399999999999999" customHeight="1" x14ac:dyDescent="0.15">
      <c r="A234" s="11" t="s">
        <v>447</v>
      </c>
      <c r="B234" s="2" t="s">
        <v>1970</v>
      </c>
      <c r="C234" s="2">
        <v>1</v>
      </c>
      <c r="D234" s="2" t="s">
        <v>1202</v>
      </c>
      <c r="E234" s="29">
        <f t="shared" si="14"/>
        <v>5938</v>
      </c>
      <c r="F234" s="29">
        <f>'일위대가_호표(신규)'!H1557</f>
        <v>0</v>
      </c>
      <c r="G234" s="29"/>
      <c r="H234" s="29">
        <f>'일위대가_호표(신규)'!J1557</f>
        <v>5938</v>
      </c>
      <c r="I234" s="29"/>
      <c r="J234" s="29">
        <f>'일위대가_호표(신규)'!L1557</f>
        <v>0</v>
      </c>
      <c r="K234" s="20" t="s">
        <v>2856</v>
      </c>
      <c r="L234" t="s">
        <v>2856</v>
      </c>
      <c r="M234" t="s">
        <v>2525</v>
      </c>
      <c r="N234" t="s">
        <v>1778</v>
      </c>
      <c r="V234" s="29">
        <v>0</v>
      </c>
      <c r="W234" s="29">
        <v>5938</v>
      </c>
      <c r="X234" s="29">
        <v>0</v>
      </c>
      <c r="Y234" s="29">
        <v>5938</v>
      </c>
      <c r="AA234" s="7" t="b">
        <f t="shared" si="15"/>
        <v>1</v>
      </c>
      <c r="AC234" s="34" t="str">
        <f>HYPERLINK("#일위대가_호표!A1511","NT0975 →")</f>
        <v>NT0975 →</v>
      </c>
    </row>
    <row r="235" spans="1:29" ht="18.399999999999999" customHeight="1" x14ac:dyDescent="0.15">
      <c r="A235" s="11" t="s">
        <v>1650</v>
      </c>
      <c r="B235" s="2" t="s">
        <v>1255</v>
      </c>
      <c r="C235" s="2">
        <v>1</v>
      </c>
      <c r="D235" s="2" t="s">
        <v>2825</v>
      </c>
      <c r="E235" s="29">
        <f t="shared" si="14"/>
        <v>55166</v>
      </c>
      <c r="F235" s="29">
        <f>'일위대가_호표(신규)'!H1563</f>
        <v>2538</v>
      </c>
      <c r="G235" s="29"/>
      <c r="H235" s="29">
        <f>'일위대가_호표(신규)'!J1563</f>
        <v>22449</v>
      </c>
      <c r="I235" s="29"/>
      <c r="J235" s="67">
        <f>'일위대가_호표(신규)'!L1563</f>
        <v>30179</v>
      </c>
      <c r="K235" s="20" t="s">
        <v>2856</v>
      </c>
      <c r="L235" t="s">
        <v>2856</v>
      </c>
      <c r="M235" t="s">
        <v>668</v>
      </c>
      <c r="N235" t="s">
        <v>1778</v>
      </c>
      <c r="V235" s="29">
        <v>2538</v>
      </c>
      <c r="W235" s="29">
        <v>22449</v>
      </c>
      <c r="X235" s="29">
        <v>3565</v>
      </c>
      <c r="Y235" s="29">
        <v>28552</v>
      </c>
      <c r="AA235" s="7" t="b">
        <f t="shared" si="15"/>
        <v>0</v>
      </c>
      <c r="AC235" s="34" t="str">
        <f>HYPERLINK("#일위대가_호표!A1517","N1380-24 →")</f>
        <v>N1380-24 →</v>
      </c>
    </row>
    <row r="236" spans="1:29" ht="18.399999999999999" customHeight="1" x14ac:dyDescent="0.15">
      <c r="A236" s="11" t="s">
        <v>1913</v>
      </c>
      <c r="B236" s="2" t="s">
        <v>610</v>
      </c>
      <c r="C236" s="2">
        <v>1</v>
      </c>
      <c r="D236" s="2" t="s">
        <v>1202</v>
      </c>
      <c r="E236" s="29">
        <f t="shared" si="14"/>
        <v>45715</v>
      </c>
      <c r="F236" s="29">
        <f>'일위대가_호표(신규)'!H1570</f>
        <v>11180</v>
      </c>
      <c r="G236" s="29"/>
      <c r="H236" s="29">
        <f>'일위대가_호표(신규)'!J1570</f>
        <v>34194</v>
      </c>
      <c r="I236" s="29"/>
      <c r="J236" s="29">
        <f>'일위대가_호표(신규)'!L1570</f>
        <v>341</v>
      </c>
      <c r="K236" s="20" t="s">
        <v>2856</v>
      </c>
      <c r="L236" t="s">
        <v>2856</v>
      </c>
      <c r="M236" t="s">
        <v>1998</v>
      </c>
      <c r="N236" t="s">
        <v>1778</v>
      </c>
      <c r="V236" s="29">
        <v>11180</v>
      </c>
      <c r="W236" s="29">
        <v>34194</v>
      </c>
      <c r="X236" s="29">
        <v>341</v>
      </c>
      <c r="Y236" s="29">
        <v>45715</v>
      </c>
      <c r="AA236" s="7" t="b">
        <f t="shared" si="15"/>
        <v>1</v>
      </c>
      <c r="AC236" s="34" t="str">
        <f>HYPERLINK("#일위대가_호표!A1524","N1150 →")</f>
        <v>N1150 →</v>
      </c>
    </row>
    <row r="237" spans="1:29" ht="18.399999999999999" customHeight="1" x14ac:dyDescent="0.15">
      <c r="A237" s="11" t="s">
        <v>1768</v>
      </c>
      <c r="B237" s="2" t="s">
        <v>2856</v>
      </c>
      <c r="C237" s="2">
        <v>1</v>
      </c>
      <c r="D237" s="2" t="s">
        <v>2825</v>
      </c>
      <c r="E237" s="29">
        <f t="shared" si="14"/>
        <v>208934</v>
      </c>
      <c r="F237" s="29">
        <f>'일위대가_호표(신규)'!H1577</f>
        <v>137090</v>
      </c>
      <c r="G237" s="29"/>
      <c r="H237" s="29">
        <f>'일위대가_호표(신규)'!J1577</f>
        <v>71844</v>
      </c>
      <c r="I237" s="29"/>
      <c r="J237" s="29">
        <f>'일위대가_호표(신규)'!L1577</f>
        <v>0</v>
      </c>
      <c r="K237" s="20" t="s">
        <v>2856</v>
      </c>
      <c r="L237" t="s">
        <v>2856</v>
      </c>
      <c r="M237" t="s">
        <v>918</v>
      </c>
      <c r="N237" t="s">
        <v>1778</v>
      </c>
      <c r="V237" s="29">
        <v>137090</v>
      </c>
      <c r="W237" s="29">
        <v>71844</v>
      </c>
      <c r="X237" s="29">
        <v>0</v>
      </c>
      <c r="Y237" s="29">
        <v>208934</v>
      </c>
      <c r="AA237" s="7" t="b">
        <f t="shared" si="15"/>
        <v>1</v>
      </c>
      <c r="AC237" s="34" t="str">
        <f>HYPERLINK("#일위대가_호표!A1531","HW0211 →")</f>
        <v>HW0211 →</v>
      </c>
    </row>
    <row r="238" spans="1:29" ht="18.399999999999999" customHeight="1" x14ac:dyDescent="0.15">
      <c r="A238" s="11" t="s">
        <v>2491</v>
      </c>
      <c r="B238" s="2" t="s">
        <v>2856</v>
      </c>
      <c r="C238" s="2">
        <v>1</v>
      </c>
      <c r="D238" s="2" t="s">
        <v>978</v>
      </c>
      <c r="E238" s="29">
        <f t="shared" si="14"/>
        <v>136025</v>
      </c>
      <c r="F238" s="29">
        <f>'일위대가_호표(신규)'!H1582</f>
        <v>10644</v>
      </c>
      <c r="G238" s="29"/>
      <c r="H238" s="29">
        <f>'일위대가_호표(신규)'!J1582</f>
        <v>111869</v>
      </c>
      <c r="I238" s="29"/>
      <c r="J238" s="29">
        <f>'일위대가_호표(신규)'!L1582</f>
        <v>13512</v>
      </c>
      <c r="K238" s="20" t="s">
        <v>2856</v>
      </c>
      <c r="L238" t="s">
        <v>2856</v>
      </c>
      <c r="M238" t="s">
        <v>2735</v>
      </c>
      <c r="N238" t="s">
        <v>1778</v>
      </c>
      <c r="V238" s="29">
        <v>10644</v>
      </c>
      <c r="W238" s="29">
        <v>111869</v>
      </c>
      <c r="X238" s="29">
        <v>13512</v>
      </c>
      <c r="Y238" s="29">
        <v>136025</v>
      </c>
      <c r="AA238" s="7" t="b">
        <f t="shared" si="15"/>
        <v>1</v>
      </c>
      <c r="AC238" s="34" t="str">
        <f>HYPERLINK("#일위대가_호표!A1536","NT9460 →")</f>
        <v>NT9460 →</v>
      </c>
    </row>
    <row r="239" spans="1:29" ht="18.399999999999999" customHeight="1" x14ac:dyDescent="0.15">
      <c r="A239" s="11" t="s">
        <v>2675</v>
      </c>
      <c r="B239" s="2" t="s">
        <v>2010</v>
      </c>
      <c r="C239" s="2">
        <v>1</v>
      </c>
      <c r="D239" s="2" t="s">
        <v>2825</v>
      </c>
      <c r="E239" s="29">
        <f t="shared" si="14"/>
        <v>14311</v>
      </c>
      <c r="F239" s="29">
        <f>'일위대가_호표(신규)'!H1589</f>
        <v>1554</v>
      </c>
      <c r="G239" s="29"/>
      <c r="H239" s="29">
        <f>'일위대가_호표(신규)'!J1589</f>
        <v>11235</v>
      </c>
      <c r="I239" s="29"/>
      <c r="J239" s="29">
        <f>'일위대가_호표(신규)'!L1589</f>
        <v>1522</v>
      </c>
      <c r="K239" s="20" t="s">
        <v>2856</v>
      </c>
      <c r="L239" t="s">
        <v>2856</v>
      </c>
      <c r="M239" t="s">
        <v>782</v>
      </c>
      <c r="N239" t="s">
        <v>1778</v>
      </c>
      <c r="V239" s="29">
        <v>1554</v>
      </c>
      <c r="W239" s="29">
        <v>11235</v>
      </c>
      <c r="X239" s="29">
        <v>1522</v>
      </c>
      <c r="Y239" s="29">
        <v>14311</v>
      </c>
      <c r="AA239" s="7" t="b">
        <f t="shared" si="15"/>
        <v>1</v>
      </c>
      <c r="AC239" s="34" t="str">
        <f>HYPERLINK("#일위대가_호표!A1542","N0303 →")</f>
        <v>N0303 →</v>
      </c>
    </row>
    <row r="240" spans="1:29" ht="18.399999999999999" customHeight="1" x14ac:dyDescent="0.15">
      <c r="A240" s="11" t="s">
        <v>2786</v>
      </c>
      <c r="B240" s="2" t="s">
        <v>1057</v>
      </c>
      <c r="C240" s="2">
        <v>1</v>
      </c>
      <c r="D240" s="2" t="s">
        <v>2825</v>
      </c>
      <c r="E240" s="29">
        <f t="shared" si="14"/>
        <v>63190</v>
      </c>
      <c r="F240" s="29">
        <f>'일위대가_호표(신규)'!H1597</f>
        <v>2908</v>
      </c>
      <c r="G240" s="29"/>
      <c r="H240" s="29">
        <f>'일위대가_호표(신규)'!J1597</f>
        <v>25714</v>
      </c>
      <c r="I240" s="29"/>
      <c r="J240" s="29">
        <f>'일위대가_호표(신규)'!L1597</f>
        <v>34568</v>
      </c>
      <c r="K240" s="20" t="s">
        <v>2856</v>
      </c>
      <c r="L240" t="s">
        <v>2856</v>
      </c>
      <c r="M240" t="s">
        <v>170</v>
      </c>
      <c r="N240" t="s">
        <v>1778</v>
      </c>
      <c r="V240" s="29">
        <v>2908</v>
      </c>
      <c r="W240" s="29">
        <v>25714</v>
      </c>
      <c r="X240" s="29">
        <v>4084</v>
      </c>
      <c r="Y240" s="29">
        <v>32706</v>
      </c>
      <c r="AA240" s="7" t="b">
        <f t="shared" si="15"/>
        <v>0</v>
      </c>
      <c r="AC240" s="34" t="str">
        <f>HYPERLINK("#일위대가_호표!A1550","N1385-24 →")</f>
        <v>N1385-24 →</v>
      </c>
    </row>
    <row r="241" spans="1:29" ht="18.399999999999999" customHeight="1" x14ac:dyDescent="0.15">
      <c r="A241" s="11" t="s">
        <v>716</v>
      </c>
      <c r="B241" s="2" t="s">
        <v>228</v>
      </c>
      <c r="C241" s="2">
        <v>1</v>
      </c>
      <c r="D241" s="2" t="s">
        <v>1202</v>
      </c>
      <c r="E241" s="29">
        <f t="shared" si="14"/>
        <v>104467</v>
      </c>
      <c r="F241" s="29">
        <f>'일위대가_호표(신규)'!H1604</f>
        <v>18128</v>
      </c>
      <c r="G241" s="29"/>
      <c r="H241" s="29">
        <f>'일위대가_호표(신규)'!J1604</f>
        <v>85485</v>
      </c>
      <c r="I241" s="29"/>
      <c r="J241" s="29">
        <f>'일위대가_호표(신규)'!L1604</f>
        <v>854</v>
      </c>
      <c r="K241" s="20" t="s">
        <v>2856</v>
      </c>
      <c r="L241" t="s">
        <v>2856</v>
      </c>
      <c r="M241" t="s">
        <v>2810</v>
      </c>
      <c r="N241" t="s">
        <v>1778</v>
      </c>
      <c r="V241" s="29">
        <v>18128</v>
      </c>
      <c r="W241" s="29">
        <v>85485</v>
      </c>
      <c r="X241" s="29">
        <v>854</v>
      </c>
      <c r="Y241" s="29">
        <v>104467</v>
      </c>
      <c r="AA241" s="7" t="b">
        <f t="shared" si="15"/>
        <v>1</v>
      </c>
      <c r="AC241" s="34" t="str">
        <f>HYPERLINK("#일위대가_호표!A1557","N1125 →")</f>
        <v>N1125 →</v>
      </c>
    </row>
    <row r="242" spans="1:29" ht="18.399999999999999" customHeight="1" x14ac:dyDescent="0.15">
      <c r="A242" s="11" t="s">
        <v>2406</v>
      </c>
      <c r="B242" s="2" t="s">
        <v>1440</v>
      </c>
      <c r="C242" s="2">
        <v>1</v>
      </c>
      <c r="D242" s="2" t="s">
        <v>978</v>
      </c>
      <c r="E242" s="29">
        <f t="shared" si="14"/>
        <v>3414044</v>
      </c>
      <c r="F242" s="29">
        <f>'일위대가_호표(신규)'!H1611</f>
        <v>10770</v>
      </c>
      <c r="G242" s="29"/>
      <c r="H242" s="29">
        <f>'일위대가_호표(신규)'!J1611</f>
        <v>756255</v>
      </c>
      <c r="I242" s="29"/>
      <c r="J242" s="67">
        <f>'일위대가_호표(신규)'!L1611</f>
        <v>2647019</v>
      </c>
      <c r="K242" s="20" t="s">
        <v>2856</v>
      </c>
      <c r="L242" t="s">
        <v>2856</v>
      </c>
      <c r="M242" t="s">
        <v>1458</v>
      </c>
      <c r="N242" t="s">
        <v>1778</v>
      </c>
      <c r="V242" s="29">
        <v>10770</v>
      </c>
      <c r="W242" s="29">
        <v>756255</v>
      </c>
      <c r="X242" s="29">
        <v>29947</v>
      </c>
      <c r="Y242" s="29">
        <v>796972</v>
      </c>
      <c r="AA242" s="7" t="b">
        <f t="shared" si="15"/>
        <v>0</v>
      </c>
      <c r="AC242" s="34" t="str">
        <f>HYPERLINK("#일위대가_호표!A1564","N0180-24 →")</f>
        <v>N0180-24 →</v>
      </c>
    </row>
    <row r="243" spans="1:29" ht="18.399999999999999" customHeight="1" x14ac:dyDescent="0.15">
      <c r="A243" s="11" t="s">
        <v>1185</v>
      </c>
      <c r="B243" s="2" t="s">
        <v>1863</v>
      </c>
      <c r="C243" s="2">
        <v>1</v>
      </c>
      <c r="D243" s="2" t="s">
        <v>1202</v>
      </c>
      <c r="E243" s="29">
        <f t="shared" si="14"/>
        <v>2867</v>
      </c>
      <c r="F243" s="29">
        <f>'일위대가_호표(신규)'!H1615</f>
        <v>81</v>
      </c>
      <c r="G243" s="29"/>
      <c r="H243" s="29">
        <f>'일위대가_호표(신규)'!J1615</f>
        <v>2735</v>
      </c>
      <c r="I243" s="29"/>
      <c r="J243" s="29">
        <f>'일위대가_호표(신규)'!L1615</f>
        <v>51</v>
      </c>
      <c r="K243" s="20" t="s">
        <v>2856</v>
      </c>
      <c r="L243" t="s">
        <v>2856</v>
      </c>
      <c r="M243" t="s">
        <v>2801</v>
      </c>
      <c r="N243" t="s">
        <v>1778</v>
      </c>
      <c r="V243" s="29">
        <v>81</v>
      </c>
      <c r="W243" s="29">
        <v>2735</v>
      </c>
      <c r="X243" s="29">
        <v>51</v>
      </c>
      <c r="Y243" s="29">
        <v>2867</v>
      </c>
      <c r="AA243" s="7" t="b">
        <f t="shared" si="15"/>
        <v>1</v>
      </c>
      <c r="AC243" s="34" t="str">
        <f>HYPERLINK("#일위대가_호표!A1568","N4960 →")</f>
        <v>N4960 →</v>
      </c>
    </row>
    <row r="244" spans="1:29" ht="18.399999999999999" customHeight="1" x14ac:dyDescent="0.15">
      <c r="A244" s="11" t="s">
        <v>1713</v>
      </c>
      <c r="B244" s="2" t="s">
        <v>1155</v>
      </c>
      <c r="C244" s="2">
        <v>1</v>
      </c>
      <c r="D244" s="2" t="s">
        <v>1202</v>
      </c>
      <c r="E244" s="29">
        <f t="shared" si="14"/>
        <v>118533</v>
      </c>
      <c r="F244" s="29">
        <f>'일위대가_호표(신규)'!H1622</f>
        <v>0</v>
      </c>
      <c r="G244" s="29"/>
      <c r="H244" s="68">
        <f>'일위대가_호표(신규)'!J1622</f>
        <v>117360</v>
      </c>
      <c r="I244" s="68"/>
      <c r="J244" s="68">
        <f>'일위대가_호표(신규)'!L1622</f>
        <v>1173</v>
      </c>
      <c r="K244" s="20" t="s">
        <v>2856</v>
      </c>
      <c r="L244" t="s">
        <v>2856</v>
      </c>
      <c r="M244" t="s">
        <v>1991</v>
      </c>
      <c r="N244" t="s">
        <v>1778</v>
      </c>
      <c r="V244" s="29">
        <v>0</v>
      </c>
      <c r="W244" s="29">
        <v>117360</v>
      </c>
      <c r="X244" s="29">
        <v>1173</v>
      </c>
      <c r="Y244" s="29">
        <v>118533</v>
      </c>
      <c r="AA244" s="7" t="b">
        <f t="shared" si="15"/>
        <v>1</v>
      </c>
      <c r="AC244" s="34" t="str">
        <f>HYPERLINK("#일위대가_호표!A1575","N6055 →")</f>
        <v>N6055 →</v>
      </c>
    </row>
    <row r="245" spans="1:29" ht="18.399999999999999" customHeight="1" x14ac:dyDescent="0.15">
      <c r="A245" s="11" t="s">
        <v>717</v>
      </c>
      <c r="B245" s="2" t="s">
        <v>1956</v>
      </c>
      <c r="C245" s="2">
        <v>1</v>
      </c>
      <c r="D245" s="2" t="s">
        <v>1202</v>
      </c>
      <c r="E245" s="29">
        <f t="shared" si="14"/>
        <v>98235</v>
      </c>
      <c r="F245" s="29">
        <f>'일위대가_호표(신규)'!H1627</f>
        <v>0</v>
      </c>
      <c r="G245" s="29"/>
      <c r="H245" s="29">
        <f>'일위대가_호표(신규)'!J1627</f>
        <v>97263</v>
      </c>
      <c r="I245" s="29"/>
      <c r="J245" s="29">
        <f>'일위대가_호표(신규)'!L1627</f>
        <v>972</v>
      </c>
      <c r="K245" s="20" t="s">
        <v>2856</v>
      </c>
      <c r="L245" t="s">
        <v>2856</v>
      </c>
      <c r="M245" t="s">
        <v>669</v>
      </c>
      <c r="N245" t="s">
        <v>1778</v>
      </c>
      <c r="V245" s="29">
        <v>0</v>
      </c>
      <c r="W245" s="29">
        <v>97263</v>
      </c>
      <c r="X245" s="29">
        <v>972</v>
      </c>
      <c r="Y245" s="29">
        <v>98235</v>
      </c>
      <c r="AA245" s="7" t="b">
        <f t="shared" si="15"/>
        <v>1</v>
      </c>
      <c r="AC245" s="34" t="str">
        <f>HYPERLINK("#일위대가_호표!A1580","N6050 →")</f>
        <v>N6050 →</v>
      </c>
    </row>
    <row r="246" spans="1:29" ht="18.399999999999999" customHeight="1" x14ac:dyDescent="0.15">
      <c r="A246" s="11" t="s">
        <v>2038</v>
      </c>
      <c r="B246" s="2" t="s">
        <v>196</v>
      </c>
      <c r="C246" s="2">
        <v>1</v>
      </c>
      <c r="D246" s="2" t="s">
        <v>2825</v>
      </c>
      <c r="E246" s="29">
        <f t="shared" si="14"/>
        <v>915612</v>
      </c>
      <c r="F246" s="29">
        <f>'일위대가_호표(신규)'!H1632</f>
        <v>0</v>
      </c>
      <c r="G246" s="29"/>
      <c r="H246" s="29">
        <f>'일위대가_호표(신규)'!J1632</f>
        <v>915612</v>
      </c>
      <c r="I246" s="29"/>
      <c r="J246" s="29">
        <f>'일위대가_호표(신규)'!L1632</f>
        <v>0</v>
      </c>
      <c r="K246" s="20" t="s">
        <v>2856</v>
      </c>
      <c r="L246" t="s">
        <v>2856</v>
      </c>
      <c r="M246" t="s">
        <v>630</v>
      </c>
      <c r="N246" t="s">
        <v>1778</v>
      </c>
      <c r="V246" s="29">
        <v>0</v>
      </c>
      <c r="W246" s="29">
        <v>915612</v>
      </c>
      <c r="X246" s="29">
        <v>0</v>
      </c>
      <c r="Y246" s="29">
        <v>915612</v>
      </c>
      <c r="AA246" s="7" t="b">
        <f t="shared" si="15"/>
        <v>1</v>
      </c>
      <c r="AC246" s="34" t="str">
        <f>HYPERLINK("#일위대가_호표!A1585","N0081 →")</f>
        <v>N0081 →</v>
      </c>
    </row>
    <row r="247" spans="1:29" ht="18.399999999999999" customHeight="1" x14ac:dyDescent="0.15">
      <c r="A247" s="11" t="s">
        <v>1518</v>
      </c>
      <c r="B247" s="2" t="s">
        <v>2856</v>
      </c>
      <c r="C247" s="2">
        <v>1</v>
      </c>
      <c r="D247" s="2" t="s">
        <v>1202</v>
      </c>
      <c r="E247" s="29">
        <f t="shared" si="14"/>
        <v>1375</v>
      </c>
      <c r="F247" s="29">
        <f>'일위대가_호표(신규)'!H1636</f>
        <v>1155</v>
      </c>
      <c r="G247" s="29"/>
      <c r="H247" s="29">
        <f>'일위대가_호표(신규)'!J1636</f>
        <v>220</v>
      </c>
      <c r="I247" s="29"/>
      <c r="J247" s="29">
        <f>'일위대가_호표(신규)'!L1636</f>
        <v>0</v>
      </c>
      <c r="K247" s="20" t="s">
        <v>2856</v>
      </c>
      <c r="L247" t="s">
        <v>2856</v>
      </c>
      <c r="M247" t="s">
        <v>624</v>
      </c>
      <c r="N247" t="s">
        <v>1778</v>
      </c>
      <c r="V247" s="29">
        <v>1155</v>
      </c>
      <c r="W247" s="29">
        <v>220</v>
      </c>
      <c r="X247" s="29">
        <v>0</v>
      </c>
      <c r="Y247" s="29">
        <v>1375</v>
      </c>
      <c r="AA247" s="7" t="b">
        <f t="shared" si="15"/>
        <v>1</v>
      </c>
      <c r="AC247" s="34" t="str">
        <f>HYPERLINK("#일위대가_호표!A1589","N6010 →")</f>
        <v>N6010 →</v>
      </c>
    </row>
    <row r="248" spans="1:29" ht="18.399999999999999" customHeight="1" x14ac:dyDescent="0.15">
      <c r="A248" s="11" t="s">
        <v>1614</v>
      </c>
      <c r="B248" s="2" t="s">
        <v>2417</v>
      </c>
      <c r="C248" s="2">
        <v>1</v>
      </c>
      <c r="D248" s="2" t="s">
        <v>1202</v>
      </c>
      <c r="E248" s="29">
        <f t="shared" si="14"/>
        <v>108252</v>
      </c>
      <c r="F248" s="29">
        <f>'일위대가_호표(신규)'!H1640</f>
        <v>3670</v>
      </c>
      <c r="G248" s="29"/>
      <c r="H248" s="29">
        <f>'일위대가_호표(신규)'!J1640</f>
        <v>89531</v>
      </c>
      <c r="I248" s="29"/>
      <c r="J248" s="29">
        <f>'일위대가_호표(신규)'!L1640</f>
        <v>15051</v>
      </c>
      <c r="K248" s="20" t="s">
        <v>2856</v>
      </c>
      <c r="L248" t="s">
        <v>2856</v>
      </c>
      <c r="M248" t="s">
        <v>1446</v>
      </c>
      <c r="N248" t="s">
        <v>1778</v>
      </c>
      <c r="V248" s="29">
        <v>3670</v>
      </c>
      <c r="W248" s="29">
        <v>89531</v>
      </c>
      <c r="X248" s="29">
        <v>15051</v>
      </c>
      <c r="Y248" s="29">
        <v>108252</v>
      </c>
      <c r="AA248" s="7" t="b">
        <f t="shared" si="15"/>
        <v>1</v>
      </c>
      <c r="AC248" s="34" t="str">
        <f>HYPERLINK("#일위대가_호표!A1593","HW7051 →")</f>
        <v>HW7051 →</v>
      </c>
    </row>
    <row r="249" spans="1:29" ht="18.399999999999999" customHeight="1" x14ac:dyDescent="0.15">
      <c r="A249" s="11" t="s">
        <v>1786</v>
      </c>
      <c r="B249" s="2" t="s">
        <v>1879</v>
      </c>
      <c r="C249" s="2">
        <v>1</v>
      </c>
      <c r="D249" s="2" t="s">
        <v>2825</v>
      </c>
      <c r="E249" s="29">
        <f t="shared" si="14"/>
        <v>33416</v>
      </c>
      <c r="F249" s="29">
        <f>'일위대가_호표(신규)'!H1645</f>
        <v>0</v>
      </c>
      <c r="G249" s="29"/>
      <c r="H249" s="29">
        <f>'일위대가_호표(신규)'!J1645</f>
        <v>33416</v>
      </c>
      <c r="I249" s="29"/>
      <c r="J249" s="29">
        <f>'일위대가_호표(신규)'!L1645</f>
        <v>0</v>
      </c>
      <c r="K249" s="20" t="s">
        <v>2856</v>
      </c>
      <c r="L249" t="s">
        <v>2856</v>
      </c>
      <c r="M249" t="s">
        <v>786</v>
      </c>
      <c r="N249" t="s">
        <v>1778</v>
      </c>
      <c r="V249" s="29">
        <v>0</v>
      </c>
      <c r="W249" s="29">
        <v>33416</v>
      </c>
      <c r="X249" s="29">
        <v>0</v>
      </c>
      <c r="Y249" s="29">
        <v>33416</v>
      </c>
      <c r="AA249" s="7" t="b">
        <f t="shared" si="15"/>
        <v>1</v>
      </c>
      <c r="AC249" s="34" t="str">
        <f>HYPERLINK("#일위대가_호표!A1598","N1060 →")</f>
        <v>N1060 →</v>
      </c>
    </row>
    <row r="250" spans="1:29" ht="18.399999999999999" customHeight="1" x14ac:dyDescent="0.15">
      <c r="A250" s="11" t="s">
        <v>2178</v>
      </c>
      <c r="B250" s="2" t="s">
        <v>394</v>
      </c>
      <c r="C250" s="2">
        <v>1</v>
      </c>
      <c r="D250" s="2" t="s">
        <v>2825</v>
      </c>
      <c r="E250" s="29">
        <f t="shared" si="14"/>
        <v>33416</v>
      </c>
      <c r="F250" s="29">
        <f>'일위대가_호표(신규)'!H1648</f>
        <v>0</v>
      </c>
      <c r="G250" s="29"/>
      <c r="H250" s="29">
        <f>'일위대가_호표(신규)'!J1648</f>
        <v>33416</v>
      </c>
      <c r="I250" s="29"/>
      <c r="J250" s="29">
        <f>'일위대가_호표(신규)'!L1648</f>
        <v>0</v>
      </c>
      <c r="K250" s="20" t="s">
        <v>2856</v>
      </c>
      <c r="L250" t="s">
        <v>2856</v>
      </c>
      <c r="M250" t="s">
        <v>1013</v>
      </c>
      <c r="N250" t="s">
        <v>1778</v>
      </c>
      <c r="V250" s="29">
        <v>0</v>
      </c>
      <c r="W250" s="29">
        <v>33416</v>
      </c>
      <c r="X250" s="29">
        <v>0</v>
      </c>
      <c r="Y250" s="29">
        <v>33416</v>
      </c>
      <c r="AA250" s="7" t="b">
        <f t="shared" si="15"/>
        <v>1</v>
      </c>
      <c r="AC250" s="34" t="str">
        <f>HYPERLINK("#일위대가_호표!A1601","N0850 →")</f>
        <v>N0850 →</v>
      </c>
    </row>
    <row r="251" spans="1:29" ht="18.399999999999999" customHeight="1" x14ac:dyDescent="0.15">
      <c r="A251" s="11" t="s">
        <v>656</v>
      </c>
      <c r="B251" s="2" t="s">
        <v>129</v>
      </c>
      <c r="C251" s="2">
        <v>1</v>
      </c>
      <c r="D251" s="2" t="s">
        <v>2825</v>
      </c>
      <c r="E251" s="29">
        <f t="shared" si="14"/>
        <v>16708</v>
      </c>
      <c r="F251" s="29">
        <f>'일위대가_호표(신규)'!H1651</f>
        <v>0</v>
      </c>
      <c r="G251" s="29"/>
      <c r="H251" s="29">
        <f>'일위대가_호표(신규)'!J1651</f>
        <v>16708</v>
      </c>
      <c r="I251" s="29"/>
      <c r="J251" s="29">
        <f>'일위대가_호표(신규)'!L1651</f>
        <v>0</v>
      </c>
      <c r="K251" s="20" t="s">
        <v>2856</v>
      </c>
      <c r="L251" t="s">
        <v>2856</v>
      </c>
      <c r="M251" t="s">
        <v>30</v>
      </c>
      <c r="N251" t="s">
        <v>1778</v>
      </c>
      <c r="V251" s="29">
        <v>0</v>
      </c>
      <c r="W251" s="29">
        <v>16708</v>
      </c>
      <c r="X251" s="29">
        <v>0</v>
      </c>
      <c r="Y251" s="29">
        <v>16708</v>
      </c>
      <c r="AA251" s="7" t="b">
        <f t="shared" si="15"/>
        <v>1</v>
      </c>
      <c r="AC251" s="34" t="str">
        <f>HYPERLINK("#일위대가_호표!A1604","N1030 →")</f>
        <v>N1030 →</v>
      </c>
    </row>
    <row r="252" spans="1:29" ht="18.399999999999999" customHeight="1" x14ac:dyDescent="0.15">
      <c r="A252" s="11" t="s">
        <v>1939</v>
      </c>
      <c r="B252" s="2" t="s">
        <v>2492</v>
      </c>
      <c r="C252" s="2">
        <v>1</v>
      </c>
      <c r="D252" s="2" t="s">
        <v>1202</v>
      </c>
      <c r="E252" s="29">
        <f t="shared" si="14"/>
        <v>10589</v>
      </c>
      <c r="F252" s="29">
        <f>'일위대가_호표(신규)'!H1654</f>
        <v>1881</v>
      </c>
      <c r="G252" s="29"/>
      <c r="H252" s="29">
        <f>'일위대가_호표(신규)'!J1654</f>
        <v>8708</v>
      </c>
      <c r="I252" s="29"/>
      <c r="J252" s="29">
        <f>'일위대가_호표(신규)'!L1654</f>
        <v>0</v>
      </c>
      <c r="K252" s="20" t="s">
        <v>2856</v>
      </c>
      <c r="L252" t="s">
        <v>2856</v>
      </c>
      <c r="M252" t="s">
        <v>799</v>
      </c>
      <c r="N252" t="s">
        <v>1778</v>
      </c>
      <c r="V252" s="29">
        <v>1881</v>
      </c>
      <c r="W252" s="29">
        <v>8708</v>
      </c>
      <c r="X252" s="29">
        <v>0</v>
      </c>
      <c r="Y252" s="29">
        <v>10589</v>
      </c>
      <c r="AA252" s="7" t="b">
        <f t="shared" si="15"/>
        <v>1</v>
      </c>
      <c r="AC252" s="34" t="str">
        <f>HYPERLINK("#일위대가_호표!A1607","N4665 →")</f>
        <v>N4665 →</v>
      </c>
    </row>
    <row r="253" spans="1:29" ht="18.399999999999999" customHeight="1" x14ac:dyDescent="0.15">
      <c r="A253" s="11" t="s">
        <v>833</v>
      </c>
      <c r="B253" s="2" t="s">
        <v>964</v>
      </c>
      <c r="C253" s="2">
        <v>1</v>
      </c>
      <c r="D253" s="2" t="s">
        <v>978</v>
      </c>
      <c r="E253" s="29">
        <f t="shared" si="14"/>
        <v>1613956</v>
      </c>
      <c r="F253" s="29">
        <f>'일위대가_호표(신규)'!H1661</f>
        <v>0</v>
      </c>
      <c r="G253" s="29"/>
      <c r="H253" s="29">
        <f>'일위대가_호표(신규)'!J1661</f>
        <v>1567947</v>
      </c>
      <c r="I253" s="29"/>
      <c r="J253" s="29">
        <f>'일위대가_호표(신규)'!L1661</f>
        <v>46009</v>
      </c>
      <c r="K253" s="20" t="s">
        <v>2856</v>
      </c>
      <c r="L253" t="s">
        <v>2856</v>
      </c>
      <c r="M253" t="s">
        <v>614</v>
      </c>
      <c r="N253" t="s">
        <v>1778</v>
      </c>
      <c r="V253" s="29">
        <v>0</v>
      </c>
      <c r="W253" s="29">
        <v>1567947</v>
      </c>
      <c r="X253" s="29">
        <v>46009</v>
      </c>
      <c r="Y253" s="29">
        <v>1613956</v>
      </c>
      <c r="AA253" s="7" t="b">
        <f t="shared" si="15"/>
        <v>1</v>
      </c>
      <c r="AC253" s="34" t="str">
        <f>HYPERLINK("#일위대가_호표!A1614","N0211-24 →")</f>
        <v>N0211-24 →</v>
      </c>
    </row>
    <row r="254" spans="1:29" ht="18.399999999999999" customHeight="1" x14ac:dyDescent="0.15">
      <c r="A254" s="11" t="s">
        <v>2686</v>
      </c>
      <c r="B254" s="2" t="s">
        <v>2232</v>
      </c>
      <c r="C254" s="2">
        <v>1</v>
      </c>
      <c r="D254" s="2" t="s">
        <v>1202</v>
      </c>
      <c r="E254" s="29">
        <f t="shared" si="14"/>
        <v>55826</v>
      </c>
      <c r="F254" s="29">
        <f>'일위대가_호표(신규)'!H1668</f>
        <v>0</v>
      </c>
      <c r="G254" s="29"/>
      <c r="H254" s="29">
        <f>'일위대가_호표(신규)'!J1668</f>
        <v>55826</v>
      </c>
      <c r="I254" s="29"/>
      <c r="J254" s="29">
        <f>'일위대가_호표(신규)'!L1668</f>
        <v>0</v>
      </c>
      <c r="K254" s="20" t="s">
        <v>2856</v>
      </c>
      <c r="L254" t="s">
        <v>2856</v>
      </c>
      <c r="M254" t="s">
        <v>1522</v>
      </c>
      <c r="N254" t="s">
        <v>1778</v>
      </c>
      <c r="V254" s="29">
        <v>0</v>
      </c>
      <c r="W254" s="29">
        <v>55826</v>
      </c>
      <c r="X254" s="29">
        <v>0</v>
      </c>
      <c r="Y254" s="29">
        <v>55826</v>
      </c>
      <c r="AA254" s="7" t="b">
        <f t="shared" si="15"/>
        <v>1</v>
      </c>
      <c r="AC254" s="34" t="str">
        <f>HYPERLINK("#일위대가_호표!A1621","N0201-24 →")</f>
        <v>N0201-24 →</v>
      </c>
    </row>
    <row r="255" spans="1:29" ht="18.399999999999999" customHeight="1" x14ac:dyDescent="0.15">
      <c r="A255" s="11" t="s">
        <v>310</v>
      </c>
      <c r="B255" s="2" t="s">
        <v>2848</v>
      </c>
      <c r="C255" s="2">
        <v>1</v>
      </c>
      <c r="D255" s="2" t="s">
        <v>1202</v>
      </c>
      <c r="E255" s="29">
        <f t="shared" si="14"/>
        <v>12165</v>
      </c>
      <c r="F255" s="29">
        <f>'일위대가_호표(신규)'!H1674</f>
        <v>1188</v>
      </c>
      <c r="G255" s="29"/>
      <c r="H255" s="29">
        <f>'일위대가_호표(신규)'!J1674</f>
        <v>10762</v>
      </c>
      <c r="I255" s="29"/>
      <c r="J255" s="29">
        <f>'일위대가_호표(신규)'!L1674</f>
        <v>215</v>
      </c>
      <c r="K255" s="20" t="s">
        <v>2856</v>
      </c>
      <c r="L255" t="s">
        <v>2856</v>
      </c>
      <c r="M255" t="s">
        <v>1058</v>
      </c>
      <c r="N255" t="s">
        <v>1778</v>
      </c>
      <c r="V255" s="29">
        <v>1188</v>
      </c>
      <c r="W255" s="29">
        <v>10762</v>
      </c>
      <c r="X255" s="29">
        <v>215</v>
      </c>
      <c r="Y255" s="29">
        <v>12165</v>
      </c>
      <c r="AA255" s="7" t="b">
        <f t="shared" si="15"/>
        <v>1</v>
      </c>
      <c r="AC255" s="34" t="str">
        <f>HYPERLINK("#일위대가_호표!A1627","N4550 →")</f>
        <v>N4550 →</v>
      </c>
    </row>
    <row r="256" spans="1:29" ht="18.399999999999999" customHeight="1" x14ac:dyDescent="0.15">
      <c r="A256" s="11" t="s">
        <v>138</v>
      </c>
      <c r="B256" s="2" t="s">
        <v>722</v>
      </c>
      <c r="C256" s="2">
        <v>1</v>
      </c>
      <c r="D256" s="2" t="s">
        <v>978</v>
      </c>
      <c r="E256" s="29">
        <f t="shared" si="14"/>
        <v>3783056</v>
      </c>
      <c r="F256" s="29">
        <f>'일위대가_호표(신규)'!H1682</f>
        <v>0</v>
      </c>
      <c r="G256" s="29"/>
      <c r="H256" s="29">
        <f>'일위대가_호표(신규)'!J1682</f>
        <v>3783056</v>
      </c>
      <c r="I256" s="29"/>
      <c r="J256" s="29">
        <f>'일위대가_호표(신규)'!L1682</f>
        <v>0</v>
      </c>
      <c r="K256" s="20" t="s">
        <v>2856</v>
      </c>
      <c r="L256" t="s">
        <v>2856</v>
      </c>
      <c r="M256" t="s">
        <v>399</v>
      </c>
      <c r="N256" t="s">
        <v>1778</v>
      </c>
      <c r="V256" s="29">
        <v>0</v>
      </c>
      <c r="W256" s="29">
        <v>3783056</v>
      </c>
      <c r="X256" s="29">
        <v>0</v>
      </c>
      <c r="Y256" s="29">
        <v>3783056</v>
      </c>
      <c r="AA256" s="7" t="b">
        <f t="shared" si="15"/>
        <v>1</v>
      </c>
      <c r="AC256" s="34" t="str">
        <f>HYPERLINK("#일위대가_호표!A1635","NS0061 →")</f>
        <v>NS0061 →</v>
      </c>
    </row>
    <row r="257" spans="1:29" ht="18.399999999999999" customHeight="1" x14ac:dyDescent="0.15">
      <c r="A257" s="11" t="s">
        <v>379</v>
      </c>
      <c r="B257" s="2" t="s">
        <v>763</v>
      </c>
      <c r="C257" s="2">
        <v>1</v>
      </c>
      <c r="D257" s="2" t="s">
        <v>203</v>
      </c>
      <c r="E257" s="29">
        <f t="shared" si="14"/>
        <v>5309</v>
      </c>
      <c r="F257" s="29">
        <f>'일위대가_호표(신규)'!H1686</f>
        <v>5000</v>
      </c>
      <c r="G257" s="29"/>
      <c r="H257" s="29">
        <f>'일위대가_호표(신규)'!J1686</f>
        <v>309</v>
      </c>
      <c r="I257" s="29"/>
      <c r="J257" s="29">
        <f>'일위대가_호표(신규)'!L1686</f>
        <v>0</v>
      </c>
      <c r="K257" s="20" t="s">
        <v>2856</v>
      </c>
      <c r="L257" t="s">
        <v>2856</v>
      </c>
      <c r="M257" t="s">
        <v>955</v>
      </c>
      <c r="N257" t="s">
        <v>1778</v>
      </c>
      <c r="V257" s="29">
        <v>5000</v>
      </c>
      <c r="W257" s="29">
        <v>309</v>
      </c>
      <c r="X257" s="29">
        <v>0</v>
      </c>
      <c r="Y257" s="29">
        <v>5309</v>
      </c>
      <c r="AA257" s="7" t="b">
        <f t="shared" si="15"/>
        <v>1</v>
      </c>
      <c r="AC257" s="34" t="str">
        <f>HYPERLINK("#일위대가_호표!A1639","HT4820 →")</f>
        <v>HT4820 →</v>
      </c>
    </row>
    <row r="258" spans="1:29" ht="18.399999999999999" customHeight="1" x14ac:dyDescent="0.15">
      <c r="A258" s="11" t="s">
        <v>2849</v>
      </c>
      <c r="B258" s="2" t="s">
        <v>422</v>
      </c>
      <c r="C258" s="2">
        <v>1</v>
      </c>
      <c r="D258" s="2" t="s">
        <v>203</v>
      </c>
      <c r="E258" s="29">
        <f t="shared" si="14"/>
        <v>1809</v>
      </c>
      <c r="F258" s="29">
        <f>'일위대가_호표(신규)'!H1691</f>
        <v>1500</v>
      </c>
      <c r="G258" s="29"/>
      <c r="H258" s="29">
        <f>'일위대가_호표(신규)'!J1691</f>
        <v>309</v>
      </c>
      <c r="I258" s="29"/>
      <c r="J258" s="29">
        <f>'일위대가_호표(신규)'!L1691</f>
        <v>0</v>
      </c>
      <c r="K258" s="20" t="s">
        <v>2856</v>
      </c>
      <c r="L258" t="s">
        <v>2856</v>
      </c>
      <c r="M258" t="s">
        <v>424</v>
      </c>
      <c r="N258" t="s">
        <v>1778</v>
      </c>
      <c r="V258" s="29">
        <v>1500</v>
      </c>
      <c r="W258" s="29">
        <v>309</v>
      </c>
      <c r="X258" s="29">
        <v>0</v>
      </c>
      <c r="Y258" s="29">
        <v>1809</v>
      </c>
      <c r="AA258" s="7" t="b">
        <f t="shared" si="15"/>
        <v>1</v>
      </c>
      <c r="AC258" s="34" t="str">
        <f>HYPERLINK("#일위대가_호표!A1644","HT54904 →")</f>
        <v>HT54904 →</v>
      </c>
    </row>
    <row r="259" spans="1:29" ht="18.399999999999999" customHeight="1" x14ac:dyDescent="0.15">
      <c r="A259" s="11" t="s">
        <v>1109</v>
      </c>
      <c r="B259" s="2" t="s">
        <v>2445</v>
      </c>
      <c r="C259" s="2">
        <v>1</v>
      </c>
      <c r="D259" s="2" t="s">
        <v>1796</v>
      </c>
      <c r="E259" s="29">
        <f t="shared" ref="E259:E285" si="16">F259+H259+J259</f>
        <v>30163</v>
      </c>
      <c r="F259" s="29">
        <f>'일위대가_호표(신규)'!H1696</f>
        <v>10103</v>
      </c>
      <c r="G259" s="29"/>
      <c r="H259" s="29">
        <f>'일위대가_호표(신규)'!J1696</f>
        <v>17899</v>
      </c>
      <c r="I259" s="29"/>
      <c r="J259" s="29">
        <f>'일위대가_호표(신규)'!L1696</f>
        <v>2161</v>
      </c>
      <c r="K259" s="20" t="s">
        <v>2856</v>
      </c>
      <c r="L259" t="s">
        <v>2856</v>
      </c>
      <c r="M259" t="s">
        <v>1723</v>
      </c>
      <c r="N259" t="s">
        <v>1778</v>
      </c>
      <c r="V259" s="29">
        <v>10103</v>
      </c>
      <c r="W259" s="29">
        <v>17899</v>
      </c>
      <c r="X259" s="29">
        <v>2161</v>
      </c>
      <c r="Y259" s="29">
        <v>30163</v>
      </c>
      <c r="AA259" s="7" t="b">
        <f t="shared" ref="AA259:AA279" si="17">EXACT($E259,$Y259)</f>
        <v>1</v>
      </c>
      <c r="AC259" s="34" t="str">
        <f>HYPERLINK("#일위대가_호표!A1649","HW0018 →")</f>
        <v>HW0018 →</v>
      </c>
    </row>
    <row r="260" spans="1:29" ht="18.399999999999999" customHeight="1" x14ac:dyDescent="0.15">
      <c r="A260" s="11" t="s">
        <v>2427</v>
      </c>
      <c r="B260" s="2" t="s">
        <v>469</v>
      </c>
      <c r="C260" s="2">
        <v>1</v>
      </c>
      <c r="D260" s="2" t="s">
        <v>1202</v>
      </c>
      <c r="E260" s="29">
        <f t="shared" si="16"/>
        <v>16049</v>
      </c>
      <c r="F260" s="29">
        <f>'일위대가_호표(신규)'!H1700</f>
        <v>510</v>
      </c>
      <c r="G260" s="29"/>
      <c r="H260" s="29">
        <f>'일위대가_호표(신규)'!J1700</f>
        <v>6958</v>
      </c>
      <c r="I260" s="29"/>
      <c r="J260" s="68">
        <f>'일위대가_호표(신규)'!L1700</f>
        <v>8581</v>
      </c>
      <c r="K260" s="20" t="s">
        <v>2856</v>
      </c>
      <c r="L260" t="s">
        <v>2856</v>
      </c>
      <c r="M260" t="s">
        <v>131</v>
      </c>
      <c r="N260" t="s">
        <v>1778</v>
      </c>
      <c r="V260" s="29">
        <v>510</v>
      </c>
      <c r="W260" s="29">
        <v>6958</v>
      </c>
      <c r="X260" s="29">
        <v>691</v>
      </c>
      <c r="Y260" s="29">
        <v>8159</v>
      </c>
      <c r="AA260" s="7" t="b">
        <f t="shared" si="17"/>
        <v>0</v>
      </c>
      <c r="AC260" s="34" t="str">
        <f>HYPERLINK("#일위대가_호표!A1653","N6030-24 →")</f>
        <v>N6030-24 →</v>
      </c>
    </row>
    <row r="261" spans="1:29" ht="18.399999999999999" customHeight="1" x14ac:dyDescent="0.15">
      <c r="A261" s="11" t="s">
        <v>886</v>
      </c>
      <c r="B261" s="2" t="s">
        <v>469</v>
      </c>
      <c r="C261" s="2">
        <v>1</v>
      </c>
      <c r="D261" s="2" t="s">
        <v>1202</v>
      </c>
      <c r="E261" s="29">
        <f t="shared" si="16"/>
        <v>25341</v>
      </c>
      <c r="F261" s="29">
        <f>'일위대가_호표(신규)'!H1709</f>
        <v>805</v>
      </c>
      <c r="G261" s="29"/>
      <c r="H261" s="29">
        <f>'일위대가_호표(신규)'!J1709</f>
        <v>10987</v>
      </c>
      <c r="I261" s="29"/>
      <c r="J261" s="68">
        <f>'일위대가_호표(신규)'!L1709</f>
        <v>13549</v>
      </c>
      <c r="K261" s="20" t="s">
        <v>2856</v>
      </c>
      <c r="L261" t="s">
        <v>2856</v>
      </c>
      <c r="M261" t="s">
        <v>2529</v>
      </c>
      <c r="N261" t="s">
        <v>1778</v>
      </c>
      <c r="V261" s="29">
        <v>805</v>
      </c>
      <c r="W261" s="29">
        <v>10987</v>
      </c>
      <c r="X261" s="29">
        <v>1091</v>
      </c>
      <c r="Y261" s="29">
        <v>12883</v>
      </c>
      <c r="AA261" s="7" t="b">
        <f t="shared" si="17"/>
        <v>0</v>
      </c>
      <c r="AC261" s="34" t="str">
        <f>HYPERLINK("#일위대가_호표!A1662","N6033-24 →")</f>
        <v>N6033-24 →</v>
      </c>
    </row>
    <row r="262" spans="1:29" ht="18.399999999999999" customHeight="1" x14ac:dyDescent="0.15">
      <c r="A262" s="11" t="s">
        <v>2094</v>
      </c>
      <c r="B262" s="2" t="s">
        <v>2731</v>
      </c>
      <c r="C262" s="2">
        <v>1</v>
      </c>
      <c r="D262" s="2" t="s">
        <v>1202</v>
      </c>
      <c r="E262" s="29">
        <f t="shared" si="16"/>
        <v>119130</v>
      </c>
      <c r="F262" s="29">
        <f>'일위대가_호표(신규)'!H1718</f>
        <v>3419</v>
      </c>
      <c r="G262" s="29"/>
      <c r="H262" s="29">
        <f>'일위대가_호표(신규)'!J1718</f>
        <v>31687</v>
      </c>
      <c r="I262" s="29"/>
      <c r="J262" s="68">
        <f>'일위대가_호표(신규)'!L1718</f>
        <v>84024</v>
      </c>
      <c r="K262" s="20" t="s">
        <v>2856</v>
      </c>
      <c r="L262" t="s">
        <v>2856</v>
      </c>
      <c r="M262" t="s">
        <v>1624</v>
      </c>
      <c r="N262" t="s">
        <v>1778</v>
      </c>
      <c r="V262" s="29">
        <v>3419</v>
      </c>
      <c r="W262" s="29">
        <v>31687</v>
      </c>
      <c r="X262" s="29">
        <v>950</v>
      </c>
      <c r="Y262" s="29">
        <v>36056</v>
      </c>
      <c r="AA262" s="7" t="b">
        <f t="shared" si="17"/>
        <v>0</v>
      </c>
      <c r="AC262" s="34" t="str">
        <f>HYPERLINK("#일위대가_호표!A1671","NS00700 →")</f>
        <v>NS00700 →</v>
      </c>
    </row>
    <row r="263" spans="1:29" ht="18.399999999999999" customHeight="1" x14ac:dyDescent="0.15">
      <c r="A263" s="11" t="s">
        <v>2048</v>
      </c>
      <c r="B263" s="2" t="s">
        <v>2599</v>
      </c>
      <c r="C263" s="2">
        <v>1</v>
      </c>
      <c r="D263" s="2" t="s">
        <v>1670</v>
      </c>
      <c r="E263" s="29">
        <f t="shared" si="16"/>
        <v>20715</v>
      </c>
      <c r="F263" s="68">
        <f>'일위대가_호표(신규)'!H1722</f>
        <v>926</v>
      </c>
      <c r="G263" s="68"/>
      <c r="H263" s="68">
        <f>'일위대가_호표(신규)'!J1722</f>
        <v>8827</v>
      </c>
      <c r="I263" s="68"/>
      <c r="J263" s="68">
        <f>'일위대가_호표(신규)'!L1722</f>
        <v>10962</v>
      </c>
      <c r="K263" s="20" t="s">
        <v>2856</v>
      </c>
      <c r="L263" t="s">
        <v>2856</v>
      </c>
      <c r="M263" t="s">
        <v>2847</v>
      </c>
      <c r="N263" t="s">
        <v>1778</v>
      </c>
      <c r="V263" s="29">
        <v>926</v>
      </c>
      <c r="W263" s="29">
        <v>8827</v>
      </c>
      <c r="X263" s="29">
        <v>1017</v>
      </c>
      <c r="Y263" s="29">
        <v>10770</v>
      </c>
      <c r="AA263" s="7" t="b">
        <f t="shared" si="17"/>
        <v>0</v>
      </c>
      <c r="AC263" s="34" t="str">
        <f>HYPERLINK("#일위대가_호표!A1675","N6075-24 →")</f>
        <v>N6075-24 →</v>
      </c>
    </row>
    <row r="264" spans="1:29" ht="18.399999999999999" customHeight="1" x14ac:dyDescent="0.15">
      <c r="A264" s="11" t="s">
        <v>1437</v>
      </c>
      <c r="B264" s="2" t="s">
        <v>254</v>
      </c>
      <c r="C264" s="2">
        <v>1</v>
      </c>
      <c r="D264" s="2" t="s">
        <v>1670</v>
      </c>
      <c r="E264" s="29">
        <f t="shared" si="16"/>
        <v>24029</v>
      </c>
      <c r="F264" s="29">
        <f>'일위대가_호표(신규)'!H1729</f>
        <v>1074</v>
      </c>
      <c r="G264" s="29"/>
      <c r="H264" s="29">
        <f>'일위대가_호표(신규)'!J1729</f>
        <v>10240</v>
      </c>
      <c r="I264" s="29"/>
      <c r="J264" s="68">
        <f>'일위대가_호표(신규)'!L1729</f>
        <v>12715</v>
      </c>
      <c r="K264" s="20" t="s">
        <v>2856</v>
      </c>
      <c r="L264" t="s">
        <v>2856</v>
      </c>
      <c r="M264" t="s">
        <v>1312</v>
      </c>
      <c r="N264" t="s">
        <v>1778</v>
      </c>
      <c r="V264" s="29">
        <v>1074</v>
      </c>
      <c r="W264" s="29">
        <v>10240</v>
      </c>
      <c r="X264" s="29">
        <v>1180</v>
      </c>
      <c r="Y264" s="29">
        <v>12494</v>
      </c>
      <c r="AA264" s="7" t="b">
        <f t="shared" si="17"/>
        <v>0</v>
      </c>
      <c r="AC264" s="34" t="str">
        <f>HYPERLINK("#일위대가_호표!A1682","N6077-24 →")</f>
        <v>N6077-24 →</v>
      </c>
    </row>
    <row r="265" spans="1:29" ht="18.399999999999999" customHeight="1" x14ac:dyDescent="0.15">
      <c r="A265" s="11" t="s">
        <v>3</v>
      </c>
      <c r="B265" s="2" t="s">
        <v>2757</v>
      </c>
      <c r="C265" s="2">
        <v>1</v>
      </c>
      <c r="D265" s="2" t="s">
        <v>556</v>
      </c>
      <c r="E265" s="29">
        <f t="shared" si="16"/>
        <v>336879</v>
      </c>
      <c r="F265" s="29">
        <f>'일위대가_호표(신규)'!H1736</f>
        <v>28157</v>
      </c>
      <c r="G265" s="29"/>
      <c r="H265" s="29">
        <f>'일위대가_호표(신규)'!J1736</f>
        <v>249225</v>
      </c>
      <c r="I265" s="29"/>
      <c r="J265" s="29">
        <f>'일위대가_호표(신규)'!L1736</f>
        <v>59497</v>
      </c>
      <c r="K265" s="20" t="s">
        <v>2856</v>
      </c>
      <c r="L265" t="s">
        <v>2856</v>
      </c>
      <c r="M265" t="s">
        <v>558</v>
      </c>
      <c r="N265" t="s">
        <v>1778</v>
      </c>
      <c r="V265" s="29">
        <v>28157</v>
      </c>
      <c r="W265" s="29">
        <v>249225</v>
      </c>
      <c r="X265" s="29">
        <v>59497</v>
      </c>
      <c r="Y265" s="29">
        <v>336879</v>
      </c>
      <c r="AA265" s="7" t="b">
        <f t="shared" si="17"/>
        <v>1</v>
      </c>
      <c r="AC265" s="34" t="str">
        <f>HYPERLINK("#일위대가_호표!A1689","NT0822 →")</f>
        <v>NT0822 →</v>
      </c>
    </row>
    <row r="266" spans="1:29" ht="18.399999999999999" customHeight="1" x14ac:dyDescent="0.15">
      <c r="A266" s="11" t="s">
        <v>429</v>
      </c>
      <c r="B266" s="2" t="s">
        <v>910</v>
      </c>
      <c r="C266" s="2">
        <v>1</v>
      </c>
      <c r="D266" s="2" t="s">
        <v>556</v>
      </c>
      <c r="E266" s="29">
        <f t="shared" si="16"/>
        <v>650282</v>
      </c>
      <c r="F266" s="29">
        <f>'일위대가_호표(신규)'!H1743</f>
        <v>58164</v>
      </c>
      <c r="G266" s="29"/>
      <c r="H266" s="29">
        <f>'일위대가_호표(신규)'!J1743</f>
        <v>436144</v>
      </c>
      <c r="I266" s="29"/>
      <c r="J266" s="29">
        <f>'일위대가_호표(신규)'!L1743</f>
        <v>155974</v>
      </c>
      <c r="K266" s="20" t="s">
        <v>2856</v>
      </c>
      <c r="L266" t="s">
        <v>2856</v>
      </c>
      <c r="M266" t="s">
        <v>67</v>
      </c>
      <c r="N266" t="s">
        <v>1778</v>
      </c>
      <c r="V266" s="29">
        <v>58164</v>
      </c>
      <c r="W266" s="29">
        <v>436144</v>
      </c>
      <c r="X266" s="29">
        <v>155974</v>
      </c>
      <c r="Y266" s="29">
        <v>650282</v>
      </c>
      <c r="AA266" s="7" t="b">
        <f t="shared" si="17"/>
        <v>1</v>
      </c>
      <c r="AC266" s="34" t="str">
        <f>HYPERLINK("#일위대가_호표!A1696","NT0824 →")</f>
        <v>NT0824 →</v>
      </c>
    </row>
    <row r="267" spans="1:29" ht="18.399999999999999" customHeight="1" x14ac:dyDescent="0.15">
      <c r="A267" s="11" t="s">
        <v>1516</v>
      </c>
      <c r="B267" s="2" t="s">
        <v>59</v>
      </c>
      <c r="C267" s="2">
        <v>1</v>
      </c>
      <c r="D267" s="2" t="s">
        <v>556</v>
      </c>
      <c r="E267" s="29">
        <f t="shared" si="16"/>
        <v>520225</v>
      </c>
      <c r="F267" s="29">
        <f>'일위대가_호표(신규)'!H1750</f>
        <v>46531</v>
      </c>
      <c r="G267" s="29"/>
      <c r="H267" s="29">
        <f>'일위대가_호표(신규)'!J1750</f>
        <v>348915</v>
      </c>
      <c r="I267" s="29"/>
      <c r="J267" s="29">
        <f>'일위대가_호표(신규)'!L1750</f>
        <v>124779</v>
      </c>
      <c r="K267" s="20" t="s">
        <v>2856</v>
      </c>
      <c r="L267" t="s">
        <v>2856</v>
      </c>
      <c r="M267" t="s">
        <v>2463</v>
      </c>
      <c r="N267" t="s">
        <v>1778</v>
      </c>
      <c r="V267" s="29">
        <v>46531</v>
      </c>
      <c r="W267" s="29">
        <v>348915</v>
      </c>
      <c r="X267" s="29">
        <v>124779</v>
      </c>
      <c r="Y267" s="29">
        <v>520225</v>
      </c>
      <c r="AA267" s="7" t="b">
        <f t="shared" si="17"/>
        <v>1</v>
      </c>
      <c r="AC267" s="34" t="str">
        <f>HYPERLINK("#일위대가_호표!A1703","NT0810 →")</f>
        <v>NT0810 →</v>
      </c>
    </row>
    <row r="268" spans="1:29" ht="18.399999999999999" customHeight="1" x14ac:dyDescent="0.15">
      <c r="A268" s="11" t="s">
        <v>1338</v>
      </c>
      <c r="B268" s="2" t="s">
        <v>552</v>
      </c>
      <c r="C268" s="2">
        <v>1</v>
      </c>
      <c r="D268" s="2" t="s">
        <v>556</v>
      </c>
      <c r="E268" s="29">
        <f t="shared" si="16"/>
        <v>471631</v>
      </c>
      <c r="F268" s="29">
        <f>'일위대가_호표(신규)'!H1757</f>
        <v>39420</v>
      </c>
      <c r="G268" s="29"/>
      <c r="H268" s="29">
        <f>'일위대가_호표(신규)'!J1757</f>
        <v>348915</v>
      </c>
      <c r="I268" s="29"/>
      <c r="J268" s="29">
        <f>'일위대가_호표(신규)'!L1757</f>
        <v>83296</v>
      </c>
      <c r="K268" s="20" t="s">
        <v>2856</v>
      </c>
      <c r="L268" t="s">
        <v>2856</v>
      </c>
      <c r="M268" t="s">
        <v>1842</v>
      </c>
      <c r="N268" t="s">
        <v>1778</v>
      </c>
      <c r="V268" s="29">
        <v>39420</v>
      </c>
      <c r="W268" s="29">
        <v>348915</v>
      </c>
      <c r="X268" s="29">
        <v>83296</v>
      </c>
      <c r="Y268" s="29">
        <v>471631</v>
      </c>
      <c r="AA268" s="7" t="b">
        <f t="shared" si="17"/>
        <v>1</v>
      </c>
      <c r="AC268" s="34" t="str">
        <f>HYPERLINK("#일위대가_호표!A1710","NT0823 →")</f>
        <v>NT0823 →</v>
      </c>
    </row>
    <row r="269" spans="1:29" ht="18.399999999999999" customHeight="1" x14ac:dyDescent="0.15">
      <c r="A269" s="11" t="s">
        <v>1089</v>
      </c>
      <c r="B269" s="2" t="s">
        <v>2184</v>
      </c>
      <c r="C269" s="2">
        <v>1</v>
      </c>
      <c r="D269" s="2" t="s">
        <v>556</v>
      </c>
      <c r="E269" s="29">
        <f t="shared" si="16"/>
        <v>103659</v>
      </c>
      <c r="F269" s="29">
        <f>'일위대가_호표(신규)'!H1764</f>
        <v>8953</v>
      </c>
      <c r="G269" s="29"/>
      <c r="H269" s="29">
        <f>'일위대가_호표(신규)'!J1764</f>
        <v>85972</v>
      </c>
      <c r="I269" s="29"/>
      <c r="J269" s="29">
        <f>'일위대가_호표(신규)'!L1764</f>
        <v>8734</v>
      </c>
      <c r="K269" s="20" t="s">
        <v>2856</v>
      </c>
      <c r="L269" t="s">
        <v>2856</v>
      </c>
      <c r="M269" t="s">
        <v>343</v>
      </c>
      <c r="N269" t="s">
        <v>1778</v>
      </c>
      <c r="V269" s="29">
        <v>8953</v>
      </c>
      <c r="W269" s="29">
        <v>85972</v>
      </c>
      <c r="X269" s="29">
        <v>8734</v>
      </c>
      <c r="Y269" s="29">
        <v>103659</v>
      </c>
      <c r="AA269" s="7" t="b">
        <f t="shared" si="17"/>
        <v>1</v>
      </c>
      <c r="AC269" s="34" t="str">
        <f>HYPERLINK("#일위대가_호표!A1717","NT0820 →")</f>
        <v>NT0820 →</v>
      </c>
    </row>
    <row r="270" spans="1:29" ht="18.399999999999999" customHeight="1" x14ac:dyDescent="0.15">
      <c r="A270" s="11" t="s">
        <v>1343</v>
      </c>
      <c r="B270" s="2" t="s">
        <v>517</v>
      </c>
      <c r="C270" s="2">
        <v>1</v>
      </c>
      <c r="D270" s="2" t="s">
        <v>556</v>
      </c>
      <c r="E270" s="29">
        <f t="shared" si="16"/>
        <v>155490</v>
      </c>
      <c r="F270" s="29">
        <f>'일위대가_호표(신규)'!H1770</f>
        <v>13430</v>
      </c>
      <c r="G270" s="29"/>
      <c r="H270" s="29">
        <f>'일위대가_호표(신규)'!J1770</f>
        <v>128958</v>
      </c>
      <c r="I270" s="29"/>
      <c r="J270" s="29">
        <f>'일위대가_호표(신규)'!L1770</f>
        <v>13102</v>
      </c>
      <c r="K270" s="20" t="s">
        <v>2856</v>
      </c>
      <c r="L270" t="s">
        <v>2856</v>
      </c>
      <c r="M270" t="s">
        <v>1526</v>
      </c>
      <c r="N270" t="s">
        <v>1778</v>
      </c>
      <c r="V270" s="29">
        <v>13430</v>
      </c>
      <c r="W270" s="29">
        <v>128958</v>
      </c>
      <c r="X270" s="29">
        <v>13102</v>
      </c>
      <c r="Y270" s="29">
        <v>155490</v>
      </c>
      <c r="AA270" s="7" t="b">
        <f t="shared" si="17"/>
        <v>1</v>
      </c>
      <c r="AC270" s="34" t="str">
        <f>HYPERLINK("#일위대가_호표!A1723","NT0821 →")</f>
        <v>NT0821 →</v>
      </c>
    </row>
    <row r="271" spans="1:29" ht="18.399999999999999" customHeight="1" x14ac:dyDescent="0.15">
      <c r="A271" s="11" t="s">
        <v>1969</v>
      </c>
      <c r="B271" s="2" t="s">
        <v>2292</v>
      </c>
      <c r="C271" s="2">
        <v>1</v>
      </c>
      <c r="D271" s="2" t="s">
        <v>556</v>
      </c>
      <c r="E271" s="29">
        <f t="shared" si="16"/>
        <v>972863</v>
      </c>
      <c r="F271" s="29">
        <f>'일위대가_호표(신규)'!H1776</f>
        <v>104320</v>
      </c>
      <c r="G271" s="29"/>
      <c r="H271" s="29">
        <f>'일위대가_호표(신규)'!J1776</f>
        <v>581525</v>
      </c>
      <c r="I271" s="29"/>
      <c r="J271" s="29">
        <f>'일위대가_호표(신규)'!L1776</f>
        <v>287018</v>
      </c>
      <c r="K271" s="20" t="s">
        <v>2856</v>
      </c>
      <c r="L271" t="s">
        <v>2856</v>
      </c>
      <c r="M271" t="s">
        <v>1607</v>
      </c>
      <c r="N271" t="s">
        <v>1778</v>
      </c>
      <c r="V271" s="29">
        <v>104320</v>
      </c>
      <c r="W271" s="29">
        <v>581525</v>
      </c>
      <c r="X271" s="29">
        <v>287018</v>
      </c>
      <c r="Y271" s="29">
        <v>972863</v>
      </c>
      <c r="AA271" s="7" t="b">
        <f t="shared" si="17"/>
        <v>1</v>
      </c>
      <c r="AC271" s="34" t="str">
        <f>HYPERLINK("#일위대가_호표!A1729","NT0825 →")</f>
        <v>NT0825 →</v>
      </c>
    </row>
    <row r="272" spans="1:29" ht="18.399999999999999" customHeight="1" x14ac:dyDescent="0.15">
      <c r="A272" s="11" t="s">
        <v>874</v>
      </c>
      <c r="B272" s="2" t="s">
        <v>950</v>
      </c>
      <c r="C272" s="2">
        <v>1</v>
      </c>
      <c r="D272" s="2" t="s">
        <v>556</v>
      </c>
      <c r="E272" s="29">
        <f t="shared" si="16"/>
        <v>729648</v>
      </c>
      <c r="F272" s="29">
        <f>'일위대가_호표(신규)'!H1783</f>
        <v>78240</v>
      </c>
      <c r="G272" s="29"/>
      <c r="H272" s="29">
        <f>'일위대가_호표(신규)'!J1783</f>
        <v>436144</v>
      </c>
      <c r="I272" s="29"/>
      <c r="J272" s="29">
        <f>'일위대가_호표(신규)'!L1783</f>
        <v>215264</v>
      </c>
      <c r="K272" s="20" t="s">
        <v>2856</v>
      </c>
      <c r="L272" t="s">
        <v>2856</v>
      </c>
      <c r="M272" t="s">
        <v>1148</v>
      </c>
      <c r="N272" t="s">
        <v>1778</v>
      </c>
      <c r="V272" s="29">
        <v>78240</v>
      </c>
      <c r="W272" s="29">
        <v>436144</v>
      </c>
      <c r="X272" s="29">
        <v>215264</v>
      </c>
      <c r="Y272" s="29">
        <v>729648</v>
      </c>
      <c r="AA272" s="7" t="b">
        <f t="shared" si="17"/>
        <v>1</v>
      </c>
      <c r="AC272" s="34" t="str">
        <f>HYPERLINK("#일위대가_호표!A1736","NT0813 →")</f>
        <v>NT0813 →</v>
      </c>
    </row>
    <row r="273" spans="1:29" ht="18.399999999999999" customHeight="1" x14ac:dyDescent="0.15">
      <c r="A273" s="11" t="s">
        <v>2768</v>
      </c>
      <c r="B273" s="2" t="s">
        <v>1995</v>
      </c>
      <c r="C273" s="2">
        <v>1</v>
      </c>
      <c r="D273" s="2" t="s">
        <v>556</v>
      </c>
      <c r="E273" s="29">
        <f t="shared" si="16"/>
        <v>62195</v>
      </c>
      <c r="F273" s="29">
        <f>'일위대가_호표(신규)'!H1790</f>
        <v>5372</v>
      </c>
      <c r="G273" s="29"/>
      <c r="H273" s="29">
        <f>'일위대가_호표(신규)'!J1790</f>
        <v>51583</v>
      </c>
      <c r="I273" s="29"/>
      <c r="J273" s="29">
        <f>'일위대가_호표(신규)'!L1790</f>
        <v>5240</v>
      </c>
      <c r="K273" s="20" t="s">
        <v>2856</v>
      </c>
      <c r="L273" t="s">
        <v>2856</v>
      </c>
      <c r="M273" t="s">
        <v>1347</v>
      </c>
      <c r="N273" t="s">
        <v>1778</v>
      </c>
      <c r="V273" s="29">
        <v>5372</v>
      </c>
      <c r="W273" s="29">
        <v>51583</v>
      </c>
      <c r="X273" s="29">
        <v>5240</v>
      </c>
      <c r="Y273" s="29">
        <v>62195</v>
      </c>
      <c r="AA273" s="7" t="b">
        <f t="shared" si="17"/>
        <v>1</v>
      </c>
      <c r="AC273" s="34" t="str">
        <f>HYPERLINK("#일위대가_호표!A1743","NT0819 →")</f>
        <v>NT0819 →</v>
      </c>
    </row>
    <row r="274" spans="1:29" ht="18.399999999999999" customHeight="1" x14ac:dyDescent="0.15">
      <c r="A274" s="11" t="s">
        <v>1492</v>
      </c>
      <c r="B274" s="2" t="s">
        <v>1322</v>
      </c>
      <c r="C274" s="2">
        <v>1</v>
      </c>
      <c r="D274" s="2" t="s">
        <v>2303</v>
      </c>
      <c r="E274" s="29">
        <f t="shared" si="16"/>
        <v>30804</v>
      </c>
      <c r="F274" s="29">
        <f>'일위대가_호표(신규)'!H1796</f>
        <v>30804</v>
      </c>
      <c r="G274" s="29"/>
      <c r="H274" s="29">
        <f>'일위대가_호표(신규)'!J1796</f>
        <v>0</v>
      </c>
      <c r="I274" s="29"/>
      <c r="J274" s="29">
        <f>'일위대가_호표(신규)'!L1796</f>
        <v>0</v>
      </c>
      <c r="K274" s="20" t="s">
        <v>2856</v>
      </c>
      <c r="L274" t="s">
        <v>2856</v>
      </c>
      <c r="M274" t="s">
        <v>2058</v>
      </c>
      <c r="N274" t="s">
        <v>1778</v>
      </c>
      <c r="V274" s="29">
        <v>30804</v>
      </c>
      <c r="W274" s="29">
        <v>0</v>
      </c>
      <c r="X274" s="29">
        <v>0</v>
      </c>
      <c r="Y274" s="29">
        <v>30804</v>
      </c>
      <c r="AA274" s="7" t="b">
        <f t="shared" si="17"/>
        <v>1</v>
      </c>
      <c r="AC274" s="34" t="str">
        <f>HYPERLINK("#일위대가_호표!A1749","N1110 →")</f>
        <v>N1110 →</v>
      </c>
    </row>
    <row r="275" spans="1:29" ht="18.399999999999999" customHeight="1" x14ac:dyDescent="0.15">
      <c r="A275" s="11" t="s">
        <v>2481</v>
      </c>
      <c r="B275" s="2" t="s">
        <v>1440</v>
      </c>
      <c r="C275" s="2">
        <v>1</v>
      </c>
      <c r="D275" s="2" t="s">
        <v>978</v>
      </c>
      <c r="E275" s="29">
        <f t="shared" si="16"/>
        <v>1896218</v>
      </c>
      <c r="F275" s="67">
        <f>'일위대가_호표(신규)'!H1801</f>
        <v>0</v>
      </c>
      <c r="G275" s="67"/>
      <c r="H275" s="67">
        <f>'일위대가_호표(신규)'!J1801</f>
        <v>211751</v>
      </c>
      <c r="I275" s="67"/>
      <c r="J275" s="67">
        <f>'일위대가_호표(신규)'!L1801</f>
        <v>1684467</v>
      </c>
      <c r="K275" s="20" t="s">
        <v>2856</v>
      </c>
      <c r="L275" t="s">
        <v>2856</v>
      </c>
      <c r="M275" t="s">
        <v>2252</v>
      </c>
      <c r="N275" t="s">
        <v>1778</v>
      </c>
      <c r="V275" s="29">
        <v>0</v>
      </c>
      <c r="W275" s="29">
        <v>211751</v>
      </c>
      <c r="X275" s="29">
        <v>19057</v>
      </c>
      <c r="Y275" s="29">
        <v>230808</v>
      </c>
      <c r="AA275" s="7" t="b">
        <f t="shared" si="17"/>
        <v>0</v>
      </c>
      <c r="AC275" s="34" t="str">
        <f>HYPERLINK("#일위대가_호표!A1754","N0180-241 →")</f>
        <v>N0180-241 →</v>
      </c>
    </row>
    <row r="276" spans="1:29" ht="18.399999999999999" customHeight="1" x14ac:dyDescent="0.15">
      <c r="A276" s="11" t="s">
        <v>2255</v>
      </c>
      <c r="B276" s="2" t="s">
        <v>1373</v>
      </c>
      <c r="C276" s="2">
        <v>1</v>
      </c>
      <c r="D276" s="2" t="s">
        <v>978</v>
      </c>
      <c r="E276" s="29">
        <f t="shared" si="16"/>
        <v>1517826</v>
      </c>
      <c r="F276" s="29">
        <f>'일위대가_호표(신규)'!H1807</f>
        <v>10770</v>
      </c>
      <c r="G276" s="29"/>
      <c r="H276" s="29">
        <f>'일위대가_호표(신규)'!J1807</f>
        <v>544504</v>
      </c>
      <c r="I276" s="29"/>
      <c r="J276" s="29">
        <f>'일위대가_호표(신규)'!L1807</f>
        <v>962552</v>
      </c>
      <c r="K276" s="20" t="s">
        <v>2856</v>
      </c>
      <c r="L276" t="s">
        <v>2856</v>
      </c>
      <c r="M276" t="s">
        <v>1290</v>
      </c>
      <c r="N276" t="s">
        <v>1778</v>
      </c>
      <c r="V276" s="29">
        <v>10770</v>
      </c>
      <c r="W276" s="29">
        <v>544504</v>
      </c>
      <c r="X276" s="29">
        <v>10890</v>
      </c>
      <c r="Y276" s="29">
        <v>566164</v>
      </c>
      <c r="AA276" s="7" t="b">
        <f t="shared" si="17"/>
        <v>0</v>
      </c>
      <c r="AC276" s="34" t="str">
        <f>HYPERLINK("#일위대가_호표!A1760","N0180-242 →")</f>
        <v>N0180-242 →</v>
      </c>
    </row>
    <row r="277" spans="1:29" ht="18.399999999999999" customHeight="1" x14ac:dyDescent="0.15">
      <c r="A277" s="11" t="s">
        <v>1007</v>
      </c>
      <c r="B277" s="2" t="s">
        <v>2856</v>
      </c>
      <c r="C277" s="2">
        <v>1</v>
      </c>
      <c r="D277" s="2" t="s">
        <v>1202</v>
      </c>
      <c r="E277" s="29">
        <f t="shared" si="16"/>
        <v>220</v>
      </c>
      <c r="F277" s="29">
        <f>'일위대가_호표(신규)'!H1814</f>
        <v>0</v>
      </c>
      <c r="G277" s="29"/>
      <c r="H277" s="29">
        <f>'일위대가_호표(신규)'!J1814</f>
        <v>220</v>
      </c>
      <c r="I277" s="29"/>
      <c r="J277" s="29">
        <f>'일위대가_호표(신규)'!L1814</f>
        <v>0</v>
      </c>
      <c r="K277" s="20" t="s">
        <v>2856</v>
      </c>
      <c r="L277" t="s">
        <v>2856</v>
      </c>
      <c r="M277" t="s">
        <v>906</v>
      </c>
      <c r="N277" t="s">
        <v>1778</v>
      </c>
      <c r="V277" s="29">
        <v>0</v>
      </c>
      <c r="W277" s="29">
        <v>220</v>
      </c>
      <c r="X277" s="29">
        <v>0</v>
      </c>
      <c r="Y277" s="29">
        <v>220</v>
      </c>
      <c r="AA277" s="7" t="b">
        <f t="shared" si="17"/>
        <v>1</v>
      </c>
      <c r="AC277" s="34" t="str">
        <f>HYPERLINK("#일위대가_호표!A1767","N5990 →")</f>
        <v>N5990 →</v>
      </c>
    </row>
    <row r="278" spans="1:29" ht="18.399999999999999" customHeight="1" x14ac:dyDescent="0.15">
      <c r="A278" s="11" t="s">
        <v>743</v>
      </c>
      <c r="B278" s="2" t="s">
        <v>2856</v>
      </c>
      <c r="C278" s="2">
        <v>1</v>
      </c>
      <c r="D278" s="2" t="s">
        <v>1202</v>
      </c>
      <c r="E278" s="29">
        <f t="shared" si="16"/>
        <v>3419</v>
      </c>
      <c r="F278" s="29">
        <f>'일위대가_호표(신규)'!H1819</f>
        <v>3419</v>
      </c>
      <c r="G278" s="29"/>
      <c r="H278" s="29">
        <f>'일위대가_호표(신규)'!J1819</f>
        <v>0</v>
      </c>
      <c r="I278" s="29"/>
      <c r="J278" s="29">
        <f>'일위대가_호표(신규)'!L1819</f>
        <v>0</v>
      </c>
      <c r="K278" s="20" t="s">
        <v>2856</v>
      </c>
      <c r="L278" t="s">
        <v>2856</v>
      </c>
      <c r="M278" t="s">
        <v>82</v>
      </c>
      <c r="N278" t="s">
        <v>1778</v>
      </c>
      <c r="V278" s="29">
        <v>3419</v>
      </c>
      <c r="W278" s="29">
        <v>0</v>
      </c>
      <c r="X278" s="29">
        <v>0</v>
      </c>
      <c r="Y278" s="29">
        <v>3419</v>
      </c>
      <c r="AA278" s="7" t="b">
        <f t="shared" si="17"/>
        <v>1</v>
      </c>
      <c r="AC278" s="34" t="str">
        <f>HYPERLINK("#일위대가_호표!A1772","NS00701 →")</f>
        <v>NS00701 →</v>
      </c>
    </row>
    <row r="279" spans="1:29" ht="18.399999999999999" customHeight="1" x14ac:dyDescent="0.15">
      <c r="A279" s="74" t="s">
        <v>2746</v>
      </c>
      <c r="B279" s="75" t="s">
        <v>2856</v>
      </c>
      <c r="C279" s="75">
        <v>1</v>
      </c>
      <c r="D279" s="75" t="s">
        <v>1202</v>
      </c>
      <c r="E279" s="76">
        <f t="shared" si="16"/>
        <v>115711</v>
      </c>
      <c r="F279" s="76">
        <f>'일위대가_호표(신규)'!H1825</f>
        <v>0</v>
      </c>
      <c r="G279" s="76"/>
      <c r="H279" s="76">
        <f>'일위대가_호표(신규)'!J1825</f>
        <v>31687</v>
      </c>
      <c r="I279" s="76"/>
      <c r="J279" s="77">
        <f>'일위대가_호표(신규)'!L1825</f>
        <v>84024</v>
      </c>
      <c r="K279" s="78" t="s">
        <v>2856</v>
      </c>
      <c r="L279" t="s">
        <v>2856</v>
      </c>
      <c r="M279" t="s">
        <v>2120</v>
      </c>
      <c r="N279" t="s">
        <v>1778</v>
      </c>
      <c r="V279" s="29">
        <v>0</v>
      </c>
      <c r="W279" s="29">
        <v>31687</v>
      </c>
      <c r="X279" s="29">
        <v>950</v>
      </c>
      <c r="Y279" s="29">
        <v>32637</v>
      </c>
      <c r="AA279" s="7" t="b">
        <f t="shared" si="17"/>
        <v>0</v>
      </c>
      <c r="AC279" s="34" t="str">
        <f>HYPERLINK("#일위대가_호표!A1778","NS00702 →")</f>
        <v>NS00702 →</v>
      </c>
    </row>
    <row r="280" spans="1:29" ht="18.399999999999999" customHeight="1" x14ac:dyDescent="0.15">
      <c r="A280" s="11" t="s">
        <v>3073</v>
      </c>
      <c r="B280" s="2" t="s">
        <v>3074</v>
      </c>
      <c r="C280" s="2" t="s">
        <v>3075</v>
      </c>
      <c r="D280" s="2" t="s">
        <v>3047</v>
      </c>
      <c r="E280" s="29">
        <f t="shared" si="16"/>
        <v>2661254</v>
      </c>
      <c r="F280" s="29">
        <f>'일위대가_호표(신규)'!H2060</f>
        <v>0</v>
      </c>
      <c r="G280" s="29"/>
      <c r="H280" s="29">
        <f>'일위대가_호표(신규)'!J2060</f>
        <v>2599062</v>
      </c>
      <c r="I280" s="29"/>
      <c r="J280" s="68">
        <f>'일위대가_호표(신규)'!L2060</f>
        <v>62192</v>
      </c>
      <c r="K280" s="23" t="s">
        <v>2856</v>
      </c>
    </row>
    <row r="281" spans="1:29" ht="18.399999999999999" customHeight="1" x14ac:dyDescent="0.15">
      <c r="A281" s="11" t="s">
        <v>3105</v>
      </c>
      <c r="B281" s="2" t="s">
        <v>3107</v>
      </c>
      <c r="C281" s="2" t="s">
        <v>3075</v>
      </c>
      <c r="D281" s="75" t="s">
        <v>1202</v>
      </c>
      <c r="E281" s="29">
        <f t="shared" si="16"/>
        <v>23877</v>
      </c>
      <c r="F281" s="29">
        <f>'일위대가_호표(신규)'!H2092</f>
        <v>0</v>
      </c>
      <c r="G281" s="29"/>
      <c r="H281" s="29">
        <f>'일위대가_호표(신규)'!J2092</f>
        <v>23182</v>
      </c>
      <c r="I281" s="29"/>
      <c r="J281" s="68">
        <f>'일위대가_호표(신규)'!L2092</f>
        <v>695</v>
      </c>
      <c r="K281" s="23" t="s">
        <v>2856</v>
      </c>
    </row>
    <row r="282" spans="1:29" ht="18.399999999999999" customHeight="1" x14ac:dyDescent="0.15">
      <c r="A282" s="11" t="s">
        <v>3106</v>
      </c>
      <c r="B282" s="2" t="s">
        <v>3107</v>
      </c>
      <c r="C282" s="2" t="s">
        <v>3075</v>
      </c>
      <c r="D282" s="75" t="s">
        <v>1202</v>
      </c>
      <c r="E282" s="29">
        <f t="shared" si="16"/>
        <v>11051</v>
      </c>
      <c r="F282" s="29">
        <f>'일위대가_호표(신규)'!H2097</f>
        <v>0</v>
      </c>
      <c r="G282" s="29"/>
      <c r="H282" s="29">
        <f>'일위대가_호표(신규)'!J2097</f>
        <v>10426</v>
      </c>
      <c r="I282" s="29"/>
      <c r="J282" s="68">
        <f>'일위대가_호표(신규)'!L2097</f>
        <v>625</v>
      </c>
      <c r="K282" s="23" t="s">
        <v>2856</v>
      </c>
    </row>
    <row r="283" spans="1:29" ht="18.399999999999999" customHeight="1" x14ac:dyDescent="0.15">
      <c r="A283" s="11" t="s">
        <v>3105</v>
      </c>
      <c r="B283" s="2" t="s">
        <v>3107</v>
      </c>
      <c r="C283" s="2" t="s">
        <v>3075</v>
      </c>
      <c r="D283" s="75" t="s">
        <v>1202</v>
      </c>
      <c r="E283" s="29">
        <f t="shared" si="16"/>
        <v>38294</v>
      </c>
      <c r="F283" s="29">
        <f>'일위대가_호표(신규)'!H2085</f>
        <v>3366</v>
      </c>
      <c r="G283" s="29"/>
      <c r="H283" s="29">
        <f>'일위대가_호표(신규)'!J2085</f>
        <v>33608</v>
      </c>
      <c r="I283" s="29"/>
      <c r="J283" s="68">
        <f>'일위대가_호표(신규)'!L2085</f>
        <v>1320</v>
      </c>
      <c r="K283" s="23" t="s">
        <v>2856</v>
      </c>
    </row>
    <row r="284" spans="1:29" ht="18.399999999999999" customHeight="1" x14ac:dyDescent="0.15">
      <c r="A284" s="11" t="s">
        <v>3137</v>
      </c>
      <c r="B284" s="2" t="s">
        <v>3119</v>
      </c>
      <c r="C284" s="2" t="s">
        <v>3075</v>
      </c>
      <c r="D284" s="75" t="s">
        <v>3114</v>
      </c>
      <c r="E284" s="29">
        <f t="shared" si="16"/>
        <v>47118</v>
      </c>
      <c r="F284" s="29">
        <f>'일위대가_호표(신규)'!H2125</f>
        <v>3042</v>
      </c>
      <c r="G284" s="29"/>
      <c r="H284" s="29">
        <f>'일위대가_호표(신규)'!J2125</f>
        <v>43636</v>
      </c>
      <c r="I284" s="29"/>
      <c r="J284" s="68">
        <f>'일위대가_호표(신규)'!L2125</f>
        <v>440</v>
      </c>
      <c r="K284" s="23" t="s">
        <v>2856</v>
      </c>
    </row>
    <row r="285" spans="1:29" ht="18.399999999999999" customHeight="1" x14ac:dyDescent="0.15">
      <c r="A285" s="11" t="s">
        <v>3138</v>
      </c>
      <c r="B285" s="2" t="s">
        <v>3127</v>
      </c>
      <c r="C285" s="2" t="s">
        <v>3075</v>
      </c>
      <c r="D285" s="75" t="s">
        <v>3139</v>
      </c>
      <c r="E285" s="29">
        <f t="shared" si="16"/>
        <v>32885</v>
      </c>
      <c r="F285" s="29">
        <f>'일위대가_호표(신규)'!H2131</f>
        <v>1652</v>
      </c>
      <c r="G285" s="29"/>
      <c r="H285" s="29">
        <f>'일위대가_호표(신규)'!J2131</f>
        <v>31045</v>
      </c>
      <c r="I285" s="29"/>
      <c r="J285" s="68">
        <f>'일위대가_호표(신규)'!L2131</f>
        <v>188</v>
      </c>
      <c r="K285" s="23" t="s">
        <v>2856</v>
      </c>
    </row>
  </sheetData>
  <phoneticPr fontId="6" type="noConversion"/>
  <pageMargins left="0.31496062992125984" right="0.31496062992125984" top="1" bottom="0.59055118110236215" header="0.5" footer="0.5"/>
  <pageSetup paperSize="9" scale="98" orientation="portrait" r:id="rId1"/>
  <headerFooter alignWithMargins="0">
    <oddHeader>&amp;RPage : &amp;P/&amp;N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620E-FB3C-491D-8AF9-0072D3D53FFC}">
  <dimension ref="A1:BB166"/>
  <sheetViews>
    <sheetView workbookViewId="0">
      <selection activeCell="F23" sqref="F23"/>
    </sheetView>
  </sheetViews>
  <sheetFormatPr defaultRowHeight="18.399999999999999" customHeight="1" x14ac:dyDescent="0.15"/>
  <cols>
    <col min="1" max="1" width="65" customWidth="1"/>
    <col min="2" max="2" width="11" customWidth="1"/>
    <col min="3" max="6" width="10" customWidth="1"/>
    <col min="7" max="23" width="0" hidden="1" customWidth="1"/>
  </cols>
  <sheetData>
    <row r="1" spans="1:54" ht="18.399999999999999" customHeight="1" thickBot="1" x14ac:dyDescent="0.2">
      <c r="A1" t="s">
        <v>1153</v>
      </c>
    </row>
    <row r="2" spans="1:54" ht="18.399999999999999" customHeight="1" thickBot="1" x14ac:dyDescent="0.2">
      <c r="A2" s="16" t="s">
        <v>822</v>
      </c>
      <c r="B2" s="17" t="s">
        <v>2761</v>
      </c>
      <c r="C2" s="17" t="s">
        <v>1952</v>
      </c>
      <c r="D2" s="17" t="s">
        <v>1158</v>
      </c>
      <c r="E2" s="17" t="s">
        <v>186</v>
      </c>
      <c r="F2" s="19" t="s">
        <v>726</v>
      </c>
    </row>
    <row r="3" spans="1:54" ht="18.399999999999999" customHeight="1" x14ac:dyDescent="0.15">
      <c r="A3" s="45"/>
      <c r="B3" s="3"/>
      <c r="C3" s="3"/>
      <c r="D3" s="3"/>
      <c r="E3" s="3"/>
      <c r="F3" s="49"/>
      <c r="AA3" s="455" t="s">
        <v>673</v>
      </c>
      <c r="AB3" s="455"/>
      <c r="AC3" s="455"/>
      <c r="AD3" s="455"/>
      <c r="AE3" s="455"/>
      <c r="AF3" s="455"/>
      <c r="AG3" s="455"/>
    </row>
    <row r="4" spans="1:54" ht="18.399999999999999" customHeight="1" thickBot="1" x14ac:dyDescent="0.2">
      <c r="A4" s="45" t="s">
        <v>2399</v>
      </c>
      <c r="B4" s="37">
        <f>$B25</f>
        <v>5859</v>
      </c>
      <c r="C4" s="37">
        <f>$C25</f>
        <v>1054</v>
      </c>
      <c r="D4" s="37">
        <f>$D25</f>
        <v>3467</v>
      </c>
      <c r="E4" s="37">
        <f>$E25</f>
        <v>1338</v>
      </c>
      <c r="F4" s="49" t="s">
        <v>2856</v>
      </c>
      <c r="G4" t="s">
        <v>2856</v>
      </c>
      <c r="H4" t="s">
        <v>2633</v>
      </c>
      <c r="K4">
        <v>1</v>
      </c>
      <c r="Y4" s="7" t="b">
        <f>EXACT($Z4,$B25)</f>
        <v>1</v>
      </c>
      <c r="Z4" s="40">
        <v>5859</v>
      </c>
      <c r="AA4" s="455" t="s">
        <v>1502</v>
      </c>
      <c r="AB4" s="455"/>
      <c r="AC4" s="455"/>
      <c r="AD4" s="455"/>
      <c r="AE4" s="455"/>
      <c r="AF4" s="455"/>
      <c r="AG4" s="455"/>
    </row>
    <row r="5" spans="1:54" ht="18.399999999999999" customHeight="1" x14ac:dyDescent="0.15">
      <c r="A5" s="46"/>
      <c r="B5" s="3"/>
      <c r="C5" s="3"/>
      <c r="D5" s="3"/>
      <c r="E5" s="3"/>
      <c r="F5" s="49"/>
    </row>
    <row r="6" spans="1:54" ht="18.399999999999999" customHeight="1" x14ac:dyDescent="0.15">
      <c r="A6" s="45" t="s">
        <v>2856</v>
      </c>
      <c r="B6" s="3"/>
      <c r="C6" s="3"/>
      <c r="D6" s="3"/>
      <c r="E6" s="3"/>
      <c r="F6" s="49"/>
      <c r="G6" t="s">
        <v>2856</v>
      </c>
      <c r="I6" t="s">
        <v>334</v>
      </c>
      <c r="J6" t="s">
        <v>2856</v>
      </c>
      <c r="K6" t="s">
        <v>2405</v>
      </c>
    </row>
    <row r="7" spans="1:54" ht="18.399999999999999" customHeight="1" x14ac:dyDescent="0.15">
      <c r="A7" s="45" t="s">
        <v>2856</v>
      </c>
      <c r="B7" s="38"/>
      <c r="C7" s="38"/>
      <c r="D7" s="38"/>
      <c r="E7" s="38"/>
      <c r="F7" s="50"/>
      <c r="K7" s="3" t="s">
        <v>2856</v>
      </c>
    </row>
    <row r="8" spans="1:54" ht="18.399999999999999" customHeight="1" x14ac:dyDescent="0.15">
      <c r="A8" s="45" t="s">
        <v>2346</v>
      </c>
      <c r="B8" s="38"/>
      <c r="C8" s="38"/>
      <c r="D8" s="38"/>
      <c r="E8" s="38"/>
      <c r="F8" s="50"/>
      <c r="K8" s="3" t="s">
        <v>1003</v>
      </c>
    </row>
    <row r="9" spans="1:54" ht="18.399999999999999" customHeight="1" x14ac:dyDescent="0.15">
      <c r="A9" s="45" t="s">
        <v>2856</v>
      </c>
      <c r="B9" s="38"/>
      <c r="C9" s="38"/>
      <c r="D9" s="38"/>
      <c r="E9" s="38"/>
      <c r="F9" s="50"/>
      <c r="K9" s="3" t="s">
        <v>2856</v>
      </c>
    </row>
    <row r="10" spans="1:54" ht="18.399999999999999" customHeight="1" x14ac:dyDescent="0.15">
      <c r="A10" s="47" t="str">
        <f>CONCATENATE("        q=",TEXT($AB10,"#,##0.0"),",  k=",TEXT($AF10,"#,##0.00"),",  E=",TEXT($AJ10,"#,##0.00"))</f>
        <v xml:space="preserve">        q=0.6,  k=0.55,  E=0.35</v>
      </c>
      <c r="B10" s="38"/>
      <c r="C10" s="38"/>
      <c r="D10" s="38"/>
      <c r="E10" s="38"/>
      <c r="F10" s="50"/>
      <c r="K10" s="10" t="str">
        <f>SUBSTITUTE(SUBSTITUTE(SUBSTITUTE(SUBSTITUTE("        q=0.6,  k=0.55,  E=0.35","0.6",TEXT($AB10,"#,##0.0"),1),"0.55",TEXT($AF10,"#,##0.00"),1),"0.35",TEXT($AJ10,"#,##0.00"),1),"_x001D_","'")</f>
        <v xml:space="preserve">        q=0.6,  k=0.55,  E=0.35</v>
      </c>
      <c r="AA10" s="41" t="s">
        <v>1985</v>
      </c>
      <c r="AB10" s="6">
        <v>0.6</v>
      </c>
      <c r="AC10" s="41" t="s">
        <v>1985</v>
      </c>
      <c r="AD10" s="7">
        <f>$AB10</f>
        <v>0.6</v>
      </c>
      <c r="AE10" s="41" t="s">
        <v>806</v>
      </c>
      <c r="AF10" s="6">
        <v>0.55000000000000004</v>
      </c>
      <c r="AG10" s="41" t="s">
        <v>806</v>
      </c>
      <c r="AH10" s="7">
        <f>$AF10</f>
        <v>0.55000000000000004</v>
      </c>
      <c r="AI10" s="41" t="s">
        <v>1371</v>
      </c>
      <c r="AJ10" s="6">
        <v>0.35</v>
      </c>
      <c r="AK10" s="41" t="s">
        <v>1371</v>
      </c>
      <c r="AL10" s="7">
        <f>$AJ10</f>
        <v>0.35</v>
      </c>
    </row>
    <row r="11" spans="1:54" ht="18.399999999999999" customHeight="1" x14ac:dyDescent="0.15">
      <c r="A11" s="45" t="s">
        <v>2856</v>
      </c>
      <c r="B11" s="38"/>
      <c r="C11" s="38"/>
      <c r="D11" s="38"/>
      <c r="E11" s="38"/>
      <c r="F11" s="50"/>
      <c r="K11" s="3" t="s">
        <v>2856</v>
      </c>
    </row>
    <row r="12" spans="1:54" ht="18.399999999999999" customHeight="1" x14ac:dyDescent="0.15">
      <c r="A12" s="47" t="str">
        <f>CONCATENATE("        CM=",TEXT($AB12,"#,##0.00")," sec(135°) ,   f=",TEXT($AF12,"#,##0.00"))</f>
        <v xml:space="preserve">        CM=18.00 sec(135°) ,   f=0.71</v>
      </c>
      <c r="B12" s="38"/>
      <c r="C12" s="38"/>
      <c r="D12" s="38"/>
      <c r="E12" s="38"/>
      <c r="F12" s="50"/>
      <c r="K12" s="10" t="str">
        <f>SUBSTITUTE(SUBSTITUTE(SUBSTITUTE("        CM=18_x001D_sec(135°)_x001D_,   f=0.71","18",TEXT($AB12,"#,##0"),1),"0.71",TEXT($AF12,"#,##0.00"),1),"_x001D_","'")</f>
        <v xml:space="preserve">        CM=18'sec(135°)',   f=0.71</v>
      </c>
      <c r="AA12" s="41" t="s">
        <v>146</v>
      </c>
      <c r="AB12" s="6">
        <v>18</v>
      </c>
      <c r="AC12" s="41" t="s">
        <v>146</v>
      </c>
      <c r="AD12" s="7">
        <f>$AB12</f>
        <v>18</v>
      </c>
      <c r="AE12" s="41" t="s">
        <v>1647</v>
      </c>
      <c r="AF12" s="6">
        <v>0.71</v>
      </c>
      <c r="AG12" s="41" t="s">
        <v>1647</v>
      </c>
      <c r="AH12" s="7">
        <f>$AF12</f>
        <v>0.71</v>
      </c>
    </row>
    <row r="13" spans="1:54" ht="18.399999999999999" customHeight="1" x14ac:dyDescent="0.15">
      <c r="A13" s="45" t="s">
        <v>2856</v>
      </c>
      <c r="B13" s="38"/>
      <c r="C13" s="38"/>
      <c r="D13" s="38"/>
      <c r="E13" s="38"/>
      <c r="F13" s="50"/>
      <c r="K13" s="3" t="s">
        <v>2856</v>
      </c>
    </row>
    <row r="14" spans="1:54" ht="18.399999999999999" customHeight="1" x14ac:dyDescent="0.15">
      <c r="A14" s="47" t="str">
        <f>CONCATENATE("        Q=(3600*",TEXT($AB14,"#,##0.00"),"*",TEXT($AF14,"#,##0.00"),"*",TEXT($AJ14,"#,##0.00"),"*",TEXT($AN14,"#,##0.00"),")/",TEXT($AR14,"#,##0.00"),"=",TEXT($AZ14,"#,##0.00")," M3/HR ")</f>
        <v xml:space="preserve">        Q=(3600*0.60*0.55*0.71*0.35)/18.00=16.40 M3/HR </v>
      </c>
      <c r="B14" s="38">
        <f>SUM($C14,$D14,$E14)</f>
        <v>0</v>
      </c>
      <c r="C14" s="38"/>
      <c r="D14" s="38"/>
      <c r="E14" s="38"/>
      <c r="F14" s="50"/>
      <c r="K14" s="3" t="s">
        <v>2685</v>
      </c>
      <c r="AA14" s="41" t="s">
        <v>1095</v>
      </c>
      <c r="AB14" s="8">
        <f>$AD10</f>
        <v>0.6</v>
      </c>
      <c r="AC14" s="41" t="s">
        <v>1021</v>
      </c>
      <c r="AD14" s="7">
        <f>$AB14</f>
        <v>0.6</v>
      </c>
      <c r="AE14" s="41" t="s">
        <v>1966</v>
      </c>
      <c r="AF14" s="8">
        <f>$AH10</f>
        <v>0.55000000000000004</v>
      </c>
      <c r="AG14" s="41" t="s">
        <v>2055</v>
      </c>
      <c r="AH14" s="7">
        <f>$AF14</f>
        <v>0.55000000000000004</v>
      </c>
      <c r="AI14" s="41" t="s">
        <v>6</v>
      </c>
      <c r="AJ14" s="8">
        <f>$AH12</f>
        <v>0.71</v>
      </c>
      <c r="AK14" s="41" t="s">
        <v>2343</v>
      </c>
      <c r="AL14" s="7">
        <f>$AJ14</f>
        <v>0.71</v>
      </c>
      <c r="AM14" s="41" t="s">
        <v>179</v>
      </c>
      <c r="AN14" s="8">
        <f>$AL10</f>
        <v>0.35</v>
      </c>
      <c r="AO14" s="41" t="s">
        <v>1208</v>
      </c>
      <c r="AP14" s="7">
        <f>$AN14</f>
        <v>0.35</v>
      </c>
      <c r="AQ14" s="41" t="s">
        <v>1784</v>
      </c>
      <c r="AR14" s="8">
        <f>$AD12</f>
        <v>18</v>
      </c>
      <c r="AS14" s="41" t="s">
        <v>155</v>
      </c>
      <c r="AT14" s="7">
        <f>$AR14</f>
        <v>18</v>
      </c>
      <c r="AU14" s="41" t="s">
        <v>524</v>
      </c>
      <c r="AV14" s="8">
        <f>ROUND((3600*$AD14*$AH14*$AL14*$AP14)/$AT14,2)</f>
        <v>16.399999999999999</v>
      </c>
      <c r="AW14" s="41" t="s">
        <v>1985</v>
      </c>
      <c r="AX14" s="7">
        <f>$AV14</f>
        <v>16.399999999999999</v>
      </c>
      <c r="AY14" s="41" t="s">
        <v>1253</v>
      </c>
      <c r="AZ14" s="8">
        <f>ROUND(ROUND((3600*$AD14*$AH14*$AL14*$AP14)/$AT14,2),2)</f>
        <v>16.399999999999999</v>
      </c>
      <c r="BA14" s="41" t="s">
        <v>2503</v>
      </c>
      <c r="BB14" s="7">
        <f>$AZ14</f>
        <v>16.399999999999999</v>
      </c>
    </row>
    <row r="15" spans="1:54" ht="18.399999999999999" customHeight="1" x14ac:dyDescent="0.15">
      <c r="A15" s="45" t="s">
        <v>2856</v>
      </c>
      <c r="B15" s="38"/>
      <c r="C15" s="38"/>
      <c r="D15" s="38"/>
      <c r="E15" s="38"/>
      <c r="F15" s="50"/>
      <c r="K15" s="3" t="s">
        <v>2856</v>
      </c>
    </row>
    <row r="16" spans="1:54" ht="18.399999999999999" customHeight="1" x14ac:dyDescent="0.15">
      <c r="A16" s="45" t="s">
        <v>2856</v>
      </c>
      <c r="B16" s="38"/>
      <c r="C16" s="38"/>
      <c r="D16" s="38"/>
      <c r="E16" s="38"/>
      <c r="F16" s="50"/>
      <c r="K16" s="3" t="s">
        <v>2856</v>
      </c>
    </row>
    <row r="17" spans="1:34" ht="18.399999999999999" customHeight="1" x14ac:dyDescent="0.15">
      <c r="A17" s="47" t="str">
        <f>CONCATENATE("         노 무 비 :  _x001D_56,874_x001D_/",TEXT($AB17,"#,##0.00")," =",TEXT($AF17,"#,##0.0"))</f>
        <v xml:space="preserve">         노 무 비 :  _x001D_56,874_x001D_/16.40 =3,467.9</v>
      </c>
      <c r="B17" s="38">
        <f>SUM($C17,$D17,$E17)</f>
        <v>3467.9</v>
      </c>
      <c r="C17" s="38"/>
      <c r="D17" s="38">
        <f>$AF17</f>
        <v>3467.9</v>
      </c>
      <c r="E17" s="38"/>
      <c r="F17" s="50" t="s">
        <v>2856</v>
      </c>
      <c r="K17" s="3" t="s">
        <v>2839</v>
      </c>
      <c r="AA17" s="41" t="s">
        <v>1846</v>
      </c>
      <c r="AB17" s="8">
        <f>$AX14</f>
        <v>16.399999999999999</v>
      </c>
      <c r="AC17" s="41" t="s">
        <v>2084</v>
      </c>
      <c r="AD17" s="7">
        <f>$AB17</f>
        <v>16.399999999999999</v>
      </c>
      <c r="AE17" s="42" t="s">
        <v>298</v>
      </c>
      <c r="AF17" s="8">
        <f>TRUNC(중기사용료목록!F4/$AD17,1)</f>
        <v>3467.9</v>
      </c>
      <c r="AG17" s="42" t="s">
        <v>1123</v>
      </c>
      <c r="AH17" s="7">
        <f>$AF17</f>
        <v>3467.9</v>
      </c>
    </row>
    <row r="18" spans="1:34" ht="18.399999999999999" customHeight="1" x14ac:dyDescent="0.15">
      <c r="A18" s="45" t="s">
        <v>2856</v>
      </c>
      <c r="B18" s="38"/>
      <c r="C18" s="38"/>
      <c r="D18" s="38"/>
      <c r="E18" s="38"/>
      <c r="F18" s="50"/>
      <c r="K18" s="3" t="s">
        <v>2856</v>
      </c>
    </row>
    <row r="19" spans="1:34" ht="18.399999999999999" customHeight="1" x14ac:dyDescent="0.15">
      <c r="A19" s="47" t="str">
        <f>CONCATENATE("         재 료 비 :  _x001D_17,297_x001D_/",TEXT($AB19,"#,##0.00")," =",TEXT($AF19,"#,##0.0"))</f>
        <v xml:space="preserve">         재 료 비 :  _x001D_17,297_x001D_/16.40 =1,054.6</v>
      </c>
      <c r="B19" s="38">
        <f>SUM($C19,$D19,$E19)</f>
        <v>1054.5999999999999</v>
      </c>
      <c r="C19" s="38">
        <f>$AF19</f>
        <v>1054.5999999999999</v>
      </c>
      <c r="D19" s="38"/>
      <c r="E19" s="38"/>
      <c r="F19" s="50" t="s">
        <v>2856</v>
      </c>
      <c r="K19" s="3" t="s">
        <v>1948</v>
      </c>
      <c r="AA19" s="41" t="s">
        <v>605</v>
      </c>
      <c r="AB19" s="8">
        <f>$AX14</f>
        <v>16.399999999999999</v>
      </c>
      <c r="AC19" s="41" t="s">
        <v>1524</v>
      </c>
      <c r="AD19" s="7">
        <f>$AB19</f>
        <v>16.399999999999999</v>
      </c>
      <c r="AE19" s="42" t="s">
        <v>2127</v>
      </c>
      <c r="AF19" s="8">
        <f>TRUNC(중기사용료목록!E4/$AD19,1)</f>
        <v>1054.5999999999999</v>
      </c>
      <c r="AG19" s="42" t="s">
        <v>2369</v>
      </c>
      <c r="AH19" s="7">
        <f>$AF19</f>
        <v>1054.5999999999999</v>
      </c>
    </row>
    <row r="20" spans="1:34" ht="18.399999999999999" customHeight="1" x14ac:dyDescent="0.15">
      <c r="A20" s="45" t="s">
        <v>2856</v>
      </c>
      <c r="B20" s="38"/>
      <c r="C20" s="38"/>
      <c r="D20" s="38"/>
      <c r="E20" s="38"/>
      <c r="F20" s="50"/>
      <c r="K20" s="3" t="s">
        <v>2856</v>
      </c>
    </row>
    <row r="21" spans="1:34" ht="18.399999999999999" customHeight="1" x14ac:dyDescent="0.15">
      <c r="A21" s="47" t="str">
        <f>CONCATENATE("         경    비 :  _x001D_21,957_x001D_/",TEXT($AB21,"#,##0.00")," =",TEXT($AF21,"#,##0.0"))</f>
        <v xml:space="preserve">         경    비 :  _x001D_21,957_x001D_/16.40 =1,338.8</v>
      </c>
      <c r="B21" s="38">
        <f>SUM($C21,$D21,$E21)</f>
        <v>1338.8</v>
      </c>
      <c r="C21" s="38"/>
      <c r="D21" s="38"/>
      <c r="E21" s="38">
        <f>$AF21</f>
        <v>1338.8</v>
      </c>
      <c r="F21" s="50" t="s">
        <v>2856</v>
      </c>
      <c r="K21" s="3" t="s">
        <v>535</v>
      </c>
      <c r="AA21" s="41" t="s">
        <v>479</v>
      </c>
      <c r="AB21" s="8">
        <f>$AX14</f>
        <v>16.399999999999999</v>
      </c>
      <c r="AC21" s="41" t="s">
        <v>2775</v>
      </c>
      <c r="AD21" s="7">
        <f>$AB21</f>
        <v>16.399999999999999</v>
      </c>
      <c r="AE21" s="42" t="s">
        <v>917</v>
      </c>
      <c r="AF21" s="8">
        <f>TRUNC(중기사용료목록!G4/$AD21,1)</f>
        <v>1338.8</v>
      </c>
      <c r="AG21" s="42" t="s">
        <v>1546</v>
      </c>
      <c r="AH21" s="7">
        <f>$AF21</f>
        <v>1338.8</v>
      </c>
    </row>
    <row r="22" spans="1:34" ht="18.399999999999999" customHeight="1" x14ac:dyDescent="0.15">
      <c r="A22" s="45" t="s">
        <v>2856</v>
      </c>
      <c r="B22" s="38"/>
      <c r="C22" s="38"/>
      <c r="D22" s="38"/>
      <c r="E22" s="38"/>
      <c r="F22" s="50"/>
      <c r="K22" s="3" t="s">
        <v>2856</v>
      </c>
    </row>
    <row r="23" spans="1:34" ht="18.399999999999999" customHeight="1" x14ac:dyDescent="0.15">
      <c r="A23" s="45" t="s">
        <v>875</v>
      </c>
      <c r="B23" s="39">
        <f>SUM($C23,$D23,$E23)</f>
        <v>5861.3</v>
      </c>
      <c r="C23" s="39">
        <f>$AB23</f>
        <v>1054.5999999999999</v>
      </c>
      <c r="D23" s="39">
        <f>$AD23</f>
        <v>3467.9</v>
      </c>
      <c r="E23" s="39">
        <f>$AF23</f>
        <v>1338.8</v>
      </c>
      <c r="F23" s="51"/>
      <c r="K23" s="3" t="s">
        <v>2727</v>
      </c>
      <c r="AA23" s="41" t="s">
        <v>2057</v>
      </c>
      <c r="AB23" s="7">
        <f>$AH19</f>
        <v>1054.5999999999999</v>
      </c>
      <c r="AC23" s="41" t="s">
        <v>79</v>
      </c>
      <c r="AD23" s="7">
        <f>$AH17</f>
        <v>3467.9</v>
      </c>
      <c r="AE23" s="41" t="s">
        <v>2607</v>
      </c>
      <c r="AF23" s="7">
        <f>$AH21</f>
        <v>1338.8</v>
      </c>
    </row>
    <row r="24" spans="1:34" ht="18.399999999999999" customHeight="1" x14ac:dyDescent="0.15">
      <c r="A24" s="45"/>
      <c r="B24" s="3"/>
      <c r="C24" s="3"/>
      <c r="D24" s="3"/>
      <c r="E24" s="3"/>
      <c r="F24" s="49"/>
    </row>
    <row r="25" spans="1:34" ht="18.399999999999999" customHeight="1" thickBot="1" x14ac:dyDescent="0.2">
      <c r="A25" s="48" t="s">
        <v>1631</v>
      </c>
      <c r="B25" s="40">
        <f>SUM($C25,$D25,$E25)</f>
        <v>5859</v>
      </c>
      <c r="C25" s="40">
        <f>TRUNC(SUM($AH19),0)</f>
        <v>1054</v>
      </c>
      <c r="D25" s="40">
        <f>TRUNC(SUM($AH17),0)</f>
        <v>3467</v>
      </c>
      <c r="E25" s="40">
        <f>TRUNC(SUM($AH21),0)</f>
        <v>1338</v>
      </c>
      <c r="F25" s="52"/>
    </row>
    <row r="26" spans="1:34" ht="18.399999999999999" customHeight="1" x14ac:dyDescent="0.15">
      <c r="A26" s="45"/>
      <c r="B26" s="3"/>
      <c r="C26" s="3"/>
      <c r="D26" s="3"/>
      <c r="E26" s="3"/>
      <c r="F26" s="49"/>
    </row>
    <row r="27" spans="1:34" ht="18.399999999999999" customHeight="1" thickBot="1" x14ac:dyDescent="0.2">
      <c r="A27" s="45" t="s">
        <v>1697</v>
      </c>
      <c r="B27" s="37">
        <f>$B56</f>
        <v>5009</v>
      </c>
      <c r="C27" s="37">
        <f>$C56</f>
        <v>300</v>
      </c>
      <c r="D27" s="37">
        <f>$D56</f>
        <v>4328</v>
      </c>
      <c r="E27" s="37">
        <f>$E56</f>
        <v>381</v>
      </c>
      <c r="F27" s="49" t="s">
        <v>2856</v>
      </c>
      <c r="G27" t="s">
        <v>2856</v>
      </c>
      <c r="H27" t="s">
        <v>69</v>
      </c>
      <c r="K27">
        <v>1</v>
      </c>
      <c r="Y27" s="7" t="b">
        <f>EXACT($Z27,$B56)</f>
        <v>1</v>
      </c>
      <c r="Z27" s="40">
        <v>5009</v>
      </c>
    </row>
    <row r="28" spans="1:34" ht="18.399999999999999" customHeight="1" x14ac:dyDescent="0.15">
      <c r="A28" s="46"/>
      <c r="B28" s="3"/>
      <c r="C28" s="3"/>
      <c r="D28" s="3"/>
      <c r="E28" s="3"/>
      <c r="F28" s="49"/>
    </row>
    <row r="29" spans="1:34" ht="18.399999999999999" customHeight="1" x14ac:dyDescent="0.15">
      <c r="A29" s="45" t="s">
        <v>2856</v>
      </c>
      <c r="B29" s="3"/>
      <c r="C29" s="3"/>
      <c r="D29" s="3"/>
      <c r="E29" s="3"/>
      <c r="F29" s="49"/>
      <c r="G29" t="s">
        <v>2856</v>
      </c>
      <c r="I29" t="s">
        <v>1741</v>
      </c>
      <c r="J29" t="s">
        <v>2856</v>
      </c>
      <c r="K29" t="s">
        <v>2405</v>
      </c>
    </row>
    <row r="30" spans="1:34" ht="18.399999999999999" customHeight="1" x14ac:dyDescent="0.15">
      <c r="A30" s="45" t="s">
        <v>2856</v>
      </c>
      <c r="B30" s="38"/>
      <c r="C30" s="38"/>
      <c r="D30" s="38"/>
      <c r="E30" s="38"/>
      <c r="F30" s="50"/>
      <c r="K30" s="3" t="s">
        <v>2856</v>
      </c>
    </row>
    <row r="31" spans="1:34" ht="18.399999999999999" customHeight="1" x14ac:dyDescent="0.15">
      <c r="A31" s="45" t="s">
        <v>1369</v>
      </c>
      <c r="B31" s="38"/>
      <c r="C31" s="38"/>
      <c r="D31" s="38"/>
      <c r="E31" s="38"/>
      <c r="F31" s="50"/>
      <c r="K31" s="3" t="s">
        <v>1409</v>
      </c>
    </row>
    <row r="32" spans="1:34" ht="18.399999999999999" customHeight="1" x14ac:dyDescent="0.15">
      <c r="A32" s="45" t="s">
        <v>2856</v>
      </c>
      <c r="B32" s="38"/>
      <c r="C32" s="38"/>
      <c r="D32" s="38"/>
      <c r="E32" s="38"/>
      <c r="F32" s="50"/>
      <c r="K32" s="3" t="s">
        <v>2856</v>
      </c>
    </row>
    <row r="33" spans="1:54" ht="18.399999999999999" customHeight="1" x14ac:dyDescent="0.15">
      <c r="A33" s="47" t="str">
        <f>CONCATENATE("        q=",TEXT($AB33,"#,##0.0"),",  K=",TEXT($AF33,"#,##0.00"),",  E=",TEXT($AJ33,"#,##0.0"))</f>
        <v xml:space="preserve">        q=0.6,  K=0.90,  E=0.6</v>
      </c>
      <c r="B33" s="38"/>
      <c r="C33" s="38"/>
      <c r="D33" s="38"/>
      <c r="E33" s="38"/>
      <c r="F33" s="50"/>
      <c r="K33" s="10" t="str">
        <f>SUBSTITUTE(SUBSTITUTE(SUBSTITUTE(SUBSTITUTE("        q=0.6,  K=0.90,  E=0.6","0.6",TEXT($AB33,"#,##0.0"),1),"0.90",TEXT($AF33,"#,##0.00"),1),"0.6",TEXT($AJ33,"#,##0.0"),2),"_x001D_","'")</f>
        <v xml:space="preserve">        q=0.6,  K=0.90,  E=0.6</v>
      </c>
      <c r="AA33" s="41" t="s">
        <v>1985</v>
      </c>
      <c r="AB33" s="6">
        <v>0.6</v>
      </c>
      <c r="AC33" s="41" t="s">
        <v>1985</v>
      </c>
      <c r="AD33" s="7">
        <f>$AB33</f>
        <v>0.6</v>
      </c>
      <c r="AE33" s="41" t="s">
        <v>806</v>
      </c>
      <c r="AF33" s="6">
        <v>0.9</v>
      </c>
      <c r="AG33" s="41" t="s">
        <v>806</v>
      </c>
      <c r="AH33" s="7">
        <f>$AF33</f>
        <v>0.9</v>
      </c>
      <c r="AI33" s="41" t="s">
        <v>1371</v>
      </c>
      <c r="AJ33" s="6">
        <v>0.6</v>
      </c>
      <c r="AK33" s="41" t="s">
        <v>1371</v>
      </c>
      <c r="AL33" s="7">
        <f>$AJ33</f>
        <v>0.6</v>
      </c>
    </row>
    <row r="34" spans="1:54" ht="18.399999999999999" customHeight="1" x14ac:dyDescent="0.15">
      <c r="A34" s="45" t="s">
        <v>2856</v>
      </c>
      <c r="B34" s="38"/>
      <c r="C34" s="38"/>
      <c r="D34" s="38"/>
      <c r="E34" s="38"/>
      <c r="F34" s="50"/>
      <c r="K34" s="3" t="s">
        <v>2856</v>
      </c>
    </row>
    <row r="35" spans="1:54" ht="18.399999999999999" customHeight="1" x14ac:dyDescent="0.15">
      <c r="A35" s="47" t="str">
        <f>CONCATENATE("        CM=",TEXT($AB35,"#,##0.00")," sec(90°) ,   F=",TEXT($AF35,"#,##0.0"))</f>
        <v xml:space="preserve">        CM=18.00 sec(90°) ,   F=0.8</v>
      </c>
      <c r="B35" s="38"/>
      <c r="C35" s="38"/>
      <c r="D35" s="38"/>
      <c r="E35" s="38"/>
      <c r="F35" s="50"/>
      <c r="K35" s="10" t="str">
        <f>SUBSTITUTE(SUBSTITUTE(SUBSTITUTE("        CM=18_x001D_sec(90°)_x001D_,   F=0.8","18",TEXT($AB35,"#,##0"),1),"0.8",TEXT($AF35,"#,##0.0"),1),"_x001D_","'")</f>
        <v xml:space="preserve">        CM=18'sec(90°)',   F=0.8</v>
      </c>
      <c r="AA35" s="41" t="s">
        <v>146</v>
      </c>
      <c r="AB35" s="6">
        <v>18</v>
      </c>
      <c r="AC35" s="41" t="s">
        <v>146</v>
      </c>
      <c r="AD35" s="7">
        <f>$AB35</f>
        <v>18</v>
      </c>
      <c r="AE35" s="41" t="s">
        <v>1647</v>
      </c>
      <c r="AF35" s="6">
        <v>0.8</v>
      </c>
      <c r="AG35" s="41" t="s">
        <v>1647</v>
      </c>
      <c r="AH35" s="7">
        <f>$AF35</f>
        <v>0.8</v>
      </c>
    </row>
    <row r="36" spans="1:54" ht="18.399999999999999" customHeight="1" x14ac:dyDescent="0.15">
      <c r="A36" s="45" t="s">
        <v>2856</v>
      </c>
      <c r="B36" s="38"/>
      <c r="C36" s="38"/>
      <c r="D36" s="38"/>
      <c r="E36" s="38"/>
      <c r="F36" s="50"/>
      <c r="K36" s="3" t="s">
        <v>2856</v>
      </c>
    </row>
    <row r="37" spans="1:54" ht="18.399999999999999" customHeight="1" x14ac:dyDescent="0.15">
      <c r="A37" s="47" t="str">
        <f>CONCATENATE("        Q=(3600*",TEXT($AB37,"#,##0.00"),"*",TEXT($AF37,"#,##0.00"),"*",TEXT($AJ37,"#,##0.00"),"*",TEXT($AN37,"#,##0.00"),")/",TEXT($AR37,"#,##0.00"),"=",TEXT($AZ37,"#,##0.00")," M3/HR ")</f>
        <v xml:space="preserve">        Q=(3600*0.60*0.90*0.80*0.60)/18.00=51.84 M3/HR </v>
      </c>
      <c r="B37" s="38">
        <f>SUM($C37,$D37,$E37)</f>
        <v>0</v>
      </c>
      <c r="C37" s="38"/>
      <c r="D37" s="38"/>
      <c r="E37" s="38"/>
      <c r="F37" s="50"/>
      <c r="K37" s="3" t="s">
        <v>2724</v>
      </c>
      <c r="AA37" s="41" t="s">
        <v>1684</v>
      </c>
      <c r="AB37" s="8">
        <f>$AD33</f>
        <v>0.6</v>
      </c>
      <c r="AC37" s="41" t="s">
        <v>662</v>
      </c>
      <c r="AD37" s="7">
        <f>$AB37</f>
        <v>0.6</v>
      </c>
      <c r="AE37" s="41" t="s">
        <v>797</v>
      </c>
      <c r="AF37" s="8">
        <f>$AH33</f>
        <v>0.9</v>
      </c>
      <c r="AG37" s="41" t="s">
        <v>2344</v>
      </c>
      <c r="AH37" s="7">
        <f>$AF37</f>
        <v>0.9</v>
      </c>
      <c r="AI37" s="41" t="s">
        <v>2776</v>
      </c>
      <c r="AJ37" s="8">
        <f>$AH35</f>
        <v>0.8</v>
      </c>
      <c r="AK37" s="41" t="s">
        <v>2050</v>
      </c>
      <c r="AL37" s="7">
        <f>$AJ37</f>
        <v>0.8</v>
      </c>
      <c r="AM37" s="41" t="s">
        <v>2595</v>
      </c>
      <c r="AN37" s="8">
        <f>$AL33</f>
        <v>0.6</v>
      </c>
      <c r="AO37" s="41" t="s">
        <v>156</v>
      </c>
      <c r="AP37" s="7">
        <f>$AN37</f>
        <v>0.6</v>
      </c>
      <c r="AQ37" s="41" t="s">
        <v>1006</v>
      </c>
      <c r="AR37" s="8">
        <f>$AD35</f>
        <v>18</v>
      </c>
      <c r="AS37" s="41" t="s">
        <v>1209</v>
      </c>
      <c r="AT37" s="7">
        <f>$AR37</f>
        <v>18</v>
      </c>
      <c r="AU37" s="41" t="s">
        <v>524</v>
      </c>
      <c r="AV37" s="8">
        <f>ROUND((3600*$AD37*$AH37*$AL37*$AP37)/$AT37,2)</f>
        <v>51.84</v>
      </c>
      <c r="AW37" s="41" t="s">
        <v>1985</v>
      </c>
      <c r="AX37" s="7">
        <f>$AV37</f>
        <v>51.84</v>
      </c>
      <c r="AY37" s="41" t="s">
        <v>1523</v>
      </c>
      <c r="AZ37" s="8">
        <f>ROUND(ROUND((3600*$AD37*$AH37*$AL37*$AP37)/$AT37,2),2)</f>
        <v>51.84</v>
      </c>
      <c r="BA37" s="41" t="s">
        <v>1489</v>
      </c>
      <c r="BB37" s="7">
        <f>$AZ37</f>
        <v>51.84</v>
      </c>
    </row>
    <row r="38" spans="1:54" ht="18.399999999999999" customHeight="1" x14ac:dyDescent="0.15">
      <c r="A38" s="45" t="s">
        <v>2856</v>
      </c>
      <c r="B38" s="38"/>
      <c r="C38" s="38"/>
      <c r="D38" s="38"/>
      <c r="E38" s="38"/>
      <c r="F38" s="50"/>
      <c r="K38" s="3" t="s">
        <v>2856</v>
      </c>
    </row>
    <row r="39" spans="1:54" ht="18.399999999999999" customHeight="1" x14ac:dyDescent="0.15">
      <c r="A39" s="45" t="s">
        <v>2856</v>
      </c>
      <c r="B39" s="38"/>
      <c r="C39" s="38"/>
      <c r="D39" s="38"/>
      <c r="E39" s="38"/>
      <c r="F39" s="50"/>
      <c r="K39" s="3" t="s">
        <v>2856</v>
      </c>
    </row>
    <row r="40" spans="1:54" ht="18.399999999999999" customHeight="1" x14ac:dyDescent="0.15">
      <c r="A40" s="47" t="str">
        <f>CONCATENATE("         재 료 비 :  _x001D_17,297_x001D_/",TEXT($AB40,"#,##0.00"),"*0.9 =",TEXT($AF40,"#,##0.0"))</f>
        <v xml:space="preserve">         재 료 비 :  _x001D_17,297_x001D_/51.84*0.9 =300.2</v>
      </c>
      <c r="B40" s="38">
        <f>SUM($C40,$D40,$E40)</f>
        <v>300.2</v>
      </c>
      <c r="C40" s="38">
        <f>$AF40</f>
        <v>300.2</v>
      </c>
      <c r="D40" s="38"/>
      <c r="E40" s="38"/>
      <c r="F40" s="50" t="s">
        <v>2856</v>
      </c>
      <c r="K40" s="3" t="s">
        <v>1213</v>
      </c>
      <c r="AA40" s="41" t="s">
        <v>438</v>
      </c>
      <c r="AB40" s="8">
        <f>$AX37</f>
        <v>51.84</v>
      </c>
      <c r="AC40" s="41" t="s">
        <v>2643</v>
      </c>
      <c r="AD40" s="7">
        <f>$AB40</f>
        <v>51.84</v>
      </c>
      <c r="AE40" s="42" t="s">
        <v>2127</v>
      </c>
      <c r="AF40" s="8">
        <f>TRUNC(중기사용료목록!E4/$AD40*0.9,1)</f>
        <v>300.2</v>
      </c>
      <c r="AG40" s="42" t="s">
        <v>2369</v>
      </c>
      <c r="AH40" s="7">
        <f>$AF40</f>
        <v>300.2</v>
      </c>
    </row>
    <row r="41" spans="1:54" ht="18.399999999999999" customHeight="1" x14ac:dyDescent="0.15">
      <c r="A41" s="45" t="s">
        <v>2856</v>
      </c>
      <c r="B41" s="38"/>
      <c r="C41" s="38"/>
      <c r="D41" s="38"/>
      <c r="E41" s="38"/>
      <c r="F41" s="50"/>
      <c r="K41" s="3" t="s">
        <v>2856</v>
      </c>
    </row>
    <row r="42" spans="1:54" ht="18.399999999999999" customHeight="1" x14ac:dyDescent="0.15">
      <c r="A42" s="47" t="str">
        <f>CONCATENATE("         노 무 비 :  _x001D_56,874_x001D_/",TEXT($AB42,"#,##0.00"),"*0.9 =",TEXT($AF42,"#,##0.0"))</f>
        <v xml:space="preserve">         노 무 비 :  _x001D_56,874_x001D_/51.84*0.9 =987.3</v>
      </c>
      <c r="B42" s="38">
        <f>SUM($C42,$D42,$E42)</f>
        <v>987.3</v>
      </c>
      <c r="C42" s="38"/>
      <c r="D42" s="38">
        <f>$AF42</f>
        <v>987.3</v>
      </c>
      <c r="E42" s="38"/>
      <c r="F42" s="50" t="s">
        <v>2856</v>
      </c>
      <c r="K42" s="3" t="s">
        <v>495</v>
      </c>
      <c r="AA42" s="41" t="s">
        <v>1931</v>
      </c>
      <c r="AB42" s="8">
        <f>$AX37</f>
        <v>51.84</v>
      </c>
      <c r="AC42" s="41" t="s">
        <v>1621</v>
      </c>
      <c r="AD42" s="7">
        <f>$AB42</f>
        <v>51.84</v>
      </c>
      <c r="AE42" s="42" t="s">
        <v>298</v>
      </c>
      <c r="AF42" s="8">
        <f>TRUNC(중기사용료목록!F4/$AD42*0.9,1)</f>
        <v>987.3</v>
      </c>
      <c r="AG42" s="42" t="s">
        <v>1123</v>
      </c>
      <c r="AH42" s="7">
        <f>$AF42</f>
        <v>987.3</v>
      </c>
    </row>
    <row r="43" spans="1:54" ht="18.399999999999999" customHeight="1" x14ac:dyDescent="0.15">
      <c r="A43" s="45" t="s">
        <v>2856</v>
      </c>
      <c r="B43" s="38"/>
      <c r="C43" s="38"/>
      <c r="D43" s="38"/>
      <c r="E43" s="38"/>
      <c r="F43" s="50"/>
      <c r="K43" s="3" t="s">
        <v>2856</v>
      </c>
    </row>
    <row r="44" spans="1:54" ht="18.399999999999999" customHeight="1" x14ac:dyDescent="0.15">
      <c r="A44" s="47" t="str">
        <f>CONCATENATE("         경    비 :  _x001D_21,957_x001D_/",TEXT($AB44,"#,##0.00"),"*0.9 =",TEXT($AF44,"#,##0.0"))</f>
        <v xml:space="preserve">         경    비 :  _x001D_21,957_x001D_/51.84*0.9 =381.1</v>
      </c>
      <c r="B44" s="38">
        <f>SUM($C44,$D44,$E44)</f>
        <v>381.1</v>
      </c>
      <c r="C44" s="38"/>
      <c r="D44" s="38"/>
      <c r="E44" s="38">
        <f>$AF44</f>
        <v>381.1</v>
      </c>
      <c r="F44" s="50" t="s">
        <v>2856</v>
      </c>
      <c r="K44" s="3" t="s">
        <v>544</v>
      </c>
      <c r="AA44" s="41" t="s">
        <v>390</v>
      </c>
      <c r="AB44" s="8">
        <f>$AX37</f>
        <v>51.84</v>
      </c>
      <c r="AC44" s="41" t="s">
        <v>249</v>
      </c>
      <c r="AD44" s="7">
        <f>$AB44</f>
        <v>51.84</v>
      </c>
      <c r="AE44" s="42" t="s">
        <v>917</v>
      </c>
      <c r="AF44" s="8">
        <f>TRUNC(중기사용료목록!G4/$AD44*0.9,1)</f>
        <v>381.1</v>
      </c>
      <c r="AG44" s="42" t="s">
        <v>1546</v>
      </c>
      <c r="AH44" s="7">
        <f>$AF44</f>
        <v>381.1</v>
      </c>
    </row>
    <row r="45" spans="1:54" ht="18.399999999999999" customHeight="1" x14ac:dyDescent="0.15">
      <c r="A45" s="45" t="s">
        <v>2856</v>
      </c>
      <c r="B45" s="38"/>
      <c r="C45" s="38"/>
      <c r="D45" s="38"/>
      <c r="E45" s="38"/>
      <c r="F45" s="50"/>
      <c r="K45" s="3" t="s">
        <v>2856</v>
      </c>
    </row>
    <row r="46" spans="1:54" ht="18.399999999999999" customHeight="1" x14ac:dyDescent="0.15">
      <c r="A46" s="45" t="s">
        <v>968</v>
      </c>
      <c r="B46" s="39">
        <f>SUM($C46,$D46,$E46)</f>
        <v>1668.6</v>
      </c>
      <c r="C46" s="39">
        <f>$AB46</f>
        <v>300.2</v>
      </c>
      <c r="D46" s="39">
        <f>$AD46</f>
        <v>987.3</v>
      </c>
      <c r="E46" s="39">
        <f>$AF46</f>
        <v>381.1</v>
      </c>
      <c r="F46" s="51"/>
      <c r="K46" s="3" t="s">
        <v>2468</v>
      </c>
      <c r="AA46" s="41" t="s">
        <v>2057</v>
      </c>
      <c r="AB46" s="7">
        <f>$AH40</f>
        <v>300.2</v>
      </c>
      <c r="AC46" s="41" t="s">
        <v>79</v>
      </c>
      <c r="AD46" s="7">
        <f>$AH42</f>
        <v>987.3</v>
      </c>
      <c r="AE46" s="41" t="s">
        <v>2607</v>
      </c>
      <c r="AF46" s="7">
        <f>$AH44</f>
        <v>381.1</v>
      </c>
    </row>
    <row r="47" spans="1:54" ht="18.399999999999999" customHeight="1" x14ac:dyDescent="0.15">
      <c r="A47" s="45" t="s">
        <v>2856</v>
      </c>
      <c r="B47" s="38"/>
      <c r="C47" s="38"/>
      <c r="D47" s="38"/>
      <c r="E47" s="38"/>
      <c r="F47" s="50"/>
      <c r="K47" s="3" t="s">
        <v>2856</v>
      </c>
    </row>
    <row r="48" spans="1:54" ht="18.399999999999999" customHeight="1" x14ac:dyDescent="0.15">
      <c r="A48" s="45" t="s">
        <v>407</v>
      </c>
      <c r="B48" s="38"/>
      <c r="C48" s="38"/>
      <c r="D48" s="38"/>
      <c r="E48" s="38"/>
      <c r="F48" s="50"/>
      <c r="K48" s="3" t="s">
        <v>1953</v>
      </c>
    </row>
    <row r="49" spans="1:32" ht="18.399999999999999" customHeight="1" x14ac:dyDescent="0.15">
      <c r="A49" s="45" t="s">
        <v>2856</v>
      </c>
      <c r="B49" s="38"/>
      <c r="C49" s="38"/>
      <c r="D49" s="38"/>
      <c r="E49" s="38"/>
      <c r="F49" s="50"/>
      <c r="K49" s="3" t="s">
        <v>2856</v>
      </c>
    </row>
    <row r="50" spans="1:32" ht="18.399999999999999" customHeight="1" x14ac:dyDescent="0.15">
      <c r="A50" s="47" t="str">
        <f>CONCATENATE("         노 무 비 :  _x001D_167,081_x001D_*0.2*0.1 =",TEXT($AB50,"#,##0.0"))</f>
        <v xml:space="preserve">         노 무 비 :  _x001D_167,081_x001D_*0.2*0.1 =3,341.6</v>
      </c>
      <c r="B50" s="38">
        <f>SUM($C50,$D50,$E50)</f>
        <v>3341.6</v>
      </c>
      <c r="C50" s="38"/>
      <c r="D50" s="38">
        <f>$AB50</f>
        <v>3341.6</v>
      </c>
      <c r="E50" s="38"/>
      <c r="F50" s="50" t="s">
        <v>2856</v>
      </c>
      <c r="K50" s="3" t="s">
        <v>36</v>
      </c>
      <c r="AA50" s="42" t="s">
        <v>298</v>
      </c>
      <c r="AB50" s="8">
        <f>TRUNC(노임!D15*0.2*0.1,1)</f>
        <v>3341.6</v>
      </c>
      <c r="AC50" s="42" t="s">
        <v>1123</v>
      </c>
      <c r="AD50" s="7">
        <f>$AH42+$AB50</f>
        <v>4328.8999999999996</v>
      </c>
    </row>
    <row r="51" spans="1:32" ht="18.399999999999999" customHeight="1" x14ac:dyDescent="0.15">
      <c r="A51" s="45" t="s">
        <v>2856</v>
      </c>
      <c r="B51" s="38"/>
      <c r="C51" s="38"/>
      <c r="D51" s="38"/>
      <c r="E51" s="38"/>
      <c r="F51" s="50"/>
      <c r="K51" s="3" t="s">
        <v>2856</v>
      </c>
    </row>
    <row r="52" spans="1:32" ht="18.399999999999999" customHeight="1" x14ac:dyDescent="0.15">
      <c r="A52" s="45" t="s">
        <v>968</v>
      </c>
      <c r="B52" s="39">
        <f>SUM($C52,$D52,$E52)</f>
        <v>3341.5999999999995</v>
      </c>
      <c r="C52" s="39">
        <f>$AB52</f>
        <v>0</v>
      </c>
      <c r="D52" s="39">
        <f>$AD52</f>
        <v>3341.5999999999995</v>
      </c>
      <c r="E52" s="39">
        <f>$AF52</f>
        <v>0</v>
      </c>
      <c r="F52" s="51"/>
      <c r="K52" s="3" t="s">
        <v>2468</v>
      </c>
      <c r="AA52" s="41" t="s">
        <v>2057</v>
      </c>
      <c r="AB52" s="7">
        <f>$AH40-$AH40</f>
        <v>0</v>
      </c>
      <c r="AC52" s="41" t="s">
        <v>79</v>
      </c>
      <c r="AD52" s="7">
        <f>$AD50-$AH42</f>
        <v>3341.5999999999995</v>
      </c>
      <c r="AE52" s="41" t="s">
        <v>2607</v>
      </c>
      <c r="AF52" s="7">
        <f>$AH44-$AH44</f>
        <v>0</v>
      </c>
    </row>
    <row r="53" spans="1:32" ht="18.399999999999999" customHeight="1" x14ac:dyDescent="0.15">
      <c r="A53" s="45" t="s">
        <v>2856</v>
      </c>
      <c r="B53" s="38"/>
      <c r="C53" s="38"/>
      <c r="D53" s="38"/>
      <c r="E53" s="38"/>
      <c r="F53" s="50"/>
      <c r="K53" s="3" t="s">
        <v>2856</v>
      </c>
    </row>
    <row r="54" spans="1:32" ht="18.399999999999999" customHeight="1" x14ac:dyDescent="0.15">
      <c r="A54" s="45" t="s">
        <v>2348</v>
      </c>
      <c r="B54" s="43">
        <f>SUM($C54,$D54,$E54)</f>
        <v>5010.2</v>
      </c>
      <c r="C54" s="43">
        <f>$AB54</f>
        <v>300.2</v>
      </c>
      <c r="D54" s="43">
        <f>$AD54</f>
        <v>4328.8999999999996</v>
      </c>
      <c r="E54" s="43">
        <f>$AF54</f>
        <v>381.1</v>
      </c>
      <c r="F54" s="53"/>
      <c r="K54" s="3" t="s">
        <v>1610</v>
      </c>
      <c r="AA54" s="41" t="s">
        <v>1132</v>
      </c>
      <c r="AB54" s="7">
        <f>$AH40</f>
        <v>300.2</v>
      </c>
      <c r="AC54" s="41" t="s">
        <v>2376</v>
      </c>
      <c r="AD54" s="7">
        <f>$AD50</f>
        <v>4328.8999999999996</v>
      </c>
      <c r="AE54" s="41" t="s">
        <v>641</v>
      </c>
      <c r="AF54" s="7">
        <f>$AH44</f>
        <v>381.1</v>
      </c>
    </row>
    <row r="55" spans="1:32" ht="18.399999999999999" customHeight="1" x14ac:dyDescent="0.15">
      <c r="A55" s="45"/>
      <c r="B55" s="3"/>
      <c r="C55" s="3"/>
      <c r="D55" s="3"/>
      <c r="E55" s="3"/>
      <c r="F55" s="49"/>
    </row>
    <row r="56" spans="1:32" ht="18.399999999999999" customHeight="1" thickBot="1" x14ac:dyDescent="0.2">
      <c r="A56" s="48" t="s">
        <v>1631</v>
      </c>
      <c r="B56" s="40">
        <f>SUM($C56,$D56,$E56)</f>
        <v>5009</v>
      </c>
      <c r="C56" s="40">
        <f>TRUNC(SUM($AH40),0)</f>
        <v>300</v>
      </c>
      <c r="D56" s="40">
        <f>TRUNC(SUM($AD50),0)</f>
        <v>4328</v>
      </c>
      <c r="E56" s="40">
        <f>TRUNC(SUM($AH44),0)</f>
        <v>381</v>
      </c>
      <c r="F56" s="52"/>
    </row>
    <row r="57" spans="1:32" ht="18.399999999999999" customHeight="1" x14ac:dyDescent="0.15">
      <c r="A57" s="45"/>
      <c r="B57" s="3"/>
      <c r="C57" s="3"/>
      <c r="D57" s="3"/>
      <c r="E57" s="3"/>
      <c r="F57" s="49"/>
    </row>
    <row r="58" spans="1:32" ht="18.399999999999999" customHeight="1" thickBot="1" x14ac:dyDescent="0.2">
      <c r="A58" s="45" t="s">
        <v>2705</v>
      </c>
      <c r="B58" s="37">
        <f>$B81</f>
        <v>1588</v>
      </c>
      <c r="C58" s="37">
        <f>$C81</f>
        <v>285</v>
      </c>
      <c r="D58" s="37">
        <f>$D81</f>
        <v>940</v>
      </c>
      <c r="E58" s="37">
        <f>$E81</f>
        <v>363</v>
      </c>
      <c r="F58" s="49" t="s">
        <v>2856</v>
      </c>
      <c r="G58" t="s">
        <v>2856</v>
      </c>
      <c r="H58" t="s">
        <v>1705</v>
      </c>
      <c r="K58">
        <v>1</v>
      </c>
      <c r="Y58" s="7" t="b">
        <f>EXACT($Z58,$B81)</f>
        <v>1</v>
      </c>
      <c r="Z58" s="40">
        <v>1588</v>
      </c>
    </row>
    <row r="59" spans="1:32" ht="18.399999999999999" customHeight="1" x14ac:dyDescent="0.15">
      <c r="A59" s="46"/>
      <c r="B59" s="3"/>
      <c r="C59" s="3"/>
      <c r="D59" s="3"/>
      <c r="E59" s="3"/>
      <c r="F59" s="49"/>
    </row>
    <row r="60" spans="1:32" ht="18.399999999999999" customHeight="1" x14ac:dyDescent="0.15">
      <c r="A60" s="45" t="s">
        <v>2856</v>
      </c>
      <c r="B60" s="3"/>
      <c r="C60" s="3"/>
      <c r="D60" s="3"/>
      <c r="E60" s="3"/>
      <c r="F60" s="49"/>
      <c r="G60" t="s">
        <v>2856</v>
      </c>
      <c r="I60" t="s">
        <v>334</v>
      </c>
      <c r="J60" t="s">
        <v>2856</v>
      </c>
      <c r="K60" t="s">
        <v>2405</v>
      </c>
    </row>
    <row r="61" spans="1:32" ht="18.399999999999999" customHeight="1" x14ac:dyDescent="0.15">
      <c r="A61" s="45" t="s">
        <v>1127</v>
      </c>
      <c r="B61" s="38"/>
      <c r="C61" s="38"/>
      <c r="D61" s="38"/>
      <c r="E61" s="38"/>
      <c r="F61" s="50"/>
      <c r="K61" s="3" t="s">
        <v>1108</v>
      </c>
    </row>
    <row r="62" spans="1:32" ht="18.399999999999999" customHeight="1" x14ac:dyDescent="0.15">
      <c r="A62" s="45" t="s">
        <v>2856</v>
      </c>
      <c r="B62" s="38"/>
      <c r="C62" s="38"/>
      <c r="D62" s="38"/>
      <c r="E62" s="38"/>
      <c r="F62" s="50"/>
      <c r="K62" s="3" t="s">
        <v>2856</v>
      </c>
    </row>
    <row r="63" spans="1:32" ht="18.399999999999999" customHeight="1" x14ac:dyDescent="0.15">
      <c r="A63" s="45" t="s">
        <v>2480</v>
      </c>
      <c r="B63" s="38"/>
      <c r="C63" s="38"/>
      <c r="D63" s="38"/>
      <c r="E63" s="38"/>
      <c r="F63" s="50"/>
      <c r="K63" s="3" t="s">
        <v>2480</v>
      </c>
    </row>
    <row r="64" spans="1:32" ht="18.399999999999999" customHeight="1" x14ac:dyDescent="0.15">
      <c r="A64" s="45" t="s">
        <v>2856</v>
      </c>
      <c r="B64" s="38"/>
      <c r="C64" s="38"/>
      <c r="D64" s="38"/>
      <c r="E64" s="38"/>
      <c r="F64" s="50"/>
      <c r="K64" s="3" t="s">
        <v>2856</v>
      </c>
    </row>
    <row r="65" spans="1:46" ht="18.399999999999999" customHeight="1" x14ac:dyDescent="0.15">
      <c r="A65" s="47" t="str">
        <f>CONCATENATE("  q=",TEXT($AB65,"#,##0.0"),", K=",TEXT($AF65,"#,##0.0"),", L=",TEXT($AJ65,"#,##0.00"))</f>
        <v xml:space="preserve">  q=0.6, K=0.9, L=1.25</v>
      </c>
      <c r="B65" s="38"/>
      <c r="C65" s="38"/>
      <c r="D65" s="38"/>
      <c r="E65" s="38"/>
      <c r="F65" s="50"/>
      <c r="K65" s="10" t="str">
        <f>SUBSTITUTE(SUBSTITUTE(SUBSTITUTE(SUBSTITUTE("  q = 0.6, K = 0.9, L = 1.25","0.6",TEXT($AB65,"#,##0.0"),1),"0.9",TEXT($AF65,"#,##0.0"),1),"1.25",TEXT($AJ65,"#,##0.00"),1),"_x001D_","'")</f>
        <v xml:space="preserve">  q = 0.6, K = 0.9, L = 1.25</v>
      </c>
      <c r="AA65" s="41" t="s">
        <v>1985</v>
      </c>
      <c r="AB65" s="6">
        <v>0.6</v>
      </c>
      <c r="AC65" s="41" t="s">
        <v>1985</v>
      </c>
      <c r="AD65" s="7">
        <f>$AB65</f>
        <v>0.6</v>
      </c>
      <c r="AE65" s="41" t="s">
        <v>806</v>
      </c>
      <c r="AF65" s="6">
        <v>0.9</v>
      </c>
      <c r="AG65" s="41" t="s">
        <v>806</v>
      </c>
      <c r="AH65" s="7">
        <f>$AF65</f>
        <v>0.9</v>
      </c>
      <c r="AI65" s="41" t="s">
        <v>2679</v>
      </c>
      <c r="AJ65" s="6">
        <v>1.25</v>
      </c>
      <c r="AK65" s="41" t="s">
        <v>2679</v>
      </c>
      <c r="AL65" s="7">
        <f>$AJ65</f>
        <v>1.25</v>
      </c>
    </row>
    <row r="66" spans="1:46" ht="18.399999999999999" customHeight="1" x14ac:dyDescent="0.15">
      <c r="A66" s="45" t="s">
        <v>2856</v>
      </c>
      <c r="B66" s="38"/>
      <c r="C66" s="38"/>
      <c r="D66" s="38"/>
      <c r="E66" s="38"/>
      <c r="F66" s="50"/>
      <c r="K66" s="3" t="s">
        <v>2856</v>
      </c>
    </row>
    <row r="67" spans="1:46" ht="18.399999999999999" customHeight="1" x14ac:dyDescent="0.15">
      <c r="A67" s="47" t="str">
        <f>CONCATENATE("  f = 1/",TEXT($AB67,"#,##0.00")," = ",TEXT($AJ67,"#,##0.00")," , E1=",TEXT($AN67,"#,##0.0"),", Cm=",TEXT($AR67,"#,##0.00")," sec(135°) ")</f>
        <v xml:space="preserve">  f = 1/1.25 = 0.80 , E1=0.7, Cm=18.00 sec(135°) </v>
      </c>
      <c r="B67" s="38">
        <f>SUM($C67,$D67,$E67)</f>
        <v>0</v>
      </c>
      <c r="C67" s="38"/>
      <c r="D67" s="38"/>
      <c r="E67" s="38"/>
      <c r="F67" s="50"/>
      <c r="K67" s="10" t="str">
        <f>SUBSTITUTE(SUBSTITUTE(SUBSTITUTE("  f = 1/{L} = ? , E1 = 0.7, Cm = 18_x001D_sec(135°)_x001D_","0.7",TEXT($AN67,"#,##0.0"),1),"18",TEXT($AR67,"#,##0"),1),"_x001D_","'")</f>
        <v xml:space="preserve">  f = 1/{L} = ? , E1 = 0.7, Cm = 18'sec(135°)'</v>
      </c>
      <c r="AA67" s="41" t="s">
        <v>2457</v>
      </c>
      <c r="AB67" s="8">
        <f>$AL65</f>
        <v>1.25</v>
      </c>
      <c r="AC67" s="41" t="s">
        <v>1288</v>
      </c>
      <c r="AD67" s="7">
        <f>$AB67</f>
        <v>1.25</v>
      </c>
      <c r="AE67" s="41" t="s">
        <v>1815</v>
      </c>
      <c r="AF67" s="8">
        <f>ROUND(1/$AD67,2)</f>
        <v>0.8</v>
      </c>
      <c r="AG67" s="41" t="s">
        <v>1647</v>
      </c>
      <c r="AH67" s="7">
        <f>$AF67</f>
        <v>0.8</v>
      </c>
      <c r="AI67" s="41" t="s">
        <v>132</v>
      </c>
      <c r="AJ67" s="8">
        <f>ROUND(ROUND(1/$AD67,2),2)</f>
        <v>0.8</v>
      </c>
      <c r="AK67" s="41" t="s">
        <v>1748</v>
      </c>
      <c r="AL67" s="7">
        <f>$AJ67</f>
        <v>0.8</v>
      </c>
      <c r="AM67" s="41" t="s">
        <v>1533</v>
      </c>
      <c r="AN67" s="6">
        <v>0.7</v>
      </c>
      <c r="AO67" s="41" t="s">
        <v>1533</v>
      </c>
      <c r="AP67" s="7">
        <f>$AN67</f>
        <v>0.7</v>
      </c>
      <c r="AQ67" s="41" t="s">
        <v>146</v>
      </c>
      <c r="AR67" s="6">
        <v>18</v>
      </c>
      <c r="AS67" s="41" t="s">
        <v>146</v>
      </c>
      <c r="AT67" s="7">
        <f>$AR67</f>
        <v>18</v>
      </c>
    </row>
    <row r="68" spans="1:46" ht="18.399999999999999" customHeight="1" x14ac:dyDescent="0.15">
      <c r="A68" s="45" t="s">
        <v>2856</v>
      </c>
      <c r="B68" s="38"/>
      <c r="C68" s="38"/>
      <c r="D68" s="38"/>
      <c r="E68" s="38"/>
      <c r="F68" s="50"/>
      <c r="K68" s="3" t="s">
        <v>2856</v>
      </c>
    </row>
    <row r="69" spans="1:46" ht="18.399999999999999" customHeight="1" x14ac:dyDescent="0.15">
      <c r="A69" s="47" t="str">
        <f>CONCATENATE("  Q = 3600 * q * K * f * E1 / Cm = ",TEXT($AF69,"#,##0.00")," M3/HR")</f>
        <v xml:space="preserve">  Q = 3600 * q * K * f * E1 / Cm = 60.48 M3/HR</v>
      </c>
      <c r="B69" s="38">
        <f>SUM($C69,$D69,$E69)</f>
        <v>0</v>
      </c>
      <c r="C69" s="38"/>
      <c r="D69" s="38"/>
      <c r="E69" s="38"/>
      <c r="F69" s="50"/>
      <c r="K69" s="3" t="s">
        <v>1244</v>
      </c>
      <c r="AA69" s="41" t="s">
        <v>524</v>
      </c>
      <c r="AB69" s="8">
        <f>ROUND(3600*$AD65*$AH65*$AH67*$AP67/$AT67,2)</f>
        <v>60.48</v>
      </c>
      <c r="AC69" s="41" t="s">
        <v>1985</v>
      </c>
      <c r="AD69" s="7">
        <f>$AB69</f>
        <v>60.48</v>
      </c>
      <c r="AE69" s="41" t="s">
        <v>868</v>
      </c>
      <c r="AF69" s="8">
        <f>ROUND(ROUND(3600*$AD65*$AH65*$AH67*$AP67/$AT67,2),2)</f>
        <v>60.48</v>
      </c>
      <c r="AG69" s="41" t="s">
        <v>719</v>
      </c>
      <c r="AH69" s="7">
        <f>$AF69</f>
        <v>60.48</v>
      </c>
    </row>
    <row r="70" spans="1:46" ht="18.399999999999999" customHeight="1" x14ac:dyDescent="0.15">
      <c r="A70" s="45" t="s">
        <v>2856</v>
      </c>
      <c r="B70" s="38"/>
      <c r="C70" s="38"/>
      <c r="D70" s="38"/>
      <c r="E70" s="38"/>
      <c r="F70" s="50"/>
      <c r="K70" s="3" t="s">
        <v>2856</v>
      </c>
    </row>
    <row r="71" spans="1:46" ht="18.399999999999999" customHeight="1" x14ac:dyDescent="0.15">
      <c r="A71" s="47" t="str">
        <f>CONCATENATE("        재 료 비 :  _x001D_17,297_x001D_/",TEXT($AB71,"#,##0.00")," =",TEXT($AF71,"#,##0.0"))</f>
        <v xml:space="preserve">        재 료 비 :  _x001D_17,297_x001D_/60.48 =285.9</v>
      </c>
      <c r="B71" s="38">
        <f>SUM($C71,$D71,$E71)</f>
        <v>285.89999999999998</v>
      </c>
      <c r="C71" s="38">
        <f>$AF71</f>
        <v>285.89999999999998</v>
      </c>
      <c r="D71" s="38"/>
      <c r="E71" s="38"/>
      <c r="F71" s="50" t="s">
        <v>2856</v>
      </c>
      <c r="K71" s="3" t="s">
        <v>1841</v>
      </c>
      <c r="AA71" s="41" t="s">
        <v>1175</v>
      </c>
      <c r="AB71" s="8">
        <f>$AD69</f>
        <v>60.48</v>
      </c>
      <c r="AC71" s="41" t="s">
        <v>2056</v>
      </c>
      <c r="AD71" s="7">
        <f>$AB71</f>
        <v>60.48</v>
      </c>
      <c r="AE71" s="42" t="s">
        <v>2127</v>
      </c>
      <c r="AF71" s="8">
        <f>TRUNC(중기사용료목록!E4/$AD71,1)</f>
        <v>285.89999999999998</v>
      </c>
      <c r="AG71" s="42" t="s">
        <v>2369</v>
      </c>
      <c r="AH71" s="7">
        <f>$AF71</f>
        <v>285.89999999999998</v>
      </c>
    </row>
    <row r="72" spans="1:46" ht="18.399999999999999" customHeight="1" x14ac:dyDescent="0.15">
      <c r="A72" s="45" t="s">
        <v>2856</v>
      </c>
      <c r="B72" s="38"/>
      <c r="C72" s="38"/>
      <c r="D72" s="38"/>
      <c r="E72" s="38"/>
      <c r="F72" s="50"/>
      <c r="K72" s="3" t="s">
        <v>2856</v>
      </c>
    </row>
    <row r="73" spans="1:46" ht="18.399999999999999" customHeight="1" x14ac:dyDescent="0.15">
      <c r="A73" s="47" t="str">
        <f>CONCATENATE("         노 무 비 :  _x001D_56,874_x001D_/",TEXT($AB73,"#,##0.00")," =",TEXT($AF73,"#,##0.0"))</f>
        <v xml:space="preserve">         노 무 비 :  _x001D_56,874_x001D_/60.48 =940.3</v>
      </c>
      <c r="B73" s="38">
        <f>SUM($C73,$D73,$E73)</f>
        <v>940.3</v>
      </c>
      <c r="C73" s="38"/>
      <c r="D73" s="38">
        <f>$AF73</f>
        <v>940.3</v>
      </c>
      <c r="E73" s="38"/>
      <c r="F73" s="50" t="s">
        <v>2856</v>
      </c>
      <c r="K73" s="3" t="s">
        <v>2839</v>
      </c>
      <c r="AA73" s="41" t="s">
        <v>2668</v>
      </c>
      <c r="AB73" s="8">
        <f>$AD69</f>
        <v>60.48</v>
      </c>
      <c r="AC73" s="41" t="s">
        <v>2263</v>
      </c>
      <c r="AD73" s="7">
        <f>$AB73</f>
        <v>60.48</v>
      </c>
      <c r="AE73" s="42" t="s">
        <v>298</v>
      </c>
      <c r="AF73" s="8">
        <f>TRUNC(중기사용료목록!F4/$AD73,1)</f>
        <v>940.3</v>
      </c>
      <c r="AG73" s="42" t="s">
        <v>1123</v>
      </c>
      <c r="AH73" s="7">
        <f>$AF73</f>
        <v>940.3</v>
      </c>
    </row>
    <row r="74" spans="1:46" ht="18.399999999999999" customHeight="1" x14ac:dyDescent="0.15">
      <c r="A74" s="45" t="s">
        <v>2856</v>
      </c>
      <c r="B74" s="38"/>
      <c r="C74" s="38"/>
      <c r="D74" s="38"/>
      <c r="E74" s="38"/>
      <c r="F74" s="50"/>
      <c r="K74" s="3" t="s">
        <v>2856</v>
      </c>
    </row>
    <row r="75" spans="1:46" ht="18.399999999999999" customHeight="1" x14ac:dyDescent="0.15">
      <c r="A75" s="47" t="str">
        <f>CONCATENATE("         경    비 :  _x001D_21,957_x001D_/",TEXT($AB75,"#,##0.00")," =",TEXT($AF75,"#,##0.0"))</f>
        <v xml:space="preserve">         경    비 :  _x001D_21,957_x001D_/60.48 =363.0</v>
      </c>
      <c r="B75" s="38">
        <f>SUM($C75,$D75,$E75)</f>
        <v>363</v>
      </c>
      <c r="C75" s="38"/>
      <c r="D75" s="38"/>
      <c r="E75" s="38">
        <f>$AF75</f>
        <v>363</v>
      </c>
      <c r="F75" s="50" t="s">
        <v>2856</v>
      </c>
      <c r="K75" s="3" t="s">
        <v>535</v>
      </c>
      <c r="AA75" s="41" t="s">
        <v>1128</v>
      </c>
      <c r="AB75" s="8">
        <f>$AD69</f>
        <v>60.48</v>
      </c>
      <c r="AC75" s="41" t="s">
        <v>852</v>
      </c>
      <c r="AD75" s="7">
        <f>$AB75</f>
        <v>60.48</v>
      </c>
      <c r="AE75" s="42" t="s">
        <v>917</v>
      </c>
      <c r="AF75" s="8">
        <f>TRUNC(중기사용료목록!G4/$AD75,1)</f>
        <v>363</v>
      </c>
      <c r="AG75" s="42" t="s">
        <v>1546</v>
      </c>
      <c r="AH75" s="7">
        <f>$AF75</f>
        <v>363</v>
      </c>
    </row>
    <row r="76" spans="1:46" ht="18.399999999999999" customHeight="1" x14ac:dyDescent="0.15">
      <c r="A76" s="45" t="s">
        <v>2856</v>
      </c>
      <c r="B76" s="38"/>
      <c r="C76" s="38"/>
      <c r="D76" s="38"/>
      <c r="E76" s="38"/>
      <c r="F76" s="50"/>
      <c r="K76" s="3" t="s">
        <v>2856</v>
      </c>
    </row>
    <row r="77" spans="1:46" ht="18.399999999999999" customHeight="1" x14ac:dyDescent="0.15">
      <c r="A77" s="45" t="s">
        <v>2856</v>
      </c>
      <c r="B77" s="38"/>
      <c r="C77" s="38"/>
      <c r="D77" s="38"/>
      <c r="E77" s="38"/>
      <c r="F77" s="50"/>
      <c r="K77" s="3" t="s">
        <v>2856</v>
      </c>
    </row>
    <row r="78" spans="1:46" ht="18.399999999999999" customHeight="1" x14ac:dyDescent="0.15">
      <c r="A78" s="45" t="s">
        <v>2856</v>
      </c>
      <c r="B78" s="38"/>
      <c r="C78" s="38"/>
      <c r="D78" s="38"/>
      <c r="E78" s="38"/>
      <c r="F78" s="50"/>
      <c r="K78" s="3" t="s">
        <v>2856</v>
      </c>
    </row>
    <row r="79" spans="1:46" ht="18.399999999999999" customHeight="1" x14ac:dyDescent="0.15">
      <c r="A79" s="45" t="s">
        <v>2348</v>
      </c>
      <c r="B79" s="43">
        <f>SUM($C79,$D79,$E79)</f>
        <v>1589.1999999999998</v>
      </c>
      <c r="C79" s="43">
        <f>$AB79</f>
        <v>285.89999999999998</v>
      </c>
      <c r="D79" s="43">
        <f>$AD79</f>
        <v>940.3</v>
      </c>
      <c r="E79" s="43">
        <f>$AF79</f>
        <v>363</v>
      </c>
      <c r="F79" s="53"/>
      <c r="K79" s="3" t="s">
        <v>1610</v>
      </c>
      <c r="AA79" s="41" t="s">
        <v>1132</v>
      </c>
      <c r="AB79" s="7">
        <f>$AH71</f>
        <v>285.89999999999998</v>
      </c>
      <c r="AC79" s="41" t="s">
        <v>2376</v>
      </c>
      <c r="AD79" s="7">
        <f>$AH73</f>
        <v>940.3</v>
      </c>
      <c r="AE79" s="41" t="s">
        <v>641</v>
      </c>
      <c r="AF79" s="7">
        <f>$AH75</f>
        <v>363</v>
      </c>
    </row>
    <row r="80" spans="1:46" ht="18.399999999999999" customHeight="1" x14ac:dyDescent="0.15">
      <c r="A80" s="45"/>
      <c r="B80" s="3"/>
      <c r="C80" s="3"/>
      <c r="D80" s="3"/>
      <c r="E80" s="3"/>
      <c r="F80" s="49"/>
    </row>
    <row r="81" spans="1:42" ht="18.399999999999999" customHeight="1" thickBot="1" x14ac:dyDescent="0.2">
      <c r="A81" s="48" t="s">
        <v>1631</v>
      </c>
      <c r="B81" s="40">
        <f>SUM($C81,$D81,$E81)</f>
        <v>1588</v>
      </c>
      <c r="C81" s="40">
        <f>TRUNC(SUM($AH71),0)</f>
        <v>285</v>
      </c>
      <c r="D81" s="40">
        <f>TRUNC(SUM($AH73),0)</f>
        <v>940</v>
      </c>
      <c r="E81" s="40">
        <f>TRUNC(SUM($AH75),0)</f>
        <v>363</v>
      </c>
      <c r="F81" s="52"/>
    </row>
    <row r="82" spans="1:42" ht="18.399999999999999" customHeight="1" x14ac:dyDescent="0.15">
      <c r="A82" s="45"/>
      <c r="B82" s="3"/>
      <c r="C82" s="3"/>
      <c r="D82" s="3"/>
      <c r="E82" s="3"/>
      <c r="F82" s="49"/>
    </row>
    <row r="83" spans="1:42" ht="18.399999999999999" customHeight="1" thickBot="1" x14ac:dyDescent="0.2">
      <c r="A83" s="45" t="s">
        <v>2234</v>
      </c>
      <c r="B83" s="37">
        <f>$B114</f>
        <v>7144</v>
      </c>
      <c r="C83" s="37">
        <f>$C114</f>
        <v>445</v>
      </c>
      <c r="D83" s="37">
        <f>$D114</f>
        <v>6329</v>
      </c>
      <c r="E83" s="37">
        <f>$E114</f>
        <v>370</v>
      </c>
      <c r="F83" s="49" t="s">
        <v>2856</v>
      </c>
      <c r="G83" t="s">
        <v>2856</v>
      </c>
      <c r="H83" t="s">
        <v>1429</v>
      </c>
      <c r="K83">
        <v>1</v>
      </c>
      <c r="Y83" s="7" t="b">
        <f>EXACT($Z83,$B114)</f>
        <v>1</v>
      </c>
      <c r="Z83" s="40">
        <v>7144</v>
      </c>
    </row>
    <row r="84" spans="1:42" ht="18.399999999999999" customHeight="1" x14ac:dyDescent="0.15">
      <c r="A84" s="46"/>
      <c r="B84" s="3"/>
      <c r="C84" s="3"/>
      <c r="D84" s="3"/>
      <c r="E84" s="3"/>
      <c r="F84" s="49"/>
    </row>
    <row r="85" spans="1:42" ht="18.399999999999999" customHeight="1" x14ac:dyDescent="0.15">
      <c r="A85" s="45" t="s">
        <v>2856</v>
      </c>
      <c r="B85" s="3"/>
      <c r="C85" s="3"/>
      <c r="D85" s="3"/>
      <c r="E85" s="3"/>
      <c r="F85" s="49"/>
      <c r="G85" t="s">
        <v>2856</v>
      </c>
      <c r="I85" t="s">
        <v>334</v>
      </c>
      <c r="J85" t="s">
        <v>2856</v>
      </c>
      <c r="K85" t="s">
        <v>2405</v>
      </c>
    </row>
    <row r="86" spans="1:42" ht="18.399999999999999" customHeight="1" x14ac:dyDescent="0.15">
      <c r="A86" s="45" t="s">
        <v>2036</v>
      </c>
      <c r="B86" s="38"/>
      <c r="C86" s="38"/>
      <c r="D86" s="38"/>
      <c r="E86" s="38"/>
      <c r="F86" s="50"/>
      <c r="K86" s="3" t="s">
        <v>2036</v>
      </c>
    </row>
    <row r="87" spans="1:42" ht="18.399999999999999" customHeight="1" x14ac:dyDescent="0.15">
      <c r="A87" s="45" t="s">
        <v>2856</v>
      </c>
      <c r="B87" s="38"/>
      <c r="C87" s="38"/>
      <c r="D87" s="38"/>
      <c r="E87" s="38"/>
      <c r="F87" s="50"/>
      <c r="K87" s="3" t="s">
        <v>2856</v>
      </c>
    </row>
    <row r="88" spans="1:42" ht="18.399999999999999" customHeight="1" x14ac:dyDescent="0.15">
      <c r="A88" s="45" t="s">
        <v>2271</v>
      </c>
      <c r="B88" s="38"/>
      <c r="C88" s="38"/>
      <c r="D88" s="38"/>
      <c r="E88" s="38"/>
      <c r="F88" s="50"/>
      <c r="K88" s="3" t="s">
        <v>2271</v>
      </c>
    </row>
    <row r="89" spans="1:42" ht="18.399999999999999" customHeight="1" x14ac:dyDescent="0.15">
      <c r="A89" s="47" t="str">
        <f>CONCATENATE("    q=",TEXT($AB89,"#,##0.0"),", K=",TEXT($AF89,"#,##0.0"),", f = 0.875/1.25 = ",TEXT($AN89,"#,##0.00"))</f>
        <v xml:space="preserve">    q=0.6, K=1.1, f = 0.875/1.25 = 0.70</v>
      </c>
      <c r="B89" s="38">
        <f>SUM($C89,$D89,$E89)</f>
        <v>0</v>
      </c>
      <c r="C89" s="38"/>
      <c r="D89" s="38"/>
      <c r="E89" s="38"/>
      <c r="F89" s="50"/>
      <c r="K89" s="10" t="str">
        <f>SUBSTITUTE(SUBSTITUTE(SUBSTITUTE("    q = 0.6, K = 1.1, f = 0.875/1.25 = ?","0.6",TEXT($AB89,"#,##0.0"),1),"1.1",TEXT($AF89,"#,##0.0"),1),"_x001D_","'")</f>
        <v xml:space="preserve">    q = 0.6, K = 1.1, f = 0.875/1.25 = ?</v>
      </c>
      <c r="AA89" s="41" t="s">
        <v>1985</v>
      </c>
      <c r="AB89" s="6">
        <v>0.6</v>
      </c>
      <c r="AC89" s="41" t="s">
        <v>1985</v>
      </c>
      <c r="AD89" s="7">
        <f t="shared" ref="AD89:AD94" si="0">$AB89</f>
        <v>0.6</v>
      </c>
      <c r="AE89" s="41" t="s">
        <v>806</v>
      </c>
      <c r="AF89" s="6">
        <v>1.1000000000000001</v>
      </c>
      <c r="AG89" s="41" t="s">
        <v>806</v>
      </c>
      <c r="AH89" s="7">
        <f>$AF89</f>
        <v>1.1000000000000001</v>
      </c>
      <c r="AI89" s="41" t="s">
        <v>1815</v>
      </c>
      <c r="AJ89" s="8">
        <f>ROUND(0.875/1.25,2)</f>
        <v>0.7</v>
      </c>
      <c r="AK89" s="41" t="s">
        <v>1647</v>
      </c>
      <c r="AL89" s="7">
        <f>$AJ89</f>
        <v>0.7</v>
      </c>
      <c r="AM89" s="41" t="s">
        <v>2371</v>
      </c>
      <c r="AN89" s="8">
        <f>ROUND(ROUND(0.875/1.25,2),2)</f>
        <v>0.7</v>
      </c>
      <c r="AO89" s="41" t="s">
        <v>2415</v>
      </c>
      <c r="AP89" s="7">
        <f>$AN89</f>
        <v>0.7</v>
      </c>
    </row>
    <row r="90" spans="1:42" ht="18.399999999999999" customHeight="1" x14ac:dyDescent="0.15">
      <c r="A90" s="47" t="str">
        <f>CONCATENATE("    Cm=",TEXT($AB90,"#,##0.00")," (90°) ,E=",TEXT($AF90,"#,##0.00"))</f>
        <v xml:space="preserve">    Cm=18.00 (90°) ,E=0.70</v>
      </c>
      <c r="B90" s="38"/>
      <c r="C90" s="38"/>
      <c r="D90" s="38"/>
      <c r="E90" s="38"/>
      <c r="F90" s="50"/>
      <c r="K90" s="10" t="str">
        <f>SUBSTITUTE(SUBSTITUTE(SUBSTITUTE("    Cm = 18_x001D_(90°)_x001D_,E = 0.70","18",TEXT($AB90,"#,##0"),1),"0.70",TEXT($AF90,"#,##0.00"),1),"_x001D_","'")</f>
        <v xml:space="preserve">    Cm = 18'(90°)',E = 0.70</v>
      </c>
      <c r="AA90" s="41" t="s">
        <v>146</v>
      </c>
      <c r="AB90" s="6">
        <v>18</v>
      </c>
      <c r="AC90" s="41" t="s">
        <v>146</v>
      </c>
      <c r="AD90" s="7">
        <f t="shared" si="0"/>
        <v>18</v>
      </c>
      <c r="AE90" s="41" t="s">
        <v>1371</v>
      </c>
      <c r="AF90" s="6">
        <v>0.7</v>
      </c>
      <c r="AG90" s="41" t="s">
        <v>1371</v>
      </c>
      <c r="AH90" s="7">
        <f>$AF90</f>
        <v>0.7</v>
      </c>
    </row>
    <row r="91" spans="1:42" ht="18.399999999999999" customHeight="1" x14ac:dyDescent="0.15">
      <c r="A91" s="47" t="str">
        <f>CONCATENATE("    Q = 3600 * q * f * K * E / Cm = ",TEXT($AF91,"#,##0.00"))</f>
        <v xml:space="preserve">    Q = 3600 * q * f * K * E / Cm = 64.68</v>
      </c>
      <c r="B91" s="38">
        <f>SUM($C91,$D91,$E91)</f>
        <v>0</v>
      </c>
      <c r="C91" s="38"/>
      <c r="D91" s="38"/>
      <c r="E91" s="38"/>
      <c r="F91" s="50"/>
      <c r="K91" s="3" t="s">
        <v>1717</v>
      </c>
      <c r="AA91" s="41" t="s">
        <v>524</v>
      </c>
      <c r="AB91" s="8">
        <f>ROUND(3600*$AD89*$AL89*$AH89*$AH90/$AD90,2)</f>
        <v>64.680000000000007</v>
      </c>
      <c r="AC91" s="41" t="s">
        <v>1985</v>
      </c>
      <c r="AD91" s="7">
        <f t="shared" si="0"/>
        <v>64.680000000000007</v>
      </c>
      <c r="AE91" s="41" t="s">
        <v>2453</v>
      </c>
      <c r="AF91" s="8">
        <f>ROUND(ROUND(3600*$AD89*$AL89*$AH89*$AH90/$AD90,2),2)</f>
        <v>64.680000000000007</v>
      </c>
      <c r="AG91" s="41" t="s">
        <v>405</v>
      </c>
      <c r="AH91" s="7">
        <f>$AF91</f>
        <v>64.680000000000007</v>
      </c>
    </row>
    <row r="92" spans="1:42" ht="18.399999999999999" customHeight="1" x14ac:dyDescent="0.15">
      <c r="A92" s="47" t="str">
        <f>CONCATENATE("  노무비 : _x001D_56,874_x001D_ / Q * 0.9 = ",TEXT($AB92,"#,##0.0"))</f>
        <v xml:space="preserve">  노무비 : _x001D_56,874_x001D_ / Q * 0.9 = 791.3</v>
      </c>
      <c r="B92" s="38">
        <f>SUM($C92,$D92,$E92)</f>
        <v>791.3</v>
      </c>
      <c r="C92" s="38"/>
      <c r="D92" s="38">
        <f>$AB92</f>
        <v>791.3</v>
      </c>
      <c r="E92" s="38"/>
      <c r="F92" s="50" t="s">
        <v>2856</v>
      </c>
      <c r="K92" s="3" t="s">
        <v>1142</v>
      </c>
      <c r="AA92" s="42" t="s">
        <v>298</v>
      </c>
      <c r="AB92" s="8">
        <f>TRUNC(중기사용료목록!F4/$AD91*0.9,1)</f>
        <v>791.3</v>
      </c>
      <c r="AC92" s="42" t="s">
        <v>1123</v>
      </c>
      <c r="AD92" s="7">
        <f t="shared" si="0"/>
        <v>791.3</v>
      </c>
    </row>
    <row r="93" spans="1:42" ht="18.399999999999999" customHeight="1" x14ac:dyDescent="0.15">
      <c r="A93" s="47" t="str">
        <f>CONCATENATE("  재료비 : _x001D_17,297_x001D_ / Q * 0.9 = ",TEXT($AB93,"#,##0.0"))</f>
        <v xml:space="preserve">  재료비 : _x001D_17,297_x001D_ / Q * 0.9 = 240.6</v>
      </c>
      <c r="B93" s="38">
        <f>SUM($C93,$D93,$E93)</f>
        <v>240.6</v>
      </c>
      <c r="C93" s="38">
        <f>$AB93</f>
        <v>240.6</v>
      </c>
      <c r="D93" s="38"/>
      <c r="E93" s="38"/>
      <c r="F93" s="50" t="s">
        <v>2856</v>
      </c>
      <c r="K93" s="3" t="s">
        <v>1577</v>
      </c>
      <c r="AA93" s="42" t="s">
        <v>2127</v>
      </c>
      <c r="AB93" s="8">
        <f>TRUNC(중기사용료목록!E4/$AD91*0.9,1)</f>
        <v>240.6</v>
      </c>
      <c r="AC93" s="42" t="s">
        <v>2369</v>
      </c>
      <c r="AD93" s="7">
        <f t="shared" si="0"/>
        <v>240.6</v>
      </c>
    </row>
    <row r="94" spans="1:42" ht="18.399999999999999" customHeight="1" x14ac:dyDescent="0.15">
      <c r="A94" s="47" t="str">
        <f>CONCATENATE("  경  비 : _x001D_21,957_x001D_ / Q * 0.9 = ",TEXT($AB94,"#,##0.0"))</f>
        <v xml:space="preserve">  경  비 : _x001D_21,957_x001D_ / Q * 0.9 = 305.5</v>
      </c>
      <c r="B94" s="38">
        <f>SUM($C94,$D94,$E94)</f>
        <v>305.5</v>
      </c>
      <c r="C94" s="38"/>
      <c r="D94" s="38"/>
      <c r="E94" s="38">
        <f>$AB94</f>
        <v>305.5</v>
      </c>
      <c r="F94" s="50" t="s">
        <v>2856</v>
      </c>
      <c r="K94" s="3" t="s">
        <v>2674</v>
      </c>
      <c r="AA94" s="42" t="s">
        <v>917</v>
      </c>
      <c r="AB94" s="8">
        <f>TRUNC(중기사용료목록!G4/$AD91*0.9,1)</f>
        <v>305.5</v>
      </c>
      <c r="AC94" s="42" t="s">
        <v>1546</v>
      </c>
      <c r="AD94" s="7">
        <f t="shared" si="0"/>
        <v>305.5</v>
      </c>
    </row>
    <row r="95" spans="1:42" ht="18.399999999999999" customHeight="1" x14ac:dyDescent="0.15">
      <c r="A95" s="45" t="s">
        <v>1555</v>
      </c>
      <c r="B95" s="39">
        <f>SUM($C95,$D95,$E95)</f>
        <v>1337.3999999999999</v>
      </c>
      <c r="C95" s="39">
        <f>$AB95</f>
        <v>240.6</v>
      </c>
      <c r="D95" s="39">
        <f>$AD95</f>
        <v>791.3</v>
      </c>
      <c r="E95" s="39">
        <f>$AF95</f>
        <v>305.5</v>
      </c>
      <c r="F95" s="51"/>
      <c r="K95" s="3" t="s">
        <v>2026</v>
      </c>
      <c r="AA95" s="41" t="s">
        <v>2057</v>
      </c>
      <c r="AB95" s="7">
        <f>$AD93</f>
        <v>240.6</v>
      </c>
      <c r="AC95" s="41" t="s">
        <v>79</v>
      </c>
      <c r="AD95" s="7">
        <f>$AD92</f>
        <v>791.3</v>
      </c>
      <c r="AE95" s="41" t="s">
        <v>2607</v>
      </c>
      <c r="AF95" s="7">
        <f>$AD94</f>
        <v>305.5</v>
      </c>
    </row>
    <row r="96" spans="1:42" ht="18.399999999999999" customHeight="1" x14ac:dyDescent="0.15">
      <c r="A96" s="45" t="s">
        <v>2856</v>
      </c>
      <c r="B96" s="38"/>
      <c r="C96" s="38"/>
      <c r="D96" s="38"/>
      <c r="E96" s="38"/>
      <c r="F96" s="50"/>
      <c r="K96" s="3" t="s">
        <v>2856</v>
      </c>
    </row>
    <row r="97" spans="1:54" ht="18.399999999999999" customHeight="1" x14ac:dyDescent="0.15">
      <c r="A97" s="45" t="s">
        <v>218</v>
      </c>
      <c r="B97" s="38"/>
      <c r="C97" s="38"/>
      <c r="D97" s="38"/>
      <c r="E97" s="38"/>
      <c r="F97" s="50"/>
      <c r="K97" s="3" t="s">
        <v>2670</v>
      </c>
    </row>
    <row r="98" spans="1:54" ht="18.399999999999999" customHeight="1" x14ac:dyDescent="0.15">
      <c r="A98" s="47" t="str">
        <f>CONCATENATE("   보통인부  _x001D_167,081_x001D_  * 0.1 * 0.1 = ",TEXT($AB98,"#,##0.0"))</f>
        <v xml:space="preserve">   보통인부  _x001D_167,081_x001D_  * 0.1 * 0.1 = 1,670.8</v>
      </c>
      <c r="B98" s="38">
        <f>SUM($C98,$D98,$E98)</f>
        <v>1670.8</v>
      </c>
      <c r="C98" s="38"/>
      <c r="D98" s="38">
        <f>$AB98</f>
        <v>1670.8</v>
      </c>
      <c r="E98" s="38"/>
      <c r="F98" s="50" t="s">
        <v>2856</v>
      </c>
      <c r="K98" s="3" t="s">
        <v>2186</v>
      </c>
      <c r="AA98" s="42" t="s">
        <v>298</v>
      </c>
      <c r="AB98" s="8">
        <f>TRUNC(노임!D15*0.1*0.1,1)</f>
        <v>1670.8</v>
      </c>
      <c r="AC98" s="42" t="s">
        <v>1123</v>
      </c>
      <c r="AD98" s="7">
        <f>$AD92+$AB98</f>
        <v>2462.1</v>
      </c>
    </row>
    <row r="99" spans="1:54" ht="18.399999999999999" customHeight="1" x14ac:dyDescent="0.15">
      <c r="A99" s="45" t="s">
        <v>1555</v>
      </c>
      <c r="B99" s="39">
        <f>SUM($C99,$D99,$E99)</f>
        <v>1670.8</v>
      </c>
      <c r="C99" s="39">
        <f>$AB99</f>
        <v>0</v>
      </c>
      <c r="D99" s="39">
        <f>$AD99</f>
        <v>1670.8</v>
      </c>
      <c r="E99" s="39">
        <f>$AF99</f>
        <v>0</v>
      </c>
      <c r="F99" s="51"/>
      <c r="K99" s="3" t="s">
        <v>2026</v>
      </c>
      <c r="AA99" s="41" t="s">
        <v>2057</v>
      </c>
      <c r="AB99" s="7">
        <f>$AD93-$AD93</f>
        <v>0</v>
      </c>
      <c r="AC99" s="41" t="s">
        <v>79</v>
      </c>
      <c r="AD99" s="7">
        <f>$AD98-$AD92</f>
        <v>1670.8</v>
      </c>
      <c r="AE99" s="41" t="s">
        <v>2607</v>
      </c>
      <c r="AF99" s="7">
        <f>$AD94-$AD94</f>
        <v>0</v>
      </c>
    </row>
    <row r="100" spans="1:54" ht="18.399999999999999" customHeight="1" x14ac:dyDescent="0.15">
      <c r="A100" s="45" t="s">
        <v>2856</v>
      </c>
      <c r="B100" s="38"/>
      <c r="C100" s="38"/>
      <c r="D100" s="38"/>
      <c r="E100" s="38"/>
      <c r="F100" s="50"/>
      <c r="K100" s="3" t="s">
        <v>2856</v>
      </c>
    </row>
    <row r="101" spans="1:54" ht="18.399999999999999" customHeight="1" x14ac:dyDescent="0.15">
      <c r="A101" s="45" t="s">
        <v>713</v>
      </c>
      <c r="B101" s="43">
        <f>SUM($C101,$D101,$E101)</f>
        <v>3008.2</v>
      </c>
      <c r="C101" s="43">
        <f>$AB101</f>
        <v>240.6</v>
      </c>
      <c r="D101" s="43">
        <f>$AD101</f>
        <v>2462.1</v>
      </c>
      <c r="E101" s="43">
        <f>$AF101</f>
        <v>305.5</v>
      </c>
      <c r="F101" s="53"/>
      <c r="K101" s="3" t="s">
        <v>2714</v>
      </c>
      <c r="AA101" s="41" t="s">
        <v>1132</v>
      </c>
      <c r="AB101" s="7">
        <f>$AD93</f>
        <v>240.6</v>
      </c>
      <c r="AC101" s="41" t="s">
        <v>2376</v>
      </c>
      <c r="AD101" s="7">
        <f>$AD98</f>
        <v>2462.1</v>
      </c>
      <c r="AE101" s="41" t="s">
        <v>641</v>
      </c>
      <c r="AF101" s="7">
        <f>$AD94</f>
        <v>305.5</v>
      </c>
    </row>
    <row r="102" spans="1:54" ht="18.399999999999999" customHeight="1" x14ac:dyDescent="0.15">
      <c r="A102" s="45" t="s">
        <v>2856</v>
      </c>
      <c r="B102" s="38"/>
      <c r="C102" s="38"/>
      <c r="D102" s="38"/>
      <c r="E102" s="38"/>
      <c r="F102" s="50"/>
      <c r="K102" s="3" t="s">
        <v>2856</v>
      </c>
    </row>
    <row r="103" spans="1:54" ht="18.399999999999999" customHeight="1" x14ac:dyDescent="0.15">
      <c r="A103" s="45" t="s">
        <v>409</v>
      </c>
      <c r="B103" s="38"/>
      <c r="C103" s="38"/>
      <c r="D103" s="38"/>
      <c r="E103" s="38"/>
      <c r="F103" s="50"/>
      <c r="K103" s="3" t="s">
        <v>409</v>
      </c>
    </row>
    <row r="104" spans="1:54" ht="18.399999999999999" customHeight="1" x14ac:dyDescent="0.15">
      <c r="A104" s="45" t="s">
        <v>2856</v>
      </c>
      <c r="B104" s="38"/>
      <c r="C104" s="38"/>
      <c r="D104" s="38"/>
      <c r="E104" s="38"/>
      <c r="F104" s="50"/>
      <c r="K104" s="3" t="s">
        <v>2856</v>
      </c>
    </row>
    <row r="105" spans="1:54" ht="18.399999999999999" customHeight="1" x14ac:dyDescent="0.15">
      <c r="A105" s="47" t="str">
        <f>CONCATENATE("    V=",TEXT($AB105,"#,##0.00")," Km/hr , W=",TEXT($AF105,"#,##0.00")," m , E=",TEXT($AJ105,"#,##0.0"),", N=",TEXT($AN105,"#,##0.00"),", D=",TEXT($AR105,"#,##0.0"),", f=1/1=",TEXT($AZ105,"#,##0.00"))</f>
        <v xml:space="preserve">    V=1.00 Km/hr , W=0.45 m , E=0.6, N=3.00, D=0.1, f=1/1=1.00</v>
      </c>
      <c r="B105" s="38">
        <f t="shared" ref="B105:B110" si="1">SUM($C105,$D105,$E105)</f>
        <v>0</v>
      </c>
      <c r="C105" s="38"/>
      <c r="D105" s="38"/>
      <c r="E105" s="38"/>
      <c r="F105" s="50"/>
      <c r="K105" s="10" t="str">
        <f>SUBSTITUTE(SUBSTITUTE(SUBSTITUTE(SUBSTITUTE(SUBSTITUTE(SUBSTITUTE("    V=1_x001D_Km/hr_x001D_, W=0.45_x001D_m_x001D_, E=0.6, N=3, D=0.1, f=1/1=?","1",TEXT($AB105,"#,##0"),1),"0.45",TEXT($AF105,"#,##0.00"),1),"0.6",TEXT($AJ105,"#,##0.0"),1),"3",TEXT($AN105,"#,##0"),1),"0.1",TEXT($AR105,"#,##0.0"),1),"_x001D_","'")</f>
        <v xml:space="preserve">    V=1'Km/hr', W=0.45'm', E=0.6, N=3, D=0.1, f=1/1=?</v>
      </c>
      <c r="AA105" s="41" t="s">
        <v>115</v>
      </c>
      <c r="AB105" s="6">
        <v>1</v>
      </c>
      <c r="AC105" s="41" t="s">
        <v>115</v>
      </c>
      <c r="AD105" s="7">
        <f>$AB105</f>
        <v>1</v>
      </c>
      <c r="AE105" s="41" t="s">
        <v>1234</v>
      </c>
      <c r="AF105" s="6">
        <v>0.45</v>
      </c>
      <c r="AG105" s="41" t="s">
        <v>1234</v>
      </c>
      <c r="AH105" s="7">
        <f>$AF105</f>
        <v>0.45</v>
      </c>
      <c r="AI105" s="41" t="s">
        <v>1371</v>
      </c>
      <c r="AJ105" s="6">
        <v>0.6</v>
      </c>
      <c r="AK105" s="41" t="s">
        <v>1371</v>
      </c>
      <c r="AL105" s="7">
        <f>$AJ105</f>
        <v>0.6</v>
      </c>
      <c r="AM105" s="41" t="s">
        <v>1381</v>
      </c>
      <c r="AN105" s="6">
        <v>3</v>
      </c>
      <c r="AO105" s="41" t="s">
        <v>1381</v>
      </c>
      <c r="AP105" s="7">
        <f>$AN105</f>
        <v>3</v>
      </c>
      <c r="AQ105" s="41" t="s">
        <v>338</v>
      </c>
      <c r="AR105" s="6">
        <v>0.1</v>
      </c>
      <c r="AS105" s="41" t="s">
        <v>338</v>
      </c>
      <c r="AT105" s="7">
        <f>$AR105</f>
        <v>0.1</v>
      </c>
      <c r="AU105" s="41" t="s">
        <v>1815</v>
      </c>
      <c r="AV105" s="8">
        <f>ROUND(1/1,2)</f>
        <v>1</v>
      </c>
      <c r="AW105" s="41" t="s">
        <v>1647</v>
      </c>
      <c r="AX105" s="7">
        <f>$AV105</f>
        <v>1</v>
      </c>
      <c r="AY105" s="41" t="s">
        <v>2385</v>
      </c>
      <c r="AZ105" s="8">
        <f>ROUND(ROUND(1/1,2),2)</f>
        <v>1</v>
      </c>
      <c r="BA105" s="41" t="s">
        <v>2527</v>
      </c>
      <c r="BB105" s="7">
        <f>$AZ105</f>
        <v>1</v>
      </c>
    </row>
    <row r="106" spans="1:54" ht="18.399999999999999" customHeight="1" x14ac:dyDescent="0.15">
      <c r="A106" s="47" t="str">
        <f>CONCATENATE("    Q = (1000*V*W*D*E)*f/N =",TEXT($AF106,"#,##0.00"),"  ㎥/HR ")</f>
        <v xml:space="preserve">    Q = (1000*V*W*D*E)*f/N =9.00  ㎥/HR </v>
      </c>
      <c r="B106" s="38">
        <f t="shared" si="1"/>
        <v>0</v>
      </c>
      <c r="C106" s="38"/>
      <c r="D106" s="38"/>
      <c r="E106" s="38"/>
      <c r="F106" s="50"/>
      <c r="K106" s="3" t="s">
        <v>1509</v>
      </c>
      <c r="AA106" s="41" t="s">
        <v>524</v>
      </c>
      <c r="AB106" s="8">
        <f>ROUND((1000*$AD105*$AH105*$AT105*$AL105)*$AX105/$AP105,2)</f>
        <v>9</v>
      </c>
      <c r="AC106" s="41" t="s">
        <v>1985</v>
      </c>
      <c r="AD106" s="7">
        <f>$AB106</f>
        <v>9</v>
      </c>
      <c r="AE106" s="41" t="s">
        <v>1766</v>
      </c>
      <c r="AF106" s="8">
        <f>ROUND(ROUND((1000*$AD105*$AH105*$AT105*$AL105)*$AX105/$AP105,2),2)</f>
        <v>9</v>
      </c>
      <c r="AG106" s="41" t="s">
        <v>2076</v>
      </c>
      <c r="AH106" s="7">
        <f>$AF106</f>
        <v>9</v>
      </c>
    </row>
    <row r="107" spans="1:54" ht="18.399999999999999" customHeight="1" x14ac:dyDescent="0.15">
      <c r="A107" s="47" t="str">
        <f>CONCATENATE("   노무비 : _x001D_34,803_x001D_ / Q  = ",TEXT($AB107,"#,##0.0"))</f>
        <v xml:space="preserve">   노무비 : _x001D_34,803_x001D_ / Q  = 3,867.0</v>
      </c>
      <c r="B107" s="38">
        <f t="shared" si="1"/>
        <v>3867</v>
      </c>
      <c r="C107" s="38"/>
      <c r="D107" s="38">
        <f>$AB107</f>
        <v>3867</v>
      </c>
      <c r="E107" s="38"/>
      <c r="F107" s="50" t="s">
        <v>2856</v>
      </c>
      <c r="K107" s="3" t="s">
        <v>1251</v>
      </c>
      <c r="AA107" s="42" t="s">
        <v>298</v>
      </c>
      <c r="AB107" s="8">
        <f>TRUNC(중기사용료목록!F7/$AD106,1)</f>
        <v>3867</v>
      </c>
      <c r="AC107" s="42" t="s">
        <v>1123</v>
      </c>
      <c r="AD107" s="7">
        <f>$AD98+$AB107</f>
        <v>6329.1</v>
      </c>
    </row>
    <row r="108" spans="1:54" ht="18.399999999999999" customHeight="1" x14ac:dyDescent="0.15">
      <c r="A108" s="47" t="str">
        <f>CONCATENATE("   재료비 : _x001D_1,845_x001D_ / Q  = ",TEXT($AB108,"#,##0.0"))</f>
        <v xml:space="preserve">   재료비 : _x001D_1,845_x001D_ / Q  = 205.0</v>
      </c>
      <c r="B108" s="38">
        <f t="shared" si="1"/>
        <v>205</v>
      </c>
      <c r="C108" s="38">
        <f>$AB108</f>
        <v>205</v>
      </c>
      <c r="D108" s="38"/>
      <c r="E108" s="38"/>
      <c r="F108" s="50" t="s">
        <v>2856</v>
      </c>
      <c r="K108" s="3" t="s">
        <v>2238</v>
      </c>
      <c r="AA108" s="42" t="s">
        <v>2127</v>
      </c>
      <c r="AB108" s="8">
        <f>TRUNC(중기사용료목록!E7/$AD106,1)</f>
        <v>205</v>
      </c>
      <c r="AC108" s="42" t="s">
        <v>2369</v>
      </c>
      <c r="AD108" s="7">
        <f>$AD93+$AB108</f>
        <v>445.6</v>
      </c>
    </row>
    <row r="109" spans="1:54" ht="18.399999999999999" customHeight="1" x14ac:dyDescent="0.15">
      <c r="A109" s="47" t="str">
        <f>CONCATENATE("   경  비 : _x001D_582_x001D_ / Q  = ",TEXT($AB109,"#,##0.0"))</f>
        <v xml:space="preserve">   경  비 : _x001D_582_x001D_ / Q  = 64.6</v>
      </c>
      <c r="B109" s="38">
        <f t="shared" si="1"/>
        <v>64.599999999999994</v>
      </c>
      <c r="C109" s="38"/>
      <c r="D109" s="38"/>
      <c r="E109" s="38">
        <f>$AB109</f>
        <v>64.599999999999994</v>
      </c>
      <c r="F109" s="50" t="s">
        <v>2856</v>
      </c>
      <c r="K109" s="3" t="s">
        <v>1629</v>
      </c>
      <c r="AA109" s="42" t="s">
        <v>917</v>
      </c>
      <c r="AB109" s="8">
        <f>TRUNC(중기사용료목록!G7/$AD106,1)</f>
        <v>64.599999999999994</v>
      </c>
      <c r="AC109" s="42" t="s">
        <v>1546</v>
      </c>
      <c r="AD109" s="7">
        <f>$AD94+$AB109</f>
        <v>370.1</v>
      </c>
    </row>
    <row r="110" spans="1:54" ht="18.399999999999999" customHeight="1" x14ac:dyDescent="0.15">
      <c r="A110" s="45" t="s">
        <v>713</v>
      </c>
      <c r="B110" s="43">
        <f t="shared" si="1"/>
        <v>4136.6000000000004</v>
      </c>
      <c r="C110" s="43">
        <f>$AB110</f>
        <v>205.00000000000003</v>
      </c>
      <c r="D110" s="43">
        <f>$AD110</f>
        <v>3867.0000000000005</v>
      </c>
      <c r="E110" s="43">
        <f>$AF110</f>
        <v>64.600000000000023</v>
      </c>
      <c r="F110" s="53"/>
      <c r="K110" s="3" t="s">
        <v>2714</v>
      </c>
      <c r="AA110" s="41" t="s">
        <v>1132</v>
      </c>
      <c r="AB110" s="7">
        <f>$AD108-$AD93</f>
        <v>205.00000000000003</v>
      </c>
      <c r="AC110" s="41" t="s">
        <v>2376</v>
      </c>
      <c r="AD110" s="7">
        <f>$AD107-$AD98</f>
        <v>3867.0000000000005</v>
      </c>
      <c r="AE110" s="41" t="s">
        <v>641</v>
      </c>
      <c r="AF110" s="7">
        <f>$AD109-$AD94</f>
        <v>64.600000000000023</v>
      </c>
    </row>
    <row r="111" spans="1:54" ht="18.399999999999999" customHeight="1" x14ac:dyDescent="0.15">
      <c r="A111" s="45" t="s">
        <v>2856</v>
      </c>
      <c r="B111" s="38"/>
      <c r="C111" s="38"/>
      <c r="D111" s="38"/>
      <c r="E111" s="38"/>
      <c r="F111" s="50"/>
      <c r="K111" s="3" t="s">
        <v>2856</v>
      </c>
    </row>
    <row r="112" spans="1:54" ht="18.399999999999999" customHeight="1" thickBot="1" x14ac:dyDescent="0.2">
      <c r="A112" s="45" t="s">
        <v>38</v>
      </c>
      <c r="B112" s="44">
        <f>SUM($C112,$D112,$E112)</f>
        <v>7144.8000000000011</v>
      </c>
      <c r="C112" s="44">
        <f>$AB112</f>
        <v>445.6</v>
      </c>
      <c r="D112" s="44">
        <f>$AD112</f>
        <v>6329.1</v>
      </c>
      <c r="E112" s="44">
        <f>$AF112</f>
        <v>370.1</v>
      </c>
      <c r="F112" s="54"/>
      <c r="K112" s="3" t="s">
        <v>1015</v>
      </c>
      <c r="AA112" s="41" t="s">
        <v>667</v>
      </c>
      <c r="AB112" s="7">
        <f>$AD108</f>
        <v>445.6</v>
      </c>
      <c r="AC112" s="41" t="s">
        <v>1568</v>
      </c>
      <c r="AD112" s="7">
        <f>$AD107</f>
        <v>6329.1</v>
      </c>
      <c r="AE112" s="41" t="s">
        <v>1110</v>
      </c>
      <c r="AF112" s="7">
        <f>$AD109</f>
        <v>370.1</v>
      </c>
    </row>
    <row r="113" spans="1:42" ht="18.399999999999999" customHeight="1" x14ac:dyDescent="0.15">
      <c r="A113" s="45"/>
      <c r="B113" s="3"/>
      <c r="C113" s="3"/>
      <c r="D113" s="3"/>
      <c r="E113" s="3"/>
      <c r="F113" s="49"/>
    </row>
    <row r="114" spans="1:42" ht="18.399999999999999" customHeight="1" thickBot="1" x14ac:dyDescent="0.2">
      <c r="A114" s="48" t="s">
        <v>1631</v>
      </c>
      <c r="B114" s="40">
        <f>SUM($C114,$D114,$E114)</f>
        <v>7144</v>
      </c>
      <c r="C114" s="40">
        <f>TRUNC(SUM($AD108),0)</f>
        <v>445</v>
      </c>
      <c r="D114" s="40">
        <f>TRUNC(SUM($AD107),0)</f>
        <v>6329</v>
      </c>
      <c r="E114" s="40">
        <f>TRUNC(SUM($AD109),0)</f>
        <v>370</v>
      </c>
      <c r="F114" s="52"/>
    </row>
    <row r="115" spans="1:42" ht="18.399999999999999" customHeight="1" x14ac:dyDescent="0.15">
      <c r="A115" s="45"/>
      <c r="B115" s="3"/>
      <c r="C115" s="3"/>
      <c r="D115" s="3"/>
      <c r="E115" s="3"/>
      <c r="F115" s="49"/>
    </row>
    <row r="116" spans="1:42" ht="18.399999999999999" customHeight="1" thickBot="1" x14ac:dyDescent="0.2">
      <c r="A116" s="45" t="s">
        <v>1707</v>
      </c>
      <c r="B116" s="37">
        <f>$B130</f>
        <v>412</v>
      </c>
      <c r="C116" s="37">
        <f>$C130</f>
        <v>20</v>
      </c>
      <c r="D116" s="37">
        <f>$D130</f>
        <v>386</v>
      </c>
      <c r="E116" s="37">
        <f>$E130</f>
        <v>6</v>
      </c>
      <c r="F116" s="49" t="s">
        <v>2856</v>
      </c>
      <c r="G116" t="s">
        <v>2856</v>
      </c>
      <c r="H116" t="s">
        <v>303</v>
      </c>
      <c r="K116">
        <v>1</v>
      </c>
      <c r="Y116" s="7" t="b">
        <f>EXACT($Z116,$B130)</f>
        <v>1</v>
      </c>
      <c r="Z116" s="40">
        <v>412</v>
      </c>
    </row>
    <row r="117" spans="1:42" ht="18.399999999999999" customHeight="1" x14ac:dyDescent="0.15">
      <c r="A117" s="46"/>
      <c r="B117" s="3"/>
      <c r="C117" s="3"/>
      <c r="D117" s="3"/>
      <c r="E117" s="3"/>
      <c r="F117" s="49"/>
    </row>
    <row r="118" spans="1:42" ht="18.399999999999999" customHeight="1" x14ac:dyDescent="0.15">
      <c r="A118" s="45" t="s">
        <v>1725</v>
      </c>
      <c r="B118" s="3"/>
      <c r="C118" s="3"/>
      <c r="D118" s="3"/>
      <c r="E118" s="3"/>
      <c r="F118" s="49"/>
      <c r="G118" t="s">
        <v>2856</v>
      </c>
      <c r="I118" t="s">
        <v>334</v>
      </c>
      <c r="J118" t="s">
        <v>2856</v>
      </c>
      <c r="K118" t="s">
        <v>2405</v>
      </c>
    </row>
    <row r="119" spans="1:42" ht="18.399999999999999" customHeight="1" x14ac:dyDescent="0.15">
      <c r="A119" s="45" t="s">
        <v>1425</v>
      </c>
      <c r="B119" s="38"/>
      <c r="C119" s="38"/>
      <c r="D119" s="38"/>
      <c r="E119" s="38"/>
      <c r="F119" s="50"/>
      <c r="K119" s="3" t="s">
        <v>1094</v>
      </c>
    </row>
    <row r="120" spans="1:42" ht="18.399999999999999" customHeight="1" x14ac:dyDescent="0.15">
      <c r="A120" s="45" t="s">
        <v>2856</v>
      </c>
      <c r="B120" s="38"/>
      <c r="C120" s="38"/>
      <c r="D120" s="38"/>
      <c r="E120" s="38"/>
      <c r="F120" s="50"/>
      <c r="K120" s="3" t="s">
        <v>2856</v>
      </c>
    </row>
    <row r="121" spans="1:42" ht="18.399999999999999" customHeight="1" x14ac:dyDescent="0.15">
      <c r="A121" s="47" t="str">
        <f>CONCATENATE("    V=",TEXT($AB121,"#,##0.00")," Km/hr , W=",TEXT($AF121,"#,##0.00")," m , E=",TEXT($AJ121,"#,##0.0"),", N=",TEXT($AN121,"#,##0.00"))</f>
        <v xml:space="preserve">    V=1.00 Km/hr , W=0.45 m , E=0.6, N=3.00</v>
      </c>
      <c r="B121" s="38"/>
      <c r="C121" s="38"/>
      <c r="D121" s="38"/>
      <c r="E121" s="38"/>
      <c r="F121" s="50"/>
      <c r="K121" s="10" t="str">
        <f>SUBSTITUTE(SUBSTITUTE(SUBSTITUTE(SUBSTITUTE(SUBSTITUTE("    V=1_x001D_Km/hr_x001D_, W=0.45_x001D_m_x001D_, E=0.6, N=3","1",TEXT($AB121,"#,##0"),1),"0.45",TEXT($AF121,"#,##0.00"),1),"0.6",TEXT($AJ121,"#,##0.0"),1),"3",TEXT($AN121,"#,##0"),1),"_x001D_","'")</f>
        <v xml:space="preserve">    V=1'Km/hr', W=0.45'm', E=0.6, N=3</v>
      </c>
      <c r="AA121" s="41" t="s">
        <v>115</v>
      </c>
      <c r="AB121" s="6">
        <v>1</v>
      </c>
      <c r="AC121" s="41" t="s">
        <v>115</v>
      </c>
      <c r="AD121" s="7">
        <f>$AB121</f>
        <v>1</v>
      </c>
      <c r="AE121" s="41" t="s">
        <v>1234</v>
      </c>
      <c r="AF121" s="6">
        <v>0.45</v>
      </c>
      <c r="AG121" s="41" t="s">
        <v>1234</v>
      </c>
      <c r="AH121" s="7">
        <f>$AF121</f>
        <v>0.45</v>
      </c>
      <c r="AI121" s="41" t="s">
        <v>1371</v>
      </c>
      <c r="AJ121" s="6">
        <v>0.6</v>
      </c>
      <c r="AK121" s="41" t="s">
        <v>1371</v>
      </c>
      <c r="AL121" s="7">
        <f>$AJ121</f>
        <v>0.6</v>
      </c>
      <c r="AM121" s="41" t="s">
        <v>1381</v>
      </c>
      <c r="AN121" s="6">
        <v>3</v>
      </c>
      <c r="AO121" s="41" t="s">
        <v>1381</v>
      </c>
      <c r="AP121" s="7">
        <f>$AN121</f>
        <v>3</v>
      </c>
    </row>
    <row r="122" spans="1:42" ht="18.399999999999999" customHeight="1" x14ac:dyDescent="0.15">
      <c r="A122" s="47" t="str">
        <f>CONCATENATE("    Q = (1000*V*W*E)/N =",TEXT($AF122,"#,##0.00"),"  ㎡/HR ")</f>
        <v xml:space="preserve">    Q = (1000*V*W*E)/N =90.00  ㎡/HR </v>
      </c>
      <c r="B122" s="38">
        <f>SUM($C122,$D122,$E122)</f>
        <v>0</v>
      </c>
      <c r="C122" s="38"/>
      <c r="D122" s="38"/>
      <c r="E122" s="38"/>
      <c r="F122" s="50"/>
      <c r="K122" s="3" t="s">
        <v>780</v>
      </c>
      <c r="AA122" s="41" t="s">
        <v>524</v>
      </c>
      <c r="AB122" s="8">
        <f>ROUND((1000*$AD121*$AH121*$AL121)/$AP121,2)</f>
        <v>90</v>
      </c>
      <c r="AC122" s="41" t="s">
        <v>1985</v>
      </c>
      <c r="AD122" s="7">
        <f>$AB122</f>
        <v>90</v>
      </c>
      <c r="AE122" s="41" t="s">
        <v>1947</v>
      </c>
      <c r="AF122" s="8">
        <f>ROUND(ROUND((1000*$AD121*$AH121*$AL121)/$AP121,2),2)</f>
        <v>90</v>
      </c>
      <c r="AG122" s="41" t="s">
        <v>2205</v>
      </c>
      <c r="AH122" s="7">
        <f>$AF122</f>
        <v>90</v>
      </c>
    </row>
    <row r="123" spans="1:42" ht="18.399999999999999" customHeight="1" x14ac:dyDescent="0.15">
      <c r="A123" s="45" t="s">
        <v>2856</v>
      </c>
      <c r="B123" s="38"/>
      <c r="C123" s="38"/>
      <c r="D123" s="38"/>
      <c r="E123" s="38"/>
      <c r="F123" s="50"/>
      <c r="K123" s="3" t="s">
        <v>2856</v>
      </c>
    </row>
    <row r="124" spans="1:42" ht="18.399999999999999" customHeight="1" x14ac:dyDescent="0.15">
      <c r="A124" s="47" t="str">
        <f>CONCATENATE("   재료비:  _x001D_1,845_x001D_ / Q =",TEXT($AB124,"#,##0.0"))</f>
        <v xml:space="preserve">   재료비:  _x001D_1,845_x001D_ / Q =20.5</v>
      </c>
      <c r="B124" s="38">
        <f>SUM($C124,$D124,$E124)</f>
        <v>20.5</v>
      </c>
      <c r="C124" s="38">
        <f>$AB124</f>
        <v>20.5</v>
      </c>
      <c r="D124" s="38"/>
      <c r="E124" s="38"/>
      <c r="F124" s="50" t="s">
        <v>2856</v>
      </c>
      <c r="K124" s="3" t="s">
        <v>262</v>
      </c>
      <c r="AA124" s="42" t="s">
        <v>2127</v>
      </c>
      <c r="AB124" s="8">
        <f>TRUNC(중기사용료목록!E7/$AD122,1)</f>
        <v>20.5</v>
      </c>
      <c r="AC124" s="42" t="s">
        <v>2369</v>
      </c>
      <c r="AD124" s="7">
        <f>$AB124</f>
        <v>20.5</v>
      </c>
    </row>
    <row r="125" spans="1:42" ht="18.399999999999999" customHeight="1" x14ac:dyDescent="0.15">
      <c r="A125" s="47" t="str">
        <f>CONCATENATE("   노무비:  _x001D_34,803_x001D_ / Q =",TEXT($AB125,"#,##0.0"))</f>
        <v xml:space="preserve">   노무비:  _x001D_34,803_x001D_ / Q =386.7</v>
      </c>
      <c r="B125" s="38">
        <f>SUM($C125,$D125,$E125)</f>
        <v>386.7</v>
      </c>
      <c r="C125" s="38"/>
      <c r="D125" s="38">
        <f>$AB125</f>
        <v>386.7</v>
      </c>
      <c r="E125" s="38"/>
      <c r="F125" s="50" t="s">
        <v>2856</v>
      </c>
      <c r="K125" s="3" t="s">
        <v>813</v>
      </c>
      <c r="AA125" s="42" t="s">
        <v>298</v>
      </c>
      <c r="AB125" s="8">
        <f>TRUNC(중기사용료목록!F7/$AD122,1)</f>
        <v>386.7</v>
      </c>
      <c r="AC125" s="42" t="s">
        <v>1123</v>
      </c>
      <c r="AD125" s="7">
        <f>$AB125</f>
        <v>386.7</v>
      </c>
    </row>
    <row r="126" spans="1:42" ht="18.399999999999999" customHeight="1" x14ac:dyDescent="0.15">
      <c r="A126" s="47" t="str">
        <f>CONCATENATE("   경  비:  _x001D_582_x001D_ / Q =",TEXT($AB126,"#,##0.0"))</f>
        <v xml:space="preserve">   경  비:  _x001D_582_x001D_ / Q =6.4</v>
      </c>
      <c r="B126" s="38">
        <f>SUM($C126,$D126,$E126)</f>
        <v>6.4</v>
      </c>
      <c r="C126" s="38"/>
      <c r="D126" s="38"/>
      <c r="E126" s="38">
        <f>$AB126</f>
        <v>6.4</v>
      </c>
      <c r="F126" s="50" t="s">
        <v>2856</v>
      </c>
      <c r="K126" s="3" t="s">
        <v>1658</v>
      </c>
      <c r="AA126" s="42" t="s">
        <v>917</v>
      </c>
      <c r="AB126" s="8">
        <f>TRUNC(중기사용료목록!G7/$AD122,1)</f>
        <v>6.4</v>
      </c>
      <c r="AC126" s="42" t="s">
        <v>1546</v>
      </c>
      <c r="AD126" s="7">
        <f>$AB126</f>
        <v>6.4</v>
      </c>
    </row>
    <row r="127" spans="1:42" ht="18.399999999999999" customHeight="1" x14ac:dyDescent="0.15">
      <c r="A127" s="45" t="s">
        <v>2856</v>
      </c>
      <c r="B127" s="38"/>
      <c r="C127" s="38"/>
      <c r="D127" s="38"/>
      <c r="E127" s="38"/>
      <c r="F127" s="50"/>
      <c r="K127" s="3" t="s">
        <v>2856</v>
      </c>
    </row>
    <row r="128" spans="1:42" ht="18.399999999999999" customHeight="1" x14ac:dyDescent="0.15">
      <c r="A128" s="45" t="s">
        <v>2856</v>
      </c>
      <c r="B128" s="39">
        <f>SUM($C128,$D128,$E128)</f>
        <v>413.59999999999997</v>
      </c>
      <c r="C128" s="39">
        <f>$AB128</f>
        <v>20.5</v>
      </c>
      <c r="D128" s="39">
        <f>$AD128</f>
        <v>386.7</v>
      </c>
      <c r="E128" s="39">
        <f>$AF128</f>
        <v>6.4</v>
      </c>
      <c r="F128" s="51"/>
      <c r="K128" s="3" t="s">
        <v>2423</v>
      </c>
      <c r="AA128" s="41" t="s">
        <v>2057</v>
      </c>
      <c r="AB128" s="7">
        <f>$AD124</f>
        <v>20.5</v>
      </c>
      <c r="AC128" s="41" t="s">
        <v>79</v>
      </c>
      <c r="AD128" s="7">
        <f>$AD125</f>
        <v>386.7</v>
      </c>
      <c r="AE128" s="41" t="s">
        <v>2607</v>
      </c>
      <c r="AF128" s="7">
        <f>$AD126</f>
        <v>6.4</v>
      </c>
    </row>
    <row r="129" spans="1:46" ht="18.399999999999999" customHeight="1" x14ac:dyDescent="0.15">
      <c r="A129" s="45"/>
      <c r="B129" s="3"/>
      <c r="C129" s="3"/>
      <c r="D129" s="3"/>
      <c r="E129" s="3"/>
      <c r="F129" s="49"/>
    </row>
    <row r="130" spans="1:46" ht="18.399999999999999" customHeight="1" thickBot="1" x14ac:dyDescent="0.2">
      <c r="A130" s="48" t="s">
        <v>1631</v>
      </c>
      <c r="B130" s="40">
        <f>SUM($C130,$D130,$E130)</f>
        <v>412</v>
      </c>
      <c r="C130" s="40">
        <f>TRUNC(SUM($AD124),0)</f>
        <v>20</v>
      </c>
      <c r="D130" s="40">
        <f>TRUNC(SUM($AD125),0)</f>
        <v>386</v>
      </c>
      <c r="E130" s="40">
        <f>TRUNC(SUM($AD126),0)</f>
        <v>6</v>
      </c>
      <c r="F130" s="52"/>
    </row>
    <row r="131" spans="1:46" ht="18.399999999999999" customHeight="1" x14ac:dyDescent="0.15">
      <c r="A131" s="45"/>
      <c r="B131" s="3"/>
      <c r="C131" s="3"/>
      <c r="D131" s="3"/>
      <c r="E131" s="3"/>
      <c r="F131" s="49"/>
    </row>
    <row r="132" spans="1:46" ht="18.399999999999999" customHeight="1" thickBot="1" x14ac:dyDescent="0.2">
      <c r="A132" s="45" t="s">
        <v>1114</v>
      </c>
      <c r="B132" s="37">
        <f>$B166</f>
        <v>10971</v>
      </c>
      <c r="C132" s="37">
        <f>$C166</f>
        <v>1106</v>
      </c>
      <c r="D132" s="37">
        <f>$D166</f>
        <v>8824</v>
      </c>
      <c r="E132" s="37">
        <f>$E166</f>
        <v>1041</v>
      </c>
      <c r="F132" s="49" t="s">
        <v>2856</v>
      </c>
      <c r="G132" t="s">
        <v>2856</v>
      </c>
      <c r="H132" t="s">
        <v>2833</v>
      </c>
      <c r="K132">
        <v>1</v>
      </c>
      <c r="Y132" s="7" t="b">
        <f>EXACT($Z132,$B166)</f>
        <v>1</v>
      </c>
      <c r="Z132" s="40">
        <v>10971</v>
      </c>
    </row>
    <row r="133" spans="1:46" ht="18.399999999999999" customHeight="1" x14ac:dyDescent="0.15">
      <c r="A133" s="46"/>
      <c r="B133" s="3"/>
      <c r="C133" s="3"/>
      <c r="D133" s="3"/>
      <c r="E133" s="3"/>
      <c r="F133" s="49"/>
    </row>
    <row r="134" spans="1:46" ht="18.399999999999999" customHeight="1" x14ac:dyDescent="0.15">
      <c r="A134" s="45" t="s">
        <v>2856</v>
      </c>
      <c r="B134" s="3"/>
      <c r="C134" s="3"/>
      <c r="D134" s="3"/>
      <c r="E134" s="3"/>
      <c r="F134" s="49"/>
      <c r="G134" t="s">
        <v>2856</v>
      </c>
      <c r="I134" t="s">
        <v>334</v>
      </c>
      <c r="J134" t="s">
        <v>2856</v>
      </c>
      <c r="K134" t="s">
        <v>2405</v>
      </c>
    </row>
    <row r="135" spans="1:46" ht="18.399999999999999" customHeight="1" x14ac:dyDescent="0.15">
      <c r="A135" s="45" t="s">
        <v>2296</v>
      </c>
      <c r="B135" s="38"/>
      <c r="C135" s="38"/>
      <c r="D135" s="38"/>
      <c r="E135" s="38"/>
      <c r="F135" s="50"/>
      <c r="K135" s="3" t="s">
        <v>1056</v>
      </c>
    </row>
    <row r="136" spans="1:46" ht="18.399999999999999" customHeight="1" x14ac:dyDescent="0.15">
      <c r="A136" s="45" t="s">
        <v>781</v>
      </c>
      <c r="B136" s="38"/>
      <c r="C136" s="38"/>
      <c r="D136" s="38"/>
      <c r="E136" s="38"/>
      <c r="F136" s="50"/>
      <c r="K136" s="3" t="s">
        <v>2331</v>
      </c>
    </row>
    <row r="137" spans="1:46" ht="18.399999999999999" customHeight="1" x14ac:dyDescent="0.15">
      <c r="A137" s="45" t="s">
        <v>2856</v>
      </c>
      <c r="B137" s="38"/>
      <c r="C137" s="38"/>
      <c r="D137" s="38"/>
      <c r="E137" s="38"/>
      <c r="F137" s="50"/>
      <c r="K137" s="3" t="s">
        <v>2856</v>
      </c>
    </row>
    <row r="138" spans="1:46" ht="18.399999999999999" customHeight="1" x14ac:dyDescent="0.15">
      <c r="A138" s="45" t="s">
        <v>1556</v>
      </c>
      <c r="B138" s="38"/>
      <c r="C138" s="38"/>
      <c r="D138" s="38"/>
      <c r="E138" s="38"/>
      <c r="F138" s="50"/>
      <c r="K138" s="3" t="s">
        <v>930</v>
      </c>
    </row>
    <row r="139" spans="1:46" ht="18.399999999999999" customHeight="1" x14ac:dyDescent="0.15">
      <c r="A139" s="47" t="str">
        <f>CONCATENATE(" SQ=",TEXT($AB139,"#,##0.0"),", K=",TEXT($AF139,"#,##0.00")," ,  L=",TEXT($AJ139,"#,##0.00"),", F = 0.875/L = ",TEXT($AR139,"#,##0.00"))</f>
        <v xml:space="preserve"> SQ=0.6, K=0.55 ,  L=1.25, F = 0.875/L = 0.70</v>
      </c>
      <c r="B139" s="38">
        <f>SUM($C139,$D139,$E139)</f>
        <v>0</v>
      </c>
      <c r="C139" s="38"/>
      <c r="D139" s="38"/>
      <c r="E139" s="38"/>
      <c r="F139" s="50"/>
      <c r="K139" s="10" t="str">
        <f>SUBSTITUTE(SUBSTITUTE(SUBSTITUTE(SUBSTITUTE(" SQ = 0.6, K = 0.55 ,  L =1.25, F = 0.875/L = ?","0.6",TEXT($AB139,"#,##0.0"),1),"0.55",TEXT($AF139,"#,##0.00"),1),"1.25",TEXT($AJ139,"#,##0.00"),1),"_x001D_","'")</f>
        <v xml:space="preserve"> SQ = 0.6, K = 0.55 ,  L =1.25, F = 0.875/L = ?</v>
      </c>
      <c r="AA139" s="41" t="s">
        <v>1878</v>
      </c>
      <c r="AB139" s="6">
        <v>0.6</v>
      </c>
      <c r="AC139" s="41" t="s">
        <v>1878</v>
      </c>
      <c r="AD139" s="7">
        <f>$AB139</f>
        <v>0.6</v>
      </c>
      <c r="AE139" s="41" t="s">
        <v>806</v>
      </c>
      <c r="AF139" s="6">
        <v>0.55000000000000004</v>
      </c>
      <c r="AG139" s="41" t="s">
        <v>806</v>
      </c>
      <c r="AH139" s="7">
        <f>$AF139</f>
        <v>0.55000000000000004</v>
      </c>
      <c r="AI139" s="41" t="s">
        <v>2679</v>
      </c>
      <c r="AJ139" s="6">
        <v>1.25</v>
      </c>
      <c r="AK139" s="41" t="s">
        <v>2679</v>
      </c>
      <c r="AL139" s="7">
        <f>$AJ139</f>
        <v>1.25</v>
      </c>
      <c r="AM139" s="41" t="s">
        <v>1815</v>
      </c>
      <c r="AN139" s="8">
        <f>ROUND(0.875/$AL139,2)</f>
        <v>0.7</v>
      </c>
      <c r="AO139" s="41" t="s">
        <v>1647</v>
      </c>
      <c r="AP139" s="7">
        <f>$AN139</f>
        <v>0.7</v>
      </c>
      <c r="AQ139" s="41" t="s">
        <v>2636</v>
      </c>
      <c r="AR139" s="8">
        <f>ROUND(ROUND(0.875/$AL139,2),2)</f>
        <v>0.7</v>
      </c>
      <c r="AS139" s="41" t="s">
        <v>1115</v>
      </c>
      <c r="AT139" s="7">
        <f>$AR139</f>
        <v>0.7</v>
      </c>
    </row>
    <row r="140" spans="1:46" ht="18.399999999999999" customHeight="1" x14ac:dyDescent="0.15">
      <c r="A140" s="47" t="str">
        <f>CONCATENATE(" E=",TEXT($AB140,"#,##0.00")," , CM=",TEXT($AF140,"#,##0.00"))</f>
        <v xml:space="preserve"> E=0.55 , CM=18.00</v>
      </c>
      <c r="B140" s="38"/>
      <c r="C140" s="38"/>
      <c r="D140" s="38"/>
      <c r="E140" s="38"/>
      <c r="F140" s="50"/>
      <c r="K140" s="10" t="str">
        <f>SUBSTITUTE(SUBSTITUTE(SUBSTITUTE(" E = 0.55 , CM = 18","0.55",TEXT($AB140,"#,##0.00"),1),"18",TEXT($AF140,"#,##0"),1),"_x001D_","'")</f>
        <v xml:space="preserve"> E = 0.55 , CM = 18</v>
      </c>
      <c r="AA140" s="41" t="s">
        <v>1371</v>
      </c>
      <c r="AB140" s="6">
        <v>0.55000000000000004</v>
      </c>
      <c r="AC140" s="41" t="s">
        <v>1371</v>
      </c>
      <c r="AD140" s="7">
        <f>$AB140</f>
        <v>0.55000000000000004</v>
      </c>
      <c r="AE140" s="41" t="s">
        <v>146</v>
      </c>
      <c r="AF140" s="6">
        <v>18</v>
      </c>
      <c r="AG140" s="41" t="s">
        <v>146</v>
      </c>
      <c r="AH140" s="7">
        <f>$AF140</f>
        <v>18</v>
      </c>
    </row>
    <row r="141" spans="1:46" ht="18.399999999999999" customHeight="1" x14ac:dyDescent="0.15">
      <c r="A141" s="45" t="s">
        <v>2856</v>
      </c>
      <c r="B141" s="38"/>
      <c r="C141" s="38"/>
      <c r="D141" s="38"/>
      <c r="E141" s="38"/>
      <c r="F141" s="50"/>
      <c r="K141" s="3" t="s">
        <v>2856</v>
      </c>
    </row>
    <row r="142" spans="1:46" ht="18.399999999999999" customHeight="1" x14ac:dyDescent="0.15">
      <c r="A142" s="47" t="str">
        <f>CONCATENATE(" Q = 3600*SQ*K*F*E / CM = ",TEXT($AF142,"#,##0.00")," M3/HR ")</f>
        <v xml:space="preserve"> Q = 3600*SQ*K*F*E / CM = 25.41 M3/HR </v>
      </c>
      <c r="B142" s="38">
        <f>SUM($C142,$D142,$E142)</f>
        <v>0</v>
      </c>
      <c r="C142" s="38"/>
      <c r="D142" s="38"/>
      <c r="E142" s="38"/>
      <c r="F142" s="50"/>
      <c r="K142" s="3" t="s">
        <v>1282</v>
      </c>
      <c r="AA142" s="41" t="s">
        <v>524</v>
      </c>
      <c r="AB142" s="8">
        <f>ROUND(3600*$AD139*$AH139*$AP139*$AD140/$AH140,2)</f>
        <v>25.41</v>
      </c>
      <c r="AC142" s="41" t="s">
        <v>1985</v>
      </c>
      <c r="AD142" s="7">
        <f>$AB142</f>
        <v>25.41</v>
      </c>
      <c r="AE142" s="41" t="s">
        <v>2600</v>
      </c>
      <c r="AF142" s="8">
        <f>ROUND(ROUND(3600*$AD139*$AH139*$AP139*$AD140/$AH140,2),2)</f>
        <v>25.41</v>
      </c>
      <c r="AG142" s="41" t="s">
        <v>878</v>
      </c>
      <c r="AH142" s="7">
        <f>$AF142</f>
        <v>25.41</v>
      </c>
    </row>
    <row r="143" spans="1:46" ht="18.399999999999999" customHeight="1" x14ac:dyDescent="0.15">
      <c r="A143" s="45" t="s">
        <v>2856</v>
      </c>
      <c r="B143" s="38"/>
      <c r="C143" s="38"/>
      <c r="D143" s="38"/>
      <c r="E143" s="38"/>
      <c r="F143" s="50"/>
      <c r="K143" s="3" t="s">
        <v>2856</v>
      </c>
    </row>
    <row r="144" spans="1:46" ht="18.399999999999999" customHeight="1" x14ac:dyDescent="0.15">
      <c r="A144" s="47" t="str">
        <f>CONCATENATE(" 경    비 : _x001D_21,957_x001D_ / Q * 0.9 = ",TEXT($AB144,"#,##0.0"))</f>
        <v xml:space="preserve"> 경    비 : _x001D_21,957_x001D_ / Q * 0.9 = 777.6</v>
      </c>
      <c r="B144" s="38">
        <f>SUM($C144,$D144,$E144)</f>
        <v>777.6</v>
      </c>
      <c r="C144" s="38"/>
      <c r="D144" s="38"/>
      <c r="E144" s="38">
        <f>$AB144</f>
        <v>777.6</v>
      </c>
      <c r="F144" s="50" t="s">
        <v>2856</v>
      </c>
      <c r="K144" s="3" t="s">
        <v>1314</v>
      </c>
      <c r="AA144" s="42" t="s">
        <v>917</v>
      </c>
      <c r="AB144" s="8">
        <f>TRUNC(중기사용료목록!G4/$AD142*0.9,1)</f>
        <v>777.6</v>
      </c>
      <c r="AC144" s="42" t="s">
        <v>1546</v>
      </c>
      <c r="AD144" s="7">
        <f>$AB144</f>
        <v>777.6</v>
      </c>
    </row>
    <row r="145" spans="1:42" ht="18.399999999999999" customHeight="1" x14ac:dyDescent="0.15">
      <c r="A145" s="47" t="str">
        <f>CONCATENATE(" 재 료 비 : _x001D_17,297_x001D_ / Q * 0.9 = ",TEXT($AB145,"#,##0.0"))</f>
        <v xml:space="preserve"> 재 료 비 : _x001D_17,297_x001D_ / Q * 0.9 = 612.6</v>
      </c>
      <c r="B145" s="38">
        <f>SUM($C145,$D145,$E145)</f>
        <v>612.6</v>
      </c>
      <c r="C145" s="38">
        <f>$AB145</f>
        <v>612.6</v>
      </c>
      <c r="D145" s="38"/>
      <c r="E145" s="38"/>
      <c r="F145" s="50" t="s">
        <v>2856</v>
      </c>
      <c r="K145" s="3" t="s">
        <v>1719</v>
      </c>
      <c r="AA145" s="42" t="s">
        <v>2127</v>
      </c>
      <c r="AB145" s="8">
        <f>TRUNC(중기사용료목록!E4/$AD142*0.9,1)</f>
        <v>612.6</v>
      </c>
      <c r="AC145" s="42" t="s">
        <v>2369</v>
      </c>
      <c r="AD145" s="7">
        <f>$AB145</f>
        <v>612.6</v>
      </c>
    </row>
    <row r="146" spans="1:42" ht="18.399999999999999" customHeight="1" x14ac:dyDescent="0.15">
      <c r="A146" s="47" t="str">
        <f>CONCATENATE(" 노 무 비 : _x001D_56,874_x001D_ / Q * 0.9 = ",TEXT($AB146,"#,##0.0"))</f>
        <v xml:space="preserve"> 노 무 비 : _x001D_56,874_x001D_ / Q * 0.9 = 2,014.4</v>
      </c>
      <c r="B146" s="38">
        <f>SUM($C146,$D146,$E146)</f>
        <v>2014.4</v>
      </c>
      <c r="C146" s="38"/>
      <c r="D146" s="38">
        <f>$AB146</f>
        <v>2014.4</v>
      </c>
      <c r="E146" s="38"/>
      <c r="F146" s="50" t="s">
        <v>2856</v>
      </c>
      <c r="K146" s="3" t="s">
        <v>2673</v>
      </c>
      <c r="AA146" s="42" t="s">
        <v>298</v>
      </c>
      <c r="AB146" s="8">
        <f>TRUNC(중기사용료목록!F4/$AD142*0.9,1)</f>
        <v>2014.4</v>
      </c>
      <c r="AC146" s="42" t="s">
        <v>1123</v>
      </c>
      <c r="AD146" s="7">
        <f>$AB146</f>
        <v>2014.4</v>
      </c>
    </row>
    <row r="147" spans="1:42" ht="18.399999999999999" customHeight="1" x14ac:dyDescent="0.15">
      <c r="A147" s="45" t="s">
        <v>1835</v>
      </c>
      <c r="B147" s="39">
        <f>SUM($C147,$D147,$E147)</f>
        <v>3404.6</v>
      </c>
      <c r="C147" s="39">
        <f>$AB147</f>
        <v>612.6</v>
      </c>
      <c r="D147" s="39">
        <f>$AD147</f>
        <v>2014.4</v>
      </c>
      <c r="E147" s="39">
        <f>$AF147</f>
        <v>777.6</v>
      </c>
      <c r="F147" s="51"/>
      <c r="K147" s="3" t="s">
        <v>432</v>
      </c>
      <c r="AA147" s="41" t="s">
        <v>2057</v>
      </c>
      <c r="AB147" s="7">
        <f>$AD145</f>
        <v>612.6</v>
      </c>
      <c r="AC147" s="41" t="s">
        <v>79</v>
      </c>
      <c r="AD147" s="7">
        <f>$AD146</f>
        <v>2014.4</v>
      </c>
      <c r="AE147" s="41" t="s">
        <v>2607</v>
      </c>
      <c r="AF147" s="7">
        <f>$AD144</f>
        <v>777.6</v>
      </c>
    </row>
    <row r="148" spans="1:42" ht="18.399999999999999" customHeight="1" x14ac:dyDescent="0.15">
      <c r="A148" s="45" t="s">
        <v>2856</v>
      </c>
      <c r="B148" s="38"/>
      <c r="C148" s="38"/>
      <c r="D148" s="38"/>
      <c r="E148" s="38"/>
      <c r="F148" s="50"/>
      <c r="K148" s="3" t="s">
        <v>2856</v>
      </c>
    </row>
    <row r="149" spans="1:42" ht="18.399999999999999" customHeight="1" x14ac:dyDescent="0.15">
      <c r="A149" s="45" t="s">
        <v>638</v>
      </c>
      <c r="B149" s="38"/>
      <c r="C149" s="38"/>
      <c r="D149" s="38"/>
      <c r="E149" s="38"/>
      <c r="F149" s="50"/>
      <c r="K149" s="3" t="s">
        <v>1471</v>
      </c>
    </row>
    <row r="150" spans="1:42" ht="18.399999999999999" customHeight="1" x14ac:dyDescent="0.15">
      <c r="A150" s="47" t="str">
        <f>CONCATENATE("_x001D_167,081_x001D_ * 0.11 * 0.1 = ",TEXT($AB150,"#,##0.0"))</f>
        <v>_x001D_167,081_x001D_ * 0.11 * 0.1 = 1,837.8</v>
      </c>
      <c r="B150" s="38">
        <f>SUM($C150,$D150,$E150)</f>
        <v>1837.8</v>
      </c>
      <c r="C150" s="38"/>
      <c r="D150" s="38">
        <f>$AB150</f>
        <v>1837.8</v>
      </c>
      <c r="E150" s="38"/>
      <c r="F150" s="50" t="s">
        <v>2856</v>
      </c>
      <c r="K150" s="3" t="s">
        <v>15</v>
      </c>
      <c r="AA150" s="42" t="s">
        <v>298</v>
      </c>
      <c r="AB150" s="8">
        <f>TRUNC(노임!D15*0.11*0.1,1)</f>
        <v>1837.8</v>
      </c>
      <c r="AC150" s="42" t="s">
        <v>1123</v>
      </c>
      <c r="AD150" s="7">
        <f>$AD146+$AB150</f>
        <v>3852.2</v>
      </c>
    </row>
    <row r="151" spans="1:42" ht="18.399999999999999" customHeight="1" x14ac:dyDescent="0.15">
      <c r="A151" s="45" t="s">
        <v>1835</v>
      </c>
      <c r="B151" s="39">
        <f>SUM($C151,$D151,$E151)</f>
        <v>1837.7999999999997</v>
      </c>
      <c r="C151" s="39">
        <f>$AB151</f>
        <v>0</v>
      </c>
      <c r="D151" s="39">
        <f>$AD151</f>
        <v>1837.7999999999997</v>
      </c>
      <c r="E151" s="39">
        <f>$AF151</f>
        <v>0</v>
      </c>
      <c r="F151" s="51"/>
      <c r="K151" s="3" t="s">
        <v>432</v>
      </c>
      <c r="AA151" s="41" t="s">
        <v>2057</v>
      </c>
      <c r="AB151" s="7">
        <f>$AD145-$AD145</f>
        <v>0</v>
      </c>
      <c r="AC151" s="41" t="s">
        <v>79</v>
      </c>
      <c r="AD151" s="7">
        <f>$AD150-$AD146</f>
        <v>1837.7999999999997</v>
      </c>
      <c r="AE151" s="41" t="s">
        <v>2607</v>
      </c>
      <c r="AF151" s="7">
        <f>$AD144-$AD144</f>
        <v>0</v>
      </c>
    </row>
    <row r="152" spans="1:42" ht="18.399999999999999" customHeight="1" x14ac:dyDescent="0.15">
      <c r="A152" s="45" t="s">
        <v>2856</v>
      </c>
      <c r="B152" s="38"/>
      <c r="C152" s="38"/>
      <c r="D152" s="38"/>
      <c r="E152" s="38"/>
      <c r="F152" s="50"/>
      <c r="K152" s="3" t="s">
        <v>2856</v>
      </c>
    </row>
    <row r="153" spans="1:42" ht="18.399999999999999" customHeight="1" x14ac:dyDescent="0.15">
      <c r="A153" s="45" t="s">
        <v>602</v>
      </c>
      <c r="B153" s="38"/>
      <c r="C153" s="38"/>
      <c r="D153" s="38"/>
      <c r="E153" s="38"/>
      <c r="F153" s="50"/>
      <c r="K153" s="3" t="s">
        <v>1736</v>
      </c>
    </row>
    <row r="154" spans="1:42" ht="18.399999999999999" customHeight="1" x14ac:dyDescent="0.15">
      <c r="A154" s="47" t="str">
        <f>CONCATENATE("N=",TEXT($AB154,"#,##0.00")," , V=",TEXT($AF154,"#,##0.0")," KM/HR  , W=",TEXT($AJ154,"#,##0.0"))</f>
        <v>N=6.00 , V=1.0 KM/HR  , W=0.7</v>
      </c>
      <c r="B154" s="38"/>
      <c r="C154" s="38"/>
      <c r="D154" s="38"/>
      <c r="E154" s="38"/>
      <c r="F154" s="50"/>
      <c r="K154" s="10" t="str">
        <f>SUBSTITUTE(SUBSTITUTE(SUBSTITUTE(SUBSTITUTE("N=6 , V=1.0_x001D_KM/HR_x001D_ , W=0.7 ,","6",TEXT($AB154,"#,##0"),1),"1.0",TEXT($AF154,"#,##0.0"),1),"0.7",TEXT($AJ154,"#,##0.0"),1),"_x001D_","'")</f>
        <v>N=6 , V=1.0'KM/HR' , W=0.7 ,</v>
      </c>
      <c r="AA154" s="41" t="s">
        <v>1381</v>
      </c>
      <c r="AB154" s="6">
        <v>6</v>
      </c>
      <c r="AC154" s="41" t="s">
        <v>1381</v>
      </c>
      <c r="AD154" s="7">
        <f>$AB154</f>
        <v>6</v>
      </c>
      <c r="AE154" s="41" t="s">
        <v>115</v>
      </c>
      <c r="AF154" s="6">
        <v>1</v>
      </c>
      <c r="AG154" s="41" t="s">
        <v>115</v>
      </c>
      <c r="AH154" s="7">
        <f>$AF154</f>
        <v>1</v>
      </c>
      <c r="AI154" s="41" t="s">
        <v>1234</v>
      </c>
      <c r="AJ154" s="6">
        <v>0.7</v>
      </c>
      <c r="AK154" s="41" t="s">
        <v>1234</v>
      </c>
      <c r="AL154" s="7">
        <f>$AJ154</f>
        <v>0.7</v>
      </c>
    </row>
    <row r="155" spans="1:42" ht="18.399999999999999" customHeight="1" x14ac:dyDescent="0.15">
      <c r="A155" s="47" t="str">
        <f>CONCATENATE("E=",TEXT($AB155,"#,##0.0")," , f = 1/1=",TEXT($AJ155,"#,##0.00")," , D=",TEXT($AN155,"#,##0.0"))</f>
        <v>E=0.6 , f = 1/1=1.00 , D=0.1</v>
      </c>
      <c r="B155" s="38">
        <f>SUM($C155,$D155,$E155)</f>
        <v>0</v>
      </c>
      <c r="C155" s="38"/>
      <c r="D155" s="38"/>
      <c r="E155" s="38"/>
      <c r="F155" s="50"/>
      <c r="K155" s="10" t="str">
        <f>SUBSTITUTE(SUBSTITUTE(SUBSTITUTE("E=0.6 , f = 1/1=? , D = 0.1","0.6",TEXT($AB155,"#,##0.0"),1),"0.1",TEXT($AN155,"#,##0.0"),1),"_x001D_","'")</f>
        <v>E=0.6 , f = 1/1=? , D = 0.1</v>
      </c>
      <c r="AA155" s="41" t="s">
        <v>1371</v>
      </c>
      <c r="AB155" s="6">
        <v>0.6</v>
      </c>
      <c r="AC155" s="41" t="s">
        <v>1371</v>
      </c>
      <c r="AD155" s="7">
        <f>$AB155</f>
        <v>0.6</v>
      </c>
      <c r="AE155" s="41" t="s">
        <v>1815</v>
      </c>
      <c r="AF155" s="8">
        <f>ROUND(1/1,2)</f>
        <v>1</v>
      </c>
      <c r="AG155" s="41" t="s">
        <v>1647</v>
      </c>
      <c r="AH155" s="7">
        <f>$AF155</f>
        <v>1</v>
      </c>
      <c r="AI155" s="41" t="s">
        <v>1457</v>
      </c>
      <c r="AJ155" s="8">
        <f>ROUND(ROUND(1/1,2),2)</f>
        <v>1</v>
      </c>
      <c r="AK155" s="41" t="s">
        <v>2098</v>
      </c>
      <c r="AL155" s="7">
        <f>$AJ155</f>
        <v>1</v>
      </c>
      <c r="AM155" s="41" t="s">
        <v>338</v>
      </c>
      <c r="AN155" s="6">
        <v>0.1</v>
      </c>
      <c r="AO155" s="41" t="s">
        <v>338</v>
      </c>
      <c r="AP155" s="7">
        <f>$AN155</f>
        <v>0.1</v>
      </c>
    </row>
    <row r="156" spans="1:42" ht="18.399999999999999" customHeight="1" x14ac:dyDescent="0.15">
      <c r="A156" s="45" t="s">
        <v>2856</v>
      </c>
      <c r="B156" s="38"/>
      <c r="C156" s="38"/>
      <c r="D156" s="38"/>
      <c r="E156" s="38"/>
      <c r="F156" s="50"/>
      <c r="K156" s="3" t="s">
        <v>2856</v>
      </c>
    </row>
    <row r="157" spans="1:42" ht="18.399999999999999" customHeight="1" x14ac:dyDescent="0.15">
      <c r="A157" s="47" t="str">
        <f>CONCATENATE("Q= 1000 * V * W * D *  E * f / N = ",TEXT($AF157,"#,##0.00")," M3/HR ")</f>
        <v xml:space="preserve">Q= 1000 * V * W * D *  E * f / N = 7.00 M3/HR </v>
      </c>
      <c r="B157" s="38">
        <f>SUM($C157,$D157,$E157)</f>
        <v>0</v>
      </c>
      <c r="C157" s="38"/>
      <c r="D157" s="38"/>
      <c r="E157" s="38"/>
      <c r="F157" s="50"/>
      <c r="K157" s="3" t="s">
        <v>124</v>
      </c>
      <c r="AA157" s="41" t="s">
        <v>524</v>
      </c>
      <c r="AB157" s="8">
        <f>ROUND(1000*$AH154*$AL154*$AP155*$AD155*$AH155/$AD154,2)</f>
        <v>7</v>
      </c>
      <c r="AC157" s="41" t="s">
        <v>1985</v>
      </c>
      <c r="AD157" s="7">
        <f>$AB157</f>
        <v>7</v>
      </c>
      <c r="AE157" s="41" t="s">
        <v>1703</v>
      </c>
      <c r="AF157" s="8">
        <f>ROUND(ROUND(1000*$AH154*$AL154*$AP155*$AD155*$AH155/$AD154,2),2)</f>
        <v>7</v>
      </c>
      <c r="AG157" s="41" t="s">
        <v>1168</v>
      </c>
      <c r="AH157" s="7">
        <f>$AF157</f>
        <v>7</v>
      </c>
    </row>
    <row r="158" spans="1:42" ht="18.399999999999999" customHeight="1" x14ac:dyDescent="0.15">
      <c r="A158" s="45" t="s">
        <v>2856</v>
      </c>
      <c r="B158" s="38"/>
      <c r="C158" s="38"/>
      <c r="D158" s="38"/>
      <c r="E158" s="38"/>
      <c r="F158" s="50"/>
      <c r="K158" s="3" t="s">
        <v>2856</v>
      </c>
    </row>
    <row r="159" spans="1:42" ht="18.399999999999999" customHeight="1" x14ac:dyDescent="0.15">
      <c r="A159" s="47" t="str">
        <f>CONCATENATE(" 재료비: _x001D_3,455_x001D_ / ",TEXT($AB159,"#,##0.00")," =",TEXT($AF159,"#,##0.0"))</f>
        <v xml:space="preserve"> 재료비: _x001D_3,455_x001D_ / 7.00 =493.5</v>
      </c>
      <c r="B159" s="38">
        <f>SUM($C159,$D159,$E159)</f>
        <v>493.5</v>
      </c>
      <c r="C159" s="38">
        <f>$AF159</f>
        <v>493.5</v>
      </c>
      <c r="D159" s="38"/>
      <c r="E159" s="38"/>
      <c r="F159" s="50" t="s">
        <v>2856</v>
      </c>
      <c r="K159" s="3" t="s">
        <v>1789</v>
      </c>
      <c r="AA159" s="41" t="s">
        <v>125</v>
      </c>
      <c r="AB159" s="8">
        <f>$AD157</f>
        <v>7</v>
      </c>
      <c r="AC159" s="41" t="s">
        <v>1030</v>
      </c>
      <c r="AD159" s="7">
        <f>$AB159</f>
        <v>7</v>
      </c>
      <c r="AE159" s="42" t="s">
        <v>2127</v>
      </c>
      <c r="AF159" s="8">
        <f>TRUNC(중기사용료목록!E6/$AD159,1)</f>
        <v>493.5</v>
      </c>
      <c r="AG159" s="42" t="s">
        <v>2369</v>
      </c>
      <c r="AH159" s="7">
        <f>$AD145+$AF159</f>
        <v>1106.0999999999999</v>
      </c>
    </row>
    <row r="160" spans="1:42" ht="18.399999999999999" customHeight="1" x14ac:dyDescent="0.15">
      <c r="A160" s="47" t="str">
        <f>CONCATENATE(" 노무비: _x001D_34,803_x001D_ / ",TEXT($AB160,"#,##0.00")," =",TEXT($AF160,"#,##0.0"))</f>
        <v xml:space="preserve"> 노무비: _x001D_34,803_x001D_ / 7.00 =4,971.8</v>
      </c>
      <c r="B160" s="38">
        <f>SUM($C160,$D160,$E160)</f>
        <v>4971.8</v>
      </c>
      <c r="C160" s="38"/>
      <c r="D160" s="38">
        <f>$AF160</f>
        <v>4971.8</v>
      </c>
      <c r="E160" s="38"/>
      <c r="F160" s="50" t="s">
        <v>2856</v>
      </c>
      <c r="K160" s="3" t="s">
        <v>1435</v>
      </c>
      <c r="AA160" s="41" t="s">
        <v>947</v>
      </c>
      <c r="AB160" s="8">
        <f>$AD157</f>
        <v>7</v>
      </c>
      <c r="AC160" s="41" t="s">
        <v>2016</v>
      </c>
      <c r="AD160" s="7">
        <f>$AB160</f>
        <v>7</v>
      </c>
      <c r="AE160" s="42" t="s">
        <v>298</v>
      </c>
      <c r="AF160" s="8">
        <f>TRUNC(중기사용료목록!F6/$AD160,1)</f>
        <v>4971.8</v>
      </c>
      <c r="AG160" s="42" t="s">
        <v>1123</v>
      </c>
      <c r="AH160" s="7">
        <f>$AD150+$AF160</f>
        <v>8824</v>
      </c>
    </row>
    <row r="161" spans="1:34" ht="18.399999999999999" customHeight="1" x14ac:dyDescent="0.15">
      <c r="A161" s="47" t="str">
        <f>CONCATENATE(" 경  비: _x001D_1,846_x001D_ / ",TEXT($AB161,"#,##0.00")," =",TEXT($AF161,"#,##0.0"))</f>
        <v xml:space="preserve"> 경  비: _x001D_1,846_x001D_ / 7.00 =263.7</v>
      </c>
      <c r="B161" s="38">
        <f>SUM($C161,$D161,$E161)</f>
        <v>263.7</v>
      </c>
      <c r="C161" s="38"/>
      <c r="D161" s="38"/>
      <c r="E161" s="38">
        <f>$AF161</f>
        <v>263.7</v>
      </c>
      <c r="F161" s="50" t="s">
        <v>2856</v>
      </c>
      <c r="K161" s="3" t="s">
        <v>2041</v>
      </c>
      <c r="AA161" s="41" t="s">
        <v>184</v>
      </c>
      <c r="AB161" s="8">
        <f>$AD157</f>
        <v>7</v>
      </c>
      <c r="AC161" s="41" t="s">
        <v>458</v>
      </c>
      <c r="AD161" s="7">
        <f>$AB161</f>
        <v>7</v>
      </c>
      <c r="AE161" s="42" t="s">
        <v>917</v>
      </c>
      <c r="AF161" s="8">
        <f>TRUNC(중기사용료목록!G6/$AD161,1)</f>
        <v>263.7</v>
      </c>
      <c r="AG161" s="42" t="s">
        <v>1546</v>
      </c>
      <c r="AH161" s="7">
        <f>$AD144+$AF161</f>
        <v>1041.3</v>
      </c>
    </row>
    <row r="162" spans="1:34" ht="18.399999999999999" customHeight="1" x14ac:dyDescent="0.15">
      <c r="A162" s="45" t="s">
        <v>1835</v>
      </c>
      <c r="B162" s="39">
        <f>SUM($C162,$D162,$E162)</f>
        <v>5729</v>
      </c>
      <c r="C162" s="39">
        <f>$AB162</f>
        <v>493.49999999999989</v>
      </c>
      <c r="D162" s="39">
        <f>$AD162</f>
        <v>4971.8</v>
      </c>
      <c r="E162" s="39">
        <f>$AF162</f>
        <v>263.69999999999993</v>
      </c>
      <c r="F162" s="51"/>
      <c r="K162" s="3" t="s">
        <v>432</v>
      </c>
      <c r="AA162" s="41" t="s">
        <v>2057</v>
      </c>
      <c r="AB162" s="7">
        <f>$AH159-$AD145</f>
        <v>493.49999999999989</v>
      </c>
      <c r="AC162" s="41" t="s">
        <v>79</v>
      </c>
      <c r="AD162" s="7">
        <f>$AH160-$AD150</f>
        <v>4971.8</v>
      </c>
      <c r="AE162" s="41" t="s">
        <v>2607</v>
      </c>
      <c r="AF162" s="7">
        <f>$AH161-$AD144</f>
        <v>263.69999999999993</v>
      </c>
    </row>
    <row r="163" spans="1:34" ht="18.399999999999999" customHeight="1" x14ac:dyDescent="0.15">
      <c r="A163" s="45" t="s">
        <v>2856</v>
      </c>
      <c r="B163" s="38"/>
      <c r="C163" s="38"/>
      <c r="D163" s="38"/>
      <c r="E163" s="38"/>
      <c r="F163" s="50"/>
      <c r="K163" s="3" t="s">
        <v>2856</v>
      </c>
    </row>
    <row r="164" spans="1:34" ht="18.399999999999999" customHeight="1" x14ac:dyDescent="0.15">
      <c r="A164" s="45" t="s">
        <v>266</v>
      </c>
      <c r="B164" s="43">
        <f>SUM($C164,$D164,$E164)</f>
        <v>10971.4</v>
      </c>
      <c r="C164" s="43">
        <f>$AB164</f>
        <v>1106.0999999999999</v>
      </c>
      <c r="D164" s="43">
        <f>$AD164</f>
        <v>8824</v>
      </c>
      <c r="E164" s="43">
        <f>$AF164</f>
        <v>1041.3</v>
      </c>
      <c r="F164" s="53"/>
      <c r="K164" s="3" t="s">
        <v>2539</v>
      </c>
      <c r="AA164" s="41" t="s">
        <v>1132</v>
      </c>
      <c r="AB164" s="7">
        <f>$AH159</f>
        <v>1106.0999999999999</v>
      </c>
      <c r="AC164" s="41" t="s">
        <v>2376</v>
      </c>
      <c r="AD164" s="7">
        <f>$AH160</f>
        <v>8824</v>
      </c>
      <c r="AE164" s="41" t="s">
        <v>641</v>
      </c>
      <c r="AF164" s="7">
        <f>$AH161</f>
        <v>1041.3</v>
      </c>
    </row>
    <row r="165" spans="1:34" ht="18.399999999999999" customHeight="1" x14ac:dyDescent="0.15">
      <c r="A165" s="45"/>
      <c r="B165" s="3"/>
      <c r="C165" s="3"/>
      <c r="D165" s="3"/>
      <c r="E165" s="3"/>
      <c r="F165" s="49"/>
    </row>
    <row r="166" spans="1:34" ht="18.399999999999999" customHeight="1" thickBot="1" x14ac:dyDescent="0.2">
      <c r="A166" s="48" t="s">
        <v>1631</v>
      </c>
      <c r="B166" s="40">
        <f>SUM($C166,$D166,$E166)</f>
        <v>10971</v>
      </c>
      <c r="C166" s="40">
        <f>TRUNC(SUM($AH159),0)</f>
        <v>1106</v>
      </c>
      <c r="D166" s="40">
        <f>TRUNC(SUM($AH160),0)</f>
        <v>8824</v>
      </c>
      <c r="E166" s="40">
        <f>TRUNC(SUM($AH161),0)</f>
        <v>1041</v>
      </c>
      <c r="F166" s="52"/>
    </row>
  </sheetData>
  <mergeCells count="2">
    <mergeCell ref="AA3:AG3"/>
    <mergeCell ref="AA4:AG4"/>
  </mergeCells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  <rowBreaks count="6" manualBreakCount="6">
    <brk id="25" min="1" max="256" man="1"/>
    <brk id="56" min="1" max="256" man="1"/>
    <brk id="81" min="1" max="256" man="1"/>
    <brk id="114" min="1" max="256" man="1"/>
    <brk id="130" min="1" max="256" man="1"/>
    <brk id="166" min="1" max="25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4DD2-C12F-4393-B64A-52067431A90A}">
  <dimension ref="A1:O12"/>
  <sheetViews>
    <sheetView workbookViewId="0">
      <selection activeCell="F23" sqref="F23"/>
    </sheetView>
  </sheetViews>
  <sheetFormatPr defaultRowHeight="18.399999999999999" customHeight="1" x14ac:dyDescent="0.15"/>
  <cols>
    <col min="1" max="1" width="25" customWidth="1"/>
    <col min="2" max="2" width="18" customWidth="1"/>
    <col min="3" max="3" width="8" customWidth="1"/>
    <col min="4" max="4" width="5" customWidth="1"/>
    <col min="5" max="8" width="13" customWidth="1"/>
    <col min="9" max="9" width="10" customWidth="1"/>
    <col min="10" max="13" width="0" hidden="1" customWidth="1"/>
  </cols>
  <sheetData>
    <row r="1" spans="1:15" ht="18.399999999999999" customHeight="1" thickBot="1" x14ac:dyDescent="0.2">
      <c r="A1" t="s">
        <v>2253</v>
      </c>
    </row>
    <row r="2" spans="1:15" ht="18.399999999999999" customHeight="1" thickBot="1" x14ac:dyDescent="0.2">
      <c r="A2" s="16" t="s">
        <v>452</v>
      </c>
      <c r="B2" s="17" t="s">
        <v>1087</v>
      </c>
      <c r="C2" s="17" t="s">
        <v>74</v>
      </c>
      <c r="D2" s="17" t="s">
        <v>2660</v>
      </c>
      <c r="E2" s="17" t="s">
        <v>1952</v>
      </c>
      <c r="F2" s="17" t="s">
        <v>1158</v>
      </c>
      <c r="G2" s="17" t="s">
        <v>186</v>
      </c>
      <c r="H2" s="17" t="s">
        <v>2761</v>
      </c>
      <c r="I2" s="19" t="s">
        <v>726</v>
      </c>
    </row>
    <row r="3" spans="1:15" ht="18.399999999999999" customHeight="1" x14ac:dyDescent="0.15">
      <c r="A3" s="11" t="s">
        <v>896</v>
      </c>
      <c r="B3" s="2" t="s">
        <v>2462</v>
      </c>
      <c r="C3" s="2">
        <v>1</v>
      </c>
      <c r="D3" s="2" t="s">
        <v>740</v>
      </c>
      <c r="E3" s="29">
        <f>중기사용료!G10</f>
        <v>16788</v>
      </c>
      <c r="F3" s="29">
        <f>중기사용료!G12</f>
        <v>56874</v>
      </c>
      <c r="G3" s="29">
        <f>중기사용료!G7</f>
        <v>16378</v>
      </c>
      <c r="H3" s="29">
        <f t="shared" ref="H3:H12" si="0">E3+F3+G3</f>
        <v>90040</v>
      </c>
      <c r="I3" s="20" t="s">
        <v>2856</v>
      </c>
      <c r="J3" t="s">
        <v>2856</v>
      </c>
      <c r="K3" t="s">
        <v>1823</v>
      </c>
      <c r="O3" s="34" t="str">
        <f>HYPERLINK("#중기사용료!A3","E0002010040 →")</f>
        <v>E0002010040 →</v>
      </c>
    </row>
    <row r="4" spans="1:15" ht="18.399999999999999" customHeight="1" x14ac:dyDescent="0.15">
      <c r="A4" s="11" t="s">
        <v>896</v>
      </c>
      <c r="B4" s="2" t="s">
        <v>986</v>
      </c>
      <c r="C4" s="2">
        <v>1</v>
      </c>
      <c r="D4" s="2" t="s">
        <v>740</v>
      </c>
      <c r="E4" s="29">
        <f>중기사용료!G22</f>
        <v>17297</v>
      </c>
      <c r="F4" s="29">
        <f>중기사용료!G24</f>
        <v>56874</v>
      </c>
      <c r="G4" s="29">
        <f>중기사용료!G19</f>
        <v>21957</v>
      </c>
      <c r="H4" s="29">
        <f t="shared" si="0"/>
        <v>96128</v>
      </c>
      <c r="I4" s="20" t="s">
        <v>2856</v>
      </c>
      <c r="J4" t="s">
        <v>2856</v>
      </c>
      <c r="K4" t="s">
        <v>361</v>
      </c>
      <c r="O4" s="34" t="str">
        <f>HYPERLINK("#중기사용료!A15","E0002010060 →")</f>
        <v>E0002010060 →</v>
      </c>
    </row>
    <row r="5" spans="1:15" ht="18.399999999999999" customHeight="1" x14ac:dyDescent="0.15">
      <c r="A5" s="11" t="s">
        <v>851</v>
      </c>
      <c r="B5" s="2" t="s">
        <v>986</v>
      </c>
      <c r="C5" s="2">
        <v>1</v>
      </c>
      <c r="D5" s="2" t="s">
        <v>740</v>
      </c>
      <c r="E5" s="29">
        <f>중기사용료!G34</f>
        <v>19993</v>
      </c>
      <c r="F5" s="29">
        <f>중기사용료!G36</f>
        <v>56874</v>
      </c>
      <c r="G5" s="29">
        <f>중기사용료!G31</f>
        <v>25680</v>
      </c>
      <c r="H5" s="29">
        <f t="shared" si="0"/>
        <v>102547</v>
      </c>
      <c r="I5" s="20" t="s">
        <v>2856</v>
      </c>
      <c r="J5" t="s">
        <v>2856</v>
      </c>
      <c r="K5" t="s">
        <v>1476</v>
      </c>
      <c r="O5" s="34" t="str">
        <f>HYPERLINK("#중기사용료!A27","E0002110060 →")</f>
        <v>E0002110060 →</v>
      </c>
    </row>
    <row r="6" spans="1:15" ht="18.399999999999999" customHeight="1" x14ac:dyDescent="0.15">
      <c r="A6" s="11" t="s">
        <v>1565</v>
      </c>
      <c r="B6" s="2" t="s">
        <v>919</v>
      </c>
      <c r="C6" s="2">
        <v>1</v>
      </c>
      <c r="D6" s="2" t="s">
        <v>740</v>
      </c>
      <c r="E6" s="29">
        <f>중기사용료!G46</f>
        <v>3455</v>
      </c>
      <c r="F6" s="29">
        <f>중기사용료!G48</f>
        <v>34803</v>
      </c>
      <c r="G6" s="29">
        <f>중기사용료!G43</f>
        <v>1846</v>
      </c>
      <c r="H6" s="29">
        <f t="shared" si="0"/>
        <v>40104</v>
      </c>
      <c r="I6" s="20" t="s">
        <v>2856</v>
      </c>
      <c r="J6" t="s">
        <v>2856</v>
      </c>
      <c r="K6" t="s">
        <v>2669</v>
      </c>
      <c r="O6" s="34" t="str">
        <f>HYPERLINK("#중기사용료!A39","E0013050007 →")</f>
        <v>E0013050007 →</v>
      </c>
    </row>
    <row r="7" spans="1:15" ht="18.399999999999999" customHeight="1" x14ac:dyDescent="0.15">
      <c r="A7" s="11" t="s">
        <v>1319</v>
      </c>
      <c r="B7" s="2" t="s">
        <v>2414</v>
      </c>
      <c r="C7" s="2">
        <v>1</v>
      </c>
      <c r="D7" s="2" t="s">
        <v>740</v>
      </c>
      <c r="E7" s="29">
        <f>중기사용료!G58</f>
        <v>1845</v>
      </c>
      <c r="F7" s="29">
        <f>중기사용료!G60</f>
        <v>34803</v>
      </c>
      <c r="G7" s="29">
        <f>중기사용료!G55</f>
        <v>582</v>
      </c>
      <c r="H7" s="29">
        <f t="shared" si="0"/>
        <v>37230</v>
      </c>
      <c r="I7" s="20" t="s">
        <v>2856</v>
      </c>
      <c r="J7" t="s">
        <v>2856</v>
      </c>
      <c r="K7" t="s">
        <v>864</v>
      </c>
      <c r="O7" s="34" t="str">
        <f>HYPERLINK("#중기사용료!A51","E0017300015 →")</f>
        <v>E0017300015 →</v>
      </c>
    </row>
    <row r="8" spans="1:15" ht="18.399999999999999" customHeight="1" x14ac:dyDescent="0.15">
      <c r="A8" s="11" t="s">
        <v>536</v>
      </c>
      <c r="B8" s="2" t="s">
        <v>2467</v>
      </c>
      <c r="C8" s="2">
        <v>1</v>
      </c>
      <c r="D8" s="2" t="s">
        <v>740</v>
      </c>
      <c r="E8" s="29">
        <f>중기사용료!G70</f>
        <v>7341</v>
      </c>
      <c r="F8" s="29">
        <f>중기사용료!G72</f>
        <v>56874</v>
      </c>
      <c r="G8" s="29">
        <f>중기사용료!G67</f>
        <v>30103</v>
      </c>
      <c r="H8" s="29">
        <f t="shared" si="0"/>
        <v>94318</v>
      </c>
      <c r="I8" s="20" t="s">
        <v>2856</v>
      </c>
      <c r="J8" t="s">
        <v>2856</v>
      </c>
      <c r="K8" t="s">
        <v>1324</v>
      </c>
      <c r="O8" s="34" t="str">
        <f>HYPERLINK("#중기사용료!A63","E0021040010 →")</f>
        <v>E0021040010 →</v>
      </c>
    </row>
    <row r="9" spans="1:15" ht="18.399999999999999" customHeight="1" x14ac:dyDescent="0.15">
      <c r="A9" s="11" t="s">
        <v>536</v>
      </c>
      <c r="B9" s="2" t="s">
        <v>1928</v>
      </c>
      <c r="C9" s="2">
        <v>1</v>
      </c>
      <c r="D9" s="2" t="s">
        <v>740</v>
      </c>
      <c r="E9" s="29">
        <f>중기사용료!G82</f>
        <v>9080</v>
      </c>
      <c r="F9" s="29">
        <f>중기사용료!G84</f>
        <v>56874</v>
      </c>
      <c r="G9" s="29">
        <f>중기사용료!G79</f>
        <v>40854</v>
      </c>
      <c r="H9" s="29">
        <f t="shared" si="0"/>
        <v>106808</v>
      </c>
      <c r="I9" s="20" t="s">
        <v>2856</v>
      </c>
      <c r="J9" t="s">
        <v>2856</v>
      </c>
      <c r="K9" t="s">
        <v>2787</v>
      </c>
      <c r="O9" s="34" t="str">
        <f>HYPERLINK("#중기사용료!A75","E0021040015 →")</f>
        <v>E0021040015 →</v>
      </c>
    </row>
    <row r="10" spans="1:15" ht="18.399999999999999" customHeight="1" x14ac:dyDescent="0.15">
      <c r="A10" s="11" t="s">
        <v>536</v>
      </c>
      <c r="B10" s="2" t="s">
        <v>44</v>
      </c>
      <c r="C10" s="2">
        <v>1</v>
      </c>
      <c r="D10" s="2" t="s">
        <v>740</v>
      </c>
      <c r="E10" s="29">
        <f>중기사용료!G94</f>
        <v>11785</v>
      </c>
      <c r="F10" s="29">
        <f>중기사용료!G96</f>
        <v>56874</v>
      </c>
      <c r="G10" s="29">
        <f>중기사용료!G91</f>
        <v>56030</v>
      </c>
      <c r="H10" s="29">
        <f t="shared" si="0"/>
        <v>124689</v>
      </c>
      <c r="I10" s="20" t="s">
        <v>2856</v>
      </c>
      <c r="J10" t="s">
        <v>2856</v>
      </c>
      <c r="K10" t="s">
        <v>634</v>
      </c>
      <c r="O10" s="34" t="str">
        <f>HYPERLINK("#중기사용료!A87","E0021040025 →")</f>
        <v>E0021040025 →</v>
      </c>
    </row>
    <row r="11" spans="1:15" ht="18.399999999999999" customHeight="1" x14ac:dyDescent="0.15">
      <c r="A11" s="11" t="s">
        <v>536</v>
      </c>
      <c r="B11" s="2" t="s">
        <v>2270</v>
      </c>
      <c r="C11" s="2">
        <v>1</v>
      </c>
      <c r="D11" s="2" t="s">
        <v>740</v>
      </c>
      <c r="E11" s="29">
        <f>중기사용료!G106</f>
        <v>21823</v>
      </c>
      <c r="F11" s="29">
        <f>중기사용료!G108</f>
        <v>56874</v>
      </c>
      <c r="G11" s="29">
        <f>중기사용료!G103</f>
        <v>85675</v>
      </c>
      <c r="H11" s="29">
        <f t="shared" si="0"/>
        <v>164372</v>
      </c>
      <c r="I11" s="20" t="s">
        <v>2856</v>
      </c>
      <c r="J11" t="s">
        <v>2856</v>
      </c>
      <c r="K11" t="s">
        <v>1279</v>
      </c>
      <c r="O11" s="34" t="str">
        <f>HYPERLINK("#중기사용료!A99","E0021040050 →")</f>
        <v>E0021040050 →</v>
      </c>
    </row>
    <row r="12" spans="1:15" ht="18.399999999999999" customHeight="1" thickBot="1" x14ac:dyDescent="0.2">
      <c r="A12" s="13" t="s">
        <v>537</v>
      </c>
      <c r="B12" s="14" t="s">
        <v>1744</v>
      </c>
      <c r="C12" s="14">
        <v>1</v>
      </c>
      <c r="D12" s="14" t="s">
        <v>740</v>
      </c>
      <c r="E12" s="31">
        <f>중기사용료!G118</f>
        <v>16805</v>
      </c>
      <c r="F12" s="31">
        <f>중기사용료!G120</f>
        <v>48741</v>
      </c>
      <c r="G12" s="31">
        <f>중기사용료!G115</f>
        <v>9470</v>
      </c>
      <c r="H12" s="31">
        <f t="shared" si="0"/>
        <v>75016</v>
      </c>
      <c r="I12" s="21" t="s">
        <v>2856</v>
      </c>
      <c r="J12" t="s">
        <v>2856</v>
      </c>
      <c r="K12" t="s">
        <v>51</v>
      </c>
      <c r="O12" s="34" t="str">
        <f>HYPERLINK("#중기사용료!A111","E0072040055 →")</f>
        <v>E0072040055 →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EE7CC-877A-4C93-AE9D-CD0BFF2702E7}">
  <dimension ref="A1:AG122"/>
  <sheetViews>
    <sheetView topLeftCell="A46" workbookViewId="0">
      <selection activeCell="F23" sqref="F23"/>
    </sheetView>
  </sheetViews>
  <sheetFormatPr defaultRowHeight="18.399999999999999" customHeight="1" x14ac:dyDescent="0.15"/>
  <cols>
    <col min="1" max="1" width="10" customWidth="1"/>
    <col min="2" max="2" width="25" customWidth="1"/>
    <col min="3" max="3" width="20" customWidth="1"/>
    <col min="4" max="4" width="8" customWidth="1"/>
    <col min="5" max="5" width="6" customWidth="1"/>
    <col min="6" max="7" width="13" customWidth="1"/>
    <col min="8" max="8" width="10" customWidth="1"/>
    <col min="9" max="31" width="0" hidden="1" customWidth="1"/>
  </cols>
  <sheetData>
    <row r="1" spans="1:33" ht="18.399999999999999" customHeight="1" x14ac:dyDescent="0.15">
      <c r="A1" t="s">
        <v>2295</v>
      </c>
    </row>
    <row r="3" spans="1:33" ht="18.399999999999999" customHeight="1" thickTop="1" thickBot="1" x14ac:dyDescent="0.2">
      <c r="A3" s="4" t="s">
        <v>2531</v>
      </c>
      <c r="B3" s="4" t="s">
        <v>962</v>
      </c>
      <c r="C3" s="4"/>
      <c r="D3" s="4"/>
      <c r="E3" s="4"/>
      <c r="F3" s="4"/>
      <c r="G3" s="4"/>
      <c r="H3" s="4"/>
      <c r="I3" s="9" t="s">
        <v>2856</v>
      </c>
      <c r="J3" s="9" t="s">
        <v>1823</v>
      </c>
    </row>
    <row r="4" spans="1:33" ht="18.399999999999999" customHeight="1" thickTop="1" x14ac:dyDescent="0.15">
      <c r="A4" s="4" t="s">
        <v>777</v>
      </c>
      <c r="B4" s="4" t="s">
        <v>2620</v>
      </c>
      <c r="C4" s="4"/>
      <c r="D4" s="4"/>
      <c r="E4" s="4"/>
      <c r="F4" s="4"/>
      <c r="G4" s="4"/>
      <c r="H4" s="4"/>
    </row>
    <row r="5" spans="1:33" ht="18.399999999999999" customHeight="1" x14ac:dyDescent="0.15">
      <c r="A5" s="32" t="s">
        <v>2201</v>
      </c>
      <c r="B5" s="32"/>
      <c r="C5" s="32" t="s">
        <v>1400</v>
      </c>
      <c r="D5" s="32" t="s">
        <v>74</v>
      </c>
      <c r="E5" s="32" t="s">
        <v>2660</v>
      </c>
      <c r="F5" s="32" t="s">
        <v>636</v>
      </c>
      <c r="G5" s="32" t="s">
        <v>360</v>
      </c>
      <c r="H5" s="32" t="s">
        <v>726</v>
      </c>
    </row>
    <row r="6" spans="1:33" ht="18.399999999999999" customHeight="1" x14ac:dyDescent="0.15">
      <c r="A6" s="9" t="s">
        <v>186</v>
      </c>
      <c r="B6" s="9" t="s">
        <v>896</v>
      </c>
      <c r="C6" s="9" t="s">
        <v>2462</v>
      </c>
      <c r="D6" s="9">
        <f>(900 + 700 + 485)*10^-4</f>
        <v>0.20850000000000002</v>
      </c>
      <c r="E6" s="33" t="s">
        <v>341</v>
      </c>
      <c r="F6" s="33">
        <f>중기기초자료!F3</f>
        <v>78556</v>
      </c>
      <c r="G6" s="35">
        <f>TRUNC(F6*D6, 1)</f>
        <v>16378.9</v>
      </c>
      <c r="H6" s="9" t="s">
        <v>2856</v>
      </c>
      <c r="I6" s="9" t="s">
        <v>2856</v>
      </c>
      <c r="K6" s="9" t="s">
        <v>334</v>
      </c>
      <c r="L6" s="9" t="s">
        <v>2856</v>
      </c>
      <c r="M6" s="9" t="s">
        <v>1169</v>
      </c>
      <c r="N6" s="9" t="s">
        <v>854</v>
      </c>
      <c r="AG6" s="34" t="str">
        <f>HYPERLINK("#중기기초자료!A3","G02010040 →")</f>
        <v>G02010040 →</v>
      </c>
    </row>
    <row r="7" spans="1:33" ht="18.399999999999999" customHeight="1" x14ac:dyDescent="0.15">
      <c r="B7" s="9" t="s">
        <v>2446</v>
      </c>
      <c r="G7" s="33">
        <f>TRUNC(G6, 0)</f>
        <v>16378</v>
      </c>
    </row>
    <row r="8" spans="1:33" ht="18.399999999999999" customHeight="1" x14ac:dyDescent="0.15">
      <c r="A8" s="9" t="s">
        <v>1952</v>
      </c>
      <c r="B8" s="9" t="s">
        <v>457</v>
      </c>
      <c r="C8" s="9" t="s">
        <v>2856</v>
      </c>
      <c r="D8" s="9">
        <v>9.9</v>
      </c>
      <c r="E8" s="36" t="s">
        <v>2808</v>
      </c>
      <c r="F8" s="36">
        <f>중기기초자료!D17</f>
        <v>1390</v>
      </c>
      <c r="G8" s="35">
        <f>TRUNC(F8*D8, 1)</f>
        <v>13761</v>
      </c>
      <c r="H8" s="9" t="s">
        <v>2856</v>
      </c>
      <c r="I8" s="9" t="s">
        <v>2856</v>
      </c>
      <c r="K8" s="9" t="s">
        <v>1036</v>
      </c>
      <c r="L8" s="9" t="s">
        <v>2856</v>
      </c>
      <c r="M8" s="9" t="s">
        <v>563</v>
      </c>
      <c r="AG8" s="34" t="str">
        <f>HYPERLINK("#중기기초자료!A17","M9366005 →")</f>
        <v>M9366005 →</v>
      </c>
    </row>
    <row r="9" spans="1:33" ht="18.399999999999999" customHeight="1" x14ac:dyDescent="0.15">
      <c r="B9" s="9" t="s">
        <v>223</v>
      </c>
      <c r="C9" s="9" t="s">
        <v>2856</v>
      </c>
      <c r="D9" s="9">
        <v>22</v>
      </c>
      <c r="E9" s="36" t="s">
        <v>1193</v>
      </c>
      <c r="F9" s="36">
        <v>0</v>
      </c>
      <c r="G9" s="35">
        <f>TRUNC((G8) * D9/100, 1)</f>
        <v>3027.4</v>
      </c>
      <c r="H9" s="9" t="s">
        <v>2856</v>
      </c>
      <c r="I9" s="9" t="s">
        <v>2856</v>
      </c>
      <c r="K9" s="9" t="s">
        <v>286</v>
      </c>
      <c r="L9" s="9" t="s">
        <v>2856</v>
      </c>
      <c r="M9" s="9" t="s">
        <v>1921</v>
      </c>
      <c r="N9" s="9" t="s">
        <v>2856</v>
      </c>
    </row>
    <row r="10" spans="1:33" ht="18.399999999999999" customHeight="1" x14ac:dyDescent="0.15">
      <c r="B10" s="9" t="s">
        <v>2446</v>
      </c>
      <c r="G10" s="33">
        <f>TRUNC(G8+G9, 0)</f>
        <v>16788</v>
      </c>
    </row>
    <row r="11" spans="1:33" ht="18.399999999999999" customHeight="1" x14ac:dyDescent="0.15">
      <c r="A11" s="9" t="s">
        <v>1158</v>
      </c>
      <c r="B11" s="9" t="s">
        <v>643</v>
      </c>
      <c r="C11" s="9" t="s">
        <v>1612</v>
      </c>
      <c r="D11" s="9">
        <v>1</v>
      </c>
      <c r="E11" s="35" t="s">
        <v>1682</v>
      </c>
      <c r="F11" s="35">
        <f>TRUNC(중기기초자료!E13 * 중기전역변수!C18, 1)</f>
        <v>56874.1</v>
      </c>
      <c r="G11" s="35">
        <f>TRUNC(F11*D11, 1)</f>
        <v>56874.1</v>
      </c>
      <c r="H11" s="9" t="s">
        <v>2856</v>
      </c>
      <c r="I11" s="9" t="s">
        <v>2856</v>
      </c>
      <c r="K11" s="9" t="s">
        <v>1616</v>
      </c>
      <c r="L11" s="9" t="s">
        <v>2856</v>
      </c>
      <c r="M11" s="9" t="s">
        <v>1646</v>
      </c>
      <c r="AG11" s="34" t="str">
        <f>HYPERLINK("#중기기초자료!A13","L086 →")</f>
        <v>L086 →</v>
      </c>
    </row>
    <row r="12" spans="1:33" ht="18.399999999999999" customHeight="1" x14ac:dyDescent="0.15">
      <c r="B12" s="9" t="s">
        <v>2446</v>
      </c>
      <c r="G12" s="33">
        <f>TRUNC(G11, 0)</f>
        <v>56874</v>
      </c>
    </row>
    <row r="13" spans="1:33" ht="18.399999999999999" customHeight="1" thickBot="1" x14ac:dyDescent="0.2">
      <c r="B13" s="9" t="s">
        <v>280</v>
      </c>
      <c r="G13" s="33">
        <f>TRUNC(G7+G10+G12, 0)</f>
        <v>90040</v>
      </c>
    </row>
    <row r="14" spans="1:33" ht="18.399999999999999" customHeight="1" thickTop="1" thickBot="1" x14ac:dyDescent="0.2">
      <c r="A14" s="4"/>
      <c r="B14" s="4"/>
      <c r="C14" s="4"/>
      <c r="D14" s="4"/>
      <c r="E14" s="4"/>
      <c r="F14" s="4"/>
      <c r="G14" s="4"/>
      <c r="H14" s="4"/>
    </row>
    <row r="15" spans="1:33" ht="18.399999999999999" customHeight="1" thickTop="1" thickBot="1" x14ac:dyDescent="0.2">
      <c r="A15" s="4" t="s">
        <v>2531</v>
      </c>
      <c r="B15" s="4" t="s">
        <v>442</v>
      </c>
      <c r="C15" s="4"/>
      <c r="D15" s="4"/>
      <c r="E15" s="4"/>
      <c r="F15" s="4"/>
      <c r="G15" s="4"/>
      <c r="H15" s="4"/>
      <c r="I15" s="9" t="s">
        <v>2856</v>
      </c>
      <c r="J15" s="9" t="s">
        <v>361</v>
      </c>
    </row>
    <row r="16" spans="1:33" ht="18.399999999999999" customHeight="1" thickTop="1" x14ac:dyDescent="0.15">
      <c r="A16" s="4" t="s">
        <v>777</v>
      </c>
      <c r="B16" s="4" t="s">
        <v>2067</v>
      </c>
      <c r="C16" s="4"/>
      <c r="D16" s="4"/>
      <c r="E16" s="4"/>
      <c r="F16" s="4"/>
      <c r="G16" s="4"/>
      <c r="H16" s="4"/>
    </row>
    <row r="17" spans="1:33" ht="18.399999999999999" customHeight="1" x14ac:dyDescent="0.15">
      <c r="A17" s="32" t="s">
        <v>2201</v>
      </c>
      <c r="B17" s="32"/>
      <c r="C17" s="32" t="s">
        <v>1400</v>
      </c>
      <c r="D17" s="32" t="s">
        <v>74</v>
      </c>
      <c r="E17" s="32" t="s">
        <v>2660</v>
      </c>
      <c r="F17" s="32" t="s">
        <v>636</v>
      </c>
      <c r="G17" s="32" t="s">
        <v>360</v>
      </c>
      <c r="H17" s="32" t="s">
        <v>726</v>
      </c>
    </row>
    <row r="18" spans="1:33" ht="18.399999999999999" customHeight="1" x14ac:dyDescent="0.15">
      <c r="A18" s="9" t="s">
        <v>186</v>
      </c>
      <c r="B18" s="9" t="s">
        <v>896</v>
      </c>
      <c r="C18" s="9" t="s">
        <v>986</v>
      </c>
      <c r="D18" s="9">
        <f>(900 + 700 + 485)*10^-4</f>
        <v>0.20850000000000002</v>
      </c>
      <c r="E18" s="33" t="s">
        <v>341</v>
      </c>
      <c r="F18" s="33">
        <f>중기기초자료!F4</f>
        <v>105310</v>
      </c>
      <c r="G18" s="35">
        <f>TRUNC(F18*D18, 1)</f>
        <v>21957.1</v>
      </c>
      <c r="H18" s="9" t="s">
        <v>2856</v>
      </c>
      <c r="I18" s="9" t="s">
        <v>2856</v>
      </c>
      <c r="K18" s="9" t="s">
        <v>334</v>
      </c>
      <c r="L18" s="9" t="s">
        <v>2856</v>
      </c>
      <c r="M18" s="9" t="s">
        <v>2610</v>
      </c>
      <c r="N18" s="9" t="s">
        <v>854</v>
      </c>
      <c r="AG18" s="34" t="str">
        <f>HYPERLINK("#중기기초자료!A4","G02010060 →")</f>
        <v>G02010060 →</v>
      </c>
    </row>
    <row r="19" spans="1:33" ht="18.399999999999999" customHeight="1" x14ac:dyDescent="0.15">
      <c r="B19" s="9" t="s">
        <v>2446</v>
      </c>
      <c r="G19" s="33">
        <f>TRUNC(G18, 0)</f>
        <v>21957</v>
      </c>
    </row>
    <row r="20" spans="1:33" ht="18.399999999999999" customHeight="1" x14ac:dyDescent="0.15">
      <c r="A20" s="9" t="s">
        <v>1952</v>
      </c>
      <c r="B20" s="9" t="s">
        <v>457</v>
      </c>
      <c r="C20" s="9" t="s">
        <v>2856</v>
      </c>
      <c r="D20" s="9">
        <v>10.199999999999999</v>
      </c>
      <c r="E20" s="36" t="s">
        <v>2808</v>
      </c>
      <c r="F20" s="36">
        <f>중기기초자료!D17</f>
        <v>1390</v>
      </c>
      <c r="G20" s="35">
        <f>TRUNC(F20*D20, 1)</f>
        <v>14178</v>
      </c>
      <c r="H20" s="9" t="s">
        <v>2856</v>
      </c>
      <c r="I20" s="9" t="s">
        <v>2856</v>
      </c>
      <c r="K20" s="9" t="s">
        <v>1036</v>
      </c>
      <c r="L20" s="9" t="s">
        <v>2856</v>
      </c>
      <c r="M20" s="9" t="s">
        <v>563</v>
      </c>
      <c r="AG20" s="34" t="str">
        <f>HYPERLINK("#중기기초자료!A17","M9366005 →")</f>
        <v>M9366005 →</v>
      </c>
    </row>
    <row r="21" spans="1:33" ht="18.399999999999999" customHeight="1" x14ac:dyDescent="0.15">
      <c r="B21" s="9" t="s">
        <v>223</v>
      </c>
      <c r="C21" s="9" t="s">
        <v>2856</v>
      </c>
      <c r="D21" s="9">
        <v>22</v>
      </c>
      <c r="E21" s="36" t="s">
        <v>1193</v>
      </c>
      <c r="F21" s="36">
        <v>0</v>
      </c>
      <c r="G21" s="35">
        <f>TRUNC((G20) * D21/100, 1)</f>
        <v>3119.1</v>
      </c>
      <c r="H21" s="9" t="s">
        <v>2856</v>
      </c>
      <c r="I21" s="9" t="s">
        <v>2856</v>
      </c>
      <c r="K21" s="9" t="s">
        <v>286</v>
      </c>
      <c r="L21" s="9" t="s">
        <v>2856</v>
      </c>
      <c r="M21" s="9" t="s">
        <v>1921</v>
      </c>
      <c r="N21" s="9" t="s">
        <v>2856</v>
      </c>
    </row>
    <row r="22" spans="1:33" ht="18.399999999999999" customHeight="1" x14ac:dyDescent="0.15">
      <c r="B22" s="9" t="s">
        <v>2446</v>
      </c>
      <c r="G22" s="33">
        <f>TRUNC(G20+G21, 0)</f>
        <v>17297</v>
      </c>
    </row>
    <row r="23" spans="1:33" ht="18.399999999999999" customHeight="1" x14ac:dyDescent="0.15">
      <c r="A23" s="9" t="s">
        <v>1158</v>
      </c>
      <c r="B23" s="9" t="s">
        <v>643</v>
      </c>
      <c r="C23" s="9" t="s">
        <v>1612</v>
      </c>
      <c r="D23" s="9">
        <v>1</v>
      </c>
      <c r="E23" s="35" t="s">
        <v>1682</v>
      </c>
      <c r="F23" s="35">
        <f>TRUNC(중기기초자료!E13 * 중기전역변수!C18, 1)</f>
        <v>56874.1</v>
      </c>
      <c r="G23" s="35">
        <f>TRUNC(F23*D23, 1)</f>
        <v>56874.1</v>
      </c>
      <c r="H23" s="9" t="s">
        <v>2856</v>
      </c>
      <c r="I23" s="9" t="s">
        <v>2856</v>
      </c>
      <c r="K23" s="9" t="s">
        <v>1616</v>
      </c>
      <c r="L23" s="9" t="s">
        <v>2856</v>
      </c>
      <c r="M23" s="9" t="s">
        <v>1646</v>
      </c>
      <c r="AG23" s="34" t="str">
        <f>HYPERLINK("#중기기초자료!A13","L086 →")</f>
        <v>L086 →</v>
      </c>
    </row>
    <row r="24" spans="1:33" ht="18.399999999999999" customHeight="1" x14ac:dyDescent="0.15">
      <c r="B24" s="9" t="s">
        <v>2446</v>
      </c>
      <c r="G24" s="33">
        <f>TRUNC(G23, 0)</f>
        <v>56874</v>
      </c>
    </row>
    <row r="25" spans="1:33" ht="18.399999999999999" customHeight="1" thickBot="1" x14ac:dyDescent="0.2">
      <c r="B25" s="9" t="s">
        <v>280</v>
      </c>
      <c r="G25" s="33">
        <f>TRUNC(G19+G22+G24, 0)</f>
        <v>96128</v>
      </c>
    </row>
    <row r="26" spans="1:33" ht="18.399999999999999" customHeight="1" thickTop="1" thickBot="1" x14ac:dyDescent="0.2">
      <c r="A26" s="4"/>
      <c r="B26" s="4"/>
      <c r="C26" s="4"/>
      <c r="D26" s="4"/>
      <c r="E26" s="4"/>
      <c r="F26" s="4"/>
      <c r="G26" s="4"/>
      <c r="H26" s="4"/>
    </row>
    <row r="27" spans="1:33" ht="18.399999999999999" customHeight="1" thickTop="1" thickBot="1" x14ac:dyDescent="0.2">
      <c r="A27" s="4" t="s">
        <v>2531</v>
      </c>
      <c r="B27" s="4" t="s">
        <v>1636</v>
      </c>
      <c r="C27" s="4"/>
      <c r="D27" s="4"/>
      <c r="E27" s="4"/>
      <c r="F27" s="4"/>
      <c r="G27" s="4"/>
      <c r="H27" s="4"/>
      <c r="I27" s="9" t="s">
        <v>2856</v>
      </c>
      <c r="J27" s="9" t="s">
        <v>1476</v>
      </c>
    </row>
    <row r="28" spans="1:33" ht="18.399999999999999" customHeight="1" thickTop="1" x14ac:dyDescent="0.15">
      <c r="A28" s="4" t="s">
        <v>777</v>
      </c>
      <c r="B28" s="4" t="s">
        <v>2177</v>
      </c>
      <c r="C28" s="4"/>
      <c r="D28" s="4"/>
      <c r="E28" s="4"/>
      <c r="F28" s="4"/>
      <c r="G28" s="4"/>
      <c r="H28" s="4"/>
    </row>
    <row r="29" spans="1:33" ht="18.399999999999999" customHeight="1" x14ac:dyDescent="0.15">
      <c r="A29" s="32" t="s">
        <v>2201</v>
      </c>
      <c r="B29" s="32"/>
      <c r="C29" s="32" t="s">
        <v>1400</v>
      </c>
      <c r="D29" s="32" t="s">
        <v>74</v>
      </c>
      <c r="E29" s="32" t="s">
        <v>2660</v>
      </c>
      <c r="F29" s="32" t="s">
        <v>636</v>
      </c>
      <c r="G29" s="32" t="s">
        <v>360</v>
      </c>
      <c r="H29" s="32" t="s">
        <v>726</v>
      </c>
    </row>
    <row r="30" spans="1:33" ht="18.399999999999999" customHeight="1" x14ac:dyDescent="0.15">
      <c r="A30" s="9" t="s">
        <v>186</v>
      </c>
      <c r="B30" s="9" t="s">
        <v>851</v>
      </c>
      <c r="C30" s="9" t="s">
        <v>986</v>
      </c>
      <c r="D30" s="9">
        <f>(900 + 700 + 679)*10^-4</f>
        <v>0.22790000000000002</v>
      </c>
      <c r="E30" s="33" t="s">
        <v>341</v>
      </c>
      <c r="F30" s="33">
        <f>중기기초자료!F5</f>
        <v>112684</v>
      </c>
      <c r="G30" s="35">
        <f>TRUNC(F30*D30, 1)</f>
        <v>25680.6</v>
      </c>
      <c r="H30" s="9" t="s">
        <v>2856</v>
      </c>
      <c r="I30" s="9" t="s">
        <v>2856</v>
      </c>
      <c r="K30" s="9" t="s">
        <v>334</v>
      </c>
      <c r="L30" s="9" t="s">
        <v>2856</v>
      </c>
      <c r="M30" s="9" t="s">
        <v>889</v>
      </c>
      <c r="N30" s="9" t="s">
        <v>2221</v>
      </c>
      <c r="AG30" s="34" t="str">
        <f>HYPERLINK("#중기기초자료!A5","G02110060 →")</f>
        <v>G02110060 →</v>
      </c>
    </row>
    <row r="31" spans="1:33" ht="18.399999999999999" customHeight="1" x14ac:dyDescent="0.15">
      <c r="B31" s="9" t="s">
        <v>2446</v>
      </c>
      <c r="G31" s="33">
        <f>TRUNC(G30, 0)</f>
        <v>25680</v>
      </c>
    </row>
    <row r="32" spans="1:33" ht="18.399999999999999" customHeight="1" x14ac:dyDescent="0.15">
      <c r="A32" s="9" t="s">
        <v>1952</v>
      </c>
      <c r="B32" s="9" t="s">
        <v>457</v>
      </c>
      <c r="C32" s="9" t="s">
        <v>2856</v>
      </c>
      <c r="D32" s="9">
        <v>11.6</v>
      </c>
      <c r="E32" s="36" t="s">
        <v>2808</v>
      </c>
      <c r="F32" s="36">
        <f>중기기초자료!D17</f>
        <v>1390</v>
      </c>
      <c r="G32" s="35">
        <f>TRUNC(F32*D32, 1)</f>
        <v>16124</v>
      </c>
      <c r="H32" s="9" t="s">
        <v>2856</v>
      </c>
      <c r="I32" s="9" t="s">
        <v>2856</v>
      </c>
      <c r="K32" s="9" t="s">
        <v>1036</v>
      </c>
      <c r="L32" s="9" t="s">
        <v>2856</v>
      </c>
      <c r="M32" s="9" t="s">
        <v>563</v>
      </c>
      <c r="AG32" s="34" t="str">
        <f>HYPERLINK("#중기기초자료!A17","M9366005 →")</f>
        <v>M9366005 →</v>
      </c>
    </row>
    <row r="33" spans="1:33" ht="18.399999999999999" customHeight="1" x14ac:dyDescent="0.15">
      <c r="B33" s="9" t="s">
        <v>223</v>
      </c>
      <c r="C33" s="9" t="s">
        <v>2856</v>
      </c>
      <c r="D33" s="9">
        <v>24</v>
      </c>
      <c r="E33" s="36" t="s">
        <v>1193</v>
      </c>
      <c r="F33" s="36">
        <v>0</v>
      </c>
      <c r="G33" s="35">
        <f>TRUNC((G32) * D33/100, 1)</f>
        <v>3869.7</v>
      </c>
      <c r="H33" s="9" t="s">
        <v>2856</v>
      </c>
      <c r="I33" s="9" t="s">
        <v>2856</v>
      </c>
      <c r="K33" s="9" t="s">
        <v>286</v>
      </c>
      <c r="L33" s="9" t="s">
        <v>2856</v>
      </c>
      <c r="M33" s="9" t="s">
        <v>1921</v>
      </c>
      <c r="N33" s="9" t="s">
        <v>2856</v>
      </c>
    </row>
    <row r="34" spans="1:33" ht="18.399999999999999" customHeight="1" x14ac:dyDescent="0.15">
      <c r="B34" s="9" t="s">
        <v>2446</v>
      </c>
      <c r="G34" s="33">
        <f>TRUNC(G32+G33, 0)</f>
        <v>19993</v>
      </c>
    </row>
    <row r="35" spans="1:33" ht="18.399999999999999" customHeight="1" x14ac:dyDescent="0.15">
      <c r="A35" s="9" t="s">
        <v>1158</v>
      </c>
      <c r="B35" s="9" t="s">
        <v>643</v>
      </c>
      <c r="C35" s="9" t="s">
        <v>1612</v>
      </c>
      <c r="D35" s="9">
        <v>1</v>
      </c>
      <c r="E35" s="35" t="s">
        <v>1682</v>
      </c>
      <c r="F35" s="35">
        <f>TRUNC(중기기초자료!E13 * 중기전역변수!C18, 1)</f>
        <v>56874.1</v>
      </c>
      <c r="G35" s="35">
        <f>TRUNC(F35*D35, 1)</f>
        <v>56874.1</v>
      </c>
      <c r="H35" s="9" t="s">
        <v>2856</v>
      </c>
      <c r="I35" s="9" t="s">
        <v>2856</v>
      </c>
      <c r="K35" s="9" t="s">
        <v>1616</v>
      </c>
      <c r="L35" s="9" t="s">
        <v>2856</v>
      </c>
      <c r="M35" s="9" t="s">
        <v>1646</v>
      </c>
      <c r="AG35" s="34" t="str">
        <f>HYPERLINK("#중기기초자료!A13","L086 →")</f>
        <v>L086 →</v>
      </c>
    </row>
    <row r="36" spans="1:33" ht="18.399999999999999" customHeight="1" x14ac:dyDescent="0.15">
      <c r="B36" s="9" t="s">
        <v>2446</v>
      </c>
      <c r="G36" s="33">
        <f>TRUNC(G35, 0)</f>
        <v>56874</v>
      </c>
    </row>
    <row r="37" spans="1:33" ht="18.399999999999999" customHeight="1" thickBot="1" x14ac:dyDescent="0.2">
      <c r="B37" s="9" t="s">
        <v>280</v>
      </c>
      <c r="G37" s="33">
        <f>TRUNC(G31+G34+G36, 0)</f>
        <v>102547</v>
      </c>
    </row>
    <row r="38" spans="1:33" ht="18.399999999999999" customHeight="1" thickTop="1" thickBot="1" x14ac:dyDescent="0.2">
      <c r="A38" s="4"/>
      <c r="B38" s="4"/>
      <c r="C38" s="4"/>
      <c r="D38" s="4"/>
      <c r="E38" s="4"/>
      <c r="F38" s="4"/>
      <c r="G38" s="4"/>
      <c r="H38" s="4"/>
    </row>
    <row r="39" spans="1:33" ht="18.399999999999999" customHeight="1" thickTop="1" thickBot="1" x14ac:dyDescent="0.2">
      <c r="A39" s="4" t="s">
        <v>2531</v>
      </c>
      <c r="B39" s="4" t="s">
        <v>1564</v>
      </c>
      <c r="C39" s="4"/>
      <c r="D39" s="4"/>
      <c r="E39" s="4"/>
      <c r="F39" s="4"/>
      <c r="G39" s="4"/>
      <c r="H39" s="4"/>
      <c r="I39" s="9" t="s">
        <v>2856</v>
      </c>
      <c r="J39" s="9" t="s">
        <v>2669</v>
      </c>
    </row>
    <row r="40" spans="1:33" ht="18.399999999999999" customHeight="1" thickTop="1" x14ac:dyDescent="0.15">
      <c r="A40" s="4" t="s">
        <v>777</v>
      </c>
      <c r="B40" s="4" t="s">
        <v>2815</v>
      </c>
      <c r="C40" s="4"/>
      <c r="D40" s="4"/>
      <c r="E40" s="4"/>
      <c r="F40" s="4"/>
      <c r="G40" s="4"/>
      <c r="H40" s="4"/>
    </row>
    <row r="41" spans="1:33" ht="18.399999999999999" customHeight="1" x14ac:dyDescent="0.15">
      <c r="A41" s="32" t="s">
        <v>2201</v>
      </c>
      <c r="B41" s="32"/>
      <c r="C41" s="32" t="s">
        <v>1400</v>
      </c>
      <c r="D41" s="32" t="s">
        <v>74</v>
      </c>
      <c r="E41" s="32" t="s">
        <v>2660</v>
      </c>
      <c r="F41" s="32" t="s">
        <v>636</v>
      </c>
      <c r="G41" s="32" t="s">
        <v>360</v>
      </c>
      <c r="H41" s="32" t="s">
        <v>726</v>
      </c>
    </row>
    <row r="42" spans="1:33" ht="18.399999999999999" customHeight="1" x14ac:dyDescent="0.15">
      <c r="A42" s="9" t="s">
        <v>186</v>
      </c>
      <c r="B42" s="9" t="s">
        <v>1565</v>
      </c>
      <c r="C42" s="9" t="s">
        <v>919</v>
      </c>
      <c r="D42" s="9">
        <f>(1286 + 857 + 682)*10^-4</f>
        <v>0.28250000000000003</v>
      </c>
      <c r="E42" s="33" t="s">
        <v>341</v>
      </c>
      <c r="F42" s="33">
        <f>중기기초자료!F6</f>
        <v>6537</v>
      </c>
      <c r="G42" s="35">
        <f>TRUNC(F42*D42, 1)</f>
        <v>1846.7</v>
      </c>
      <c r="H42" s="9" t="s">
        <v>2856</v>
      </c>
      <c r="I42" s="9" t="s">
        <v>2856</v>
      </c>
      <c r="K42" s="9" t="s">
        <v>334</v>
      </c>
      <c r="L42" s="9" t="s">
        <v>2856</v>
      </c>
      <c r="M42" s="9" t="s">
        <v>398</v>
      </c>
      <c r="N42" s="9" t="s">
        <v>2257</v>
      </c>
      <c r="AG42" s="34" t="str">
        <f>HYPERLINK("#중기기초자료!A6","G13050007 →")</f>
        <v>G13050007 →</v>
      </c>
    </row>
    <row r="43" spans="1:33" ht="18.399999999999999" customHeight="1" x14ac:dyDescent="0.15">
      <c r="B43" s="9" t="s">
        <v>2446</v>
      </c>
      <c r="G43" s="33">
        <f>TRUNC(G42, 0)</f>
        <v>1846</v>
      </c>
    </row>
    <row r="44" spans="1:33" ht="18.399999999999999" customHeight="1" x14ac:dyDescent="0.15">
      <c r="A44" s="9" t="s">
        <v>1952</v>
      </c>
      <c r="B44" s="9" t="s">
        <v>457</v>
      </c>
      <c r="C44" s="9" t="s">
        <v>2856</v>
      </c>
      <c r="D44" s="9">
        <v>2.2000000000000002</v>
      </c>
      <c r="E44" s="36" t="s">
        <v>2808</v>
      </c>
      <c r="F44" s="36">
        <f>중기기초자료!D17</f>
        <v>1390</v>
      </c>
      <c r="G44" s="35">
        <f>TRUNC(F44*D44, 1)</f>
        <v>3058</v>
      </c>
      <c r="H44" s="9" t="s">
        <v>2856</v>
      </c>
      <c r="I44" s="9" t="s">
        <v>2856</v>
      </c>
      <c r="K44" s="9" t="s">
        <v>1036</v>
      </c>
      <c r="L44" s="9" t="s">
        <v>2856</v>
      </c>
      <c r="M44" s="9" t="s">
        <v>563</v>
      </c>
      <c r="AG44" s="34" t="str">
        <f>HYPERLINK("#중기기초자료!A17","M9366005 →")</f>
        <v>M9366005 →</v>
      </c>
    </row>
    <row r="45" spans="1:33" ht="18.399999999999999" customHeight="1" x14ac:dyDescent="0.15">
      <c r="B45" s="9" t="s">
        <v>223</v>
      </c>
      <c r="C45" s="9" t="s">
        <v>2856</v>
      </c>
      <c r="D45" s="9">
        <v>13</v>
      </c>
      <c r="E45" s="36" t="s">
        <v>1193</v>
      </c>
      <c r="F45" s="36">
        <v>0</v>
      </c>
      <c r="G45" s="35">
        <f>TRUNC((G44) * D45/100, 1)</f>
        <v>397.5</v>
      </c>
      <c r="H45" s="9" t="s">
        <v>2856</v>
      </c>
      <c r="I45" s="9" t="s">
        <v>2856</v>
      </c>
      <c r="K45" s="9" t="s">
        <v>286</v>
      </c>
      <c r="L45" s="9" t="s">
        <v>2856</v>
      </c>
      <c r="M45" s="9" t="s">
        <v>1921</v>
      </c>
      <c r="N45" s="9" t="s">
        <v>2856</v>
      </c>
    </row>
    <row r="46" spans="1:33" ht="18.399999999999999" customHeight="1" x14ac:dyDescent="0.15">
      <c r="B46" s="9" t="s">
        <v>2446</v>
      </c>
      <c r="G46" s="33">
        <f>TRUNC(G44+G45, 0)</f>
        <v>3455</v>
      </c>
    </row>
    <row r="47" spans="1:33" ht="18.399999999999999" customHeight="1" x14ac:dyDescent="0.15">
      <c r="A47" s="9" t="s">
        <v>1158</v>
      </c>
      <c r="B47" s="9" t="s">
        <v>1436</v>
      </c>
      <c r="C47" s="9" t="s">
        <v>1530</v>
      </c>
      <c r="D47" s="9">
        <v>1</v>
      </c>
      <c r="E47" s="35" t="s">
        <v>1682</v>
      </c>
      <c r="F47" s="35">
        <f>TRUNC(중기기초자료!E15 * 중기전역변수!C18, 1)</f>
        <v>34803.9</v>
      </c>
      <c r="G47" s="35">
        <f>TRUNC(F47*D47, 1)</f>
        <v>34803.9</v>
      </c>
      <c r="H47" s="9" t="s">
        <v>2856</v>
      </c>
      <c r="I47" s="9" t="s">
        <v>1961</v>
      </c>
      <c r="K47" s="9" t="s">
        <v>1616</v>
      </c>
      <c r="L47" s="9" t="s">
        <v>2856</v>
      </c>
      <c r="M47" s="9" t="s">
        <v>1643</v>
      </c>
      <c r="AG47" s="34" t="str">
        <f>HYPERLINK("#중기기초자료!A15","L088 →")</f>
        <v>L088 →</v>
      </c>
    </row>
    <row r="48" spans="1:33" ht="18.399999999999999" customHeight="1" x14ac:dyDescent="0.15">
      <c r="B48" s="9" t="s">
        <v>2446</v>
      </c>
      <c r="G48" s="33">
        <f>TRUNC(G47, 0)</f>
        <v>34803</v>
      </c>
    </row>
    <row r="49" spans="1:33" ht="18.399999999999999" customHeight="1" thickBot="1" x14ac:dyDescent="0.2">
      <c r="B49" s="9" t="s">
        <v>280</v>
      </c>
      <c r="G49" s="33">
        <f>TRUNC(G43+G46+G48, 0)</f>
        <v>40104</v>
      </c>
    </row>
    <row r="50" spans="1:33" ht="18.399999999999999" customHeight="1" thickTop="1" thickBot="1" x14ac:dyDescent="0.2">
      <c r="A50" s="4"/>
      <c r="B50" s="4"/>
      <c r="C50" s="4"/>
      <c r="D50" s="4"/>
      <c r="E50" s="4"/>
      <c r="F50" s="4"/>
      <c r="G50" s="4"/>
      <c r="H50" s="4"/>
    </row>
    <row r="51" spans="1:33" ht="18.399999999999999" customHeight="1" thickTop="1" thickBot="1" x14ac:dyDescent="0.2">
      <c r="A51" s="4" t="s">
        <v>2531</v>
      </c>
      <c r="B51" s="4" t="s">
        <v>2454</v>
      </c>
      <c r="C51" s="4"/>
      <c r="D51" s="4"/>
      <c r="E51" s="4"/>
      <c r="F51" s="4"/>
      <c r="G51" s="4"/>
      <c r="H51" s="4"/>
      <c r="I51" s="9" t="s">
        <v>2856</v>
      </c>
      <c r="J51" s="9" t="s">
        <v>864</v>
      </c>
    </row>
    <row r="52" spans="1:33" ht="18.399999999999999" customHeight="1" thickTop="1" x14ac:dyDescent="0.15">
      <c r="A52" s="4" t="s">
        <v>777</v>
      </c>
      <c r="B52" s="4" t="s">
        <v>2822</v>
      </c>
      <c r="C52" s="4"/>
      <c r="D52" s="4"/>
      <c r="E52" s="4"/>
      <c r="F52" s="4"/>
      <c r="G52" s="4"/>
      <c r="H52" s="4"/>
    </row>
    <row r="53" spans="1:33" ht="18.399999999999999" customHeight="1" x14ac:dyDescent="0.15">
      <c r="A53" s="32" t="s">
        <v>2201</v>
      </c>
      <c r="B53" s="32"/>
      <c r="C53" s="32" t="s">
        <v>1400</v>
      </c>
      <c r="D53" s="32" t="s">
        <v>74</v>
      </c>
      <c r="E53" s="32" t="s">
        <v>2660</v>
      </c>
      <c r="F53" s="32" t="s">
        <v>636</v>
      </c>
      <c r="G53" s="32" t="s">
        <v>360</v>
      </c>
      <c r="H53" s="32" t="s">
        <v>726</v>
      </c>
    </row>
    <row r="54" spans="1:33" ht="18.399999999999999" customHeight="1" x14ac:dyDescent="0.15">
      <c r="A54" s="9" t="s">
        <v>186</v>
      </c>
      <c r="B54" s="9" t="s">
        <v>1319</v>
      </c>
      <c r="C54" s="9" t="s">
        <v>2414</v>
      </c>
      <c r="D54" s="9">
        <f>(1800 + 1200 + 708)*10^-4</f>
        <v>0.37080000000000002</v>
      </c>
      <c r="E54" s="33" t="s">
        <v>2276</v>
      </c>
      <c r="F54" s="33">
        <f>중기기초자료!F7</f>
        <v>1570</v>
      </c>
      <c r="G54" s="35">
        <f>TRUNC(F54*D54, 1)</f>
        <v>582.1</v>
      </c>
      <c r="H54" s="9" t="s">
        <v>2856</v>
      </c>
      <c r="I54" s="9" t="s">
        <v>2856</v>
      </c>
      <c r="K54" s="9" t="s">
        <v>334</v>
      </c>
      <c r="L54" s="9" t="s">
        <v>2856</v>
      </c>
      <c r="M54" s="9" t="s">
        <v>1477</v>
      </c>
      <c r="N54" s="9" t="s">
        <v>723</v>
      </c>
      <c r="AG54" s="34" t="str">
        <f>HYPERLINK("#중기기초자료!A7","G17300015 →")</f>
        <v>G17300015 →</v>
      </c>
    </row>
    <row r="55" spans="1:33" ht="18.399999999999999" customHeight="1" x14ac:dyDescent="0.15">
      <c r="B55" s="9" t="s">
        <v>2446</v>
      </c>
      <c r="G55" s="33">
        <f>TRUNC(G54, 0)</f>
        <v>582</v>
      </c>
    </row>
    <row r="56" spans="1:33" ht="18.399999999999999" customHeight="1" x14ac:dyDescent="0.15">
      <c r="A56" s="9" t="s">
        <v>1952</v>
      </c>
      <c r="B56" s="9" t="s">
        <v>808</v>
      </c>
      <c r="C56" s="9" t="s">
        <v>2856</v>
      </c>
      <c r="D56" s="9">
        <v>1</v>
      </c>
      <c r="E56" s="36" t="s">
        <v>2808</v>
      </c>
      <c r="F56" s="36">
        <f>중기기초자료!D16</f>
        <v>1538</v>
      </c>
      <c r="G56" s="35">
        <f>TRUNC(F56*D56, 1)</f>
        <v>1538</v>
      </c>
      <c r="H56" s="9" t="s">
        <v>2856</v>
      </c>
      <c r="I56" s="9" t="s">
        <v>2856</v>
      </c>
      <c r="K56" s="9" t="s">
        <v>1036</v>
      </c>
      <c r="L56" s="9" t="s">
        <v>2856</v>
      </c>
      <c r="M56" s="9" t="s">
        <v>2443</v>
      </c>
      <c r="AG56" s="34" t="str">
        <f>HYPERLINK("#중기기초자료!A16","M9360003 →")</f>
        <v>M9360003 →</v>
      </c>
    </row>
    <row r="57" spans="1:33" ht="18.399999999999999" customHeight="1" x14ac:dyDescent="0.15">
      <c r="B57" s="9" t="s">
        <v>223</v>
      </c>
      <c r="C57" s="9" t="s">
        <v>2856</v>
      </c>
      <c r="D57" s="9">
        <v>20</v>
      </c>
      <c r="E57" s="36" t="s">
        <v>1193</v>
      </c>
      <c r="F57" s="36">
        <v>0</v>
      </c>
      <c r="G57" s="35">
        <f>TRUNC((G56) * D57/100, 1)</f>
        <v>307.60000000000002</v>
      </c>
      <c r="H57" s="9" t="s">
        <v>2856</v>
      </c>
      <c r="I57" s="9" t="s">
        <v>2856</v>
      </c>
      <c r="K57" s="9" t="s">
        <v>286</v>
      </c>
      <c r="L57" s="9" t="s">
        <v>2856</v>
      </c>
      <c r="M57" s="9" t="s">
        <v>1921</v>
      </c>
      <c r="N57" s="9" t="s">
        <v>2856</v>
      </c>
    </row>
    <row r="58" spans="1:33" ht="18.399999999999999" customHeight="1" x14ac:dyDescent="0.15">
      <c r="B58" s="9" t="s">
        <v>2446</v>
      </c>
      <c r="G58" s="33">
        <f>TRUNC(G56+G57, 0)</f>
        <v>1845</v>
      </c>
    </row>
    <row r="59" spans="1:33" ht="18.399999999999999" customHeight="1" x14ac:dyDescent="0.15">
      <c r="A59" s="9" t="s">
        <v>1158</v>
      </c>
      <c r="B59" s="9" t="s">
        <v>1436</v>
      </c>
      <c r="C59" s="9" t="s">
        <v>672</v>
      </c>
      <c r="D59" s="9">
        <v>1</v>
      </c>
      <c r="E59" s="35" t="s">
        <v>1682</v>
      </c>
      <c r="F59" s="35">
        <f>TRUNC(중기기초자료!E15 * 중기전역변수!C18, 1)</f>
        <v>34803.9</v>
      </c>
      <c r="G59" s="35">
        <f>TRUNC(F59*D59, 1)</f>
        <v>34803.9</v>
      </c>
      <c r="H59" s="9" t="s">
        <v>2856</v>
      </c>
      <c r="I59" s="9" t="s">
        <v>2856</v>
      </c>
      <c r="K59" s="9" t="s">
        <v>1616</v>
      </c>
      <c r="L59" s="9" t="s">
        <v>2856</v>
      </c>
      <c r="M59" s="9" t="s">
        <v>1643</v>
      </c>
      <c r="AG59" s="34" t="str">
        <f>HYPERLINK("#중기기초자료!A15","L088 →")</f>
        <v>L088 →</v>
      </c>
    </row>
    <row r="60" spans="1:33" ht="18.399999999999999" customHeight="1" x14ac:dyDescent="0.15">
      <c r="B60" s="9" t="s">
        <v>2446</v>
      </c>
      <c r="G60" s="33">
        <f>TRUNC(G59, 0)</f>
        <v>34803</v>
      </c>
    </row>
    <row r="61" spans="1:33" ht="18.399999999999999" customHeight="1" thickBot="1" x14ac:dyDescent="0.2">
      <c r="B61" s="9" t="s">
        <v>280</v>
      </c>
      <c r="G61" s="33">
        <f>TRUNC(G55+G58+G60, 0)</f>
        <v>37230</v>
      </c>
    </row>
    <row r="62" spans="1:33" ht="18.399999999999999" customHeight="1" thickTop="1" thickBot="1" x14ac:dyDescent="0.2">
      <c r="A62" s="4"/>
      <c r="B62" s="4"/>
      <c r="C62" s="4"/>
      <c r="D62" s="4"/>
      <c r="E62" s="4"/>
      <c r="F62" s="4"/>
      <c r="G62" s="4"/>
      <c r="H62" s="4"/>
    </row>
    <row r="63" spans="1:33" ht="18.399999999999999" customHeight="1" thickTop="1" thickBot="1" x14ac:dyDescent="0.2">
      <c r="A63" s="4" t="s">
        <v>2531</v>
      </c>
      <c r="B63" s="4" t="s">
        <v>2770</v>
      </c>
      <c r="C63" s="4"/>
      <c r="D63" s="4"/>
      <c r="E63" s="4"/>
      <c r="F63" s="4"/>
      <c r="G63" s="4"/>
      <c r="H63" s="4"/>
      <c r="I63" s="9" t="s">
        <v>2856</v>
      </c>
      <c r="J63" s="9" t="s">
        <v>1324</v>
      </c>
    </row>
    <row r="64" spans="1:33" ht="18.399999999999999" customHeight="1" thickTop="1" x14ac:dyDescent="0.15">
      <c r="A64" s="4" t="s">
        <v>777</v>
      </c>
      <c r="B64" s="4" t="s">
        <v>401</v>
      </c>
      <c r="C64" s="4"/>
      <c r="D64" s="4"/>
      <c r="E64" s="4"/>
      <c r="F64" s="4"/>
      <c r="G64" s="4"/>
      <c r="H64" s="4"/>
    </row>
    <row r="65" spans="1:33" ht="18.399999999999999" customHeight="1" x14ac:dyDescent="0.15">
      <c r="A65" s="32" t="s">
        <v>2201</v>
      </c>
      <c r="B65" s="32"/>
      <c r="C65" s="32" t="s">
        <v>1400</v>
      </c>
      <c r="D65" s="32" t="s">
        <v>74</v>
      </c>
      <c r="E65" s="32" t="s">
        <v>2660</v>
      </c>
      <c r="F65" s="32" t="s">
        <v>636</v>
      </c>
      <c r="G65" s="32" t="s">
        <v>360</v>
      </c>
      <c r="H65" s="32" t="s">
        <v>726</v>
      </c>
    </row>
    <row r="66" spans="1:33" ht="18.399999999999999" customHeight="1" x14ac:dyDescent="0.15">
      <c r="A66" s="9" t="s">
        <v>186</v>
      </c>
      <c r="B66" s="9" t="s">
        <v>536</v>
      </c>
      <c r="C66" s="9" t="s">
        <v>2467</v>
      </c>
      <c r="D66" s="9">
        <f>(1071 + 536 + 691)*10^-4</f>
        <v>0.2298</v>
      </c>
      <c r="E66" s="33" t="s">
        <v>341</v>
      </c>
      <c r="F66" s="33">
        <f>중기기초자료!F8</f>
        <v>131000</v>
      </c>
      <c r="G66" s="35">
        <f>TRUNC(F66*D66, 1)</f>
        <v>30103.8</v>
      </c>
      <c r="H66" s="9" t="s">
        <v>2856</v>
      </c>
      <c r="I66" s="9" t="s">
        <v>2856</v>
      </c>
      <c r="K66" s="9" t="s">
        <v>334</v>
      </c>
      <c r="L66" s="9" t="s">
        <v>2856</v>
      </c>
      <c r="M66" s="9" t="s">
        <v>2113</v>
      </c>
      <c r="N66" s="9" t="s">
        <v>221</v>
      </c>
      <c r="AG66" s="34" t="str">
        <f>HYPERLINK("#중기기초자료!A8","G21040010 →")</f>
        <v>G21040010 →</v>
      </c>
    </row>
    <row r="67" spans="1:33" ht="18.399999999999999" customHeight="1" x14ac:dyDescent="0.15">
      <c r="B67" s="9" t="s">
        <v>2446</v>
      </c>
      <c r="G67" s="33">
        <f>TRUNC(G66, 0)</f>
        <v>30103</v>
      </c>
    </row>
    <row r="68" spans="1:33" ht="18.399999999999999" customHeight="1" x14ac:dyDescent="0.15">
      <c r="A68" s="9" t="s">
        <v>1952</v>
      </c>
      <c r="B68" s="9" t="s">
        <v>457</v>
      </c>
      <c r="C68" s="9" t="s">
        <v>2856</v>
      </c>
      <c r="D68" s="9">
        <v>3.8</v>
      </c>
      <c r="E68" s="36" t="s">
        <v>2808</v>
      </c>
      <c r="F68" s="36">
        <f>중기기초자료!D17</f>
        <v>1390</v>
      </c>
      <c r="G68" s="35">
        <f>TRUNC(F68*D68, 1)</f>
        <v>5282</v>
      </c>
      <c r="H68" s="9" t="s">
        <v>2856</v>
      </c>
      <c r="I68" s="9" t="s">
        <v>2856</v>
      </c>
      <c r="K68" s="9" t="s">
        <v>1036</v>
      </c>
      <c r="L68" s="9" t="s">
        <v>2856</v>
      </c>
      <c r="M68" s="9" t="s">
        <v>563</v>
      </c>
      <c r="AG68" s="34" t="str">
        <f>HYPERLINK("#중기기초자료!A17","M9366005 →")</f>
        <v>M9366005 →</v>
      </c>
    </row>
    <row r="69" spans="1:33" ht="18.399999999999999" customHeight="1" x14ac:dyDescent="0.15">
      <c r="B69" s="9" t="s">
        <v>223</v>
      </c>
      <c r="C69" s="9" t="s">
        <v>2856</v>
      </c>
      <c r="D69" s="9">
        <v>39</v>
      </c>
      <c r="E69" s="36" t="s">
        <v>1193</v>
      </c>
      <c r="F69" s="36">
        <v>0</v>
      </c>
      <c r="G69" s="35">
        <f>TRUNC((G68) * D69/100, 1)</f>
        <v>2059.9</v>
      </c>
      <c r="H69" s="9" t="s">
        <v>2856</v>
      </c>
      <c r="I69" s="9" t="s">
        <v>2856</v>
      </c>
      <c r="K69" s="9" t="s">
        <v>286</v>
      </c>
      <c r="L69" s="9" t="s">
        <v>2856</v>
      </c>
      <c r="M69" s="9" t="s">
        <v>1921</v>
      </c>
      <c r="N69" s="9" t="s">
        <v>2856</v>
      </c>
    </row>
    <row r="70" spans="1:33" ht="18.399999999999999" customHeight="1" x14ac:dyDescent="0.15">
      <c r="B70" s="9" t="s">
        <v>2446</v>
      </c>
      <c r="G70" s="33">
        <f>TRUNC(G68+G69, 0)</f>
        <v>7341</v>
      </c>
    </row>
    <row r="71" spans="1:33" ht="18.399999999999999" customHeight="1" x14ac:dyDescent="0.15">
      <c r="A71" s="9" t="s">
        <v>1158</v>
      </c>
      <c r="B71" s="9" t="s">
        <v>643</v>
      </c>
      <c r="C71" s="9" t="s">
        <v>1612</v>
      </c>
      <c r="D71" s="9">
        <v>1</v>
      </c>
      <c r="E71" s="35" t="s">
        <v>1682</v>
      </c>
      <c r="F71" s="35">
        <f>TRUNC(중기기초자료!E13 * 중기전역변수!C18, 1)</f>
        <v>56874.1</v>
      </c>
      <c r="G71" s="35">
        <f>TRUNC(F71*D71, 1)</f>
        <v>56874.1</v>
      </c>
      <c r="H71" s="9" t="s">
        <v>2856</v>
      </c>
      <c r="I71" s="9" t="s">
        <v>2856</v>
      </c>
      <c r="K71" s="9" t="s">
        <v>1616</v>
      </c>
      <c r="L71" s="9" t="s">
        <v>2856</v>
      </c>
      <c r="M71" s="9" t="s">
        <v>1646</v>
      </c>
      <c r="AG71" s="34" t="str">
        <f>HYPERLINK("#중기기초자료!A13","L086 →")</f>
        <v>L086 →</v>
      </c>
    </row>
    <row r="72" spans="1:33" ht="18.399999999999999" customHeight="1" x14ac:dyDescent="0.15">
      <c r="B72" s="9" t="s">
        <v>2446</v>
      </c>
      <c r="G72" s="33">
        <f>TRUNC(G71, 0)</f>
        <v>56874</v>
      </c>
    </row>
    <row r="73" spans="1:33" ht="18.399999999999999" customHeight="1" thickBot="1" x14ac:dyDescent="0.2">
      <c r="B73" s="9" t="s">
        <v>280</v>
      </c>
      <c r="G73" s="33">
        <f>TRUNC(G67+G70+G72, 0)</f>
        <v>94318</v>
      </c>
    </row>
    <row r="74" spans="1:33" ht="18.399999999999999" customHeight="1" thickTop="1" thickBot="1" x14ac:dyDescent="0.2">
      <c r="A74" s="4"/>
      <c r="B74" s="4"/>
      <c r="C74" s="4"/>
      <c r="D74" s="4"/>
      <c r="E74" s="4"/>
      <c r="F74" s="4"/>
      <c r="G74" s="4"/>
      <c r="H74" s="4"/>
    </row>
    <row r="75" spans="1:33" ht="18.399999999999999" customHeight="1" thickTop="1" thickBot="1" x14ac:dyDescent="0.2">
      <c r="A75" s="4" t="s">
        <v>2531</v>
      </c>
      <c r="B75" s="4" t="s">
        <v>2012</v>
      </c>
      <c r="C75" s="4"/>
      <c r="D75" s="4"/>
      <c r="E75" s="4"/>
      <c r="F75" s="4"/>
      <c r="G75" s="4"/>
      <c r="H75" s="4"/>
      <c r="I75" s="9" t="s">
        <v>2856</v>
      </c>
      <c r="J75" s="9" t="s">
        <v>2787</v>
      </c>
    </row>
    <row r="76" spans="1:33" ht="18.399999999999999" customHeight="1" thickTop="1" x14ac:dyDescent="0.15">
      <c r="A76" s="4" t="s">
        <v>777</v>
      </c>
      <c r="B76" s="4" t="s">
        <v>1821</v>
      </c>
      <c r="C76" s="4"/>
      <c r="D76" s="4"/>
      <c r="E76" s="4"/>
      <c r="F76" s="4"/>
      <c r="G76" s="4"/>
      <c r="H76" s="4"/>
    </row>
    <row r="77" spans="1:33" ht="18.399999999999999" customHeight="1" x14ac:dyDescent="0.15">
      <c r="A77" s="32" t="s">
        <v>2201</v>
      </c>
      <c r="B77" s="32"/>
      <c r="C77" s="32" t="s">
        <v>1400</v>
      </c>
      <c r="D77" s="32" t="s">
        <v>74</v>
      </c>
      <c r="E77" s="32" t="s">
        <v>2660</v>
      </c>
      <c r="F77" s="32" t="s">
        <v>636</v>
      </c>
      <c r="G77" s="32" t="s">
        <v>360</v>
      </c>
      <c r="H77" s="32" t="s">
        <v>726</v>
      </c>
    </row>
    <row r="78" spans="1:33" ht="18.399999999999999" customHeight="1" x14ac:dyDescent="0.15">
      <c r="A78" s="9" t="s">
        <v>186</v>
      </c>
      <c r="B78" s="9" t="s">
        <v>536</v>
      </c>
      <c r="C78" s="9" t="s">
        <v>1928</v>
      </c>
      <c r="D78" s="9">
        <f>(1071 + 536 + 691)*10^-4</f>
        <v>0.2298</v>
      </c>
      <c r="E78" s="33" t="s">
        <v>341</v>
      </c>
      <c r="F78" s="33">
        <f>중기기초자료!F9</f>
        <v>177785</v>
      </c>
      <c r="G78" s="35">
        <f>TRUNC(F78*D78, 1)</f>
        <v>40854.9</v>
      </c>
      <c r="H78" s="9" t="s">
        <v>2856</v>
      </c>
      <c r="I78" s="9" t="s">
        <v>2856</v>
      </c>
      <c r="K78" s="9" t="s">
        <v>334</v>
      </c>
      <c r="L78" s="9" t="s">
        <v>2856</v>
      </c>
      <c r="M78" s="9" t="s">
        <v>538</v>
      </c>
      <c r="N78" s="9" t="s">
        <v>221</v>
      </c>
      <c r="AG78" s="34" t="str">
        <f>HYPERLINK("#중기기초자료!A9","G21040015 →")</f>
        <v>G21040015 →</v>
      </c>
    </row>
    <row r="79" spans="1:33" ht="18.399999999999999" customHeight="1" x14ac:dyDescent="0.15">
      <c r="B79" s="9" t="s">
        <v>2446</v>
      </c>
      <c r="G79" s="33">
        <f>TRUNC(G78, 0)</f>
        <v>40854</v>
      </c>
    </row>
    <row r="80" spans="1:33" ht="18.399999999999999" customHeight="1" x14ac:dyDescent="0.15">
      <c r="A80" s="9" t="s">
        <v>1952</v>
      </c>
      <c r="B80" s="9" t="s">
        <v>457</v>
      </c>
      <c r="C80" s="9" t="s">
        <v>2856</v>
      </c>
      <c r="D80" s="9">
        <v>4.7</v>
      </c>
      <c r="E80" s="36" t="s">
        <v>2808</v>
      </c>
      <c r="F80" s="36">
        <f>중기기초자료!D17</f>
        <v>1390</v>
      </c>
      <c r="G80" s="35">
        <f>TRUNC(F80*D80, 1)</f>
        <v>6533</v>
      </c>
      <c r="H80" s="9" t="s">
        <v>2856</v>
      </c>
      <c r="I80" s="9" t="s">
        <v>2856</v>
      </c>
      <c r="K80" s="9" t="s">
        <v>1036</v>
      </c>
      <c r="L80" s="9" t="s">
        <v>2856</v>
      </c>
      <c r="M80" s="9" t="s">
        <v>563</v>
      </c>
      <c r="AG80" s="34" t="str">
        <f>HYPERLINK("#중기기초자료!A17","M9366005 →")</f>
        <v>M9366005 →</v>
      </c>
    </row>
    <row r="81" spans="1:33" ht="18.399999999999999" customHeight="1" x14ac:dyDescent="0.15">
      <c r="B81" s="9" t="s">
        <v>223</v>
      </c>
      <c r="C81" s="9" t="s">
        <v>2856</v>
      </c>
      <c r="D81" s="9">
        <v>39</v>
      </c>
      <c r="E81" s="36" t="s">
        <v>1193</v>
      </c>
      <c r="F81" s="36">
        <v>0</v>
      </c>
      <c r="G81" s="35">
        <f>TRUNC((G80) * D81/100, 1)</f>
        <v>2547.8000000000002</v>
      </c>
      <c r="H81" s="9" t="s">
        <v>2856</v>
      </c>
      <c r="I81" s="9" t="s">
        <v>2856</v>
      </c>
      <c r="K81" s="9" t="s">
        <v>286</v>
      </c>
      <c r="L81" s="9" t="s">
        <v>2856</v>
      </c>
      <c r="M81" s="9" t="s">
        <v>1921</v>
      </c>
      <c r="N81" s="9" t="s">
        <v>2856</v>
      </c>
    </row>
    <row r="82" spans="1:33" ht="18.399999999999999" customHeight="1" x14ac:dyDescent="0.15">
      <c r="B82" s="9" t="s">
        <v>2446</v>
      </c>
      <c r="G82" s="33">
        <f>TRUNC(G80+G81, 0)</f>
        <v>9080</v>
      </c>
    </row>
    <row r="83" spans="1:33" ht="18.399999999999999" customHeight="1" x14ac:dyDescent="0.15">
      <c r="A83" s="9" t="s">
        <v>1158</v>
      </c>
      <c r="B83" s="9" t="s">
        <v>643</v>
      </c>
      <c r="C83" s="9" t="s">
        <v>1612</v>
      </c>
      <c r="D83" s="9">
        <v>1</v>
      </c>
      <c r="E83" s="35" t="s">
        <v>1682</v>
      </c>
      <c r="F83" s="35">
        <f>TRUNC(중기기초자료!E13 * 중기전역변수!C18, 1)</f>
        <v>56874.1</v>
      </c>
      <c r="G83" s="35">
        <f>TRUNC(F83*D83, 1)</f>
        <v>56874.1</v>
      </c>
      <c r="H83" s="9" t="s">
        <v>2856</v>
      </c>
      <c r="I83" s="9" t="s">
        <v>2856</v>
      </c>
      <c r="K83" s="9" t="s">
        <v>1616</v>
      </c>
      <c r="L83" s="9" t="s">
        <v>2856</v>
      </c>
      <c r="M83" s="9" t="s">
        <v>1646</v>
      </c>
      <c r="AG83" s="34" t="str">
        <f>HYPERLINK("#중기기초자료!A13","L086 →")</f>
        <v>L086 →</v>
      </c>
    </row>
    <row r="84" spans="1:33" ht="18.399999999999999" customHeight="1" x14ac:dyDescent="0.15">
      <c r="B84" s="9" t="s">
        <v>2446</v>
      </c>
      <c r="G84" s="33">
        <f>TRUNC(G83, 0)</f>
        <v>56874</v>
      </c>
    </row>
    <row r="85" spans="1:33" ht="18.399999999999999" customHeight="1" thickBot="1" x14ac:dyDescent="0.2">
      <c r="B85" s="9" t="s">
        <v>280</v>
      </c>
      <c r="G85" s="33">
        <f>TRUNC(G79+G82+G84, 0)</f>
        <v>106808</v>
      </c>
    </row>
    <row r="86" spans="1:33" ht="18.399999999999999" customHeight="1" thickTop="1" thickBot="1" x14ac:dyDescent="0.2">
      <c r="A86" s="4"/>
      <c r="B86" s="4"/>
      <c r="C86" s="4"/>
      <c r="D86" s="4"/>
      <c r="E86" s="4"/>
      <c r="F86" s="4"/>
      <c r="G86" s="4"/>
      <c r="H86" s="4"/>
    </row>
    <row r="87" spans="1:33" ht="18.399999999999999" customHeight="1" thickTop="1" thickBot="1" x14ac:dyDescent="0.2">
      <c r="A87" s="4" t="s">
        <v>2531</v>
      </c>
      <c r="B87" s="4" t="s">
        <v>752</v>
      </c>
      <c r="C87" s="4"/>
      <c r="D87" s="4"/>
      <c r="E87" s="4"/>
      <c r="F87" s="4"/>
      <c r="G87" s="4"/>
      <c r="H87" s="4"/>
      <c r="I87" s="9" t="s">
        <v>2856</v>
      </c>
      <c r="J87" s="9" t="s">
        <v>634</v>
      </c>
    </row>
    <row r="88" spans="1:33" ht="18.399999999999999" customHeight="1" thickTop="1" x14ac:dyDescent="0.15">
      <c r="A88" s="4" t="s">
        <v>777</v>
      </c>
      <c r="B88" s="4" t="s">
        <v>1304</v>
      </c>
      <c r="C88" s="4"/>
      <c r="D88" s="4"/>
      <c r="E88" s="4"/>
      <c r="F88" s="4"/>
      <c r="G88" s="4"/>
      <c r="H88" s="4"/>
    </row>
    <row r="89" spans="1:33" ht="18.399999999999999" customHeight="1" x14ac:dyDescent="0.15">
      <c r="A89" s="32" t="s">
        <v>2201</v>
      </c>
      <c r="B89" s="32"/>
      <c r="C89" s="32" t="s">
        <v>1400</v>
      </c>
      <c r="D89" s="32" t="s">
        <v>74</v>
      </c>
      <c r="E89" s="32" t="s">
        <v>2660</v>
      </c>
      <c r="F89" s="32" t="s">
        <v>636</v>
      </c>
      <c r="G89" s="32" t="s">
        <v>360</v>
      </c>
      <c r="H89" s="32" t="s">
        <v>726</v>
      </c>
    </row>
    <row r="90" spans="1:33" ht="18.399999999999999" customHeight="1" x14ac:dyDescent="0.15">
      <c r="A90" s="9" t="s">
        <v>186</v>
      </c>
      <c r="B90" s="9" t="s">
        <v>536</v>
      </c>
      <c r="C90" s="9" t="s">
        <v>44</v>
      </c>
      <c r="D90" s="9">
        <f>(918 + 459 + 680)*10^-4</f>
        <v>0.20570000000000002</v>
      </c>
      <c r="E90" s="33" t="s">
        <v>341</v>
      </c>
      <c r="F90" s="33">
        <f>중기기초자료!F10</f>
        <v>272390</v>
      </c>
      <c r="G90" s="35">
        <f>TRUNC(F90*D90, 1)</f>
        <v>56030.6</v>
      </c>
      <c r="H90" s="9" t="s">
        <v>2856</v>
      </c>
      <c r="I90" s="9" t="s">
        <v>2856</v>
      </c>
      <c r="K90" s="9" t="s">
        <v>334</v>
      </c>
      <c r="L90" s="9" t="s">
        <v>2856</v>
      </c>
      <c r="M90" s="9" t="s">
        <v>2694</v>
      </c>
      <c r="N90" s="9" t="s">
        <v>2281</v>
      </c>
      <c r="AG90" s="34" t="str">
        <f>HYPERLINK("#중기기초자료!A10","G21040025 →")</f>
        <v>G21040025 →</v>
      </c>
    </row>
    <row r="91" spans="1:33" ht="18.399999999999999" customHeight="1" x14ac:dyDescent="0.15">
      <c r="B91" s="9" t="s">
        <v>2446</v>
      </c>
      <c r="G91" s="33">
        <f>TRUNC(G90, 0)</f>
        <v>56030</v>
      </c>
    </row>
    <row r="92" spans="1:33" ht="18.399999999999999" customHeight="1" x14ac:dyDescent="0.15">
      <c r="A92" s="9" t="s">
        <v>1952</v>
      </c>
      <c r="B92" s="9" t="s">
        <v>457</v>
      </c>
      <c r="C92" s="9" t="s">
        <v>2856</v>
      </c>
      <c r="D92" s="9">
        <v>6.1</v>
      </c>
      <c r="E92" s="36" t="s">
        <v>2808</v>
      </c>
      <c r="F92" s="36">
        <f>중기기초자료!D17</f>
        <v>1390</v>
      </c>
      <c r="G92" s="35">
        <f>TRUNC(F92*D92, 1)</f>
        <v>8479</v>
      </c>
      <c r="H92" s="9" t="s">
        <v>2856</v>
      </c>
      <c r="I92" s="9" t="s">
        <v>2856</v>
      </c>
      <c r="K92" s="9" t="s">
        <v>1036</v>
      </c>
      <c r="L92" s="9" t="s">
        <v>2856</v>
      </c>
      <c r="M92" s="9" t="s">
        <v>563</v>
      </c>
      <c r="AG92" s="34" t="str">
        <f>HYPERLINK("#중기기초자료!A17","M9366005 →")</f>
        <v>M9366005 →</v>
      </c>
    </row>
    <row r="93" spans="1:33" ht="18.399999999999999" customHeight="1" x14ac:dyDescent="0.15">
      <c r="B93" s="9" t="s">
        <v>223</v>
      </c>
      <c r="C93" s="9" t="s">
        <v>2856</v>
      </c>
      <c r="D93" s="9">
        <v>39</v>
      </c>
      <c r="E93" s="36" t="s">
        <v>1193</v>
      </c>
      <c r="F93" s="36">
        <v>0</v>
      </c>
      <c r="G93" s="35">
        <f>TRUNC((G92) * D93/100, 1)</f>
        <v>3306.8</v>
      </c>
      <c r="H93" s="9" t="s">
        <v>2856</v>
      </c>
      <c r="I93" s="9" t="s">
        <v>2856</v>
      </c>
      <c r="K93" s="9" t="s">
        <v>286</v>
      </c>
      <c r="L93" s="9" t="s">
        <v>2856</v>
      </c>
      <c r="M93" s="9" t="s">
        <v>1921</v>
      </c>
      <c r="N93" s="9" t="s">
        <v>2856</v>
      </c>
    </row>
    <row r="94" spans="1:33" ht="18.399999999999999" customHeight="1" x14ac:dyDescent="0.15">
      <c r="B94" s="9" t="s">
        <v>2446</v>
      </c>
      <c r="G94" s="33">
        <f>TRUNC(G92+G93, 0)</f>
        <v>11785</v>
      </c>
    </row>
    <row r="95" spans="1:33" ht="18.399999999999999" customHeight="1" x14ac:dyDescent="0.15">
      <c r="A95" s="9" t="s">
        <v>1158</v>
      </c>
      <c r="B95" s="9" t="s">
        <v>643</v>
      </c>
      <c r="C95" s="9" t="s">
        <v>1612</v>
      </c>
      <c r="D95" s="9">
        <v>1</v>
      </c>
      <c r="E95" s="35" t="s">
        <v>1682</v>
      </c>
      <c r="F95" s="35">
        <f>TRUNC(중기기초자료!E13 * 중기전역변수!C18, 1)</f>
        <v>56874.1</v>
      </c>
      <c r="G95" s="35">
        <f>TRUNC(F95*D95, 1)</f>
        <v>56874.1</v>
      </c>
      <c r="H95" s="9" t="s">
        <v>2856</v>
      </c>
      <c r="I95" s="9" t="s">
        <v>2856</v>
      </c>
      <c r="K95" s="9" t="s">
        <v>1616</v>
      </c>
      <c r="L95" s="9" t="s">
        <v>2856</v>
      </c>
      <c r="M95" s="9" t="s">
        <v>1646</v>
      </c>
      <c r="AG95" s="34" t="str">
        <f>HYPERLINK("#중기기초자료!A13","L086 →")</f>
        <v>L086 →</v>
      </c>
    </row>
    <row r="96" spans="1:33" ht="18.399999999999999" customHeight="1" x14ac:dyDescent="0.15">
      <c r="B96" s="9" t="s">
        <v>2446</v>
      </c>
      <c r="G96" s="33">
        <f>TRUNC(G95, 0)</f>
        <v>56874</v>
      </c>
    </row>
    <row r="97" spans="1:33" ht="18.399999999999999" customHeight="1" thickBot="1" x14ac:dyDescent="0.2">
      <c r="B97" s="9" t="s">
        <v>280</v>
      </c>
      <c r="G97" s="33">
        <f>TRUNC(G91+G94+G96, 0)</f>
        <v>124689</v>
      </c>
    </row>
    <row r="98" spans="1:33" ht="18.399999999999999" customHeight="1" thickTop="1" thickBot="1" x14ac:dyDescent="0.2">
      <c r="A98" s="4"/>
      <c r="B98" s="4"/>
      <c r="C98" s="4"/>
      <c r="D98" s="4"/>
      <c r="E98" s="4"/>
      <c r="F98" s="4"/>
      <c r="G98" s="4"/>
      <c r="H98" s="4"/>
    </row>
    <row r="99" spans="1:33" ht="18.399999999999999" customHeight="1" thickTop="1" thickBot="1" x14ac:dyDescent="0.2">
      <c r="A99" s="4" t="s">
        <v>2531</v>
      </c>
      <c r="B99" s="4" t="s">
        <v>1515</v>
      </c>
      <c r="C99" s="4"/>
      <c r="D99" s="4"/>
      <c r="E99" s="4"/>
      <c r="F99" s="4"/>
      <c r="G99" s="4"/>
      <c r="H99" s="4"/>
      <c r="I99" s="9" t="s">
        <v>2856</v>
      </c>
      <c r="J99" s="9" t="s">
        <v>1279</v>
      </c>
    </row>
    <row r="100" spans="1:33" ht="18.399999999999999" customHeight="1" thickTop="1" x14ac:dyDescent="0.15">
      <c r="A100" s="4" t="s">
        <v>777</v>
      </c>
      <c r="B100" s="4" t="s">
        <v>1344</v>
      </c>
      <c r="C100" s="4"/>
      <c r="D100" s="4"/>
      <c r="E100" s="4"/>
      <c r="F100" s="4"/>
      <c r="G100" s="4"/>
      <c r="H100" s="4"/>
    </row>
    <row r="101" spans="1:33" ht="18.399999999999999" customHeight="1" x14ac:dyDescent="0.15">
      <c r="A101" s="32" t="s">
        <v>2201</v>
      </c>
      <c r="B101" s="32"/>
      <c r="C101" s="32" t="s">
        <v>1400</v>
      </c>
      <c r="D101" s="32" t="s">
        <v>74</v>
      </c>
      <c r="E101" s="32" t="s">
        <v>2660</v>
      </c>
      <c r="F101" s="32" t="s">
        <v>636</v>
      </c>
      <c r="G101" s="32" t="s">
        <v>360</v>
      </c>
      <c r="H101" s="32" t="s">
        <v>726</v>
      </c>
    </row>
    <row r="102" spans="1:33" ht="18.399999999999999" customHeight="1" x14ac:dyDescent="0.15">
      <c r="A102" s="9" t="s">
        <v>186</v>
      </c>
      <c r="B102" s="9" t="s">
        <v>536</v>
      </c>
      <c r="C102" s="9" t="s">
        <v>2270</v>
      </c>
      <c r="D102" s="9">
        <f>(714 + 357 + 666)*10^-4</f>
        <v>0.17370000000000002</v>
      </c>
      <c r="E102" s="33" t="s">
        <v>341</v>
      </c>
      <c r="F102" s="33">
        <f>중기기초자료!F11</f>
        <v>493239</v>
      </c>
      <c r="G102" s="35">
        <f>TRUNC(F102*D102, 1)</f>
        <v>85675.6</v>
      </c>
      <c r="H102" s="9" t="s">
        <v>2856</v>
      </c>
      <c r="I102" s="9" t="s">
        <v>2856</v>
      </c>
      <c r="K102" s="9" t="s">
        <v>334</v>
      </c>
      <c r="L102" s="9" t="s">
        <v>2856</v>
      </c>
      <c r="M102" s="9" t="s">
        <v>2072</v>
      </c>
      <c r="N102" s="9" t="s">
        <v>2066</v>
      </c>
      <c r="AG102" s="34" t="str">
        <f>HYPERLINK("#중기기초자료!A11","G21040050 →")</f>
        <v>G21040050 →</v>
      </c>
    </row>
    <row r="103" spans="1:33" ht="18.399999999999999" customHeight="1" x14ac:dyDescent="0.15">
      <c r="B103" s="9" t="s">
        <v>2446</v>
      </c>
      <c r="G103" s="33">
        <f>TRUNC(G102, 0)</f>
        <v>85675</v>
      </c>
    </row>
    <row r="104" spans="1:33" ht="18.399999999999999" customHeight="1" x14ac:dyDescent="0.15">
      <c r="A104" s="9" t="s">
        <v>1952</v>
      </c>
      <c r="B104" s="9" t="s">
        <v>457</v>
      </c>
      <c r="C104" s="9" t="s">
        <v>2856</v>
      </c>
      <c r="D104" s="9">
        <v>10</v>
      </c>
      <c r="E104" s="36" t="s">
        <v>2808</v>
      </c>
      <c r="F104" s="36">
        <f>중기기초자료!D17</f>
        <v>1390</v>
      </c>
      <c r="G104" s="35">
        <f>TRUNC(F104*D104, 1)</f>
        <v>13900</v>
      </c>
      <c r="H104" s="9" t="s">
        <v>2856</v>
      </c>
      <c r="I104" s="9" t="s">
        <v>2856</v>
      </c>
      <c r="K104" s="9" t="s">
        <v>1036</v>
      </c>
      <c r="L104" s="9" t="s">
        <v>2856</v>
      </c>
      <c r="M104" s="9" t="s">
        <v>563</v>
      </c>
      <c r="AG104" s="34" t="str">
        <f>HYPERLINK("#중기기초자료!A17","M9366005 →")</f>
        <v>M9366005 →</v>
      </c>
    </row>
    <row r="105" spans="1:33" ht="18.399999999999999" customHeight="1" x14ac:dyDescent="0.15">
      <c r="B105" s="9" t="s">
        <v>223</v>
      </c>
      <c r="C105" s="9" t="s">
        <v>2856</v>
      </c>
      <c r="D105" s="9">
        <v>57</v>
      </c>
      <c r="E105" s="36" t="s">
        <v>1193</v>
      </c>
      <c r="F105" s="36">
        <v>0</v>
      </c>
      <c r="G105" s="35">
        <f>TRUNC((G104) * D105/100, 1)</f>
        <v>7923</v>
      </c>
      <c r="H105" s="9" t="s">
        <v>2856</v>
      </c>
      <c r="I105" s="9" t="s">
        <v>2856</v>
      </c>
      <c r="K105" s="9" t="s">
        <v>286</v>
      </c>
      <c r="L105" s="9" t="s">
        <v>2856</v>
      </c>
      <c r="M105" s="9" t="s">
        <v>1921</v>
      </c>
      <c r="N105" s="9" t="s">
        <v>2856</v>
      </c>
    </row>
    <row r="106" spans="1:33" ht="18.399999999999999" customHeight="1" x14ac:dyDescent="0.15">
      <c r="B106" s="9" t="s">
        <v>2446</v>
      </c>
      <c r="G106" s="33">
        <f>TRUNC(G104+G105, 0)</f>
        <v>21823</v>
      </c>
    </row>
    <row r="107" spans="1:33" ht="18.399999999999999" customHeight="1" x14ac:dyDescent="0.15">
      <c r="A107" s="9" t="s">
        <v>1158</v>
      </c>
      <c r="B107" s="9" t="s">
        <v>643</v>
      </c>
      <c r="C107" s="9" t="s">
        <v>1612</v>
      </c>
      <c r="D107" s="9">
        <v>1</v>
      </c>
      <c r="E107" s="35" t="s">
        <v>1682</v>
      </c>
      <c r="F107" s="35">
        <f>TRUNC(중기기초자료!E13 * 중기전역변수!C18, 1)</f>
        <v>56874.1</v>
      </c>
      <c r="G107" s="35">
        <f>TRUNC(F107*D107, 1)</f>
        <v>56874.1</v>
      </c>
      <c r="H107" s="9" t="s">
        <v>2856</v>
      </c>
      <c r="I107" s="9" t="s">
        <v>2856</v>
      </c>
      <c r="K107" s="9" t="s">
        <v>1616</v>
      </c>
      <c r="L107" s="9" t="s">
        <v>2856</v>
      </c>
      <c r="M107" s="9" t="s">
        <v>1646</v>
      </c>
      <c r="AG107" s="34" t="str">
        <f>HYPERLINK("#중기기초자료!A13","L086 →")</f>
        <v>L086 →</v>
      </c>
    </row>
    <row r="108" spans="1:33" ht="18.399999999999999" customHeight="1" x14ac:dyDescent="0.15">
      <c r="B108" s="9" t="s">
        <v>2446</v>
      </c>
      <c r="G108" s="33">
        <f>TRUNC(G107, 0)</f>
        <v>56874</v>
      </c>
    </row>
    <row r="109" spans="1:33" ht="18.399999999999999" customHeight="1" thickBot="1" x14ac:dyDescent="0.2">
      <c r="B109" s="9" t="s">
        <v>280</v>
      </c>
      <c r="G109" s="33">
        <f>TRUNC(G103+G106+G108, 0)</f>
        <v>164372</v>
      </c>
    </row>
    <row r="110" spans="1:33" ht="18.399999999999999" customHeight="1" thickTop="1" thickBot="1" x14ac:dyDescent="0.2">
      <c r="A110" s="4"/>
      <c r="B110" s="4"/>
      <c r="C110" s="4"/>
      <c r="D110" s="4"/>
      <c r="E110" s="4"/>
      <c r="F110" s="4"/>
      <c r="G110" s="4"/>
      <c r="H110" s="4"/>
    </row>
    <row r="111" spans="1:33" ht="18.399999999999999" customHeight="1" thickTop="1" thickBot="1" x14ac:dyDescent="0.2">
      <c r="A111" s="4" t="s">
        <v>2531</v>
      </c>
      <c r="B111" s="4" t="s">
        <v>670</v>
      </c>
      <c r="C111" s="4"/>
      <c r="D111" s="4"/>
      <c r="E111" s="4"/>
      <c r="F111" s="4"/>
      <c r="G111" s="4"/>
      <c r="H111" s="4"/>
      <c r="I111" s="9" t="s">
        <v>2856</v>
      </c>
      <c r="J111" s="9" t="s">
        <v>51</v>
      </c>
    </row>
    <row r="112" spans="1:33" ht="18.399999999999999" customHeight="1" thickTop="1" x14ac:dyDescent="0.15">
      <c r="A112" s="4" t="s">
        <v>777</v>
      </c>
      <c r="B112" s="4" t="s">
        <v>611</v>
      </c>
      <c r="C112" s="4"/>
      <c r="D112" s="4"/>
      <c r="E112" s="4"/>
      <c r="F112" s="4"/>
      <c r="G112" s="4"/>
      <c r="H112" s="4"/>
    </row>
    <row r="113" spans="1:33" ht="18.399999999999999" customHeight="1" x14ac:dyDescent="0.15">
      <c r="A113" s="32" t="s">
        <v>2201</v>
      </c>
      <c r="B113" s="32"/>
      <c r="C113" s="32" t="s">
        <v>1400</v>
      </c>
      <c r="D113" s="32" t="s">
        <v>74</v>
      </c>
      <c r="E113" s="32" t="s">
        <v>2660</v>
      </c>
      <c r="F113" s="32" t="s">
        <v>636</v>
      </c>
      <c r="G113" s="32" t="s">
        <v>360</v>
      </c>
      <c r="H113" s="32" t="s">
        <v>726</v>
      </c>
    </row>
    <row r="114" spans="1:33" ht="18.399999999999999" customHeight="1" x14ac:dyDescent="0.15">
      <c r="A114" s="9" t="s">
        <v>186</v>
      </c>
      <c r="B114" s="9" t="s">
        <v>537</v>
      </c>
      <c r="C114" s="9" t="s">
        <v>1744</v>
      </c>
      <c r="D114" s="9">
        <f>(818 + 636 + 659)*10^-4</f>
        <v>0.21130000000000002</v>
      </c>
      <c r="E114" s="33" t="s">
        <v>341</v>
      </c>
      <c r="F114" s="33">
        <f>중기기초자료!F12</f>
        <v>44820</v>
      </c>
      <c r="G114" s="35">
        <f>TRUNC(F114*D114, 1)</f>
        <v>9470.4</v>
      </c>
      <c r="H114" s="9" t="s">
        <v>2856</v>
      </c>
      <c r="I114" s="9" t="s">
        <v>2856</v>
      </c>
      <c r="K114" s="9" t="s">
        <v>334</v>
      </c>
      <c r="L114" s="9" t="s">
        <v>2856</v>
      </c>
      <c r="M114" s="9" t="s">
        <v>2308</v>
      </c>
      <c r="N114" s="9" t="s">
        <v>70</v>
      </c>
      <c r="AG114" s="34" t="str">
        <f>HYPERLINK("#중기기초자료!A12","G72040055 →")</f>
        <v>G72040055 →</v>
      </c>
    </row>
    <row r="115" spans="1:33" ht="18.399999999999999" customHeight="1" x14ac:dyDescent="0.15">
      <c r="B115" s="9" t="s">
        <v>2446</v>
      </c>
      <c r="G115" s="33">
        <f>TRUNC(G114, 0)</f>
        <v>9470</v>
      </c>
    </row>
    <row r="116" spans="1:33" ht="18.399999999999999" customHeight="1" x14ac:dyDescent="0.15">
      <c r="A116" s="9" t="s">
        <v>1952</v>
      </c>
      <c r="B116" s="9" t="s">
        <v>457</v>
      </c>
      <c r="C116" s="9" t="s">
        <v>2856</v>
      </c>
      <c r="D116" s="9">
        <v>9.3000000000000007</v>
      </c>
      <c r="E116" s="36" t="s">
        <v>2808</v>
      </c>
      <c r="F116" s="36">
        <f>중기기초자료!D17</f>
        <v>1390</v>
      </c>
      <c r="G116" s="35">
        <f>TRUNC(F116*D116, 1)</f>
        <v>12927</v>
      </c>
      <c r="H116" s="9" t="s">
        <v>2856</v>
      </c>
      <c r="I116" s="9" t="s">
        <v>2856</v>
      </c>
      <c r="K116" s="9" t="s">
        <v>1036</v>
      </c>
      <c r="L116" s="9" t="s">
        <v>2856</v>
      </c>
      <c r="M116" s="9" t="s">
        <v>563</v>
      </c>
      <c r="AG116" s="34" t="str">
        <f>HYPERLINK("#중기기초자료!A17","M9366005 →")</f>
        <v>M9366005 →</v>
      </c>
    </row>
    <row r="117" spans="1:33" ht="18.399999999999999" customHeight="1" x14ac:dyDescent="0.15">
      <c r="B117" s="9" t="s">
        <v>223</v>
      </c>
      <c r="C117" s="9" t="s">
        <v>2856</v>
      </c>
      <c r="D117" s="9">
        <v>30</v>
      </c>
      <c r="E117" s="36" t="s">
        <v>1193</v>
      </c>
      <c r="F117" s="36">
        <v>0</v>
      </c>
      <c r="G117" s="35">
        <f>TRUNC((G116) * D117/100, 1)</f>
        <v>3878.1</v>
      </c>
      <c r="H117" s="9" t="s">
        <v>2856</v>
      </c>
      <c r="I117" s="9" t="s">
        <v>2856</v>
      </c>
      <c r="K117" s="9" t="s">
        <v>286</v>
      </c>
      <c r="L117" s="9" t="s">
        <v>2856</v>
      </c>
      <c r="M117" s="9" t="s">
        <v>1921</v>
      </c>
      <c r="N117" s="9" t="s">
        <v>2856</v>
      </c>
    </row>
    <row r="118" spans="1:33" ht="18.399999999999999" customHeight="1" x14ac:dyDescent="0.15">
      <c r="B118" s="9" t="s">
        <v>2446</v>
      </c>
      <c r="G118" s="33">
        <f>TRUNC(G116+G117, 0)</f>
        <v>16805</v>
      </c>
    </row>
    <row r="119" spans="1:33" ht="18.399999999999999" customHeight="1" x14ac:dyDescent="0.15">
      <c r="A119" s="9" t="s">
        <v>1158</v>
      </c>
      <c r="B119" s="9" t="s">
        <v>209</v>
      </c>
      <c r="C119" s="9" t="s">
        <v>1600</v>
      </c>
      <c r="D119" s="9">
        <v>1</v>
      </c>
      <c r="E119" s="35" t="s">
        <v>1682</v>
      </c>
      <c r="F119" s="35">
        <f>TRUNC(중기기초자료!E14 * 중기전역변수!C18, 1)</f>
        <v>48741.599999999999</v>
      </c>
      <c r="G119" s="35">
        <f>TRUNC(F119*D119, 1)</f>
        <v>48741.599999999999</v>
      </c>
      <c r="H119" s="9" t="s">
        <v>2856</v>
      </c>
      <c r="I119" s="9" t="s">
        <v>2856</v>
      </c>
      <c r="K119" s="9" t="s">
        <v>1616</v>
      </c>
      <c r="L119" s="9" t="s">
        <v>2856</v>
      </c>
      <c r="M119" s="9" t="s">
        <v>24</v>
      </c>
      <c r="AG119" s="34" t="str">
        <f>HYPERLINK("#중기기초자료!A14","L087 →")</f>
        <v>L087 →</v>
      </c>
    </row>
    <row r="120" spans="1:33" ht="18.399999999999999" customHeight="1" x14ac:dyDescent="0.15">
      <c r="B120" s="9" t="s">
        <v>2446</v>
      </c>
      <c r="G120" s="33">
        <f>TRUNC(G119, 0)</f>
        <v>48741</v>
      </c>
    </row>
    <row r="121" spans="1:33" ht="18.399999999999999" customHeight="1" thickBot="1" x14ac:dyDescent="0.2">
      <c r="B121" s="9" t="s">
        <v>280</v>
      </c>
      <c r="G121" s="33">
        <f>TRUNC(G115+G118+G120, 0)</f>
        <v>75016</v>
      </c>
    </row>
    <row r="122" spans="1:33" ht="18.399999999999999" customHeight="1" thickTop="1" x14ac:dyDescent="0.15">
      <c r="A122" s="4"/>
      <c r="B122" s="4"/>
      <c r="C122" s="4"/>
      <c r="D122" s="4"/>
      <c r="E122" s="4"/>
      <c r="F122" s="4"/>
      <c r="G122" s="4"/>
      <c r="H122" s="4"/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0EF0-B66E-4E9D-AC39-609CEB70F356}">
  <dimension ref="A1:J17"/>
  <sheetViews>
    <sheetView workbookViewId="0">
      <selection activeCell="F23" sqref="F23"/>
    </sheetView>
  </sheetViews>
  <sheetFormatPr defaultRowHeight="18.399999999999999" customHeight="1" x14ac:dyDescent="0.15"/>
  <cols>
    <col min="1" max="1" width="25" customWidth="1"/>
    <col min="2" max="2" width="20" customWidth="1"/>
    <col min="3" max="3" width="5" customWidth="1"/>
    <col min="4" max="7" width="15" customWidth="1"/>
    <col min="8" max="8" width="10" customWidth="1"/>
    <col min="9" max="10" width="0" hidden="1" customWidth="1"/>
  </cols>
  <sheetData>
    <row r="1" spans="1:10" ht="18.399999999999999" customHeight="1" thickBot="1" x14ac:dyDescent="0.2">
      <c r="A1" t="s">
        <v>1129</v>
      </c>
    </row>
    <row r="2" spans="1:10" ht="18.399999999999999" customHeight="1" thickBot="1" x14ac:dyDescent="0.2">
      <c r="A2" s="16" t="s">
        <v>2018</v>
      </c>
      <c r="B2" s="17" t="s">
        <v>1087</v>
      </c>
      <c r="C2" s="17" t="s">
        <v>2660</v>
      </c>
      <c r="D2" s="17" t="s">
        <v>1952</v>
      </c>
      <c r="E2" s="17" t="s">
        <v>1158</v>
      </c>
      <c r="F2" s="17" t="s">
        <v>186</v>
      </c>
      <c r="G2" s="17" t="s">
        <v>2761</v>
      </c>
      <c r="H2" s="19" t="s">
        <v>726</v>
      </c>
    </row>
    <row r="3" spans="1:10" ht="18.399999999999999" customHeight="1" x14ac:dyDescent="0.15">
      <c r="A3" s="11" t="s">
        <v>896</v>
      </c>
      <c r="B3" s="2" t="s">
        <v>2462</v>
      </c>
      <c r="C3" s="2" t="s">
        <v>341</v>
      </c>
      <c r="D3" s="27">
        <v>0</v>
      </c>
      <c r="E3" s="28">
        <v>0</v>
      </c>
      <c r="F3" s="29">
        <v>78556</v>
      </c>
      <c r="G3" s="27">
        <v>78556</v>
      </c>
      <c r="H3" s="20" t="s">
        <v>2856</v>
      </c>
      <c r="I3" t="s">
        <v>2856</v>
      </c>
      <c r="J3" t="s">
        <v>1169</v>
      </c>
    </row>
    <row r="4" spans="1:10" ht="18.399999999999999" customHeight="1" x14ac:dyDescent="0.15">
      <c r="A4" s="11" t="s">
        <v>896</v>
      </c>
      <c r="B4" s="2" t="s">
        <v>986</v>
      </c>
      <c r="C4" s="2" t="s">
        <v>341</v>
      </c>
      <c r="D4" s="27">
        <v>0</v>
      </c>
      <c r="E4" s="28">
        <v>0</v>
      </c>
      <c r="F4" s="29">
        <v>105310</v>
      </c>
      <c r="G4" s="27">
        <v>105310</v>
      </c>
      <c r="H4" s="20" t="s">
        <v>2856</v>
      </c>
      <c r="I4" t="s">
        <v>2856</v>
      </c>
      <c r="J4" t="s">
        <v>2610</v>
      </c>
    </row>
    <row r="5" spans="1:10" ht="18.399999999999999" customHeight="1" x14ac:dyDescent="0.15">
      <c r="A5" s="11" t="s">
        <v>851</v>
      </c>
      <c r="B5" s="2" t="s">
        <v>986</v>
      </c>
      <c r="C5" s="2" t="s">
        <v>341</v>
      </c>
      <c r="D5" s="27">
        <v>0</v>
      </c>
      <c r="E5" s="28">
        <v>0</v>
      </c>
      <c r="F5" s="29">
        <v>112684</v>
      </c>
      <c r="G5" s="27">
        <v>112684</v>
      </c>
      <c r="H5" s="20" t="s">
        <v>2856</v>
      </c>
      <c r="I5" t="s">
        <v>2856</v>
      </c>
      <c r="J5" t="s">
        <v>889</v>
      </c>
    </row>
    <row r="6" spans="1:10" ht="18.399999999999999" customHeight="1" x14ac:dyDescent="0.15">
      <c r="A6" s="11" t="s">
        <v>1565</v>
      </c>
      <c r="B6" s="2" t="s">
        <v>919</v>
      </c>
      <c r="C6" s="2" t="s">
        <v>341</v>
      </c>
      <c r="D6" s="27">
        <v>0</v>
      </c>
      <c r="E6" s="28">
        <v>0</v>
      </c>
      <c r="F6" s="29">
        <v>6537</v>
      </c>
      <c r="G6" s="27">
        <v>6537</v>
      </c>
      <c r="H6" s="20" t="s">
        <v>2856</v>
      </c>
      <c r="I6" t="s">
        <v>2856</v>
      </c>
      <c r="J6" t="s">
        <v>398</v>
      </c>
    </row>
    <row r="7" spans="1:10" ht="18.399999999999999" customHeight="1" x14ac:dyDescent="0.15">
      <c r="A7" s="11" t="s">
        <v>1319</v>
      </c>
      <c r="B7" s="2" t="s">
        <v>2414</v>
      </c>
      <c r="C7" s="2" t="s">
        <v>341</v>
      </c>
      <c r="D7" s="27">
        <v>0</v>
      </c>
      <c r="E7" s="28">
        <v>0</v>
      </c>
      <c r="F7" s="29">
        <v>1570</v>
      </c>
      <c r="G7" s="27">
        <v>1570</v>
      </c>
      <c r="H7" s="20" t="s">
        <v>2856</v>
      </c>
      <c r="I7" t="s">
        <v>2856</v>
      </c>
      <c r="J7" t="s">
        <v>1477</v>
      </c>
    </row>
    <row r="8" spans="1:10" ht="18.399999999999999" customHeight="1" x14ac:dyDescent="0.15">
      <c r="A8" s="11" t="s">
        <v>536</v>
      </c>
      <c r="B8" s="2" t="s">
        <v>2467</v>
      </c>
      <c r="C8" s="2" t="s">
        <v>341</v>
      </c>
      <c r="D8" s="27">
        <v>0</v>
      </c>
      <c r="E8" s="28">
        <v>0</v>
      </c>
      <c r="F8" s="29">
        <v>131000</v>
      </c>
      <c r="G8" s="27">
        <v>131000</v>
      </c>
      <c r="H8" s="20" t="s">
        <v>2856</v>
      </c>
      <c r="I8" t="s">
        <v>2856</v>
      </c>
      <c r="J8" t="s">
        <v>2113</v>
      </c>
    </row>
    <row r="9" spans="1:10" ht="18.399999999999999" customHeight="1" x14ac:dyDescent="0.15">
      <c r="A9" s="11" t="s">
        <v>536</v>
      </c>
      <c r="B9" s="2" t="s">
        <v>1928</v>
      </c>
      <c r="C9" s="2" t="s">
        <v>341</v>
      </c>
      <c r="D9" s="27">
        <v>0</v>
      </c>
      <c r="E9" s="28">
        <v>0</v>
      </c>
      <c r="F9" s="29">
        <v>177785</v>
      </c>
      <c r="G9" s="27">
        <v>177785</v>
      </c>
      <c r="H9" s="20" t="s">
        <v>2856</v>
      </c>
      <c r="I9" t="s">
        <v>2856</v>
      </c>
      <c r="J9" t="s">
        <v>538</v>
      </c>
    </row>
    <row r="10" spans="1:10" ht="18.399999999999999" customHeight="1" x14ac:dyDescent="0.15">
      <c r="A10" s="11" t="s">
        <v>536</v>
      </c>
      <c r="B10" s="2" t="s">
        <v>44</v>
      </c>
      <c r="C10" s="2" t="s">
        <v>341</v>
      </c>
      <c r="D10" s="27">
        <v>0</v>
      </c>
      <c r="E10" s="28">
        <v>0</v>
      </c>
      <c r="F10" s="29">
        <v>272390</v>
      </c>
      <c r="G10" s="27">
        <v>272390</v>
      </c>
      <c r="H10" s="20" t="s">
        <v>2856</v>
      </c>
      <c r="I10" t="s">
        <v>2856</v>
      </c>
      <c r="J10" t="s">
        <v>2694</v>
      </c>
    </row>
    <row r="11" spans="1:10" ht="18.399999999999999" customHeight="1" x14ac:dyDescent="0.15">
      <c r="A11" s="11" t="s">
        <v>536</v>
      </c>
      <c r="B11" s="2" t="s">
        <v>2270</v>
      </c>
      <c r="C11" s="2" t="s">
        <v>341</v>
      </c>
      <c r="D11" s="27">
        <v>0</v>
      </c>
      <c r="E11" s="28">
        <v>0</v>
      </c>
      <c r="F11" s="29">
        <v>493239</v>
      </c>
      <c r="G11" s="27">
        <v>493239</v>
      </c>
      <c r="H11" s="20" t="s">
        <v>2856</v>
      </c>
      <c r="I11" t="s">
        <v>2856</v>
      </c>
      <c r="J11" t="s">
        <v>2072</v>
      </c>
    </row>
    <row r="12" spans="1:10" ht="18.399999999999999" customHeight="1" x14ac:dyDescent="0.15">
      <c r="A12" s="11" t="s">
        <v>537</v>
      </c>
      <c r="B12" s="2" t="s">
        <v>1744</v>
      </c>
      <c r="C12" s="2" t="s">
        <v>341</v>
      </c>
      <c r="D12" s="27">
        <v>0</v>
      </c>
      <c r="E12" s="28">
        <v>0</v>
      </c>
      <c r="F12" s="29">
        <v>44820</v>
      </c>
      <c r="G12" s="27">
        <v>44820</v>
      </c>
      <c r="H12" s="20" t="s">
        <v>2856</v>
      </c>
      <c r="I12" t="s">
        <v>2856</v>
      </c>
      <c r="J12" t="s">
        <v>2308</v>
      </c>
    </row>
    <row r="13" spans="1:10" ht="18.399999999999999" customHeight="1" x14ac:dyDescent="0.15">
      <c r="A13" s="11" t="s">
        <v>643</v>
      </c>
      <c r="B13" s="2" t="s">
        <v>1530</v>
      </c>
      <c r="C13" s="2" t="s">
        <v>1682</v>
      </c>
      <c r="D13" s="27">
        <v>0</v>
      </c>
      <c r="E13" s="28">
        <v>272996</v>
      </c>
      <c r="F13" s="29">
        <v>0</v>
      </c>
      <c r="G13" s="27">
        <v>272996</v>
      </c>
      <c r="H13" s="20" t="s">
        <v>2856</v>
      </c>
      <c r="I13" t="s">
        <v>2733</v>
      </c>
      <c r="J13" t="s">
        <v>1646</v>
      </c>
    </row>
    <row r="14" spans="1:10" ht="18.399999999999999" customHeight="1" x14ac:dyDescent="0.15">
      <c r="A14" s="11" t="s">
        <v>209</v>
      </c>
      <c r="B14" s="2" t="s">
        <v>1530</v>
      </c>
      <c r="C14" s="2" t="s">
        <v>1682</v>
      </c>
      <c r="D14" s="27">
        <v>0</v>
      </c>
      <c r="E14" s="28">
        <v>233960</v>
      </c>
      <c r="F14" s="29">
        <v>0</v>
      </c>
      <c r="G14" s="27">
        <v>233960</v>
      </c>
      <c r="H14" s="20" t="s">
        <v>2856</v>
      </c>
      <c r="I14" t="s">
        <v>625</v>
      </c>
      <c r="J14" t="s">
        <v>24</v>
      </c>
    </row>
    <row r="15" spans="1:10" ht="18.399999999999999" customHeight="1" x14ac:dyDescent="0.15">
      <c r="A15" s="11" t="s">
        <v>1436</v>
      </c>
      <c r="B15" s="2" t="s">
        <v>1530</v>
      </c>
      <c r="C15" s="2" t="s">
        <v>1682</v>
      </c>
      <c r="D15" s="27">
        <v>0</v>
      </c>
      <c r="E15" s="28">
        <v>167059</v>
      </c>
      <c r="F15" s="29">
        <v>0</v>
      </c>
      <c r="G15" s="27">
        <v>167059</v>
      </c>
      <c r="H15" s="20" t="s">
        <v>2856</v>
      </c>
      <c r="I15" t="s">
        <v>1961</v>
      </c>
      <c r="J15" t="s">
        <v>1643</v>
      </c>
    </row>
    <row r="16" spans="1:10" ht="18.399999999999999" customHeight="1" x14ac:dyDescent="0.15">
      <c r="A16" s="11" t="s">
        <v>808</v>
      </c>
      <c r="B16" s="2" t="s">
        <v>2856</v>
      </c>
      <c r="C16" s="2" t="s">
        <v>2808</v>
      </c>
      <c r="D16" s="27">
        <v>1538</v>
      </c>
      <c r="E16" s="28">
        <v>0</v>
      </c>
      <c r="F16" s="29">
        <v>0</v>
      </c>
      <c r="G16" s="27">
        <v>1538</v>
      </c>
      <c r="H16" s="20" t="s">
        <v>2147</v>
      </c>
      <c r="I16" t="s">
        <v>2856</v>
      </c>
      <c r="J16" t="s">
        <v>2443</v>
      </c>
    </row>
    <row r="17" spans="1:10" ht="18.399999999999999" customHeight="1" thickBot="1" x14ac:dyDescent="0.2">
      <c r="A17" s="13" t="s">
        <v>457</v>
      </c>
      <c r="B17" s="14" t="s">
        <v>2856</v>
      </c>
      <c r="C17" s="14" t="s">
        <v>2808</v>
      </c>
      <c r="D17" s="57">
        <v>1390</v>
      </c>
      <c r="E17" s="30">
        <v>0</v>
      </c>
      <c r="F17" s="31">
        <v>0</v>
      </c>
      <c r="G17" s="57">
        <v>1390</v>
      </c>
      <c r="H17" s="21" t="s">
        <v>2147</v>
      </c>
      <c r="I17" t="s">
        <v>2856</v>
      </c>
      <c r="J17" t="s">
        <v>563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01F4-3240-4C25-A33C-4480E232C12E}">
  <dimension ref="A1:H133"/>
  <sheetViews>
    <sheetView workbookViewId="0">
      <selection activeCell="F23" sqref="F23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10" customWidth="1"/>
    <col min="4" max="4" width="20" customWidth="1"/>
    <col min="5" max="5" width="30" customWidth="1"/>
    <col min="6" max="13" width="0" hidden="1" customWidth="1"/>
  </cols>
  <sheetData>
    <row r="1" spans="1:8" ht="18.399999999999999" customHeight="1" thickBot="1" x14ac:dyDescent="0.2">
      <c r="A1" t="s">
        <v>1293</v>
      </c>
    </row>
    <row r="2" spans="1:8" ht="18.399999999999999" customHeight="1" thickBot="1" x14ac:dyDescent="0.2">
      <c r="A2" s="16" t="s">
        <v>2018</v>
      </c>
      <c r="B2" s="17" t="s">
        <v>1087</v>
      </c>
      <c r="C2" s="17" t="s">
        <v>2660</v>
      </c>
      <c r="D2" s="17" t="s">
        <v>1535</v>
      </c>
      <c r="E2" s="19" t="s">
        <v>726</v>
      </c>
    </row>
    <row r="3" spans="1:8" ht="18.399999999999999" customHeight="1" x14ac:dyDescent="0.15">
      <c r="A3" s="11" t="s">
        <v>1615</v>
      </c>
      <c r="B3" s="2" t="s">
        <v>2666</v>
      </c>
      <c r="C3" s="2" t="s">
        <v>1416</v>
      </c>
      <c r="D3" s="25">
        <f>자재조서!E5</f>
        <v>4537</v>
      </c>
      <c r="E3" s="20" t="s">
        <v>757</v>
      </c>
      <c r="F3" t="s">
        <v>2856</v>
      </c>
      <c r="G3" t="s">
        <v>1363</v>
      </c>
      <c r="H3" t="s">
        <v>2856</v>
      </c>
    </row>
    <row r="4" spans="1:8" ht="18.399999999999999" customHeight="1" x14ac:dyDescent="0.15">
      <c r="A4" s="11" t="s">
        <v>13</v>
      </c>
      <c r="B4" s="2" t="s">
        <v>1143</v>
      </c>
      <c r="C4" s="2" t="s">
        <v>1416</v>
      </c>
      <c r="D4" s="25">
        <f>자재조서!E6</f>
        <v>1538</v>
      </c>
      <c r="E4" s="20" t="s">
        <v>2101</v>
      </c>
      <c r="F4" t="s">
        <v>1358</v>
      </c>
      <c r="G4" t="s">
        <v>2425</v>
      </c>
      <c r="H4" t="s">
        <v>2678</v>
      </c>
    </row>
    <row r="5" spans="1:8" ht="18.399999999999999" customHeight="1" x14ac:dyDescent="0.15">
      <c r="A5" s="11" t="s">
        <v>25</v>
      </c>
      <c r="B5" s="2" t="s">
        <v>2372</v>
      </c>
      <c r="C5" s="2" t="s">
        <v>1569</v>
      </c>
      <c r="D5" s="25">
        <f>자재조서!E7</f>
        <v>10422</v>
      </c>
      <c r="E5" s="20" t="s">
        <v>2101</v>
      </c>
      <c r="F5" t="s">
        <v>2856</v>
      </c>
      <c r="G5" t="s">
        <v>1667</v>
      </c>
      <c r="H5" t="s">
        <v>2856</v>
      </c>
    </row>
    <row r="6" spans="1:8" ht="18.399999999999999" customHeight="1" x14ac:dyDescent="0.15">
      <c r="A6" s="11" t="s">
        <v>230</v>
      </c>
      <c r="B6" s="2" t="s">
        <v>1359</v>
      </c>
      <c r="C6" s="2" t="s">
        <v>477</v>
      </c>
      <c r="D6" s="25">
        <f>자재조서!E8</f>
        <v>1657</v>
      </c>
      <c r="E6" s="20" t="s">
        <v>2101</v>
      </c>
      <c r="F6" t="s">
        <v>2856</v>
      </c>
      <c r="G6" t="s">
        <v>940</v>
      </c>
      <c r="H6" t="s">
        <v>2856</v>
      </c>
    </row>
    <row r="7" spans="1:8" ht="18.399999999999999" customHeight="1" x14ac:dyDescent="0.15">
      <c r="A7" s="11" t="s">
        <v>2168</v>
      </c>
      <c r="B7" s="2" t="s">
        <v>2809</v>
      </c>
      <c r="C7" s="2" t="s">
        <v>2069</v>
      </c>
      <c r="D7" s="25">
        <f>자재조서!E9</f>
        <v>217</v>
      </c>
      <c r="E7" s="20" t="s">
        <v>2101</v>
      </c>
      <c r="F7" t="s">
        <v>65</v>
      </c>
      <c r="G7" t="s">
        <v>860</v>
      </c>
      <c r="H7" t="s">
        <v>219</v>
      </c>
    </row>
    <row r="8" spans="1:8" ht="18.399999999999999" customHeight="1" x14ac:dyDescent="0.15">
      <c r="A8" s="11" t="s">
        <v>2581</v>
      </c>
      <c r="B8" s="2" t="s">
        <v>1283</v>
      </c>
      <c r="C8" s="2" t="s">
        <v>2808</v>
      </c>
      <c r="D8" s="25">
        <f>자재조서!E10</f>
        <v>2700</v>
      </c>
      <c r="E8" s="20" t="s">
        <v>2101</v>
      </c>
      <c r="F8" t="s">
        <v>2856</v>
      </c>
      <c r="G8" t="s">
        <v>2237</v>
      </c>
      <c r="H8" t="s">
        <v>2856</v>
      </c>
    </row>
    <row r="9" spans="1:8" ht="18.399999999999999" customHeight="1" x14ac:dyDescent="0.15">
      <c r="A9" s="11" t="s">
        <v>795</v>
      </c>
      <c r="B9" s="2" t="s">
        <v>487</v>
      </c>
      <c r="C9" s="2" t="s">
        <v>1549</v>
      </c>
      <c r="D9" s="25">
        <f>자재조서!E11</f>
        <v>2101</v>
      </c>
      <c r="E9" s="20" t="s">
        <v>2101</v>
      </c>
      <c r="F9" t="s">
        <v>1181</v>
      </c>
      <c r="G9" t="s">
        <v>1801</v>
      </c>
      <c r="H9" t="s">
        <v>1801</v>
      </c>
    </row>
    <row r="10" spans="1:8" ht="18.399999999999999" customHeight="1" x14ac:dyDescent="0.15">
      <c r="A10" s="11" t="s">
        <v>2630</v>
      </c>
      <c r="B10" s="2" t="s">
        <v>2856</v>
      </c>
      <c r="C10" s="2" t="s">
        <v>2662</v>
      </c>
      <c r="D10" s="25">
        <f>자재조서!E12</f>
        <v>1196</v>
      </c>
      <c r="E10" s="20" t="s">
        <v>601</v>
      </c>
      <c r="F10" t="s">
        <v>2856</v>
      </c>
      <c r="G10" t="s">
        <v>114</v>
      </c>
      <c r="H10" t="s">
        <v>2856</v>
      </c>
    </row>
    <row r="11" spans="1:8" ht="18.399999999999999" customHeight="1" x14ac:dyDescent="0.15">
      <c r="A11" s="11" t="s">
        <v>778</v>
      </c>
      <c r="B11" s="2" t="s">
        <v>28</v>
      </c>
      <c r="C11" s="2" t="s">
        <v>545</v>
      </c>
      <c r="D11" s="25">
        <f>자재조서!E13</f>
        <v>194000</v>
      </c>
      <c r="E11" s="20" t="s">
        <v>2397</v>
      </c>
      <c r="F11" t="s">
        <v>2856</v>
      </c>
      <c r="G11" t="s">
        <v>1676</v>
      </c>
      <c r="H11" t="s">
        <v>2856</v>
      </c>
    </row>
    <row r="12" spans="1:8" ht="18.399999999999999" customHeight="1" x14ac:dyDescent="0.15">
      <c r="A12" s="11" t="s">
        <v>1834</v>
      </c>
      <c r="B12" s="2" t="s">
        <v>664</v>
      </c>
      <c r="C12" s="2" t="s">
        <v>545</v>
      </c>
      <c r="D12" s="25">
        <f>자재조서!E14</f>
        <v>500000</v>
      </c>
      <c r="E12" s="20" t="s">
        <v>2397</v>
      </c>
      <c r="F12" t="s">
        <v>2856</v>
      </c>
      <c r="G12" t="s">
        <v>696</v>
      </c>
      <c r="H12" t="s">
        <v>2856</v>
      </c>
    </row>
    <row r="13" spans="1:8" ht="18.399999999999999" customHeight="1" x14ac:dyDescent="0.15">
      <c r="A13" s="11" t="s">
        <v>1149</v>
      </c>
      <c r="B13" s="2" t="s">
        <v>2264</v>
      </c>
      <c r="C13" s="2" t="s">
        <v>545</v>
      </c>
      <c r="D13" s="25">
        <f>자재조서!E15</f>
        <v>2200000</v>
      </c>
      <c r="E13" s="20" t="s">
        <v>2397</v>
      </c>
      <c r="F13" t="s">
        <v>2728</v>
      </c>
      <c r="G13" t="s">
        <v>8</v>
      </c>
      <c r="H13" t="s">
        <v>2532</v>
      </c>
    </row>
    <row r="14" spans="1:8" ht="18.399999999999999" customHeight="1" x14ac:dyDescent="0.15">
      <c r="A14" s="11" t="s">
        <v>1645</v>
      </c>
      <c r="B14" s="2" t="s">
        <v>1377</v>
      </c>
      <c r="C14" s="2" t="s">
        <v>545</v>
      </c>
      <c r="D14" s="25">
        <f>자재조서!E16</f>
        <v>6800</v>
      </c>
      <c r="E14" s="20" t="s">
        <v>2397</v>
      </c>
      <c r="F14" t="s">
        <v>2856</v>
      </c>
      <c r="G14" t="s">
        <v>1779</v>
      </c>
      <c r="H14" t="s">
        <v>2856</v>
      </c>
    </row>
    <row r="15" spans="1:8" ht="18.399999999999999" customHeight="1" x14ac:dyDescent="0.15">
      <c r="A15" s="11" t="s">
        <v>811</v>
      </c>
      <c r="B15" s="2" t="s">
        <v>2464</v>
      </c>
      <c r="C15" s="2" t="s">
        <v>545</v>
      </c>
      <c r="D15" s="25">
        <f>자재조서!E17</f>
        <v>7300</v>
      </c>
      <c r="E15" s="20" t="s">
        <v>2397</v>
      </c>
      <c r="F15" t="s">
        <v>2856</v>
      </c>
      <c r="G15" t="s">
        <v>1147</v>
      </c>
      <c r="H15" t="s">
        <v>2856</v>
      </c>
    </row>
    <row r="16" spans="1:8" ht="18.399999999999999" customHeight="1" x14ac:dyDescent="0.15">
      <c r="A16" s="11" t="s">
        <v>796</v>
      </c>
      <c r="B16" s="2" t="s">
        <v>1407</v>
      </c>
      <c r="C16" s="2" t="s">
        <v>545</v>
      </c>
      <c r="D16" s="25">
        <f>자재조서!E18</f>
        <v>5200</v>
      </c>
      <c r="E16" s="20" t="s">
        <v>2397</v>
      </c>
      <c r="F16" t="s">
        <v>2856</v>
      </c>
      <c r="G16" t="s">
        <v>697</v>
      </c>
      <c r="H16" t="s">
        <v>2856</v>
      </c>
    </row>
    <row r="17" spans="1:8" ht="18.399999999999999" customHeight="1" x14ac:dyDescent="0.15">
      <c r="A17" s="11" t="s">
        <v>227</v>
      </c>
      <c r="B17" s="2" t="s">
        <v>863</v>
      </c>
      <c r="C17" s="2" t="s">
        <v>545</v>
      </c>
      <c r="D17" s="25">
        <f>자재조서!E19</f>
        <v>2100</v>
      </c>
      <c r="E17" s="20" t="s">
        <v>2397</v>
      </c>
      <c r="F17" t="s">
        <v>2856</v>
      </c>
      <c r="G17" t="s">
        <v>95</v>
      </c>
      <c r="H17" t="s">
        <v>2856</v>
      </c>
    </row>
    <row r="18" spans="1:8" ht="18.399999999999999" customHeight="1" x14ac:dyDescent="0.15">
      <c r="A18" s="11" t="s">
        <v>214</v>
      </c>
      <c r="B18" s="2" t="s">
        <v>2656</v>
      </c>
      <c r="C18" s="2" t="s">
        <v>545</v>
      </c>
      <c r="D18" s="25">
        <f>자재조서!E20</f>
        <v>5600</v>
      </c>
      <c r="E18" s="20" t="s">
        <v>2397</v>
      </c>
      <c r="F18" t="s">
        <v>2856</v>
      </c>
      <c r="G18" t="s">
        <v>1573</v>
      </c>
      <c r="H18" t="s">
        <v>2856</v>
      </c>
    </row>
    <row r="19" spans="1:8" ht="18.399999999999999" customHeight="1" x14ac:dyDescent="0.15">
      <c r="A19" s="11" t="s">
        <v>1865</v>
      </c>
      <c r="B19" s="2" t="s">
        <v>863</v>
      </c>
      <c r="C19" s="2" t="s">
        <v>545</v>
      </c>
      <c r="D19" s="25">
        <f>자재조서!E21</f>
        <v>2100</v>
      </c>
      <c r="E19" s="20" t="s">
        <v>2397</v>
      </c>
      <c r="F19" t="s">
        <v>2856</v>
      </c>
      <c r="G19" t="s">
        <v>2086</v>
      </c>
      <c r="H19" t="s">
        <v>2856</v>
      </c>
    </row>
    <row r="20" spans="1:8" ht="18.399999999999999" customHeight="1" x14ac:dyDescent="0.15">
      <c r="A20" s="11" t="s">
        <v>2128</v>
      </c>
      <c r="B20" s="2" t="s">
        <v>1407</v>
      </c>
      <c r="C20" s="2" t="s">
        <v>545</v>
      </c>
      <c r="D20" s="25">
        <f>자재조서!E22</f>
        <v>14000</v>
      </c>
      <c r="E20" s="20" t="s">
        <v>1439</v>
      </c>
      <c r="F20" t="s">
        <v>1230</v>
      </c>
      <c r="G20" t="s">
        <v>1357</v>
      </c>
      <c r="H20" t="s">
        <v>2475</v>
      </c>
    </row>
    <row r="21" spans="1:8" ht="18.399999999999999" customHeight="1" x14ac:dyDescent="0.15">
      <c r="A21" s="11" t="s">
        <v>678</v>
      </c>
      <c r="B21" s="2" t="s">
        <v>2393</v>
      </c>
      <c r="C21" s="2" t="s">
        <v>545</v>
      </c>
      <c r="D21" s="25">
        <f>자재조서!E23</f>
        <v>5000</v>
      </c>
      <c r="E21" s="20" t="s">
        <v>2397</v>
      </c>
      <c r="F21" t="s">
        <v>2856</v>
      </c>
      <c r="G21" t="s">
        <v>616</v>
      </c>
      <c r="H21" t="s">
        <v>2856</v>
      </c>
    </row>
    <row r="22" spans="1:8" ht="18.399999999999999" customHeight="1" x14ac:dyDescent="0.15">
      <c r="A22" s="11" t="s">
        <v>2696</v>
      </c>
      <c r="B22" s="2" t="s">
        <v>863</v>
      </c>
      <c r="C22" s="2" t="s">
        <v>545</v>
      </c>
      <c r="D22" s="25">
        <f>자재조서!E24</f>
        <v>2200</v>
      </c>
      <c r="E22" s="20" t="s">
        <v>2397</v>
      </c>
      <c r="F22" t="s">
        <v>2856</v>
      </c>
      <c r="G22" t="s">
        <v>2134</v>
      </c>
      <c r="H22" t="s">
        <v>2856</v>
      </c>
    </row>
    <row r="23" spans="1:8" ht="18.399999999999999" customHeight="1" x14ac:dyDescent="0.15">
      <c r="A23" s="11" t="s">
        <v>1866</v>
      </c>
      <c r="B23" s="2" t="s">
        <v>863</v>
      </c>
      <c r="C23" s="2" t="s">
        <v>545</v>
      </c>
      <c r="D23" s="25">
        <f>자재조서!E25</f>
        <v>1900</v>
      </c>
      <c r="E23" s="20" t="s">
        <v>2397</v>
      </c>
      <c r="F23" t="s">
        <v>2856</v>
      </c>
      <c r="G23" t="s">
        <v>1402</v>
      </c>
      <c r="H23" t="s">
        <v>2856</v>
      </c>
    </row>
    <row r="24" spans="1:8" ht="18.399999999999999" customHeight="1" x14ac:dyDescent="0.15">
      <c r="A24" s="11" t="s">
        <v>1582</v>
      </c>
      <c r="B24" s="2" t="s">
        <v>497</v>
      </c>
      <c r="C24" s="2" t="s">
        <v>545</v>
      </c>
      <c r="D24" s="25">
        <f>자재조서!E26</f>
        <v>2100</v>
      </c>
      <c r="E24" s="20" t="s">
        <v>2397</v>
      </c>
      <c r="F24" t="s">
        <v>2856</v>
      </c>
      <c r="G24" t="s">
        <v>658</v>
      </c>
      <c r="H24" t="s">
        <v>2856</v>
      </c>
    </row>
    <row r="25" spans="1:8" ht="18.399999999999999" customHeight="1" x14ac:dyDescent="0.15">
      <c r="A25" s="11" t="s">
        <v>973</v>
      </c>
      <c r="B25" s="2" t="s">
        <v>2781</v>
      </c>
      <c r="C25" s="2" t="s">
        <v>545</v>
      </c>
      <c r="D25" s="25">
        <f>자재조서!E27</f>
        <v>119000</v>
      </c>
      <c r="E25" s="20" t="s">
        <v>2397</v>
      </c>
      <c r="F25" t="s">
        <v>2856</v>
      </c>
      <c r="G25" t="s">
        <v>1401</v>
      </c>
      <c r="H25" t="s">
        <v>2856</v>
      </c>
    </row>
    <row r="26" spans="1:8" ht="18.399999999999999" customHeight="1" x14ac:dyDescent="0.15">
      <c r="A26" s="11" t="s">
        <v>2306</v>
      </c>
      <c r="B26" s="2" t="s">
        <v>28</v>
      </c>
      <c r="C26" s="2" t="s">
        <v>545</v>
      </c>
      <c r="D26" s="25">
        <f>자재조서!E28</f>
        <v>165600</v>
      </c>
      <c r="E26" s="20" t="s">
        <v>2397</v>
      </c>
      <c r="F26" t="s">
        <v>2856</v>
      </c>
      <c r="G26" t="s">
        <v>1486</v>
      </c>
      <c r="H26" t="s">
        <v>2856</v>
      </c>
    </row>
    <row r="27" spans="1:8" ht="18.399999999999999" customHeight="1" x14ac:dyDescent="0.15">
      <c r="A27" s="11" t="s">
        <v>2043</v>
      </c>
      <c r="B27" s="2" t="s">
        <v>494</v>
      </c>
      <c r="C27" s="2" t="s">
        <v>545</v>
      </c>
      <c r="D27" s="25">
        <f>자재조서!E29</f>
        <v>350000</v>
      </c>
      <c r="E27" s="20" t="s">
        <v>2397</v>
      </c>
      <c r="F27" t="s">
        <v>2856</v>
      </c>
      <c r="G27" t="s">
        <v>301</v>
      </c>
      <c r="H27" t="s">
        <v>2856</v>
      </c>
    </row>
    <row r="28" spans="1:8" ht="18.399999999999999" customHeight="1" x14ac:dyDescent="0.15">
      <c r="A28" s="11" t="s">
        <v>320</v>
      </c>
      <c r="B28" s="2" t="s">
        <v>1567</v>
      </c>
      <c r="C28" s="2" t="s">
        <v>545</v>
      </c>
      <c r="D28" s="25">
        <f>자재조서!E30</f>
        <v>550000</v>
      </c>
      <c r="E28" s="20" t="s">
        <v>2397</v>
      </c>
      <c r="F28" t="s">
        <v>2856</v>
      </c>
      <c r="G28" t="s">
        <v>1594</v>
      </c>
      <c r="H28" t="s">
        <v>2856</v>
      </c>
    </row>
    <row r="29" spans="1:8" ht="18.399999999999999" customHeight="1" x14ac:dyDescent="0.15">
      <c r="A29" s="11" t="s">
        <v>325</v>
      </c>
      <c r="B29" s="2" t="s">
        <v>1783</v>
      </c>
      <c r="C29" s="2" t="s">
        <v>545</v>
      </c>
      <c r="D29" s="25">
        <f>자재조서!E31</f>
        <v>450000</v>
      </c>
      <c r="E29" s="20" t="s">
        <v>2397</v>
      </c>
      <c r="F29" t="s">
        <v>2856</v>
      </c>
      <c r="G29" t="s">
        <v>430</v>
      </c>
      <c r="H29" t="s">
        <v>2856</v>
      </c>
    </row>
    <row r="30" spans="1:8" ht="18.399999999999999" customHeight="1" x14ac:dyDescent="0.15">
      <c r="A30" s="11" t="s">
        <v>2665</v>
      </c>
      <c r="B30" s="2" t="s">
        <v>53</v>
      </c>
      <c r="C30" s="2" t="s">
        <v>545</v>
      </c>
      <c r="D30" s="25">
        <f>자재조서!E32</f>
        <v>500000</v>
      </c>
      <c r="E30" s="20" t="s">
        <v>2397</v>
      </c>
      <c r="F30" t="s">
        <v>2856</v>
      </c>
      <c r="G30" t="s">
        <v>707</v>
      </c>
      <c r="H30" t="s">
        <v>2856</v>
      </c>
    </row>
    <row r="31" spans="1:8" ht="18.399999999999999" customHeight="1" x14ac:dyDescent="0.15">
      <c r="A31" s="11" t="s">
        <v>2370</v>
      </c>
      <c r="B31" s="2" t="s">
        <v>1567</v>
      </c>
      <c r="C31" s="2" t="s">
        <v>545</v>
      </c>
      <c r="D31" s="25">
        <f>자재조서!E33</f>
        <v>500000</v>
      </c>
      <c r="E31" s="20" t="s">
        <v>2397</v>
      </c>
      <c r="F31" t="s">
        <v>2856</v>
      </c>
      <c r="G31" t="s">
        <v>2392</v>
      </c>
      <c r="H31" t="s">
        <v>2856</v>
      </c>
    </row>
    <row r="32" spans="1:8" ht="18.399999999999999" customHeight="1" x14ac:dyDescent="0.15">
      <c r="A32" s="11" t="s">
        <v>1218</v>
      </c>
      <c r="B32" s="2" t="s">
        <v>2322</v>
      </c>
      <c r="C32" s="2" t="s">
        <v>545</v>
      </c>
      <c r="D32" s="25">
        <f>자재조서!E34</f>
        <v>400000</v>
      </c>
      <c r="E32" s="20" t="s">
        <v>2397</v>
      </c>
      <c r="F32" t="s">
        <v>2856</v>
      </c>
      <c r="G32" t="s">
        <v>1729</v>
      </c>
      <c r="H32" t="s">
        <v>2856</v>
      </c>
    </row>
    <row r="33" spans="1:8" ht="18.399999999999999" customHeight="1" x14ac:dyDescent="0.15">
      <c r="A33" s="11" t="s">
        <v>366</v>
      </c>
      <c r="B33" s="2" t="s">
        <v>1407</v>
      </c>
      <c r="C33" s="2" t="s">
        <v>545</v>
      </c>
      <c r="D33" s="25">
        <f>자재조서!E35</f>
        <v>5150</v>
      </c>
      <c r="E33" s="20" t="s">
        <v>2397</v>
      </c>
      <c r="F33" t="s">
        <v>1051</v>
      </c>
      <c r="G33" t="s">
        <v>142</v>
      </c>
      <c r="H33" t="s">
        <v>1940</v>
      </c>
    </row>
    <row r="34" spans="1:8" ht="18.399999999999999" customHeight="1" x14ac:dyDescent="0.15">
      <c r="A34" s="11" t="s">
        <v>162</v>
      </c>
      <c r="B34" s="2" t="s">
        <v>1558</v>
      </c>
      <c r="C34" s="2" t="s">
        <v>545</v>
      </c>
      <c r="D34" s="25">
        <f>자재조서!E36</f>
        <v>1000000</v>
      </c>
      <c r="E34" s="20" t="s">
        <v>2397</v>
      </c>
      <c r="F34" t="s">
        <v>2856</v>
      </c>
      <c r="G34" t="s">
        <v>1907</v>
      </c>
      <c r="H34" t="s">
        <v>632</v>
      </c>
    </row>
    <row r="35" spans="1:8" ht="18.399999999999999" customHeight="1" x14ac:dyDescent="0.15">
      <c r="A35" s="11" t="s">
        <v>162</v>
      </c>
      <c r="B35" s="2" t="s">
        <v>988</v>
      </c>
      <c r="C35" s="2" t="s">
        <v>545</v>
      </c>
      <c r="D35" s="25">
        <f>자재조서!E37</f>
        <v>2650000</v>
      </c>
      <c r="E35" s="20" t="s">
        <v>2397</v>
      </c>
      <c r="F35" t="s">
        <v>2856</v>
      </c>
      <c r="G35" t="s">
        <v>2288</v>
      </c>
      <c r="H35" t="s">
        <v>2288</v>
      </c>
    </row>
    <row r="36" spans="1:8" ht="18.399999999999999" customHeight="1" x14ac:dyDescent="0.15">
      <c r="A36" s="11" t="s">
        <v>1069</v>
      </c>
      <c r="B36" s="2" t="s">
        <v>863</v>
      </c>
      <c r="C36" s="2" t="s">
        <v>545</v>
      </c>
      <c r="D36" s="25">
        <f>자재조서!E38</f>
        <v>3700</v>
      </c>
      <c r="E36" s="20" t="s">
        <v>2397</v>
      </c>
      <c r="F36" t="s">
        <v>859</v>
      </c>
      <c r="G36" t="s">
        <v>1316</v>
      </c>
      <c r="H36" t="s">
        <v>1316</v>
      </c>
    </row>
    <row r="37" spans="1:8" ht="18.399999999999999" customHeight="1" x14ac:dyDescent="0.15">
      <c r="A37" s="11" t="s">
        <v>2398</v>
      </c>
      <c r="B37" s="2" t="s">
        <v>1898</v>
      </c>
      <c r="C37" s="2" t="s">
        <v>1622</v>
      </c>
      <c r="D37" s="25">
        <f>자재조서!E39</f>
        <v>500</v>
      </c>
      <c r="E37" s="20" t="s">
        <v>1905</v>
      </c>
      <c r="F37" t="s">
        <v>748</v>
      </c>
      <c r="G37" t="s">
        <v>997</v>
      </c>
      <c r="H37" t="s">
        <v>1276</v>
      </c>
    </row>
    <row r="38" spans="1:8" ht="18.399999999999999" customHeight="1" x14ac:dyDescent="0.15">
      <c r="A38" s="11" t="s">
        <v>518</v>
      </c>
      <c r="B38" s="2" t="s">
        <v>1424</v>
      </c>
      <c r="C38" s="2" t="s">
        <v>545</v>
      </c>
      <c r="D38" s="25">
        <f>자재조서!E40</f>
        <v>1000</v>
      </c>
      <c r="E38" s="20" t="s">
        <v>2304</v>
      </c>
      <c r="F38" t="s">
        <v>848</v>
      </c>
      <c r="G38" t="s">
        <v>2745</v>
      </c>
      <c r="H38" t="s">
        <v>2745</v>
      </c>
    </row>
    <row r="39" spans="1:8" ht="18.399999999999999" customHeight="1" x14ac:dyDescent="0.15">
      <c r="A39" s="11" t="s">
        <v>959</v>
      </c>
      <c r="B39" s="2" t="s">
        <v>422</v>
      </c>
      <c r="C39" s="2" t="s">
        <v>1622</v>
      </c>
      <c r="D39" s="25">
        <f>자재조서!E41</f>
        <v>1500</v>
      </c>
      <c r="E39" s="20" t="s">
        <v>2304</v>
      </c>
      <c r="F39" t="s">
        <v>2856</v>
      </c>
      <c r="G39" t="s">
        <v>1223</v>
      </c>
      <c r="H39" t="s">
        <v>2856</v>
      </c>
    </row>
    <row r="40" spans="1:8" ht="18.399999999999999" customHeight="1" x14ac:dyDescent="0.15">
      <c r="A40" s="11" t="s">
        <v>1366</v>
      </c>
      <c r="B40" s="2" t="s">
        <v>1603</v>
      </c>
      <c r="C40" s="2" t="s">
        <v>1622</v>
      </c>
      <c r="D40" s="25">
        <f>자재조서!E42</f>
        <v>1500</v>
      </c>
      <c r="E40" s="20" t="s">
        <v>653</v>
      </c>
      <c r="F40" t="s">
        <v>546</v>
      </c>
      <c r="G40" t="s">
        <v>712</v>
      </c>
      <c r="H40" t="s">
        <v>2832</v>
      </c>
    </row>
    <row r="41" spans="1:8" ht="18.399999999999999" customHeight="1" x14ac:dyDescent="0.15">
      <c r="A41" s="11" t="s">
        <v>2378</v>
      </c>
      <c r="B41" s="2" t="s">
        <v>590</v>
      </c>
      <c r="C41" s="2" t="s">
        <v>1622</v>
      </c>
      <c r="D41" s="25">
        <f>자재조서!E43</f>
        <v>3000</v>
      </c>
      <c r="E41" s="20" t="s">
        <v>2333</v>
      </c>
      <c r="F41" t="s">
        <v>546</v>
      </c>
      <c r="G41" t="s">
        <v>2523</v>
      </c>
      <c r="H41" t="s">
        <v>2832</v>
      </c>
    </row>
    <row r="42" spans="1:8" ht="18.399999999999999" customHeight="1" x14ac:dyDescent="0.15">
      <c r="A42" s="11" t="s">
        <v>315</v>
      </c>
      <c r="B42" s="2" t="s">
        <v>590</v>
      </c>
      <c r="C42" s="2" t="s">
        <v>1622</v>
      </c>
      <c r="D42" s="25">
        <f>자재조서!E44</f>
        <v>3000</v>
      </c>
      <c r="E42" s="20" t="s">
        <v>2333</v>
      </c>
      <c r="F42" t="s">
        <v>546</v>
      </c>
      <c r="G42" t="s">
        <v>1292</v>
      </c>
      <c r="H42" t="s">
        <v>2832</v>
      </c>
    </row>
    <row r="43" spans="1:8" ht="18.399999999999999" customHeight="1" x14ac:dyDescent="0.15">
      <c r="A43" s="11" t="s">
        <v>1809</v>
      </c>
      <c r="B43" s="2" t="s">
        <v>590</v>
      </c>
      <c r="C43" s="2" t="s">
        <v>1622</v>
      </c>
      <c r="D43" s="25">
        <f>자재조서!E45</f>
        <v>4000</v>
      </c>
      <c r="E43" s="20" t="s">
        <v>653</v>
      </c>
      <c r="F43" t="s">
        <v>546</v>
      </c>
      <c r="G43" t="s">
        <v>1278</v>
      </c>
      <c r="H43" t="s">
        <v>2832</v>
      </c>
    </row>
    <row r="44" spans="1:8" ht="18.399999999999999" customHeight="1" x14ac:dyDescent="0.15">
      <c r="A44" s="11" t="s">
        <v>1012</v>
      </c>
      <c r="B44" s="2" t="s">
        <v>763</v>
      </c>
      <c r="C44" s="2" t="s">
        <v>1622</v>
      </c>
      <c r="D44" s="25">
        <f>자재조서!E46</f>
        <v>4000</v>
      </c>
      <c r="E44" s="20" t="s">
        <v>653</v>
      </c>
      <c r="F44" t="s">
        <v>546</v>
      </c>
      <c r="G44" t="s">
        <v>1310</v>
      </c>
      <c r="H44" t="s">
        <v>2832</v>
      </c>
    </row>
    <row r="45" spans="1:8" ht="18.399999999999999" customHeight="1" x14ac:dyDescent="0.15">
      <c r="A45" s="11" t="s">
        <v>1822</v>
      </c>
      <c r="B45" s="2" t="s">
        <v>590</v>
      </c>
      <c r="C45" s="2" t="s">
        <v>1622</v>
      </c>
      <c r="D45" s="25">
        <f>자재조서!E47</f>
        <v>2000</v>
      </c>
      <c r="E45" s="20" t="s">
        <v>653</v>
      </c>
      <c r="F45" t="s">
        <v>546</v>
      </c>
      <c r="G45" t="s">
        <v>87</v>
      </c>
      <c r="H45" t="s">
        <v>2832</v>
      </c>
    </row>
    <row r="46" spans="1:8" ht="18.399999999999999" customHeight="1" x14ac:dyDescent="0.15">
      <c r="A46" s="11" t="s">
        <v>2604</v>
      </c>
      <c r="B46" s="2" t="s">
        <v>1811</v>
      </c>
      <c r="C46" s="2" t="s">
        <v>1622</v>
      </c>
      <c r="D46" s="25">
        <f>자재조서!E48</f>
        <v>2000</v>
      </c>
      <c r="E46" s="20" t="s">
        <v>653</v>
      </c>
      <c r="F46" t="s">
        <v>546</v>
      </c>
      <c r="G46" t="s">
        <v>1906</v>
      </c>
      <c r="H46" t="s">
        <v>2832</v>
      </c>
    </row>
    <row r="47" spans="1:8" ht="18.399999999999999" customHeight="1" x14ac:dyDescent="0.15">
      <c r="A47" s="11" t="s">
        <v>39</v>
      </c>
      <c r="B47" s="2" t="s">
        <v>590</v>
      </c>
      <c r="C47" s="2" t="s">
        <v>1622</v>
      </c>
      <c r="D47" s="25">
        <f>자재조서!E49</f>
        <v>8000</v>
      </c>
      <c r="E47" s="20" t="s">
        <v>1240</v>
      </c>
      <c r="F47" t="s">
        <v>546</v>
      </c>
      <c r="G47" t="s">
        <v>956</v>
      </c>
      <c r="H47" t="s">
        <v>2832</v>
      </c>
    </row>
    <row r="48" spans="1:8" ht="18.399999999999999" customHeight="1" x14ac:dyDescent="0.15">
      <c r="A48" s="11" t="s">
        <v>1459</v>
      </c>
      <c r="B48" s="2" t="s">
        <v>1910</v>
      </c>
      <c r="C48" s="2" t="s">
        <v>2069</v>
      </c>
      <c r="D48" s="25">
        <f>자재조서!E50</f>
        <v>450</v>
      </c>
      <c r="E48" s="20" t="s">
        <v>2397</v>
      </c>
      <c r="F48" t="s">
        <v>2856</v>
      </c>
      <c r="G48" t="s">
        <v>19</v>
      </c>
      <c r="H48" t="s">
        <v>2856</v>
      </c>
    </row>
    <row r="49" spans="1:8" ht="18.399999999999999" customHeight="1" x14ac:dyDescent="0.15">
      <c r="A49" s="11" t="s">
        <v>1098</v>
      </c>
      <c r="B49" s="2" t="s">
        <v>33</v>
      </c>
      <c r="C49" s="2" t="s">
        <v>1180</v>
      </c>
      <c r="D49" s="25">
        <f>자재조서!E51</f>
        <v>9550</v>
      </c>
      <c r="E49" s="20" t="s">
        <v>598</v>
      </c>
      <c r="F49" t="s">
        <v>2856</v>
      </c>
      <c r="G49" t="s">
        <v>587</v>
      </c>
      <c r="H49" t="s">
        <v>2856</v>
      </c>
    </row>
    <row r="50" spans="1:8" ht="18.399999999999999" customHeight="1" x14ac:dyDescent="0.15">
      <c r="A50" s="11" t="s">
        <v>1098</v>
      </c>
      <c r="B50" s="2" t="s">
        <v>850</v>
      </c>
      <c r="C50" s="2" t="s">
        <v>1180</v>
      </c>
      <c r="D50" s="25">
        <f>자재조서!E52</f>
        <v>4610</v>
      </c>
      <c r="E50" s="20" t="s">
        <v>598</v>
      </c>
      <c r="F50" t="s">
        <v>2856</v>
      </c>
      <c r="G50" t="s">
        <v>1596</v>
      </c>
      <c r="H50" t="s">
        <v>2856</v>
      </c>
    </row>
    <row r="51" spans="1:8" ht="18.399999999999999" customHeight="1" x14ac:dyDescent="0.15">
      <c r="A51" s="11" t="s">
        <v>1590</v>
      </c>
      <c r="B51" s="2" t="s">
        <v>943</v>
      </c>
      <c r="C51" s="2" t="s">
        <v>2587</v>
      </c>
      <c r="D51" s="25">
        <f>자재조서!E55</f>
        <v>255000</v>
      </c>
      <c r="E51" s="20" t="s">
        <v>510</v>
      </c>
      <c r="F51" t="s">
        <v>2856</v>
      </c>
      <c r="G51" t="s">
        <v>2034</v>
      </c>
      <c r="H51" t="s">
        <v>2856</v>
      </c>
    </row>
    <row r="52" spans="1:8" ht="18.399999999999999" customHeight="1" x14ac:dyDescent="0.15">
      <c r="A52" s="11" t="s">
        <v>593</v>
      </c>
      <c r="B52" s="2" t="s">
        <v>1226</v>
      </c>
      <c r="C52" s="2" t="s">
        <v>1549</v>
      </c>
      <c r="D52" s="25">
        <f>자재조서!E56</f>
        <v>66000</v>
      </c>
      <c r="E52" s="20" t="s">
        <v>2298</v>
      </c>
      <c r="F52" t="s">
        <v>2856</v>
      </c>
      <c r="G52" t="s">
        <v>936</v>
      </c>
      <c r="H52" t="s">
        <v>2856</v>
      </c>
    </row>
    <row r="53" spans="1:8" ht="18.399999999999999" customHeight="1" x14ac:dyDescent="0.15">
      <c r="A53" s="11" t="s">
        <v>787</v>
      </c>
      <c r="B53" s="2" t="s">
        <v>1503</v>
      </c>
      <c r="C53" s="2" t="s">
        <v>2112</v>
      </c>
      <c r="D53" s="25">
        <f>자재조서!E57</f>
        <v>16400000</v>
      </c>
      <c r="E53" s="20" t="s">
        <v>2273</v>
      </c>
      <c r="F53" t="s">
        <v>2856</v>
      </c>
      <c r="G53" t="s">
        <v>879</v>
      </c>
      <c r="H53" t="s">
        <v>2856</v>
      </c>
    </row>
    <row r="54" spans="1:8" ht="18.399999999999999" customHeight="1" x14ac:dyDescent="0.15">
      <c r="A54" s="11" t="s">
        <v>2028</v>
      </c>
      <c r="B54" s="2" t="s">
        <v>2515</v>
      </c>
      <c r="C54" s="2" t="s">
        <v>2112</v>
      </c>
      <c r="D54" s="25">
        <f>자재조서!E58</f>
        <v>440000</v>
      </c>
      <c r="E54" s="20" t="s">
        <v>389</v>
      </c>
      <c r="F54" t="s">
        <v>2856</v>
      </c>
      <c r="G54" t="s">
        <v>735</v>
      </c>
      <c r="H54" t="s">
        <v>2856</v>
      </c>
    </row>
    <row r="55" spans="1:8" ht="18.399999999999999" customHeight="1" x14ac:dyDescent="0.15">
      <c r="A55" s="11" t="s">
        <v>204</v>
      </c>
      <c r="B55" s="2" t="s">
        <v>1085</v>
      </c>
      <c r="C55" s="2" t="s">
        <v>2112</v>
      </c>
      <c r="D55" s="25">
        <f>자재조서!E59</f>
        <v>2140000</v>
      </c>
      <c r="E55" s="20" t="s">
        <v>2111</v>
      </c>
      <c r="F55" t="s">
        <v>2856</v>
      </c>
      <c r="G55" t="s">
        <v>1491</v>
      </c>
      <c r="H55" t="s">
        <v>2856</v>
      </c>
    </row>
    <row r="56" spans="1:8" ht="18.399999999999999" customHeight="1" x14ac:dyDescent="0.15">
      <c r="A56" s="11" t="s">
        <v>2044</v>
      </c>
      <c r="B56" s="2" t="s">
        <v>1483</v>
      </c>
      <c r="C56" s="2" t="s">
        <v>2112</v>
      </c>
      <c r="D56" s="25">
        <f>자재조서!E60</f>
        <v>2460000</v>
      </c>
      <c r="E56" s="20" t="s">
        <v>271</v>
      </c>
      <c r="F56" t="s">
        <v>2856</v>
      </c>
      <c r="G56" t="s">
        <v>176</v>
      </c>
      <c r="H56" t="s">
        <v>2856</v>
      </c>
    </row>
    <row r="57" spans="1:8" ht="18.399999999999999" customHeight="1" x14ac:dyDescent="0.15">
      <c r="A57" s="11" t="s">
        <v>1499</v>
      </c>
      <c r="B57" s="2" t="s">
        <v>2682</v>
      </c>
      <c r="C57" s="2" t="s">
        <v>2112</v>
      </c>
      <c r="D57" s="25">
        <f>자재조서!E61</f>
        <v>3520000</v>
      </c>
      <c r="E57" s="20" t="s">
        <v>1788</v>
      </c>
      <c r="F57" t="s">
        <v>2856</v>
      </c>
      <c r="G57" t="s">
        <v>1434</v>
      </c>
      <c r="H57" t="s">
        <v>2856</v>
      </c>
    </row>
    <row r="58" spans="1:8" ht="18.399999999999999" customHeight="1" x14ac:dyDescent="0.15">
      <c r="A58" s="11" t="s">
        <v>1782</v>
      </c>
      <c r="B58" s="2" t="s">
        <v>2698</v>
      </c>
      <c r="C58" s="2" t="s">
        <v>2112</v>
      </c>
      <c r="D58" s="25">
        <f>자재조서!E62</f>
        <v>2690000</v>
      </c>
      <c r="E58" s="20" t="s">
        <v>466</v>
      </c>
      <c r="F58" t="s">
        <v>2856</v>
      </c>
      <c r="G58" t="s">
        <v>260</v>
      </c>
      <c r="H58" t="s">
        <v>2856</v>
      </c>
    </row>
    <row r="59" spans="1:8" ht="18.399999999999999" customHeight="1" x14ac:dyDescent="0.15">
      <c r="A59" s="11" t="s">
        <v>836</v>
      </c>
      <c r="B59" s="2" t="s">
        <v>1552</v>
      </c>
      <c r="C59" s="2" t="s">
        <v>2112</v>
      </c>
      <c r="D59" s="25">
        <f>자재조서!E63</f>
        <v>2100000</v>
      </c>
      <c r="E59" s="20" t="s">
        <v>604</v>
      </c>
      <c r="F59" t="s">
        <v>2856</v>
      </c>
      <c r="G59" t="s">
        <v>2702</v>
      </c>
      <c r="H59" t="s">
        <v>2856</v>
      </c>
    </row>
    <row r="60" spans="1:8" ht="18.399999999999999" customHeight="1" x14ac:dyDescent="0.15">
      <c r="A60" s="11" t="s">
        <v>492</v>
      </c>
      <c r="B60" s="2" t="s">
        <v>425</v>
      </c>
      <c r="C60" s="2" t="s">
        <v>2112</v>
      </c>
      <c r="D60" s="25">
        <f>자재조서!E64</f>
        <v>2350000</v>
      </c>
      <c r="E60" s="20" t="s">
        <v>57</v>
      </c>
      <c r="F60" t="s">
        <v>2856</v>
      </c>
      <c r="G60" t="s">
        <v>1122</v>
      </c>
      <c r="H60" t="s">
        <v>2856</v>
      </c>
    </row>
    <row r="61" spans="1:8" ht="18.399999999999999" customHeight="1" x14ac:dyDescent="0.15">
      <c r="A61" s="11" t="s">
        <v>1856</v>
      </c>
      <c r="B61" s="2" t="s">
        <v>2199</v>
      </c>
      <c r="C61" s="2" t="s">
        <v>2112</v>
      </c>
      <c r="D61" s="25">
        <f>자재조서!E65</f>
        <v>12600000</v>
      </c>
      <c r="E61" s="20" t="s">
        <v>2470</v>
      </c>
      <c r="F61" t="s">
        <v>2856</v>
      </c>
      <c r="G61" t="s">
        <v>2071</v>
      </c>
      <c r="H61" t="s">
        <v>2856</v>
      </c>
    </row>
    <row r="62" spans="1:8" ht="18.399999999999999" customHeight="1" x14ac:dyDescent="0.15">
      <c r="A62" s="11" t="s">
        <v>2578</v>
      </c>
      <c r="B62" s="2" t="s">
        <v>942</v>
      </c>
      <c r="C62" s="2" t="s">
        <v>2112</v>
      </c>
      <c r="D62" s="25">
        <f>자재조서!E66</f>
        <v>5900000</v>
      </c>
      <c r="E62" s="20" t="s">
        <v>1830</v>
      </c>
      <c r="F62" t="s">
        <v>2856</v>
      </c>
      <c r="G62" t="s">
        <v>113</v>
      </c>
      <c r="H62" t="s">
        <v>2856</v>
      </c>
    </row>
    <row r="63" spans="1:8" ht="18.399999999999999" customHeight="1" x14ac:dyDescent="0.15">
      <c r="A63" s="11" t="s">
        <v>104</v>
      </c>
      <c r="B63" s="2" t="s">
        <v>283</v>
      </c>
      <c r="C63" s="2" t="s">
        <v>2112</v>
      </c>
      <c r="D63" s="25">
        <f>자재조서!E67</f>
        <v>5200000</v>
      </c>
      <c r="E63" s="20" t="s">
        <v>831</v>
      </c>
      <c r="F63" t="s">
        <v>2856</v>
      </c>
      <c r="G63" t="s">
        <v>649</v>
      </c>
      <c r="H63" t="s">
        <v>2856</v>
      </c>
    </row>
    <row r="64" spans="1:8" ht="18.399999999999999" customHeight="1" x14ac:dyDescent="0.15">
      <c r="A64" s="11" t="s">
        <v>999</v>
      </c>
      <c r="B64" s="2" t="s">
        <v>130</v>
      </c>
      <c r="C64" s="2" t="s">
        <v>2112</v>
      </c>
      <c r="D64" s="25">
        <f>자재조서!E68</f>
        <v>2900000</v>
      </c>
      <c r="E64" s="20" t="s">
        <v>504</v>
      </c>
      <c r="F64" t="s">
        <v>2856</v>
      </c>
      <c r="G64" t="s">
        <v>923</v>
      </c>
      <c r="H64" t="s">
        <v>2856</v>
      </c>
    </row>
    <row r="65" spans="1:8" ht="18.399999999999999" customHeight="1" x14ac:dyDescent="0.15">
      <c r="A65" s="11" t="s">
        <v>306</v>
      </c>
      <c r="B65" s="2" t="s">
        <v>1838</v>
      </c>
      <c r="C65" s="2" t="s">
        <v>2112</v>
      </c>
      <c r="D65" s="25">
        <f>자재조서!E69</f>
        <v>282000</v>
      </c>
      <c r="E65" s="20" t="s">
        <v>631</v>
      </c>
      <c r="F65" t="s">
        <v>2856</v>
      </c>
      <c r="G65" t="s">
        <v>1237</v>
      </c>
      <c r="H65" t="s">
        <v>2856</v>
      </c>
    </row>
    <row r="66" spans="1:8" ht="18.399999999999999" customHeight="1" x14ac:dyDescent="0.15">
      <c r="A66" s="11" t="s">
        <v>1002</v>
      </c>
      <c r="B66" s="2" t="s">
        <v>846</v>
      </c>
      <c r="C66" s="2" t="s">
        <v>2112</v>
      </c>
      <c r="D66" s="25">
        <f>자재조서!E70</f>
        <v>4300000</v>
      </c>
      <c r="E66" s="20" t="s">
        <v>2695</v>
      </c>
      <c r="F66" t="s">
        <v>2856</v>
      </c>
      <c r="G66" t="s">
        <v>970</v>
      </c>
      <c r="H66" t="s">
        <v>2856</v>
      </c>
    </row>
    <row r="67" spans="1:8" ht="18.399999999999999" customHeight="1" x14ac:dyDescent="0.15">
      <c r="A67" s="11" t="s">
        <v>1388</v>
      </c>
      <c r="B67" s="2" t="s">
        <v>2778</v>
      </c>
      <c r="C67" s="2" t="s">
        <v>2112</v>
      </c>
      <c r="D67" s="25">
        <f>자재조서!E71</f>
        <v>3900000</v>
      </c>
      <c r="E67" s="20" t="s">
        <v>2554</v>
      </c>
      <c r="F67" t="s">
        <v>2856</v>
      </c>
      <c r="G67" t="s">
        <v>998</v>
      </c>
      <c r="H67" t="s">
        <v>2856</v>
      </c>
    </row>
    <row r="68" spans="1:8" ht="18.399999999999999" customHeight="1" x14ac:dyDescent="0.15">
      <c r="A68" s="11" t="s">
        <v>829</v>
      </c>
      <c r="B68" s="2" t="s">
        <v>2249</v>
      </c>
      <c r="C68" s="2" t="s">
        <v>2112</v>
      </c>
      <c r="D68" s="25">
        <f>자재조서!E72</f>
        <v>1300000</v>
      </c>
      <c r="E68" s="20" t="s">
        <v>2564</v>
      </c>
      <c r="F68" t="s">
        <v>2856</v>
      </c>
      <c r="G68" t="s">
        <v>2524</v>
      </c>
      <c r="H68" t="s">
        <v>2856</v>
      </c>
    </row>
    <row r="69" spans="1:8" ht="18.399999999999999" customHeight="1" x14ac:dyDescent="0.15">
      <c r="A69" s="11" t="s">
        <v>353</v>
      </c>
      <c r="B69" s="2" t="s">
        <v>2279</v>
      </c>
      <c r="C69" s="2" t="s">
        <v>635</v>
      </c>
      <c r="D69" s="25">
        <f>자재조서!E73</f>
        <v>89830</v>
      </c>
      <c r="E69" s="20" t="s">
        <v>1360</v>
      </c>
      <c r="F69" t="s">
        <v>2856</v>
      </c>
      <c r="G69" t="s">
        <v>2547</v>
      </c>
      <c r="H69" t="s">
        <v>2856</v>
      </c>
    </row>
    <row r="70" spans="1:8" ht="18.399999999999999" customHeight="1" x14ac:dyDescent="0.15">
      <c r="A70" s="11" t="s">
        <v>1294</v>
      </c>
      <c r="B70" s="2" t="s">
        <v>309</v>
      </c>
      <c r="C70" s="2" t="s">
        <v>2772</v>
      </c>
      <c r="D70" s="25">
        <f>자재조서!E74</f>
        <v>528153</v>
      </c>
      <c r="E70" s="20" t="s">
        <v>2101</v>
      </c>
      <c r="F70" t="s">
        <v>2856</v>
      </c>
      <c r="G70" t="s">
        <v>981</v>
      </c>
      <c r="H70" t="s">
        <v>2856</v>
      </c>
    </row>
    <row r="71" spans="1:8" ht="18.399999999999999" customHeight="1" x14ac:dyDescent="0.15">
      <c r="A71" s="11" t="s">
        <v>1451</v>
      </c>
      <c r="B71" s="2" t="s">
        <v>1019</v>
      </c>
      <c r="C71" s="2" t="s">
        <v>2305</v>
      </c>
      <c r="D71" s="25">
        <f>자재조서!E75</f>
        <v>990</v>
      </c>
      <c r="E71" s="20" t="s">
        <v>1395</v>
      </c>
      <c r="F71" t="s">
        <v>2856</v>
      </c>
      <c r="G71" t="s">
        <v>141</v>
      </c>
      <c r="H71" t="s">
        <v>1511</v>
      </c>
    </row>
    <row r="72" spans="1:8" ht="18.399999999999999" customHeight="1" x14ac:dyDescent="0.15">
      <c r="A72" s="11" t="s">
        <v>207</v>
      </c>
      <c r="B72" s="2" t="s">
        <v>1172</v>
      </c>
      <c r="C72" s="2" t="s">
        <v>477</v>
      </c>
      <c r="D72" s="25">
        <f>자재조서!E76</f>
        <v>1210</v>
      </c>
      <c r="E72" s="20" t="s">
        <v>2360</v>
      </c>
      <c r="F72" t="s">
        <v>2856</v>
      </c>
      <c r="G72" t="s">
        <v>1687</v>
      </c>
      <c r="H72" t="s">
        <v>1511</v>
      </c>
    </row>
    <row r="73" spans="1:8" ht="18.399999999999999" customHeight="1" x14ac:dyDescent="0.15">
      <c r="A73" s="11" t="s">
        <v>2209</v>
      </c>
      <c r="B73" s="2" t="s">
        <v>1010</v>
      </c>
      <c r="C73" s="2" t="s">
        <v>1929</v>
      </c>
      <c r="D73" s="25">
        <f>자재조서!E77</f>
        <v>1540000</v>
      </c>
      <c r="E73" s="20" t="s">
        <v>2360</v>
      </c>
      <c r="F73" t="s">
        <v>2856</v>
      </c>
      <c r="G73" t="s">
        <v>2284</v>
      </c>
      <c r="H73" t="s">
        <v>1511</v>
      </c>
    </row>
    <row r="74" spans="1:8" ht="18.399999999999999" customHeight="1" x14ac:dyDescent="0.15">
      <c r="A74" s="11" t="s">
        <v>2209</v>
      </c>
      <c r="B74" s="2" t="s">
        <v>540</v>
      </c>
      <c r="C74" s="2" t="s">
        <v>1929</v>
      </c>
      <c r="D74" s="25">
        <f>자재조서!E78</f>
        <v>1540000</v>
      </c>
      <c r="E74" s="20" t="s">
        <v>2360</v>
      </c>
      <c r="F74" t="s">
        <v>2856</v>
      </c>
      <c r="G74" t="s">
        <v>1326</v>
      </c>
      <c r="H74" t="s">
        <v>1511</v>
      </c>
    </row>
    <row r="75" spans="1:8" ht="18.399999999999999" customHeight="1" x14ac:dyDescent="0.15">
      <c r="A75" s="11" t="s">
        <v>1757</v>
      </c>
      <c r="B75" s="2" t="s">
        <v>250</v>
      </c>
      <c r="C75" s="2" t="s">
        <v>883</v>
      </c>
      <c r="D75" s="25">
        <f>자재조서!E79</f>
        <v>1009</v>
      </c>
      <c r="E75" s="20" t="s">
        <v>2101</v>
      </c>
      <c r="F75" t="s">
        <v>2856</v>
      </c>
      <c r="G75" t="s">
        <v>2500</v>
      </c>
      <c r="H75" t="s">
        <v>1511</v>
      </c>
    </row>
    <row r="76" spans="1:8" ht="18.399999999999999" customHeight="1" x14ac:dyDescent="0.15">
      <c r="A76" s="11" t="s">
        <v>1521</v>
      </c>
      <c r="B76" s="2" t="s">
        <v>73</v>
      </c>
      <c r="C76" s="2" t="s">
        <v>1929</v>
      </c>
      <c r="D76" s="25">
        <f>자재조서!E80</f>
        <v>1000000</v>
      </c>
      <c r="E76" s="20" t="s">
        <v>2333</v>
      </c>
      <c r="F76" t="s">
        <v>2856</v>
      </c>
      <c r="G76" t="s">
        <v>750</v>
      </c>
      <c r="H76" t="s">
        <v>1511</v>
      </c>
    </row>
    <row r="77" spans="1:8" ht="18.399999999999999" customHeight="1" x14ac:dyDescent="0.15">
      <c r="A77" s="11" t="s">
        <v>2143</v>
      </c>
      <c r="B77" s="2" t="s">
        <v>2351</v>
      </c>
      <c r="C77" s="2" t="s">
        <v>2819</v>
      </c>
      <c r="D77" s="25">
        <f>자재조서!E81</f>
        <v>4500</v>
      </c>
      <c r="E77" s="20" t="s">
        <v>1395</v>
      </c>
      <c r="F77" t="s">
        <v>2856</v>
      </c>
      <c r="G77" t="s">
        <v>2383</v>
      </c>
      <c r="H77" t="s">
        <v>1511</v>
      </c>
    </row>
    <row r="78" spans="1:8" ht="18.399999999999999" customHeight="1" x14ac:dyDescent="0.15">
      <c r="A78" s="11" t="s">
        <v>1852</v>
      </c>
      <c r="B78" s="2" t="s">
        <v>1342</v>
      </c>
      <c r="C78" s="2" t="s">
        <v>477</v>
      </c>
      <c r="D78" s="25">
        <f>자재조서!E82</f>
        <v>1170</v>
      </c>
      <c r="E78" s="20" t="s">
        <v>1474</v>
      </c>
      <c r="F78" t="s">
        <v>2856</v>
      </c>
      <c r="G78" t="s">
        <v>1245</v>
      </c>
      <c r="H78" t="s">
        <v>1511</v>
      </c>
    </row>
    <row r="79" spans="1:8" ht="18.399999999999999" customHeight="1" x14ac:dyDescent="0.15">
      <c r="A79" s="11" t="s">
        <v>1852</v>
      </c>
      <c r="B79" s="2" t="s">
        <v>884</v>
      </c>
      <c r="C79" s="2" t="s">
        <v>477</v>
      </c>
      <c r="D79" s="25">
        <f>자재조서!E83</f>
        <v>1170</v>
      </c>
      <c r="E79" s="20" t="s">
        <v>1474</v>
      </c>
      <c r="F79" t="s">
        <v>2856</v>
      </c>
      <c r="G79" t="s">
        <v>2789</v>
      </c>
      <c r="H79" t="s">
        <v>1511</v>
      </c>
    </row>
    <row r="80" spans="1:8" ht="18.399999999999999" customHeight="1" x14ac:dyDescent="0.15">
      <c r="A80" s="11" t="s">
        <v>1092</v>
      </c>
      <c r="B80" s="2" t="s">
        <v>73</v>
      </c>
      <c r="C80" s="2" t="s">
        <v>1929</v>
      </c>
      <c r="D80" s="25">
        <f>자재조서!E84</f>
        <v>500000</v>
      </c>
      <c r="E80" s="20" t="s">
        <v>2333</v>
      </c>
      <c r="F80" t="s">
        <v>2856</v>
      </c>
      <c r="G80" t="s">
        <v>1177</v>
      </c>
      <c r="H80" t="s">
        <v>1511</v>
      </c>
    </row>
    <row r="81" spans="1:8" ht="18.399999999999999" customHeight="1" x14ac:dyDescent="0.15">
      <c r="A81" s="11" t="s">
        <v>770</v>
      </c>
      <c r="B81" s="2" t="s">
        <v>626</v>
      </c>
      <c r="C81" s="2" t="s">
        <v>635</v>
      </c>
      <c r="D81" s="25">
        <f>자재조서!E85</f>
        <v>24000</v>
      </c>
      <c r="E81" s="20" t="s">
        <v>2059</v>
      </c>
      <c r="F81" t="s">
        <v>2856</v>
      </c>
      <c r="G81" t="s">
        <v>609</v>
      </c>
      <c r="H81" t="s">
        <v>2856</v>
      </c>
    </row>
    <row r="82" spans="1:8" ht="18.399999999999999" customHeight="1" x14ac:dyDescent="0.15">
      <c r="A82" s="11" t="s">
        <v>2701</v>
      </c>
      <c r="B82" s="2" t="s">
        <v>1763</v>
      </c>
      <c r="C82" s="2" t="s">
        <v>635</v>
      </c>
      <c r="D82" s="25">
        <f>자재조서!E86</f>
        <v>37000</v>
      </c>
      <c r="E82" s="20" t="s">
        <v>1580</v>
      </c>
      <c r="F82" t="s">
        <v>2856</v>
      </c>
      <c r="G82" t="s">
        <v>2805</v>
      </c>
      <c r="H82" t="s">
        <v>2856</v>
      </c>
    </row>
    <row r="83" spans="1:8" ht="18.399999999999999" customHeight="1" x14ac:dyDescent="0.15">
      <c r="A83" s="11" t="s">
        <v>2708</v>
      </c>
      <c r="B83" s="2" t="s">
        <v>2760</v>
      </c>
      <c r="C83" s="2" t="s">
        <v>2772</v>
      </c>
      <c r="D83" s="25">
        <f>자재조서!E87</f>
        <v>31000</v>
      </c>
      <c r="E83" s="20" t="s">
        <v>2059</v>
      </c>
      <c r="F83" t="s">
        <v>695</v>
      </c>
      <c r="G83" t="s">
        <v>2130</v>
      </c>
      <c r="H83" t="s">
        <v>2045</v>
      </c>
    </row>
    <row r="84" spans="1:8" ht="18.399999999999999" customHeight="1" x14ac:dyDescent="0.15">
      <c r="A84" s="11" t="s">
        <v>2507</v>
      </c>
      <c r="B84" s="2" t="s">
        <v>2760</v>
      </c>
      <c r="C84" s="2" t="s">
        <v>635</v>
      </c>
      <c r="D84" s="25">
        <f>자재조서!E88</f>
        <v>31000</v>
      </c>
      <c r="E84" s="20" t="s">
        <v>2059</v>
      </c>
      <c r="F84" t="s">
        <v>2856</v>
      </c>
      <c r="G84" t="s">
        <v>439</v>
      </c>
      <c r="H84" t="s">
        <v>2856</v>
      </c>
    </row>
    <row r="85" spans="1:8" ht="18.399999999999999" customHeight="1" x14ac:dyDescent="0.15">
      <c r="A85" s="11" t="s">
        <v>2655</v>
      </c>
      <c r="B85" s="2" t="s">
        <v>1225</v>
      </c>
      <c r="C85" s="2" t="s">
        <v>1929</v>
      </c>
      <c r="D85" s="25">
        <f>자재조서!E89</f>
        <v>1039100</v>
      </c>
      <c r="E85" s="20" t="s">
        <v>570</v>
      </c>
      <c r="F85" t="s">
        <v>2004</v>
      </c>
      <c r="G85" t="s">
        <v>2422</v>
      </c>
      <c r="H85" t="s">
        <v>2008</v>
      </c>
    </row>
    <row r="86" spans="1:8" ht="18.399999999999999" customHeight="1" x14ac:dyDescent="0.15">
      <c r="A86" s="11" t="s">
        <v>2830</v>
      </c>
      <c r="B86" s="2" t="s">
        <v>1449</v>
      </c>
      <c r="C86" s="2" t="s">
        <v>477</v>
      </c>
      <c r="D86" s="25">
        <f>자재조서!E90</f>
        <v>189</v>
      </c>
      <c r="E86" s="20" t="s">
        <v>291</v>
      </c>
      <c r="F86" t="s">
        <v>2856</v>
      </c>
      <c r="G86" t="s">
        <v>887</v>
      </c>
      <c r="H86" t="s">
        <v>2856</v>
      </c>
    </row>
    <row r="87" spans="1:8" ht="18.399999999999999" customHeight="1" x14ac:dyDescent="0.15">
      <c r="A87" s="11" t="s">
        <v>1545</v>
      </c>
      <c r="B87" s="2" t="s">
        <v>2856</v>
      </c>
      <c r="C87" s="2" t="s">
        <v>477</v>
      </c>
      <c r="D87" s="25">
        <f>자재조서!E91</f>
        <v>7550</v>
      </c>
      <c r="E87" s="20" t="s">
        <v>2001</v>
      </c>
      <c r="F87" t="s">
        <v>2856</v>
      </c>
      <c r="G87" t="s">
        <v>1930</v>
      </c>
      <c r="H87" t="s">
        <v>2856</v>
      </c>
    </row>
    <row r="88" spans="1:8" ht="18.399999999999999" customHeight="1" x14ac:dyDescent="0.15">
      <c r="A88" s="11" t="s">
        <v>703</v>
      </c>
      <c r="B88" s="2" t="s">
        <v>2798</v>
      </c>
      <c r="C88" s="2" t="s">
        <v>2294</v>
      </c>
      <c r="D88" s="25">
        <f>자재조서!E92</f>
        <v>11211</v>
      </c>
      <c r="E88" s="20" t="s">
        <v>1617</v>
      </c>
      <c r="F88" t="s">
        <v>2856</v>
      </c>
      <c r="G88" t="s">
        <v>957</v>
      </c>
      <c r="H88" t="s">
        <v>2856</v>
      </c>
    </row>
    <row r="89" spans="1:8" ht="18.399999999999999" customHeight="1" x14ac:dyDescent="0.15">
      <c r="A89" s="11" t="s">
        <v>2136</v>
      </c>
      <c r="B89" s="2" t="s">
        <v>2444</v>
      </c>
      <c r="C89" s="2" t="s">
        <v>1549</v>
      </c>
      <c r="D89" s="25">
        <f>자재조서!E95</f>
        <v>37000</v>
      </c>
      <c r="E89" s="20" t="s">
        <v>1124</v>
      </c>
      <c r="F89" t="s">
        <v>2856</v>
      </c>
      <c r="G89" t="s">
        <v>1728</v>
      </c>
      <c r="H89" t="s">
        <v>2856</v>
      </c>
    </row>
    <row r="90" spans="1:8" ht="18.399999999999999" customHeight="1" x14ac:dyDescent="0.15">
      <c r="A90" s="11" t="s">
        <v>1238</v>
      </c>
      <c r="B90" s="2" t="s">
        <v>2518</v>
      </c>
      <c r="C90" s="2" t="s">
        <v>2305</v>
      </c>
      <c r="D90" s="25">
        <f>자재조서!E96</f>
        <v>450000</v>
      </c>
      <c r="E90" s="20" t="s">
        <v>117</v>
      </c>
      <c r="F90" t="s">
        <v>2856</v>
      </c>
      <c r="G90" t="s">
        <v>282</v>
      </c>
      <c r="H90" t="s">
        <v>2856</v>
      </c>
    </row>
    <row r="91" spans="1:8" ht="18.399999999999999" customHeight="1" x14ac:dyDescent="0.15">
      <c r="A91" s="11" t="s">
        <v>2267</v>
      </c>
      <c r="B91" s="2" t="s">
        <v>2704</v>
      </c>
      <c r="C91" s="2" t="s">
        <v>2305</v>
      </c>
      <c r="D91" s="25">
        <f>자재조서!E97</f>
        <v>80000</v>
      </c>
      <c r="E91" s="20" t="s">
        <v>591</v>
      </c>
      <c r="F91" t="s">
        <v>2856</v>
      </c>
      <c r="G91" t="s">
        <v>1672</v>
      </c>
      <c r="H91" t="s">
        <v>2856</v>
      </c>
    </row>
    <row r="92" spans="1:8" ht="18.399999999999999" customHeight="1" x14ac:dyDescent="0.15">
      <c r="A92" s="11" t="s">
        <v>2426</v>
      </c>
      <c r="B92" s="2" t="s">
        <v>561</v>
      </c>
      <c r="C92" s="2" t="s">
        <v>2305</v>
      </c>
      <c r="D92" s="25">
        <f>자재조서!E98</f>
        <v>15270</v>
      </c>
      <c r="E92" s="20" t="s">
        <v>52</v>
      </c>
      <c r="F92" t="s">
        <v>2856</v>
      </c>
      <c r="G92" t="s">
        <v>493</v>
      </c>
      <c r="H92" t="s">
        <v>2856</v>
      </c>
    </row>
    <row r="93" spans="1:8" ht="18.399999999999999" customHeight="1" x14ac:dyDescent="0.15">
      <c r="A93" s="11" t="s">
        <v>2426</v>
      </c>
      <c r="B93" s="2" t="s">
        <v>2212</v>
      </c>
      <c r="C93" s="2" t="s">
        <v>2305</v>
      </c>
      <c r="D93" s="25">
        <f>자재조서!E99</f>
        <v>26670</v>
      </c>
      <c r="E93" s="20" t="s">
        <v>2433</v>
      </c>
      <c r="F93" t="s">
        <v>2856</v>
      </c>
      <c r="G93" t="s">
        <v>1239</v>
      </c>
      <c r="H93" t="s">
        <v>2856</v>
      </c>
    </row>
    <row r="94" spans="1:8" ht="18.399999999999999" customHeight="1" x14ac:dyDescent="0.15">
      <c r="A94" s="11" t="s">
        <v>633</v>
      </c>
      <c r="B94" s="2" t="s">
        <v>2248</v>
      </c>
      <c r="C94" s="2" t="s">
        <v>1180</v>
      </c>
      <c r="D94" s="25">
        <f>자재조서!E100</f>
        <v>13800</v>
      </c>
      <c r="E94" s="20" t="s">
        <v>2762</v>
      </c>
      <c r="F94" t="s">
        <v>2856</v>
      </c>
      <c r="G94" t="s">
        <v>281</v>
      </c>
      <c r="H94" t="s">
        <v>2856</v>
      </c>
    </row>
    <row r="95" spans="1:8" ht="18.399999999999999" customHeight="1" x14ac:dyDescent="0.15">
      <c r="A95" s="11" t="s">
        <v>147</v>
      </c>
      <c r="B95" s="2" t="s">
        <v>645</v>
      </c>
      <c r="C95" s="2" t="s">
        <v>1549</v>
      </c>
      <c r="D95" s="25">
        <f>자재조서!E101</f>
        <v>38300</v>
      </c>
      <c r="E95" s="20" t="s">
        <v>2310</v>
      </c>
      <c r="F95" t="s">
        <v>2856</v>
      </c>
      <c r="G95" t="s">
        <v>1330</v>
      </c>
      <c r="H95" t="s">
        <v>2856</v>
      </c>
    </row>
    <row r="96" spans="1:8" ht="18.399999999999999" customHeight="1" x14ac:dyDescent="0.15">
      <c r="A96" s="11" t="s">
        <v>1443</v>
      </c>
      <c r="B96" s="2" t="s">
        <v>995</v>
      </c>
      <c r="C96" s="2" t="s">
        <v>1549</v>
      </c>
      <c r="D96" s="25">
        <f>자재조서!E102</f>
        <v>25000</v>
      </c>
      <c r="E96" s="20" t="s">
        <v>1140</v>
      </c>
      <c r="F96" t="s">
        <v>2856</v>
      </c>
      <c r="G96" t="s">
        <v>1285</v>
      </c>
      <c r="H96" t="s">
        <v>2856</v>
      </c>
    </row>
    <row r="97" spans="1:8" ht="18.399999999999999" customHeight="1" x14ac:dyDescent="0.15">
      <c r="A97" s="11" t="s">
        <v>2114</v>
      </c>
      <c r="B97" s="2" t="s">
        <v>127</v>
      </c>
      <c r="C97" s="2" t="s">
        <v>1549</v>
      </c>
      <c r="D97" s="25">
        <f>자재조서!E103</f>
        <v>76837</v>
      </c>
      <c r="E97" s="20" t="s">
        <v>2137</v>
      </c>
      <c r="F97" t="s">
        <v>2856</v>
      </c>
      <c r="G97" t="s">
        <v>2736</v>
      </c>
      <c r="H97" t="s">
        <v>2856</v>
      </c>
    </row>
    <row r="98" spans="1:8" ht="18.399999999999999" customHeight="1" x14ac:dyDescent="0.15">
      <c r="A98" s="11" t="s">
        <v>35</v>
      </c>
      <c r="B98" s="2" t="s">
        <v>1770</v>
      </c>
      <c r="C98" s="2" t="s">
        <v>1549</v>
      </c>
      <c r="D98" s="25">
        <f>자재조서!E104</f>
        <v>21800</v>
      </c>
      <c r="E98" s="20" t="s">
        <v>1341</v>
      </c>
      <c r="F98" t="s">
        <v>2856</v>
      </c>
      <c r="G98" t="s">
        <v>456</v>
      </c>
      <c r="H98" t="s">
        <v>2856</v>
      </c>
    </row>
    <row r="99" spans="1:8" ht="18.399999999999999" customHeight="1" x14ac:dyDescent="0.15">
      <c r="A99" s="11" t="s">
        <v>2605</v>
      </c>
      <c r="B99" s="2" t="s">
        <v>2856</v>
      </c>
      <c r="C99" s="2" t="s">
        <v>477</v>
      </c>
      <c r="D99" s="25">
        <f>자재조서!E105</f>
        <v>1377</v>
      </c>
      <c r="E99" s="20" t="s">
        <v>1897</v>
      </c>
      <c r="F99" t="s">
        <v>2856</v>
      </c>
      <c r="G99" t="s">
        <v>1111</v>
      </c>
      <c r="H99" t="s">
        <v>2856</v>
      </c>
    </row>
    <row r="100" spans="1:8" ht="18.399999999999999" customHeight="1" x14ac:dyDescent="0.15">
      <c r="A100" s="11" t="s">
        <v>435</v>
      </c>
      <c r="B100" s="2" t="s">
        <v>2651</v>
      </c>
      <c r="C100" s="2" t="s">
        <v>635</v>
      </c>
      <c r="D100" s="25">
        <f>자재조서!E106</f>
        <v>2209000</v>
      </c>
      <c r="E100" s="20" t="s">
        <v>2551</v>
      </c>
      <c r="F100" t="s">
        <v>2856</v>
      </c>
      <c r="G100" t="s">
        <v>687</v>
      </c>
      <c r="H100" t="s">
        <v>2856</v>
      </c>
    </row>
    <row r="101" spans="1:8" ht="18.399999999999999" customHeight="1" x14ac:dyDescent="0.15">
      <c r="A101" s="11" t="s">
        <v>661</v>
      </c>
      <c r="B101" s="2" t="s">
        <v>2312</v>
      </c>
      <c r="C101" s="2" t="s">
        <v>2112</v>
      </c>
      <c r="D101" s="25">
        <f>자재조서!E107</f>
        <v>700000</v>
      </c>
      <c r="E101" s="20" t="s">
        <v>2466</v>
      </c>
      <c r="F101" t="s">
        <v>2856</v>
      </c>
      <c r="G101" t="s">
        <v>1284</v>
      </c>
      <c r="H101" t="s">
        <v>2856</v>
      </c>
    </row>
    <row r="102" spans="1:8" ht="18.399999999999999" customHeight="1" x14ac:dyDescent="0.15">
      <c r="A102" s="11" t="s">
        <v>367</v>
      </c>
      <c r="B102" s="2" t="s">
        <v>2335</v>
      </c>
      <c r="C102" s="2" t="s">
        <v>2112</v>
      </c>
      <c r="D102" s="25">
        <f>자재조서!E108</f>
        <v>2800000</v>
      </c>
      <c r="E102" s="20" t="s">
        <v>2695</v>
      </c>
      <c r="F102" t="s">
        <v>2856</v>
      </c>
      <c r="G102" t="s">
        <v>2713</v>
      </c>
      <c r="H102" t="s">
        <v>2856</v>
      </c>
    </row>
    <row r="103" spans="1:8" ht="18.399999999999999" customHeight="1" x14ac:dyDescent="0.15">
      <c r="A103" s="11" t="s">
        <v>1334</v>
      </c>
      <c r="B103" s="2" t="s">
        <v>1726</v>
      </c>
      <c r="C103" s="2" t="s">
        <v>2112</v>
      </c>
      <c r="D103" s="25">
        <f>자재조서!E109</f>
        <v>12000000</v>
      </c>
      <c r="E103" s="20" t="s">
        <v>2695</v>
      </c>
      <c r="F103" t="s">
        <v>2856</v>
      </c>
      <c r="G103" t="s">
        <v>2211</v>
      </c>
      <c r="H103" t="s">
        <v>2856</v>
      </c>
    </row>
    <row r="104" spans="1:8" ht="18.399999999999999" customHeight="1" x14ac:dyDescent="0.15">
      <c r="A104" s="11" t="s">
        <v>965</v>
      </c>
      <c r="B104" s="2" t="s">
        <v>362</v>
      </c>
      <c r="C104" s="2" t="s">
        <v>2112</v>
      </c>
      <c r="D104" s="25">
        <f>자재조서!E110</f>
        <v>33600000</v>
      </c>
      <c r="E104" s="20" t="s">
        <v>2695</v>
      </c>
      <c r="F104" t="s">
        <v>2856</v>
      </c>
      <c r="G104" t="s">
        <v>901</v>
      </c>
      <c r="H104" t="s">
        <v>2856</v>
      </c>
    </row>
    <row r="105" spans="1:8" ht="18.399999999999999" customHeight="1" x14ac:dyDescent="0.15">
      <c r="A105" s="11" t="s">
        <v>1743</v>
      </c>
      <c r="B105" s="2" t="s">
        <v>2856</v>
      </c>
      <c r="C105" s="2" t="s">
        <v>2112</v>
      </c>
      <c r="D105" s="25">
        <f>자재조서!E111</f>
        <v>900000</v>
      </c>
      <c r="E105" s="20" t="s">
        <v>2695</v>
      </c>
      <c r="F105" t="s">
        <v>2856</v>
      </c>
      <c r="G105" t="s">
        <v>1390</v>
      </c>
      <c r="H105" t="s">
        <v>2856</v>
      </c>
    </row>
    <row r="106" spans="1:8" ht="18.399999999999999" customHeight="1" x14ac:dyDescent="0.15">
      <c r="A106" s="11" t="s">
        <v>1329</v>
      </c>
      <c r="B106" s="2" t="s">
        <v>893</v>
      </c>
      <c r="C106" s="2" t="s">
        <v>2112</v>
      </c>
      <c r="D106" s="25">
        <f>자재조서!E112</f>
        <v>4760000</v>
      </c>
      <c r="E106" s="20" t="s">
        <v>1859</v>
      </c>
      <c r="F106" t="s">
        <v>2856</v>
      </c>
      <c r="G106" t="s">
        <v>2648</v>
      </c>
      <c r="H106" t="s">
        <v>2856</v>
      </c>
    </row>
    <row r="107" spans="1:8" ht="18.399999999999999" customHeight="1" x14ac:dyDescent="0.15">
      <c r="A107" s="11" t="s">
        <v>1984</v>
      </c>
      <c r="B107" s="2" t="s">
        <v>352</v>
      </c>
      <c r="C107" s="2" t="s">
        <v>1180</v>
      </c>
      <c r="D107" s="25">
        <f>자재조서!E113</f>
        <v>14300</v>
      </c>
      <c r="E107" s="20" t="s">
        <v>1548</v>
      </c>
      <c r="F107" t="s">
        <v>2856</v>
      </c>
      <c r="G107" t="s">
        <v>2795</v>
      </c>
      <c r="H107" t="s">
        <v>2856</v>
      </c>
    </row>
    <row r="108" spans="1:8" ht="18.399999999999999" customHeight="1" x14ac:dyDescent="0.15">
      <c r="A108" s="11" t="s">
        <v>322</v>
      </c>
      <c r="B108" s="2" t="s">
        <v>1049</v>
      </c>
      <c r="C108" s="2" t="s">
        <v>1549</v>
      </c>
      <c r="D108" s="25">
        <f>자재조서!E114</f>
        <v>137500</v>
      </c>
      <c r="E108" s="20" t="s">
        <v>1270</v>
      </c>
      <c r="F108" t="s">
        <v>2856</v>
      </c>
      <c r="G108" t="s">
        <v>699</v>
      </c>
      <c r="H108" t="s">
        <v>2856</v>
      </c>
    </row>
    <row r="109" spans="1:8" ht="18.399999999999999" customHeight="1" x14ac:dyDescent="0.15">
      <c r="A109" s="11" t="s">
        <v>2557</v>
      </c>
      <c r="B109" s="2" t="s">
        <v>2642</v>
      </c>
      <c r="C109" s="2" t="s">
        <v>2631</v>
      </c>
      <c r="D109" s="25">
        <f>자재조서!E115</f>
        <v>360</v>
      </c>
      <c r="E109" s="20" t="s">
        <v>123</v>
      </c>
      <c r="F109" t="s">
        <v>2856</v>
      </c>
      <c r="G109" t="s">
        <v>1303</v>
      </c>
      <c r="H109" t="s">
        <v>2856</v>
      </c>
    </row>
    <row r="110" spans="1:8" ht="18.399999999999999" customHeight="1" x14ac:dyDescent="0.15">
      <c r="A110" s="11" t="s">
        <v>501</v>
      </c>
      <c r="B110" s="2" t="s">
        <v>747</v>
      </c>
      <c r="C110" s="2" t="s">
        <v>1622</v>
      </c>
      <c r="D110" s="25">
        <f>자재조서!E116</f>
        <v>5000</v>
      </c>
      <c r="E110" s="20" t="s">
        <v>653</v>
      </c>
      <c r="F110" t="s">
        <v>2856</v>
      </c>
      <c r="G110" t="s">
        <v>2117</v>
      </c>
      <c r="H110" t="s">
        <v>2856</v>
      </c>
    </row>
    <row r="111" spans="1:8" ht="18.399999999999999" customHeight="1" x14ac:dyDescent="0.15">
      <c r="A111" s="11" t="s">
        <v>1644</v>
      </c>
      <c r="B111" s="2" t="s">
        <v>2465</v>
      </c>
      <c r="C111" s="2" t="s">
        <v>1622</v>
      </c>
      <c r="D111" s="25">
        <f>자재조서!E117</f>
        <v>5000</v>
      </c>
      <c r="E111" s="20" t="s">
        <v>653</v>
      </c>
      <c r="F111" t="s">
        <v>2856</v>
      </c>
      <c r="G111" t="s">
        <v>1406</v>
      </c>
      <c r="H111" t="s">
        <v>2856</v>
      </c>
    </row>
    <row r="112" spans="1:8" ht="18.399999999999999" customHeight="1" x14ac:dyDescent="0.15">
      <c r="A112" s="11" t="s">
        <v>1761</v>
      </c>
      <c r="B112" s="2" t="s">
        <v>2465</v>
      </c>
      <c r="C112" s="2" t="s">
        <v>1622</v>
      </c>
      <c r="D112" s="25">
        <f>자재조서!E118</f>
        <v>1200</v>
      </c>
      <c r="E112" s="20" t="s">
        <v>2304</v>
      </c>
      <c r="F112" t="s">
        <v>2856</v>
      </c>
      <c r="G112" t="s">
        <v>666</v>
      </c>
      <c r="H112" t="s">
        <v>2856</v>
      </c>
    </row>
    <row r="113" spans="1:8" ht="18.399999999999999" customHeight="1" x14ac:dyDescent="0.15">
      <c r="A113" s="11" t="s">
        <v>2846</v>
      </c>
      <c r="B113" s="2" t="s">
        <v>715</v>
      </c>
      <c r="C113" s="2" t="s">
        <v>1929</v>
      </c>
      <c r="D113" s="25">
        <f>자재조서!E119</f>
        <v>40000</v>
      </c>
      <c r="E113" s="20" t="s">
        <v>591</v>
      </c>
      <c r="F113" t="s">
        <v>2856</v>
      </c>
      <c r="G113" t="s">
        <v>2571</v>
      </c>
      <c r="H113" t="s">
        <v>2856</v>
      </c>
    </row>
    <row r="114" spans="1:8" ht="18.399999999999999" customHeight="1" x14ac:dyDescent="0.15">
      <c r="A114" s="11" t="s">
        <v>2846</v>
      </c>
      <c r="B114" s="2" t="s">
        <v>1345</v>
      </c>
      <c r="C114" s="2" t="s">
        <v>1929</v>
      </c>
      <c r="D114" s="25">
        <f>자재조서!E120</f>
        <v>45000</v>
      </c>
      <c r="E114" s="20" t="s">
        <v>591</v>
      </c>
      <c r="F114" t="s">
        <v>2856</v>
      </c>
      <c r="G114" t="s">
        <v>1300</v>
      </c>
      <c r="H114" t="s">
        <v>2856</v>
      </c>
    </row>
    <row r="115" spans="1:8" ht="18.399999999999999" customHeight="1" x14ac:dyDescent="0.15">
      <c r="A115" s="11" t="s">
        <v>2846</v>
      </c>
      <c r="B115" s="2" t="s">
        <v>826</v>
      </c>
      <c r="C115" s="2" t="s">
        <v>1929</v>
      </c>
      <c r="D115" s="25">
        <f>자재조서!E121</f>
        <v>50000</v>
      </c>
      <c r="E115" s="20" t="s">
        <v>591</v>
      </c>
      <c r="F115" t="s">
        <v>2856</v>
      </c>
      <c r="G115" t="s">
        <v>2530</v>
      </c>
      <c r="H115" t="s">
        <v>2856</v>
      </c>
    </row>
    <row r="116" spans="1:8" ht="18.399999999999999" customHeight="1" x14ac:dyDescent="0.15">
      <c r="A116" s="11" t="s">
        <v>2239</v>
      </c>
      <c r="B116" s="2" t="s">
        <v>924</v>
      </c>
      <c r="C116" s="2" t="s">
        <v>1929</v>
      </c>
      <c r="D116" s="25">
        <f>자재조서!E122</f>
        <v>120000</v>
      </c>
      <c r="E116" s="20" t="s">
        <v>591</v>
      </c>
      <c r="F116" t="s">
        <v>2856</v>
      </c>
      <c r="G116" t="s">
        <v>1484</v>
      </c>
      <c r="H116" t="s">
        <v>2856</v>
      </c>
    </row>
    <row r="117" spans="1:8" ht="18.399999999999999" customHeight="1" x14ac:dyDescent="0.15">
      <c r="A117" s="11" t="s">
        <v>941</v>
      </c>
      <c r="B117" s="2" t="s">
        <v>1227</v>
      </c>
      <c r="C117" s="2" t="s">
        <v>2112</v>
      </c>
      <c r="D117" s="25">
        <f>자재조서!E123</f>
        <v>220000</v>
      </c>
      <c r="E117" s="20" t="s">
        <v>591</v>
      </c>
      <c r="F117" t="s">
        <v>2856</v>
      </c>
      <c r="G117" t="s">
        <v>212</v>
      </c>
      <c r="H117" t="s">
        <v>2856</v>
      </c>
    </row>
    <row r="118" spans="1:8" ht="18.399999999999999" customHeight="1" x14ac:dyDescent="0.15">
      <c r="A118" s="11" t="s">
        <v>2653</v>
      </c>
      <c r="B118" s="2" t="s">
        <v>2280</v>
      </c>
      <c r="C118" s="2" t="s">
        <v>2112</v>
      </c>
      <c r="D118" s="25">
        <f>자재조서!E124</f>
        <v>12500</v>
      </c>
      <c r="E118" s="20" t="s">
        <v>2333</v>
      </c>
      <c r="F118" t="s">
        <v>2856</v>
      </c>
      <c r="G118" t="s">
        <v>1214</v>
      </c>
      <c r="H118" t="s">
        <v>2856</v>
      </c>
    </row>
    <row r="119" spans="1:8" ht="18.399999999999999" customHeight="1" x14ac:dyDescent="0.15">
      <c r="A119" s="11" t="s">
        <v>1772</v>
      </c>
      <c r="B119" s="2" t="s">
        <v>1732</v>
      </c>
      <c r="C119" s="2" t="s">
        <v>2305</v>
      </c>
      <c r="D119" s="25">
        <f>자재조서!E126</f>
        <v>54300</v>
      </c>
      <c r="E119" s="20" t="s">
        <v>857</v>
      </c>
      <c r="F119" t="s">
        <v>2856</v>
      </c>
      <c r="G119" t="s">
        <v>783</v>
      </c>
      <c r="H119" t="s">
        <v>2856</v>
      </c>
    </row>
    <row r="120" spans="1:8" ht="18.399999999999999" customHeight="1" x14ac:dyDescent="0.15">
      <c r="A120" s="11" t="s">
        <v>1772</v>
      </c>
      <c r="B120" s="2" t="s">
        <v>1506</v>
      </c>
      <c r="C120" s="2" t="s">
        <v>2305</v>
      </c>
      <c r="D120" s="25">
        <f>자재조서!E127</f>
        <v>67100</v>
      </c>
      <c r="E120" s="20" t="s">
        <v>857</v>
      </c>
      <c r="F120" t="s">
        <v>2856</v>
      </c>
      <c r="G120" t="s">
        <v>2837</v>
      </c>
      <c r="H120" t="s">
        <v>2856</v>
      </c>
    </row>
    <row r="121" spans="1:8" ht="18.399999999999999" customHeight="1" x14ac:dyDescent="0.15">
      <c r="A121" s="11" t="s">
        <v>1445</v>
      </c>
      <c r="B121" s="2" t="s">
        <v>569</v>
      </c>
      <c r="C121" s="2" t="s">
        <v>2112</v>
      </c>
      <c r="D121" s="25">
        <f>자재조서!E128</f>
        <v>400000</v>
      </c>
      <c r="E121" s="20" t="s">
        <v>2333</v>
      </c>
      <c r="F121" t="s">
        <v>2856</v>
      </c>
      <c r="G121" t="s">
        <v>1210</v>
      </c>
      <c r="H121" t="s">
        <v>2856</v>
      </c>
    </row>
    <row r="122" spans="1:8" ht="18.399999999999999" customHeight="1" x14ac:dyDescent="0.15">
      <c r="A122" s="11" t="s">
        <v>1195</v>
      </c>
      <c r="B122" s="2" t="s">
        <v>2437</v>
      </c>
      <c r="C122" s="2" t="s">
        <v>477</v>
      </c>
      <c r="D122" s="25">
        <f>자재조서!E129</f>
        <v>433</v>
      </c>
      <c r="E122" s="20" t="s">
        <v>513</v>
      </c>
      <c r="F122" t="s">
        <v>2856</v>
      </c>
      <c r="G122" t="s">
        <v>1422</v>
      </c>
      <c r="H122" t="s">
        <v>2856</v>
      </c>
    </row>
    <row r="123" spans="1:8" ht="18.399999999999999" customHeight="1" x14ac:dyDescent="0.15">
      <c r="A123" s="11" t="s">
        <v>1195</v>
      </c>
      <c r="B123" s="2" t="s">
        <v>938</v>
      </c>
      <c r="C123" s="2" t="s">
        <v>1325</v>
      </c>
      <c r="D123" s="25">
        <f>자재조서!E130</f>
        <v>8657</v>
      </c>
      <c r="E123" s="20" t="s">
        <v>513</v>
      </c>
      <c r="F123" t="s">
        <v>2856</v>
      </c>
      <c r="G123" t="s">
        <v>2602</v>
      </c>
      <c r="H123" t="s">
        <v>2856</v>
      </c>
    </row>
    <row r="124" spans="1:8" ht="18.399999999999999" customHeight="1" x14ac:dyDescent="0.15">
      <c r="A124" s="11" t="s">
        <v>2821</v>
      </c>
      <c r="B124" s="2" t="s">
        <v>816</v>
      </c>
      <c r="C124" s="2" t="s">
        <v>2118</v>
      </c>
      <c r="D124" s="25">
        <f>자재조서!E131</f>
        <v>24700</v>
      </c>
      <c r="E124" s="20" t="s">
        <v>1529</v>
      </c>
      <c r="F124" t="s">
        <v>2856</v>
      </c>
      <c r="G124" t="s">
        <v>2314</v>
      </c>
      <c r="H124" t="s">
        <v>2856</v>
      </c>
    </row>
    <row r="125" spans="1:8" ht="18.399999999999999" customHeight="1" x14ac:dyDescent="0.15">
      <c r="A125" s="11" t="s">
        <v>1911</v>
      </c>
      <c r="B125" s="2" t="s">
        <v>1807</v>
      </c>
      <c r="C125" s="2" t="s">
        <v>2118</v>
      </c>
      <c r="D125" s="25">
        <f>자재조서!E132</f>
        <v>17700</v>
      </c>
      <c r="E125" s="20" t="s">
        <v>1790</v>
      </c>
      <c r="F125" t="s">
        <v>2856</v>
      </c>
      <c r="G125" t="s">
        <v>1011</v>
      </c>
      <c r="H125" t="s">
        <v>2856</v>
      </c>
    </row>
    <row r="126" spans="1:8" ht="18.399999999999999" customHeight="1" x14ac:dyDescent="0.15">
      <c r="A126" s="11" t="s">
        <v>2684</v>
      </c>
      <c r="B126" s="2" t="s">
        <v>2570</v>
      </c>
      <c r="C126" s="2" t="s">
        <v>2118</v>
      </c>
      <c r="D126" s="25">
        <f>자재조서!E133</f>
        <v>10400</v>
      </c>
      <c r="E126" s="20" t="s">
        <v>1790</v>
      </c>
      <c r="F126" t="s">
        <v>2856</v>
      </c>
      <c r="G126" t="s">
        <v>627</v>
      </c>
      <c r="H126" t="s">
        <v>2856</v>
      </c>
    </row>
    <row r="127" spans="1:8" ht="18.399999999999999" customHeight="1" x14ac:dyDescent="0.15">
      <c r="A127" s="11" t="s">
        <v>40</v>
      </c>
      <c r="B127" s="2" t="s">
        <v>1854</v>
      </c>
      <c r="C127" s="2" t="s">
        <v>1549</v>
      </c>
      <c r="D127" s="25">
        <f>자재조서!E134</f>
        <v>1100</v>
      </c>
      <c r="E127" s="20" t="s">
        <v>2831</v>
      </c>
      <c r="F127" t="s">
        <v>460</v>
      </c>
      <c r="G127" t="s">
        <v>400</v>
      </c>
      <c r="H127" t="s">
        <v>235</v>
      </c>
    </row>
    <row r="128" spans="1:8" ht="18.399999999999999" customHeight="1" x14ac:dyDescent="0.15">
      <c r="A128" s="11" t="s">
        <v>2332</v>
      </c>
      <c r="B128" s="2" t="s">
        <v>1692</v>
      </c>
      <c r="C128" s="2" t="s">
        <v>1549</v>
      </c>
      <c r="D128" s="25">
        <f>자재조서!E135</f>
        <v>3500</v>
      </c>
      <c r="E128" s="20" t="s">
        <v>2765</v>
      </c>
      <c r="F128" t="s">
        <v>460</v>
      </c>
      <c r="G128" t="s">
        <v>2000</v>
      </c>
      <c r="H128" t="s">
        <v>235</v>
      </c>
    </row>
    <row r="129" spans="1:8" ht="18.399999999999999" customHeight="1" x14ac:dyDescent="0.15">
      <c r="A129" s="11" t="s">
        <v>1105</v>
      </c>
      <c r="B129" s="2" t="s">
        <v>1038</v>
      </c>
      <c r="C129" s="2" t="s">
        <v>1079</v>
      </c>
      <c r="D129" s="25">
        <f>자재조서!E136</f>
        <v>150</v>
      </c>
      <c r="E129" s="20" t="s">
        <v>302</v>
      </c>
      <c r="F129" t="s">
        <v>2856</v>
      </c>
      <c r="G129" t="s">
        <v>794</v>
      </c>
      <c r="H129" t="s">
        <v>2779</v>
      </c>
    </row>
    <row r="130" spans="1:8" ht="18.399999999999999" customHeight="1" x14ac:dyDescent="0.15">
      <c r="A130" s="11" t="s">
        <v>75</v>
      </c>
      <c r="B130" s="2" t="s">
        <v>1936</v>
      </c>
      <c r="C130" s="2" t="s">
        <v>1079</v>
      </c>
      <c r="D130" s="25">
        <f>자재조서!E137</f>
        <v>40</v>
      </c>
      <c r="E130" s="20" t="s">
        <v>302</v>
      </c>
      <c r="F130" t="s">
        <v>2856</v>
      </c>
      <c r="G130" t="s">
        <v>316</v>
      </c>
      <c r="H130" t="s">
        <v>1166</v>
      </c>
    </row>
    <row r="131" spans="1:8" ht="18.399999999999999" customHeight="1" x14ac:dyDescent="0.15">
      <c r="A131" s="11" t="s">
        <v>771</v>
      </c>
      <c r="B131" s="2" t="s">
        <v>2741</v>
      </c>
      <c r="C131" s="2" t="s">
        <v>477</v>
      </c>
      <c r="D131" s="25">
        <f>자재조서!E138</f>
        <v>1245</v>
      </c>
      <c r="E131" s="20" t="s">
        <v>2101</v>
      </c>
      <c r="F131" t="s">
        <v>2856</v>
      </c>
      <c r="G131" t="s">
        <v>1046</v>
      </c>
      <c r="H131" t="s">
        <v>2856</v>
      </c>
    </row>
    <row r="132" spans="1:8" ht="18.399999999999999" customHeight="1" x14ac:dyDescent="0.15">
      <c r="A132" s="11" t="s">
        <v>175</v>
      </c>
      <c r="B132" s="2" t="s">
        <v>2208</v>
      </c>
      <c r="C132" s="2" t="s">
        <v>2069</v>
      </c>
      <c r="D132" s="25">
        <f>자재조서!E139</f>
        <v>29000</v>
      </c>
      <c r="E132" s="20" t="s">
        <v>912</v>
      </c>
      <c r="F132" t="s">
        <v>2856</v>
      </c>
      <c r="G132" t="s">
        <v>2677</v>
      </c>
      <c r="H132" t="s">
        <v>2856</v>
      </c>
    </row>
    <row r="133" spans="1:8" ht="18.399999999999999" customHeight="1" thickBot="1" x14ac:dyDescent="0.2">
      <c r="A133" s="13" t="s">
        <v>433</v>
      </c>
      <c r="B133" s="14" t="s">
        <v>1118</v>
      </c>
      <c r="C133" s="14" t="s">
        <v>2069</v>
      </c>
      <c r="D133" s="26">
        <f>자재조서!E140</f>
        <v>23232</v>
      </c>
      <c r="E133" s="21" t="s">
        <v>2101</v>
      </c>
      <c r="F133" t="s">
        <v>2856</v>
      </c>
      <c r="G133" t="s">
        <v>961</v>
      </c>
      <c r="H133" t="s">
        <v>2856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8325-ECD4-486F-9358-307E0BCEA879}">
  <dimension ref="A1:H17"/>
  <sheetViews>
    <sheetView workbookViewId="0">
      <selection activeCell="F23" sqref="F23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10" customWidth="1"/>
    <col min="4" max="4" width="20" customWidth="1"/>
    <col min="5" max="5" width="30" customWidth="1"/>
    <col min="6" max="8" width="0" hidden="1" customWidth="1"/>
  </cols>
  <sheetData>
    <row r="1" spans="1:8" ht="18.399999999999999" customHeight="1" thickBot="1" x14ac:dyDescent="0.2">
      <c r="A1" t="s">
        <v>2629</v>
      </c>
    </row>
    <row r="2" spans="1:8" ht="18.399999999999999" customHeight="1" thickBot="1" x14ac:dyDescent="0.2">
      <c r="A2" s="16" t="s">
        <v>2018</v>
      </c>
      <c r="B2" s="17" t="s">
        <v>1087</v>
      </c>
      <c r="C2" s="17" t="s">
        <v>2660</v>
      </c>
      <c r="D2" s="17" t="s">
        <v>1535</v>
      </c>
      <c r="E2" s="19" t="s">
        <v>726</v>
      </c>
    </row>
    <row r="3" spans="1:8" ht="18.399999999999999" customHeight="1" x14ac:dyDescent="0.15">
      <c r="A3" s="11" t="s">
        <v>151</v>
      </c>
      <c r="B3" s="2" t="s">
        <v>2856</v>
      </c>
      <c r="C3" s="2" t="s">
        <v>1682</v>
      </c>
      <c r="D3" s="25">
        <v>279267</v>
      </c>
      <c r="E3" s="20" t="s">
        <v>2856</v>
      </c>
      <c r="F3" t="s">
        <v>989</v>
      </c>
      <c r="G3" t="s">
        <v>208</v>
      </c>
      <c r="H3" t="s">
        <v>208</v>
      </c>
    </row>
    <row r="4" spans="1:8" ht="18.399999999999999" customHeight="1" x14ac:dyDescent="0.15">
      <c r="A4" s="11" t="s">
        <v>1009</v>
      </c>
      <c r="B4" s="2" t="s">
        <v>2856</v>
      </c>
      <c r="C4" s="2" t="s">
        <v>1682</v>
      </c>
      <c r="D4" s="25">
        <v>275108</v>
      </c>
      <c r="E4" s="20" t="s">
        <v>2856</v>
      </c>
      <c r="F4" t="s">
        <v>1593</v>
      </c>
      <c r="G4" t="s">
        <v>1964</v>
      </c>
      <c r="H4" t="s">
        <v>1964</v>
      </c>
    </row>
    <row r="5" spans="1:8" ht="18.399999999999999" customHeight="1" x14ac:dyDescent="0.15">
      <c r="A5" s="11" t="s">
        <v>1539</v>
      </c>
      <c r="B5" s="2" t="s">
        <v>2856</v>
      </c>
      <c r="C5" s="2" t="s">
        <v>1682</v>
      </c>
      <c r="D5" s="25">
        <v>237480</v>
      </c>
      <c r="E5" s="20" t="s">
        <v>2856</v>
      </c>
      <c r="F5" t="s">
        <v>1350</v>
      </c>
      <c r="G5" t="s">
        <v>111</v>
      </c>
      <c r="H5" t="s">
        <v>111</v>
      </c>
    </row>
    <row r="6" spans="1:8" ht="18.399999999999999" customHeight="1" x14ac:dyDescent="0.15">
      <c r="A6" s="11" t="s">
        <v>202</v>
      </c>
      <c r="B6" s="2" t="s">
        <v>2856</v>
      </c>
      <c r="C6" s="2" t="s">
        <v>1682</v>
      </c>
      <c r="D6" s="25">
        <v>261934</v>
      </c>
      <c r="E6" s="20" t="s">
        <v>2856</v>
      </c>
      <c r="F6" t="s">
        <v>2185</v>
      </c>
      <c r="G6" t="s">
        <v>1722</v>
      </c>
      <c r="H6" t="s">
        <v>1722</v>
      </c>
    </row>
    <row r="7" spans="1:8" ht="18.399999999999999" customHeight="1" x14ac:dyDescent="0.15">
      <c r="A7" s="11" t="s">
        <v>1513</v>
      </c>
      <c r="B7" s="2" t="s">
        <v>2856</v>
      </c>
      <c r="C7" s="2" t="s">
        <v>1682</v>
      </c>
      <c r="D7" s="25">
        <v>258935</v>
      </c>
      <c r="E7" s="20" t="s">
        <v>2856</v>
      </c>
      <c r="F7" t="s">
        <v>2856</v>
      </c>
      <c r="G7" t="s">
        <v>926</v>
      </c>
      <c r="H7" t="s">
        <v>926</v>
      </c>
    </row>
    <row r="8" spans="1:8" ht="18.399999999999999" customHeight="1" x14ac:dyDescent="0.15">
      <c r="A8" s="11" t="s">
        <v>2835</v>
      </c>
      <c r="B8" s="2" t="s">
        <v>2856</v>
      </c>
      <c r="C8" s="2" t="s">
        <v>1682</v>
      </c>
      <c r="D8" s="25">
        <v>264080</v>
      </c>
      <c r="E8" s="20" t="s">
        <v>2856</v>
      </c>
      <c r="F8" t="s">
        <v>2472</v>
      </c>
      <c r="G8" t="s">
        <v>1828</v>
      </c>
      <c r="H8" t="s">
        <v>1828</v>
      </c>
    </row>
    <row r="9" spans="1:8" ht="18.399999999999999" customHeight="1" x14ac:dyDescent="0.15">
      <c r="A9" s="11" t="s">
        <v>2311</v>
      </c>
      <c r="B9" s="2" t="s">
        <v>2856</v>
      </c>
      <c r="C9" s="2" t="s">
        <v>1682</v>
      </c>
      <c r="D9" s="25">
        <v>256854</v>
      </c>
      <c r="E9" s="20" t="s">
        <v>2856</v>
      </c>
      <c r="F9" t="s">
        <v>2282</v>
      </c>
      <c r="G9" t="s">
        <v>772</v>
      </c>
      <c r="H9" t="s">
        <v>772</v>
      </c>
    </row>
    <row r="10" spans="1:8" ht="18.399999999999999" customHeight="1" x14ac:dyDescent="0.15">
      <c r="A10" s="11" t="s">
        <v>885</v>
      </c>
      <c r="B10" s="2" t="s">
        <v>2856</v>
      </c>
      <c r="C10" s="2" t="s">
        <v>1682</v>
      </c>
      <c r="D10" s="25">
        <v>266931</v>
      </c>
      <c r="E10" s="20" t="s">
        <v>2856</v>
      </c>
      <c r="F10" t="s">
        <v>2396</v>
      </c>
      <c r="G10" t="s">
        <v>642</v>
      </c>
      <c r="H10" t="s">
        <v>642</v>
      </c>
    </row>
    <row r="11" spans="1:8" ht="18.399999999999999" customHeight="1" x14ac:dyDescent="0.15">
      <c r="A11" s="11" t="s">
        <v>1633</v>
      </c>
      <c r="B11" s="2" t="s">
        <v>2856</v>
      </c>
      <c r="C11" s="2" t="s">
        <v>1682</v>
      </c>
      <c r="D11" s="25">
        <v>211355</v>
      </c>
      <c r="E11" s="20" t="s">
        <v>2856</v>
      </c>
      <c r="F11" t="s">
        <v>711</v>
      </c>
      <c r="G11" t="s">
        <v>1433</v>
      </c>
      <c r="H11" t="s">
        <v>1433</v>
      </c>
    </row>
    <row r="12" spans="1:8" ht="18.399999999999999" customHeight="1" x14ac:dyDescent="0.15">
      <c r="A12" s="11" t="s">
        <v>500</v>
      </c>
      <c r="B12" s="2" t="s">
        <v>2856</v>
      </c>
      <c r="C12" s="2" t="s">
        <v>1682</v>
      </c>
      <c r="D12" s="25">
        <v>222504</v>
      </c>
      <c r="E12" s="20" t="s">
        <v>2856</v>
      </c>
      <c r="F12" t="s">
        <v>2823</v>
      </c>
      <c r="G12" t="s">
        <v>2638</v>
      </c>
      <c r="H12" t="s">
        <v>2638</v>
      </c>
    </row>
    <row r="13" spans="1:8" ht="18.399999999999999" customHeight="1" x14ac:dyDescent="0.15">
      <c r="A13" s="11" t="s">
        <v>154</v>
      </c>
      <c r="B13" s="2" t="s">
        <v>2856</v>
      </c>
      <c r="C13" s="2" t="s">
        <v>1682</v>
      </c>
      <c r="D13" s="25">
        <v>251041</v>
      </c>
      <c r="E13" s="20" t="s">
        <v>2856</v>
      </c>
      <c r="F13" t="s">
        <v>1799</v>
      </c>
      <c r="G13" t="s">
        <v>1362</v>
      </c>
      <c r="H13" t="s">
        <v>1362</v>
      </c>
    </row>
    <row r="14" spans="1:8" ht="18.399999999999999" customHeight="1" x14ac:dyDescent="0.15">
      <c r="A14" s="11" t="s">
        <v>139</v>
      </c>
      <c r="B14" s="2" t="s">
        <v>2856</v>
      </c>
      <c r="C14" s="2" t="s">
        <v>1682</v>
      </c>
      <c r="D14" s="25">
        <v>219321</v>
      </c>
      <c r="E14" s="20" t="s">
        <v>2856</v>
      </c>
      <c r="F14" t="s">
        <v>1742</v>
      </c>
      <c r="G14" t="s">
        <v>2068</v>
      </c>
      <c r="H14" t="s">
        <v>2068</v>
      </c>
    </row>
    <row r="15" spans="1:8" ht="18.399999999999999" customHeight="1" x14ac:dyDescent="0.15">
      <c r="A15" s="11" t="s">
        <v>185</v>
      </c>
      <c r="B15" s="2" t="s">
        <v>2856</v>
      </c>
      <c r="C15" s="2" t="s">
        <v>1682</v>
      </c>
      <c r="D15" s="25">
        <v>167081</v>
      </c>
      <c r="E15" s="20" t="s">
        <v>2856</v>
      </c>
      <c r="F15" t="s">
        <v>821</v>
      </c>
      <c r="G15" t="s">
        <v>498</v>
      </c>
      <c r="H15" t="s">
        <v>498</v>
      </c>
    </row>
    <row r="16" spans="1:8" ht="18" customHeight="1" thickBot="1" x14ac:dyDescent="0.2">
      <c r="A16" s="13" t="s">
        <v>2153</v>
      </c>
      <c r="B16" s="14" t="s">
        <v>2856</v>
      </c>
      <c r="C16" s="14" t="s">
        <v>1682</v>
      </c>
      <c r="D16" s="26">
        <v>270724</v>
      </c>
      <c r="E16" s="21" t="s">
        <v>2856</v>
      </c>
      <c r="F16" t="s">
        <v>1880</v>
      </c>
      <c r="G16" t="s">
        <v>2210</v>
      </c>
      <c r="H16" t="s">
        <v>2210</v>
      </c>
    </row>
    <row r="17" spans="1:8" ht="18" customHeight="1" x14ac:dyDescent="0.15">
      <c r="A17" s="2" t="s">
        <v>3103</v>
      </c>
      <c r="B17" s="2" t="s">
        <v>2856</v>
      </c>
      <c r="C17" s="2" t="s">
        <v>1682</v>
      </c>
      <c r="D17" s="25">
        <v>219996</v>
      </c>
      <c r="E17" s="2" t="s">
        <v>2856</v>
      </c>
      <c r="F17" t="s">
        <v>2856</v>
      </c>
      <c r="G17" t="s">
        <v>3095</v>
      </c>
      <c r="H17" t="s">
        <v>3104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5FE1-4E41-442C-8016-22B23ECDE0F7}">
  <dimension ref="A1:J6"/>
  <sheetViews>
    <sheetView workbookViewId="0">
      <selection activeCell="F23" sqref="F23"/>
    </sheetView>
  </sheetViews>
  <sheetFormatPr defaultRowHeight="18.399999999999999" customHeight="1" x14ac:dyDescent="0.15"/>
  <cols>
    <col min="1" max="1" width="30" customWidth="1"/>
    <col min="2" max="2" width="25" customWidth="1"/>
    <col min="3" max="3" width="5" customWidth="1"/>
    <col min="4" max="6" width="11" customWidth="1"/>
    <col min="7" max="7" width="12" customWidth="1"/>
    <col min="8" max="8" width="15" customWidth="1"/>
    <col min="9" max="10" width="0" hidden="1" customWidth="1"/>
  </cols>
  <sheetData>
    <row r="1" spans="1:10" ht="18.399999999999999" customHeight="1" thickBot="1" x14ac:dyDescent="0.2">
      <c r="A1" t="s">
        <v>453</v>
      </c>
    </row>
    <row r="2" spans="1:10" ht="18.399999999999999" customHeight="1" thickBot="1" x14ac:dyDescent="0.2">
      <c r="A2" s="16" t="s">
        <v>2018</v>
      </c>
      <c r="B2" s="17" t="s">
        <v>1087</v>
      </c>
      <c r="C2" s="17" t="s">
        <v>2660</v>
      </c>
      <c r="D2" s="17" t="s">
        <v>1952</v>
      </c>
      <c r="E2" s="17" t="s">
        <v>1158</v>
      </c>
      <c r="F2" s="17" t="s">
        <v>186</v>
      </c>
      <c r="G2" s="17" t="s">
        <v>2761</v>
      </c>
      <c r="H2" s="19" t="s">
        <v>726</v>
      </c>
    </row>
    <row r="3" spans="1:10" ht="18.399999999999999" customHeight="1" x14ac:dyDescent="0.15">
      <c r="A3" s="11" t="s">
        <v>2856</v>
      </c>
      <c r="B3" s="2" t="s">
        <v>2856</v>
      </c>
      <c r="C3" s="2" t="s">
        <v>2435</v>
      </c>
      <c r="D3" s="25">
        <v>0</v>
      </c>
      <c r="E3" s="25">
        <v>0</v>
      </c>
      <c r="F3" s="25">
        <v>0</v>
      </c>
      <c r="G3" s="25">
        <f>D3+E3+F3</f>
        <v>0</v>
      </c>
      <c r="H3" s="20" t="s">
        <v>2856</v>
      </c>
      <c r="I3" t="s">
        <v>2856</v>
      </c>
      <c r="J3" t="s">
        <v>1832</v>
      </c>
    </row>
    <row r="4" spans="1:10" ht="18.399999999999999" customHeight="1" x14ac:dyDescent="0.15">
      <c r="A4" s="11" t="s">
        <v>153</v>
      </c>
      <c r="B4" s="2" t="s">
        <v>2856</v>
      </c>
      <c r="C4" s="2" t="s">
        <v>740</v>
      </c>
      <c r="D4" s="25">
        <v>0</v>
      </c>
      <c r="E4" s="25">
        <v>0</v>
      </c>
      <c r="F4" s="25">
        <v>482</v>
      </c>
      <c r="G4" s="25">
        <f>D4+E4+F4</f>
        <v>482</v>
      </c>
      <c r="H4" s="20" t="s">
        <v>2856</v>
      </c>
      <c r="I4" t="s">
        <v>2856</v>
      </c>
      <c r="J4" t="s">
        <v>1205</v>
      </c>
    </row>
    <row r="5" spans="1:10" ht="18.399999999999999" customHeight="1" x14ac:dyDescent="0.15">
      <c r="A5" s="11" t="s">
        <v>1093</v>
      </c>
      <c r="B5" s="2" t="s">
        <v>2319</v>
      </c>
      <c r="C5" s="2" t="s">
        <v>1929</v>
      </c>
      <c r="D5" s="25">
        <v>0</v>
      </c>
      <c r="E5" s="25">
        <v>0</v>
      </c>
      <c r="F5" s="25">
        <v>133390</v>
      </c>
      <c r="G5" s="25">
        <f>D5+E5+F5</f>
        <v>133390</v>
      </c>
      <c r="H5" s="20" t="s">
        <v>2039</v>
      </c>
      <c r="I5" t="s">
        <v>2856</v>
      </c>
      <c r="J5" t="s">
        <v>963</v>
      </c>
    </row>
    <row r="6" spans="1:10" ht="18.399999999999999" customHeight="1" thickBot="1" x14ac:dyDescent="0.2">
      <c r="A6" s="13" t="s">
        <v>1598</v>
      </c>
      <c r="B6" s="14" t="s">
        <v>2856</v>
      </c>
      <c r="C6" s="14" t="s">
        <v>1929</v>
      </c>
      <c r="D6" s="26">
        <v>0</v>
      </c>
      <c r="E6" s="26">
        <v>0</v>
      </c>
      <c r="F6" s="26">
        <v>1567</v>
      </c>
      <c r="G6" s="26">
        <f>D6+E6+F6</f>
        <v>1567</v>
      </c>
      <c r="H6" s="21" t="s">
        <v>2477</v>
      </c>
      <c r="I6" t="s">
        <v>2856</v>
      </c>
      <c r="J6" t="s">
        <v>1680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2D54-CC8A-457F-AA3B-881D2F140A10}">
  <dimension ref="A1:X140"/>
  <sheetViews>
    <sheetView workbookViewId="0">
      <pane xSplit="4" ySplit="3" topLeftCell="E112" activePane="bottomRight" state="frozen"/>
      <selection activeCell="F23" sqref="F23"/>
      <selection pane="topRight" activeCell="F23" sqref="F23"/>
      <selection pane="bottomLeft" activeCell="F23" sqref="F23"/>
      <selection pane="bottomRight" activeCell="F23" sqref="F23"/>
    </sheetView>
  </sheetViews>
  <sheetFormatPr defaultRowHeight="18.399999999999999" customHeight="1" x14ac:dyDescent="0.15"/>
  <cols>
    <col min="1" max="1" width="17" customWidth="1"/>
    <col min="2" max="2" width="23" customWidth="1"/>
    <col min="3" max="3" width="19" customWidth="1"/>
    <col min="4" max="4" width="5" customWidth="1"/>
    <col min="5" max="5" width="1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21" max="24" width="0" hidden="1" customWidth="1"/>
  </cols>
  <sheetData>
    <row r="1" spans="1:24" ht="18.399999999999999" customHeight="1" thickBot="1" x14ac:dyDescent="0.2">
      <c r="A1" t="s">
        <v>377</v>
      </c>
    </row>
    <row r="2" spans="1:24" ht="18.399999999999999" customHeight="1" x14ac:dyDescent="0.15">
      <c r="A2" s="460" t="s">
        <v>1062</v>
      </c>
      <c r="B2" s="456" t="s">
        <v>2018</v>
      </c>
      <c r="C2" s="456" t="s">
        <v>1087</v>
      </c>
      <c r="D2" s="456" t="s">
        <v>1060</v>
      </c>
      <c r="E2" s="456" t="s">
        <v>2350</v>
      </c>
      <c r="F2" s="456" t="s">
        <v>1327</v>
      </c>
      <c r="G2" s="456" t="s">
        <v>2856</v>
      </c>
      <c r="H2" s="456" t="s">
        <v>371</v>
      </c>
      <c r="I2" s="456" t="s">
        <v>2856</v>
      </c>
      <c r="J2" s="456" t="s">
        <v>2730</v>
      </c>
      <c r="K2" s="456" t="s">
        <v>2856</v>
      </c>
      <c r="L2" s="456" t="s">
        <v>2161</v>
      </c>
      <c r="M2" s="456" t="s">
        <v>2856</v>
      </c>
      <c r="N2" s="456" t="s">
        <v>1714</v>
      </c>
      <c r="O2" s="456" t="s">
        <v>2856</v>
      </c>
      <c r="P2" s="456" t="s">
        <v>1432</v>
      </c>
      <c r="Q2" s="458" t="s">
        <v>2395</v>
      </c>
      <c r="U2" t="s">
        <v>731</v>
      </c>
    </row>
    <row r="3" spans="1:24" ht="18.399999999999999" customHeight="1" thickBot="1" x14ac:dyDescent="0.2">
      <c r="A3" s="461" t="s">
        <v>2856</v>
      </c>
      <c r="B3" s="457" t="s">
        <v>2856</v>
      </c>
      <c r="C3" s="457" t="s">
        <v>2856</v>
      </c>
      <c r="D3" s="457" t="s">
        <v>2856</v>
      </c>
      <c r="E3" s="457" t="s">
        <v>2856</v>
      </c>
      <c r="F3" s="55" t="s">
        <v>1525</v>
      </c>
      <c r="G3" s="55" t="s">
        <v>2510</v>
      </c>
      <c r="H3" s="55" t="s">
        <v>1525</v>
      </c>
      <c r="I3" s="55" t="s">
        <v>2510</v>
      </c>
      <c r="J3" s="55" t="s">
        <v>1525</v>
      </c>
      <c r="K3" s="55" t="s">
        <v>2510</v>
      </c>
      <c r="L3" s="55" t="s">
        <v>1525</v>
      </c>
      <c r="M3" s="55" t="s">
        <v>2510</v>
      </c>
      <c r="N3" s="55" t="s">
        <v>1525</v>
      </c>
      <c r="O3" s="55" t="s">
        <v>2510</v>
      </c>
      <c r="P3" s="457" t="s">
        <v>2856</v>
      </c>
      <c r="Q3" s="459" t="s">
        <v>2856</v>
      </c>
      <c r="U3" t="s">
        <v>805</v>
      </c>
    </row>
    <row r="4" spans="1:24" ht="12.75" customHeight="1" x14ac:dyDescent="0.15">
      <c r="A4" s="2" t="s">
        <v>3083</v>
      </c>
      <c r="B4" s="2" t="s">
        <v>3089</v>
      </c>
      <c r="C4" s="2" t="s">
        <v>3082</v>
      </c>
      <c r="D4" s="2" t="s">
        <v>2808</v>
      </c>
      <c r="E4" s="25">
        <v>590</v>
      </c>
      <c r="F4" s="2"/>
      <c r="G4" s="2" t="s">
        <v>2856</v>
      </c>
      <c r="H4" s="25">
        <v>590</v>
      </c>
      <c r="I4" s="2" t="s">
        <v>3090</v>
      </c>
      <c r="J4" s="25">
        <v>611</v>
      </c>
      <c r="K4" s="2" t="s">
        <v>3091</v>
      </c>
      <c r="L4" s="2"/>
      <c r="M4" s="2" t="s">
        <v>2856</v>
      </c>
      <c r="N4" s="2"/>
      <c r="O4" s="2" t="s">
        <v>2856</v>
      </c>
      <c r="U4" t="s">
        <v>805</v>
      </c>
      <c r="V4" t="s">
        <v>2856</v>
      </c>
      <c r="W4" t="s">
        <v>2856</v>
      </c>
      <c r="X4" t="s">
        <v>2856</v>
      </c>
    </row>
    <row r="5" spans="1:24" ht="18.399999999999999" customHeight="1" x14ac:dyDescent="0.15">
      <c r="A5" s="11" t="s">
        <v>1363</v>
      </c>
      <c r="B5" s="2" t="s">
        <v>1615</v>
      </c>
      <c r="C5" s="2" t="s">
        <v>2666</v>
      </c>
      <c r="D5" s="2" t="s">
        <v>1416</v>
      </c>
      <c r="E5" s="25">
        <v>4537</v>
      </c>
      <c r="F5" s="2"/>
      <c r="G5" s="2" t="s">
        <v>2856</v>
      </c>
      <c r="H5" s="2"/>
      <c r="I5" s="2" t="s">
        <v>2856</v>
      </c>
      <c r="J5" s="25">
        <v>4537</v>
      </c>
      <c r="K5" s="2" t="s">
        <v>1032</v>
      </c>
      <c r="L5" s="2"/>
      <c r="M5" s="2" t="s">
        <v>2856</v>
      </c>
      <c r="N5" s="2"/>
      <c r="O5" s="2" t="s">
        <v>2856</v>
      </c>
      <c r="P5" s="2" t="s">
        <v>392</v>
      </c>
      <c r="Q5" s="12" t="s">
        <v>97</v>
      </c>
      <c r="U5" t="s">
        <v>805</v>
      </c>
      <c r="V5" t="s">
        <v>2856</v>
      </c>
      <c r="W5" t="s">
        <v>2856</v>
      </c>
      <c r="X5" t="s">
        <v>2856</v>
      </c>
    </row>
    <row r="6" spans="1:24" ht="18.399999999999999" customHeight="1" x14ac:dyDescent="0.15">
      <c r="A6" s="11" t="s">
        <v>2425</v>
      </c>
      <c r="B6" s="2" t="s">
        <v>13</v>
      </c>
      <c r="C6" s="2" t="s">
        <v>1143</v>
      </c>
      <c r="D6" s="2" t="s">
        <v>1416</v>
      </c>
      <c r="E6" s="25">
        <v>1538</v>
      </c>
      <c r="F6" s="25">
        <v>1538</v>
      </c>
      <c r="G6" s="2" t="s">
        <v>2856</v>
      </c>
      <c r="H6" s="2"/>
      <c r="I6" s="2" t="s">
        <v>2856</v>
      </c>
      <c r="J6" s="2"/>
      <c r="K6" s="2" t="s">
        <v>2856</v>
      </c>
      <c r="L6" s="2"/>
      <c r="M6" s="2" t="s">
        <v>2856</v>
      </c>
      <c r="N6" s="2"/>
      <c r="O6" s="2" t="s">
        <v>2856</v>
      </c>
      <c r="P6" s="2" t="s">
        <v>392</v>
      </c>
      <c r="Q6" s="12" t="s">
        <v>97</v>
      </c>
      <c r="V6" t="s">
        <v>1358</v>
      </c>
      <c r="W6" t="s">
        <v>2678</v>
      </c>
      <c r="X6" t="s">
        <v>2856</v>
      </c>
    </row>
    <row r="7" spans="1:24" ht="18.399999999999999" customHeight="1" x14ac:dyDescent="0.15">
      <c r="A7" s="11" t="s">
        <v>1667</v>
      </c>
      <c r="B7" s="2" t="s">
        <v>25</v>
      </c>
      <c r="C7" s="2" t="s">
        <v>2372</v>
      </c>
      <c r="D7" s="2" t="s">
        <v>1569</v>
      </c>
      <c r="E7" s="25">
        <v>10422</v>
      </c>
      <c r="F7" s="25">
        <v>10422</v>
      </c>
      <c r="G7" s="2" t="s">
        <v>2856</v>
      </c>
      <c r="H7" s="2"/>
      <c r="I7" s="2" t="s">
        <v>2856</v>
      </c>
      <c r="J7" s="2"/>
      <c r="K7" s="2" t="s">
        <v>2856</v>
      </c>
      <c r="L7" s="25">
        <v>10986</v>
      </c>
      <c r="M7" s="2" t="s">
        <v>1765</v>
      </c>
      <c r="N7" s="2"/>
      <c r="O7" s="2" t="s">
        <v>2856</v>
      </c>
      <c r="P7" s="2" t="s">
        <v>392</v>
      </c>
      <c r="Q7" s="12" t="s">
        <v>97</v>
      </c>
      <c r="V7" t="s">
        <v>2856</v>
      </c>
      <c r="W7" t="s">
        <v>2856</v>
      </c>
      <c r="X7" t="s">
        <v>2856</v>
      </c>
    </row>
    <row r="8" spans="1:24" ht="18.399999999999999" customHeight="1" x14ac:dyDescent="0.15">
      <c r="A8" s="11" t="s">
        <v>940</v>
      </c>
      <c r="B8" s="2" t="s">
        <v>230</v>
      </c>
      <c r="C8" s="2" t="s">
        <v>1359</v>
      </c>
      <c r="D8" s="2" t="s">
        <v>477</v>
      </c>
      <c r="E8" s="25">
        <v>1657</v>
      </c>
      <c r="F8" s="25">
        <v>1657</v>
      </c>
      <c r="G8" s="2" t="s">
        <v>2856</v>
      </c>
      <c r="H8" s="2"/>
      <c r="I8" s="2" t="s">
        <v>2856</v>
      </c>
      <c r="J8" s="2"/>
      <c r="K8" s="2" t="s">
        <v>2856</v>
      </c>
      <c r="L8" s="2"/>
      <c r="M8" s="2" t="s">
        <v>2856</v>
      </c>
      <c r="N8" s="2"/>
      <c r="O8" s="2" t="s">
        <v>2856</v>
      </c>
      <c r="P8" s="2" t="s">
        <v>392</v>
      </c>
      <c r="Q8" s="12" t="s">
        <v>97</v>
      </c>
      <c r="V8" t="s">
        <v>2856</v>
      </c>
      <c r="W8" t="s">
        <v>2856</v>
      </c>
      <c r="X8" t="s">
        <v>2856</v>
      </c>
    </row>
    <row r="9" spans="1:24" ht="18.399999999999999" customHeight="1" x14ac:dyDescent="0.15">
      <c r="A9" s="11" t="s">
        <v>860</v>
      </c>
      <c r="B9" s="2" t="s">
        <v>2168</v>
      </c>
      <c r="C9" s="2" t="s">
        <v>2809</v>
      </c>
      <c r="D9" s="2" t="s">
        <v>2069</v>
      </c>
      <c r="E9" s="25">
        <v>217</v>
      </c>
      <c r="F9" s="25">
        <v>217</v>
      </c>
      <c r="G9" s="2" t="s">
        <v>2856</v>
      </c>
      <c r="H9" s="25">
        <v>319</v>
      </c>
      <c r="I9" s="2" t="s">
        <v>1414</v>
      </c>
      <c r="J9" s="25">
        <v>260</v>
      </c>
      <c r="K9" s="2" t="s">
        <v>2033</v>
      </c>
      <c r="L9" s="25">
        <v>319</v>
      </c>
      <c r="M9" s="2" t="s">
        <v>2700</v>
      </c>
      <c r="N9" s="2"/>
      <c r="O9" s="2" t="s">
        <v>2856</v>
      </c>
      <c r="P9" s="2" t="s">
        <v>392</v>
      </c>
      <c r="Q9" s="12" t="s">
        <v>97</v>
      </c>
      <c r="V9" t="s">
        <v>65</v>
      </c>
      <c r="W9" t="s">
        <v>219</v>
      </c>
      <c r="X9" t="s">
        <v>2856</v>
      </c>
    </row>
    <row r="10" spans="1:24" ht="18.399999999999999" customHeight="1" x14ac:dyDescent="0.15">
      <c r="A10" s="11" t="s">
        <v>2237</v>
      </c>
      <c r="B10" s="2" t="s">
        <v>2581</v>
      </c>
      <c r="C10" s="2" t="s">
        <v>1283</v>
      </c>
      <c r="D10" s="2" t="s">
        <v>2808</v>
      </c>
      <c r="E10" s="25">
        <v>2700</v>
      </c>
      <c r="F10" s="25">
        <v>2700</v>
      </c>
      <c r="G10" s="2" t="s">
        <v>2856</v>
      </c>
      <c r="H10" s="2"/>
      <c r="I10" s="2" t="s">
        <v>2856</v>
      </c>
      <c r="J10" s="2"/>
      <c r="K10" s="2" t="s">
        <v>2856</v>
      </c>
      <c r="L10" s="2"/>
      <c r="M10" s="2" t="s">
        <v>2856</v>
      </c>
      <c r="N10" s="2"/>
      <c r="O10" s="2" t="s">
        <v>2856</v>
      </c>
      <c r="P10" s="2" t="s">
        <v>392</v>
      </c>
      <c r="Q10" s="12" t="s">
        <v>97</v>
      </c>
      <c r="V10" t="s">
        <v>2856</v>
      </c>
      <c r="W10" t="s">
        <v>2856</v>
      </c>
      <c r="X10" t="s">
        <v>2856</v>
      </c>
    </row>
    <row r="11" spans="1:24" ht="18.399999999999999" customHeight="1" x14ac:dyDescent="0.15">
      <c r="A11" s="11" t="s">
        <v>1801</v>
      </c>
      <c r="B11" s="2" t="s">
        <v>795</v>
      </c>
      <c r="C11" s="2" t="s">
        <v>487</v>
      </c>
      <c r="D11" s="2" t="s">
        <v>1549</v>
      </c>
      <c r="E11" s="25">
        <v>2101</v>
      </c>
      <c r="F11" s="25">
        <v>2101</v>
      </c>
      <c r="G11" s="2" t="s">
        <v>2856</v>
      </c>
      <c r="H11" s="25">
        <v>4910</v>
      </c>
      <c r="I11" s="2" t="s">
        <v>1946</v>
      </c>
      <c r="J11" s="25">
        <v>4810</v>
      </c>
      <c r="K11" s="2" t="s">
        <v>1661</v>
      </c>
      <c r="L11" s="2"/>
      <c r="M11" s="2" t="s">
        <v>2856</v>
      </c>
      <c r="N11" s="2"/>
      <c r="O11" s="2" t="s">
        <v>2856</v>
      </c>
      <c r="P11" s="2" t="s">
        <v>392</v>
      </c>
      <c r="Q11" s="12" t="s">
        <v>97</v>
      </c>
      <c r="V11" t="s">
        <v>1181</v>
      </c>
      <c r="W11" t="s">
        <v>1801</v>
      </c>
      <c r="X11" t="s">
        <v>2856</v>
      </c>
    </row>
    <row r="12" spans="1:24" ht="18.399999999999999" customHeight="1" x14ac:dyDescent="0.15">
      <c r="A12" s="11" t="s">
        <v>114</v>
      </c>
      <c r="B12" s="2" t="s">
        <v>2630</v>
      </c>
      <c r="C12" s="2" t="s">
        <v>2856</v>
      </c>
      <c r="D12" s="2" t="s">
        <v>2662</v>
      </c>
      <c r="E12" s="25">
        <v>1196</v>
      </c>
      <c r="F12" s="2"/>
      <c r="G12" s="2" t="s">
        <v>2856</v>
      </c>
      <c r="H12" s="25">
        <v>1456</v>
      </c>
      <c r="I12" s="2" t="s">
        <v>2135</v>
      </c>
      <c r="J12" s="25">
        <v>1196</v>
      </c>
      <c r="K12" s="2" t="s">
        <v>2771</v>
      </c>
      <c r="L12" s="2"/>
      <c r="M12" s="2" t="s">
        <v>2856</v>
      </c>
      <c r="N12" s="2"/>
      <c r="O12" s="2" t="s">
        <v>2856</v>
      </c>
      <c r="P12" s="2" t="s">
        <v>392</v>
      </c>
      <c r="Q12" s="12" t="s">
        <v>97</v>
      </c>
      <c r="U12" t="s">
        <v>805</v>
      </c>
      <c r="V12" t="s">
        <v>2856</v>
      </c>
      <c r="W12" t="s">
        <v>2856</v>
      </c>
      <c r="X12" t="s">
        <v>2856</v>
      </c>
    </row>
    <row r="13" spans="1:24" ht="18.399999999999999" customHeight="1" x14ac:dyDescent="0.15">
      <c r="A13" s="11" t="s">
        <v>1676</v>
      </c>
      <c r="B13" s="2" t="s">
        <v>778</v>
      </c>
      <c r="C13" s="2" t="s">
        <v>28</v>
      </c>
      <c r="D13" s="2" t="s">
        <v>545</v>
      </c>
      <c r="E13" s="25">
        <v>194000</v>
      </c>
      <c r="F13" s="25">
        <v>194000</v>
      </c>
      <c r="G13" s="2" t="s">
        <v>2174</v>
      </c>
      <c r="H13" s="2"/>
      <c r="I13" s="2" t="s">
        <v>2856</v>
      </c>
      <c r="J13" s="2"/>
      <c r="K13" s="2" t="s">
        <v>2856</v>
      </c>
      <c r="L13" s="2"/>
      <c r="M13" s="2" t="s">
        <v>2856</v>
      </c>
      <c r="N13" s="2"/>
      <c r="O13" s="2" t="s">
        <v>2856</v>
      </c>
      <c r="P13" s="2" t="s">
        <v>392</v>
      </c>
      <c r="Q13" s="12" t="s">
        <v>97</v>
      </c>
      <c r="U13" t="s">
        <v>2707</v>
      </c>
      <c r="V13" t="s">
        <v>2856</v>
      </c>
      <c r="W13" t="s">
        <v>2856</v>
      </c>
      <c r="X13" t="s">
        <v>2856</v>
      </c>
    </row>
    <row r="14" spans="1:24" ht="18.399999999999999" customHeight="1" x14ac:dyDescent="0.15">
      <c r="A14" s="11" t="s">
        <v>696</v>
      </c>
      <c r="B14" s="2" t="s">
        <v>1834</v>
      </c>
      <c r="C14" s="2" t="s">
        <v>664</v>
      </c>
      <c r="D14" s="2" t="s">
        <v>545</v>
      </c>
      <c r="E14" s="25">
        <v>500000</v>
      </c>
      <c r="F14" s="25">
        <v>500000</v>
      </c>
      <c r="G14" s="2" t="s">
        <v>2174</v>
      </c>
      <c r="H14" s="2"/>
      <c r="I14" s="2" t="s">
        <v>2856</v>
      </c>
      <c r="J14" s="2"/>
      <c r="K14" s="2" t="s">
        <v>2856</v>
      </c>
      <c r="L14" s="2"/>
      <c r="M14" s="2" t="s">
        <v>2856</v>
      </c>
      <c r="N14" s="2"/>
      <c r="O14" s="2" t="s">
        <v>2856</v>
      </c>
      <c r="P14" s="2" t="s">
        <v>392</v>
      </c>
      <c r="Q14" s="12" t="s">
        <v>97</v>
      </c>
      <c r="U14" t="s">
        <v>2482</v>
      </c>
      <c r="V14" t="s">
        <v>2856</v>
      </c>
      <c r="W14" t="s">
        <v>2856</v>
      </c>
      <c r="X14" t="s">
        <v>2856</v>
      </c>
    </row>
    <row r="15" spans="1:24" ht="18.399999999999999" customHeight="1" x14ac:dyDescent="0.15">
      <c r="A15" s="11" t="s">
        <v>8</v>
      </c>
      <c r="B15" s="2" t="s">
        <v>1149</v>
      </c>
      <c r="C15" s="2" t="s">
        <v>2264</v>
      </c>
      <c r="D15" s="2" t="s">
        <v>545</v>
      </c>
      <c r="E15" s="25">
        <v>2200000</v>
      </c>
      <c r="F15" s="25">
        <v>2200000</v>
      </c>
      <c r="G15" s="2" t="s">
        <v>2174</v>
      </c>
      <c r="H15" s="2"/>
      <c r="I15" s="2" t="s">
        <v>2856</v>
      </c>
      <c r="J15" s="2"/>
      <c r="K15" s="2" t="s">
        <v>2856</v>
      </c>
      <c r="L15" s="2"/>
      <c r="M15" s="2" t="s">
        <v>2856</v>
      </c>
      <c r="N15" s="2"/>
      <c r="O15" s="2" t="s">
        <v>2856</v>
      </c>
      <c r="P15" s="2" t="s">
        <v>392</v>
      </c>
      <c r="Q15" s="12" t="s">
        <v>97</v>
      </c>
      <c r="U15" t="s">
        <v>2482</v>
      </c>
      <c r="V15" t="s">
        <v>2728</v>
      </c>
      <c r="W15" t="s">
        <v>2532</v>
      </c>
      <c r="X15" t="s">
        <v>2856</v>
      </c>
    </row>
    <row r="16" spans="1:24" ht="18.399999999999999" customHeight="1" x14ac:dyDescent="0.15">
      <c r="A16" s="11" t="s">
        <v>1779</v>
      </c>
      <c r="B16" s="2" t="s">
        <v>1645</v>
      </c>
      <c r="C16" s="2" t="s">
        <v>1377</v>
      </c>
      <c r="D16" s="2" t="s">
        <v>545</v>
      </c>
      <c r="E16" s="25">
        <v>6800</v>
      </c>
      <c r="F16" s="25">
        <v>6800</v>
      </c>
      <c r="G16" s="2" t="s">
        <v>2174</v>
      </c>
      <c r="H16" s="2"/>
      <c r="I16" s="2" t="s">
        <v>2856</v>
      </c>
      <c r="J16" s="2"/>
      <c r="K16" s="2" t="s">
        <v>2856</v>
      </c>
      <c r="L16" s="2"/>
      <c r="M16" s="2" t="s">
        <v>2856</v>
      </c>
      <c r="N16" s="2"/>
      <c r="O16" s="2" t="s">
        <v>2856</v>
      </c>
      <c r="P16" s="2" t="s">
        <v>392</v>
      </c>
      <c r="Q16" s="12" t="s">
        <v>97</v>
      </c>
      <c r="U16" t="s">
        <v>2482</v>
      </c>
      <c r="V16" t="s">
        <v>2856</v>
      </c>
      <c r="W16" t="s">
        <v>2856</v>
      </c>
      <c r="X16" t="s">
        <v>2856</v>
      </c>
    </row>
    <row r="17" spans="1:24" ht="18.399999999999999" customHeight="1" x14ac:dyDescent="0.15">
      <c r="A17" s="11" t="s">
        <v>1147</v>
      </c>
      <c r="B17" s="2" t="s">
        <v>811</v>
      </c>
      <c r="C17" s="2" t="s">
        <v>2464</v>
      </c>
      <c r="D17" s="2" t="s">
        <v>545</v>
      </c>
      <c r="E17" s="25">
        <v>7300</v>
      </c>
      <c r="F17" s="25">
        <v>7300</v>
      </c>
      <c r="G17" s="2" t="s">
        <v>2174</v>
      </c>
      <c r="H17" s="2"/>
      <c r="I17" s="2" t="s">
        <v>2856</v>
      </c>
      <c r="J17" s="2"/>
      <c r="K17" s="2" t="s">
        <v>2856</v>
      </c>
      <c r="L17" s="2"/>
      <c r="M17" s="2" t="s">
        <v>2856</v>
      </c>
      <c r="N17" s="2"/>
      <c r="O17" s="2" t="s">
        <v>2856</v>
      </c>
      <c r="P17" s="2" t="s">
        <v>392</v>
      </c>
      <c r="Q17" s="12" t="s">
        <v>97</v>
      </c>
      <c r="U17" t="s">
        <v>2482</v>
      </c>
      <c r="V17" t="s">
        <v>2856</v>
      </c>
      <c r="W17" t="s">
        <v>2856</v>
      </c>
      <c r="X17" t="s">
        <v>2856</v>
      </c>
    </row>
    <row r="18" spans="1:24" ht="18.399999999999999" customHeight="1" x14ac:dyDescent="0.15">
      <c r="A18" s="11" t="s">
        <v>697</v>
      </c>
      <c r="B18" s="2" t="s">
        <v>796</v>
      </c>
      <c r="C18" s="2" t="s">
        <v>1407</v>
      </c>
      <c r="D18" s="2" t="s">
        <v>545</v>
      </c>
      <c r="E18" s="25">
        <v>5200</v>
      </c>
      <c r="F18" s="25">
        <v>5200</v>
      </c>
      <c r="G18" s="2" t="s">
        <v>2174</v>
      </c>
      <c r="H18" s="2"/>
      <c r="I18" s="2" t="s">
        <v>2856</v>
      </c>
      <c r="J18" s="2"/>
      <c r="K18" s="2" t="s">
        <v>2856</v>
      </c>
      <c r="L18" s="2"/>
      <c r="M18" s="2" t="s">
        <v>2856</v>
      </c>
      <c r="N18" s="2"/>
      <c r="O18" s="2" t="s">
        <v>2856</v>
      </c>
      <c r="P18" s="2" t="s">
        <v>392</v>
      </c>
      <c r="Q18" s="12" t="s">
        <v>97</v>
      </c>
      <c r="V18" t="s">
        <v>2856</v>
      </c>
      <c r="W18" t="s">
        <v>2856</v>
      </c>
      <c r="X18" t="s">
        <v>2856</v>
      </c>
    </row>
    <row r="19" spans="1:24" ht="18.399999999999999" customHeight="1" x14ac:dyDescent="0.15">
      <c r="A19" s="11" t="s">
        <v>95</v>
      </c>
      <c r="B19" s="2" t="s">
        <v>227</v>
      </c>
      <c r="C19" s="2" t="s">
        <v>863</v>
      </c>
      <c r="D19" s="2" t="s">
        <v>545</v>
      </c>
      <c r="E19" s="25">
        <v>2100</v>
      </c>
      <c r="F19" s="25">
        <v>2100</v>
      </c>
      <c r="G19" s="2" t="s">
        <v>2174</v>
      </c>
      <c r="H19" s="2"/>
      <c r="I19" s="2" t="s">
        <v>2856</v>
      </c>
      <c r="J19" s="2"/>
      <c r="K19" s="2" t="s">
        <v>2856</v>
      </c>
      <c r="L19" s="2"/>
      <c r="M19" s="2" t="s">
        <v>2856</v>
      </c>
      <c r="N19" s="2"/>
      <c r="O19" s="2" t="s">
        <v>2856</v>
      </c>
      <c r="P19" s="2" t="s">
        <v>392</v>
      </c>
      <c r="Q19" s="12" t="s">
        <v>97</v>
      </c>
      <c r="V19" t="s">
        <v>2856</v>
      </c>
      <c r="W19" t="s">
        <v>2856</v>
      </c>
      <c r="X19" t="s">
        <v>2856</v>
      </c>
    </row>
    <row r="20" spans="1:24" ht="18.399999999999999" customHeight="1" x14ac:dyDescent="0.15">
      <c r="A20" s="11" t="s">
        <v>1573</v>
      </c>
      <c r="B20" s="2" t="s">
        <v>214</v>
      </c>
      <c r="C20" s="2" t="s">
        <v>2656</v>
      </c>
      <c r="D20" s="2" t="s">
        <v>545</v>
      </c>
      <c r="E20" s="25">
        <v>5600</v>
      </c>
      <c r="F20" s="25">
        <v>5600</v>
      </c>
      <c r="G20" s="2" t="s">
        <v>2174</v>
      </c>
      <c r="H20" s="2"/>
      <c r="I20" s="2" t="s">
        <v>2856</v>
      </c>
      <c r="J20" s="2"/>
      <c r="K20" s="2" t="s">
        <v>2856</v>
      </c>
      <c r="L20" s="2"/>
      <c r="M20" s="2" t="s">
        <v>2856</v>
      </c>
      <c r="N20" s="2"/>
      <c r="O20" s="2" t="s">
        <v>2856</v>
      </c>
      <c r="P20" s="2" t="s">
        <v>392</v>
      </c>
      <c r="Q20" s="12" t="s">
        <v>97</v>
      </c>
      <c r="V20" t="s">
        <v>2856</v>
      </c>
      <c r="W20" t="s">
        <v>2856</v>
      </c>
      <c r="X20" t="s">
        <v>2856</v>
      </c>
    </row>
    <row r="21" spans="1:24" ht="18.399999999999999" customHeight="1" x14ac:dyDescent="0.15">
      <c r="A21" s="11" t="s">
        <v>2086</v>
      </c>
      <c r="B21" s="2" t="s">
        <v>1865</v>
      </c>
      <c r="C21" s="2" t="s">
        <v>863</v>
      </c>
      <c r="D21" s="2" t="s">
        <v>545</v>
      </c>
      <c r="E21" s="25">
        <v>2100</v>
      </c>
      <c r="F21" s="25">
        <v>2100</v>
      </c>
      <c r="G21" s="2" t="s">
        <v>2174</v>
      </c>
      <c r="H21" s="2"/>
      <c r="I21" s="2" t="s">
        <v>2856</v>
      </c>
      <c r="J21" s="2"/>
      <c r="K21" s="2" t="s">
        <v>2856</v>
      </c>
      <c r="L21" s="2"/>
      <c r="M21" s="2" t="s">
        <v>2856</v>
      </c>
      <c r="N21" s="2"/>
      <c r="O21" s="2" t="s">
        <v>2856</v>
      </c>
      <c r="P21" s="2" t="s">
        <v>392</v>
      </c>
      <c r="Q21" s="12" t="s">
        <v>97</v>
      </c>
      <c r="V21" t="s">
        <v>2856</v>
      </c>
      <c r="W21" t="s">
        <v>2856</v>
      </c>
      <c r="X21" t="s">
        <v>2856</v>
      </c>
    </row>
    <row r="22" spans="1:24" ht="18.399999999999999" customHeight="1" x14ac:dyDescent="0.15">
      <c r="A22" s="11" t="s">
        <v>1357</v>
      </c>
      <c r="B22" s="2" t="s">
        <v>2128</v>
      </c>
      <c r="C22" s="2" t="s">
        <v>1407</v>
      </c>
      <c r="D22" s="2" t="s">
        <v>545</v>
      </c>
      <c r="E22" s="25">
        <v>14000</v>
      </c>
      <c r="F22" s="2"/>
      <c r="G22" s="2" t="s">
        <v>2856</v>
      </c>
      <c r="H22" s="25">
        <v>14000</v>
      </c>
      <c r="I22" s="2" t="s">
        <v>1917</v>
      </c>
      <c r="J22" s="2"/>
      <c r="K22" s="2" t="s">
        <v>2856</v>
      </c>
      <c r="L22" s="2"/>
      <c r="M22" s="2" t="s">
        <v>2856</v>
      </c>
      <c r="N22" s="2"/>
      <c r="O22" s="2" t="s">
        <v>2856</v>
      </c>
      <c r="P22" s="2" t="s">
        <v>392</v>
      </c>
      <c r="Q22" s="12" t="s">
        <v>97</v>
      </c>
      <c r="U22" t="s">
        <v>1327</v>
      </c>
      <c r="V22" t="s">
        <v>1230</v>
      </c>
      <c r="W22" t="s">
        <v>2475</v>
      </c>
      <c r="X22" t="s">
        <v>2856</v>
      </c>
    </row>
    <row r="23" spans="1:24" ht="18.399999999999999" customHeight="1" x14ac:dyDescent="0.15">
      <c r="A23" s="11" t="s">
        <v>616</v>
      </c>
      <c r="B23" s="2" t="s">
        <v>678</v>
      </c>
      <c r="C23" s="2" t="s">
        <v>2393</v>
      </c>
      <c r="D23" s="2" t="s">
        <v>545</v>
      </c>
      <c r="E23" s="25">
        <v>5000</v>
      </c>
      <c r="F23" s="25">
        <v>5000</v>
      </c>
      <c r="G23" s="2" t="s">
        <v>2174</v>
      </c>
      <c r="H23" s="2"/>
      <c r="I23" s="2" t="s">
        <v>2856</v>
      </c>
      <c r="J23" s="2"/>
      <c r="K23" s="2" t="s">
        <v>2856</v>
      </c>
      <c r="L23" s="2"/>
      <c r="M23" s="2" t="s">
        <v>2856</v>
      </c>
      <c r="N23" s="2"/>
      <c r="O23" s="2" t="s">
        <v>2856</v>
      </c>
      <c r="P23" s="2" t="s">
        <v>392</v>
      </c>
      <c r="Q23" s="12" t="s">
        <v>97</v>
      </c>
      <c r="U23" t="s">
        <v>371</v>
      </c>
      <c r="V23" t="s">
        <v>2856</v>
      </c>
      <c r="W23" t="s">
        <v>2856</v>
      </c>
      <c r="X23" t="s">
        <v>2856</v>
      </c>
    </row>
    <row r="24" spans="1:24" ht="18.399999999999999" customHeight="1" x14ac:dyDescent="0.15">
      <c r="A24" s="11" t="s">
        <v>2134</v>
      </c>
      <c r="B24" s="2" t="s">
        <v>2696</v>
      </c>
      <c r="C24" s="2" t="s">
        <v>863</v>
      </c>
      <c r="D24" s="2" t="s">
        <v>545</v>
      </c>
      <c r="E24" s="25">
        <v>2200</v>
      </c>
      <c r="F24" s="25">
        <v>2200</v>
      </c>
      <c r="G24" s="2" t="s">
        <v>2174</v>
      </c>
      <c r="H24" s="2"/>
      <c r="I24" s="2" t="s">
        <v>2856</v>
      </c>
      <c r="J24" s="2"/>
      <c r="K24" s="2" t="s">
        <v>2856</v>
      </c>
      <c r="L24" s="2"/>
      <c r="M24" s="2" t="s">
        <v>2856</v>
      </c>
      <c r="N24" s="2"/>
      <c r="O24" s="2" t="s">
        <v>2856</v>
      </c>
      <c r="P24" s="2" t="s">
        <v>392</v>
      </c>
      <c r="Q24" s="12" t="s">
        <v>97</v>
      </c>
      <c r="U24" t="s">
        <v>2730</v>
      </c>
      <c r="V24" t="s">
        <v>2856</v>
      </c>
      <c r="W24" t="s">
        <v>2856</v>
      </c>
      <c r="X24" t="s">
        <v>2856</v>
      </c>
    </row>
    <row r="25" spans="1:24" ht="18.399999999999999" customHeight="1" x14ac:dyDescent="0.15">
      <c r="A25" s="11" t="s">
        <v>1402</v>
      </c>
      <c r="B25" s="2" t="s">
        <v>1866</v>
      </c>
      <c r="C25" s="2" t="s">
        <v>863</v>
      </c>
      <c r="D25" s="2" t="s">
        <v>545</v>
      </c>
      <c r="E25" s="25">
        <v>1900</v>
      </c>
      <c r="F25" s="25">
        <v>1900</v>
      </c>
      <c r="G25" s="2" t="s">
        <v>2174</v>
      </c>
      <c r="H25" s="2"/>
      <c r="I25" s="2" t="s">
        <v>2856</v>
      </c>
      <c r="J25" s="2"/>
      <c r="K25" s="2" t="s">
        <v>2856</v>
      </c>
      <c r="L25" s="2"/>
      <c r="M25" s="2" t="s">
        <v>2856</v>
      </c>
      <c r="N25" s="2"/>
      <c r="O25" s="2" t="s">
        <v>2856</v>
      </c>
      <c r="P25" s="2" t="s">
        <v>392</v>
      </c>
      <c r="Q25" s="12" t="s">
        <v>97</v>
      </c>
      <c r="U25" t="s">
        <v>2161</v>
      </c>
      <c r="V25" t="s">
        <v>2856</v>
      </c>
      <c r="W25" t="s">
        <v>2856</v>
      </c>
      <c r="X25" t="s">
        <v>2856</v>
      </c>
    </row>
    <row r="26" spans="1:24" ht="18.399999999999999" customHeight="1" x14ac:dyDescent="0.15">
      <c r="A26" s="11" t="s">
        <v>658</v>
      </c>
      <c r="B26" s="2" t="s">
        <v>1582</v>
      </c>
      <c r="C26" s="2" t="s">
        <v>497</v>
      </c>
      <c r="D26" s="2" t="s">
        <v>545</v>
      </c>
      <c r="E26" s="25">
        <v>2100</v>
      </c>
      <c r="F26" s="25">
        <v>2100</v>
      </c>
      <c r="G26" s="2" t="s">
        <v>2174</v>
      </c>
      <c r="H26" s="2"/>
      <c r="I26" s="2" t="s">
        <v>2856</v>
      </c>
      <c r="J26" s="2"/>
      <c r="K26" s="2" t="s">
        <v>2856</v>
      </c>
      <c r="L26" s="2"/>
      <c r="M26" s="2" t="s">
        <v>2856</v>
      </c>
      <c r="N26" s="2"/>
      <c r="O26" s="2" t="s">
        <v>2856</v>
      </c>
      <c r="P26" s="2" t="s">
        <v>392</v>
      </c>
      <c r="Q26" s="12" t="s">
        <v>97</v>
      </c>
      <c r="U26" t="s">
        <v>1714</v>
      </c>
      <c r="V26" t="s">
        <v>2856</v>
      </c>
      <c r="W26" t="s">
        <v>2856</v>
      </c>
      <c r="X26" t="s">
        <v>2856</v>
      </c>
    </row>
    <row r="27" spans="1:24" ht="18.399999999999999" customHeight="1" x14ac:dyDescent="0.15">
      <c r="A27" s="11" t="s">
        <v>1401</v>
      </c>
      <c r="B27" s="2" t="s">
        <v>973</v>
      </c>
      <c r="C27" s="2" t="s">
        <v>2781</v>
      </c>
      <c r="D27" s="2" t="s">
        <v>545</v>
      </c>
      <c r="E27" s="25">
        <v>119000</v>
      </c>
      <c r="F27" s="25">
        <v>119000</v>
      </c>
      <c r="G27" s="2" t="s">
        <v>2174</v>
      </c>
      <c r="H27" s="2"/>
      <c r="I27" s="2" t="s">
        <v>2856</v>
      </c>
      <c r="J27" s="2"/>
      <c r="K27" s="2" t="s">
        <v>2856</v>
      </c>
      <c r="L27" s="2"/>
      <c r="M27" s="2" t="s">
        <v>2856</v>
      </c>
      <c r="N27" s="2"/>
      <c r="O27" s="2" t="s">
        <v>2856</v>
      </c>
      <c r="P27" s="2" t="s">
        <v>392</v>
      </c>
      <c r="Q27" s="12" t="s">
        <v>97</v>
      </c>
      <c r="U27" t="s">
        <v>2856</v>
      </c>
      <c r="V27" t="s">
        <v>2856</v>
      </c>
      <c r="W27" t="s">
        <v>2856</v>
      </c>
      <c r="X27" t="s">
        <v>2856</v>
      </c>
    </row>
    <row r="28" spans="1:24" ht="18.399999999999999" customHeight="1" x14ac:dyDescent="0.15">
      <c r="A28" s="11" t="s">
        <v>1486</v>
      </c>
      <c r="B28" s="2" t="s">
        <v>2306</v>
      </c>
      <c r="C28" s="2" t="s">
        <v>28</v>
      </c>
      <c r="D28" s="2" t="s">
        <v>545</v>
      </c>
      <c r="E28" s="25">
        <v>165600</v>
      </c>
      <c r="F28" s="25">
        <v>165600</v>
      </c>
      <c r="G28" s="2" t="s">
        <v>2174</v>
      </c>
      <c r="H28" s="2"/>
      <c r="I28" s="2" t="s">
        <v>2856</v>
      </c>
      <c r="J28" s="2"/>
      <c r="K28" s="2" t="s">
        <v>2856</v>
      </c>
      <c r="L28" s="2"/>
      <c r="M28" s="2" t="s">
        <v>2856</v>
      </c>
      <c r="N28" s="2"/>
      <c r="O28" s="2" t="s">
        <v>2856</v>
      </c>
      <c r="P28" s="2" t="s">
        <v>392</v>
      </c>
      <c r="Q28" s="12" t="s">
        <v>97</v>
      </c>
      <c r="V28" t="s">
        <v>2856</v>
      </c>
      <c r="W28" t="s">
        <v>2856</v>
      </c>
      <c r="X28" t="s">
        <v>2856</v>
      </c>
    </row>
    <row r="29" spans="1:24" ht="18.399999999999999" customHeight="1" x14ac:dyDescent="0.15">
      <c r="A29" s="11" t="s">
        <v>301</v>
      </c>
      <c r="B29" s="2" t="s">
        <v>2043</v>
      </c>
      <c r="C29" s="2" t="s">
        <v>494</v>
      </c>
      <c r="D29" s="2" t="s">
        <v>545</v>
      </c>
      <c r="E29" s="25">
        <v>350000</v>
      </c>
      <c r="F29" s="25">
        <v>350000</v>
      </c>
      <c r="G29" s="2" t="s">
        <v>2174</v>
      </c>
      <c r="H29" s="2"/>
      <c r="I29" s="2" t="s">
        <v>2856</v>
      </c>
      <c r="J29" s="2"/>
      <c r="K29" s="2" t="s">
        <v>2856</v>
      </c>
      <c r="L29" s="2"/>
      <c r="M29" s="2" t="s">
        <v>2856</v>
      </c>
      <c r="N29" s="2"/>
      <c r="O29" s="2" t="s">
        <v>2856</v>
      </c>
      <c r="P29" s="2" t="s">
        <v>392</v>
      </c>
      <c r="Q29" s="12" t="s">
        <v>97</v>
      </c>
      <c r="V29" t="s">
        <v>2856</v>
      </c>
      <c r="W29" t="s">
        <v>2856</v>
      </c>
      <c r="X29" t="s">
        <v>2856</v>
      </c>
    </row>
    <row r="30" spans="1:24" ht="18.399999999999999" customHeight="1" x14ac:dyDescent="0.15">
      <c r="A30" s="11" t="s">
        <v>1594</v>
      </c>
      <c r="B30" s="2" t="s">
        <v>320</v>
      </c>
      <c r="C30" s="2" t="s">
        <v>1567</v>
      </c>
      <c r="D30" s="2" t="s">
        <v>545</v>
      </c>
      <c r="E30" s="25">
        <v>550000</v>
      </c>
      <c r="F30" s="25">
        <v>550000</v>
      </c>
      <c r="G30" s="2" t="s">
        <v>2174</v>
      </c>
      <c r="H30" s="2"/>
      <c r="I30" s="2" t="s">
        <v>2856</v>
      </c>
      <c r="J30" s="2"/>
      <c r="K30" s="2" t="s">
        <v>2856</v>
      </c>
      <c r="L30" s="2"/>
      <c r="M30" s="2" t="s">
        <v>2856</v>
      </c>
      <c r="N30" s="2"/>
      <c r="O30" s="2" t="s">
        <v>2856</v>
      </c>
      <c r="P30" s="2" t="s">
        <v>392</v>
      </c>
      <c r="Q30" s="12" t="s">
        <v>97</v>
      </c>
      <c r="V30" t="s">
        <v>2856</v>
      </c>
      <c r="W30" t="s">
        <v>2856</v>
      </c>
      <c r="X30" t="s">
        <v>2856</v>
      </c>
    </row>
    <row r="31" spans="1:24" ht="18.399999999999999" customHeight="1" x14ac:dyDescent="0.15">
      <c r="A31" s="11" t="s">
        <v>430</v>
      </c>
      <c r="B31" s="2" t="s">
        <v>325</v>
      </c>
      <c r="C31" s="2" t="s">
        <v>1783</v>
      </c>
      <c r="D31" s="2" t="s">
        <v>545</v>
      </c>
      <c r="E31" s="25">
        <v>450000</v>
      </c>
      <c r="F31" s="25">
        <v>450000</v>
      </c>
      <c r="G31" s="2" t="s">
        <v>2174</v>
      </c>
      <c r="H31" s="2"/>
      <c r="I31" s="2" t="s">
        <v>2856</v>
      </c>
      <c r="J31" s="2"/>
      <c r="K31" s="2" t="s">
        <v>2856</v>
      </c>
      <c r="L31" s="2"/>
      <c r="M31" s="2" t="s">
        <v>2856</v>
      </c>
      <c r="N31" s="2"/>
      <c r="O31" s="2" t="s">
        <v>2856</v>
      </c>
      <c r="P31" s="2" t="s">
        <v>392</v>
      </c>
      <c r="Q31" s="12" t="s">
        <v>97</v>
      </c>
      <c r="V31" t="s">
        <v>2856</v>
      </c>
      <c r="W31" t="s">
        <v>2856</v>
      </c>
      <c r="X31" t="s">
        <v>2856</v>
      </c>
    </row>
    <row r="32" spans="1:24" ht="18.399999999999999" customHeight="1" x14ac:dyDescent="0.15">
      <c r="A32" s="11" t="s">
        <v>707</v>
      </c>
      <c r="B32" s="2" t="s">
        <v>2665</v>
      </c>
      <c r="C32" s="2" t="s">
        <v>53</v>
      </c>
      <c r="D32" s="2" t="s">
        <v>545</v>
      </c>
      <c r="E32" s="25">
        <v>500000</v>
      </c>
      <c r="F32" s="25">
        <v>500000</v>
      </c>
      <c r="G32" s="2" t="s">
        <v>2174</v>
      </c>
      <c r="H32" s="2"/>
      <c r="I32" s="2" t="s">
        <v>2856</v>
      </c>
      <c r="J32" s="2"/>
      <c r="K32" s="2" t="s">
        <v>2856</v>
      </c>
      <c r="L32" s="2"/>
      <c r="M32" s="2" t="s">
        <v>2856</v>
      </c>
      <c r="N32" s="2"/>
      <c r="O32" s="2" t="s">
        <v>2856</v>
      </c>
      <c r="P32" s="2" t="s">
        <v>392</v>
      </c>
      <c r="Q32" s="12" t="s">
        <v>97</v>
      </c>
      <c r="U32" t="s">
        <v>2482</v>
      </c>
      <c r="V32" t="s">
        <v>2856</v>
      </c>
      <c r="W32" t="s">
        <v>2856</v>
      </c>
      <c r="X32" t="s">
        <v>2856</v>
      </c>
    </row>
    <row r="33" spans="1:24" ht="18.399999999999999" customHeight="1" x14ac:dyDescent="0.15">
      <c r="A33" s="11" t="s">
        <v>2392</v>
      </c>
      <c r="B33" s="2" t="s">
        <v>2370</v>
      </c>
      <c r="C33" s="2" t="s">
        <v>1567</v>
      </c>
      <c r="D33" s="2" t="s">
        <v>545</v>
      </c>
      <c r="E33" s="25">
        <v>500000</v>
      </c>
      <c r="F33" s="25">
        <v>500000</v>
      </c>
      <c r="G33" s="2" t="s">
        <v>2174</v>
      </c>
      <c r="H33" s="2"/>
      <c r="I33" s="2" t="s">
        <v>2856</v>
      </c>
      <c r="J33" s="2"/>
      <c r="K33" s="2" t="s">
        <v>2856</v>
      </c>
      <c r="L33" s="2"/>
      <c r="M33" s="2" t="s">
        <v>2856</v>
      </c>
      <c r="N33" s="2"/>
      <c r="O33" s="2" t="s">
        <v>2856</v>
      </c>
      <c r="P33" s="2" t="s">
        <v>392</v>
      </c>
      <c r="Q33" s="12" t="s">
        <v>97</v>
      </c>
      <c r="U33" t="s">
        <v>2482</v>
      </c>
      <c r="V33" t="s">
        <v>2856</v>
      </c>
      <c r="W33" t="s">
        <v>2856</v>
      </c>
      <c r="X33" t="s">
        <v>2856</v>
      </c>
    </row>
    <row r="34" spans="1:24" ht="18.399999999999999" customHeight="1" x14ac:dyDescent="0.15">
      <c r="A34" s="11" t="s">
        <v>1729</v>
      </c>
      <c r="B34" s="2" t="s">
        <v>1218</v>
      </c>
      <c r="C34" s="2" t="s">
        <v>2322</v>
      </c>
      <c r="D34" s="2" t="s">
        <v>545</v>
      </c>
      <c r="E34" s="25">
        <v>400000</v>
      </c>
      <c r="F34" s="25">
        <v>400000</v>
      </c>
      <c r="G34" s="2" t="s">
        <v>2174</v>
      </c>
      <c r="H34" s="2"/>
      <c r="I34" s="2" t="s">
        <v>2856</v>
      </c>
      <c r="J34" s="2"/>
      <c r="K34" s="2" t="s">
        <v>2856</v>
      </c>
      <c r="L34" s="2"/>
      <c r="M34" s="2" t="s">
        <v>2856</v>
      </c>
      <c r="N34" s="2"/>
      <c r="O34" s="2" t="s">
        <v>2856</v>
      </c>
      <c r="P34" s="2" t="s">
        <v>392</v>
      </c>
      <c r="Q34" s="12" t="s">
        <v>97</v>
      </c>
      <c r="U34" t="s">
        <v>2482</v>
      </c>
      <c r="V34" t="s">
        <v>2856</v>
      </c>
      <c r="W34" t="s">
        <v>2856</v>
      </c>
      <c r="X34" t="s">
        <v>2856</v>
      </c>
    </row>
    <row r="35" spans="1:24" ht="18.399999999999999" customHeight="1" x14ac:dyDescent="0.15">
      <c r="A35" s="11" t="s">
        <v>142</v>
      </c>
      <c r="B35" s="2" t="s">
        <v>366</v>
      </c>
      <c r="C35" s="2" t="s">
        <v>1407</v>
      </c>
      <c r="D35" s="2" t="s">
        <v>545</v>
      </c>
      <c r="E35" s="25">
        <v>5150</v>
      </c>
      <c r="F35" s="25">
        <v>5150</v>
      </c>
      <c r="G35" s="2" t="s">
        <v>2174</v>
      </c>
      <c r="H35" s="2"/>
      <c r="I35" s="2" t="s">
        <v>2856</v>
      </c>
      <c r="J35" s="2"/>
      <c r="K35" s="2" t="s">
        <v>2856</v>
      </c>
      <c r="L35" s="2"/>
      <c r="M35" s="2" t="s">
        <v>2856</v>
      </c>
      <c r="N35" s="2"/>
      <c r="O35" s="2" t="s">
        <v>2856</v>
      </c>
      <c r="P35" s="2" t="s">
        <v>392</v>
      </c>
      <c r="Q35" s="12" t="s">
        <v>97</v>
      </c>
      <c r="U35" t="s">
        <v>2482</v>
      </c>
      <c r="V35" t="s">
        <v>1051</v>
      </c>
      <c r="W35" t="s">
        <v>1940</v>
      </c>
      <c r="X35" t="s">
        <v>2856</v>
      </c>
    </row>
    <row r="36" spans="1:24" ht="18.399999999999999" customHeight="1" x14ac:dyDescent="0.15">
      <c r="A36" s="11" t="s">
        <v>1907</v>
      </c>
      <c r="B36" s="2" t="s">
        <v>162</v>
      </c>
      <c r="C36" s="2" t="s">
        <v>1558</v>
      </c>
      <c r="D36" s="2" t="s">
        <v>545</v>
      </c>
      <c r="E36" s="25">
        <v>1000000</v>
      </c>
      <c r="F36" s="25">
        <v>1000000</v>
      </c>
      <c r="G36" s="2" t="s">
        <v>2174</v>
      </c>
      <c r="H36" s="2"/>
      <c r="I36" s="2" t="s">
        <v>2856</v>
      </c>
      <c r="J36" s="2"/>
      <c r="K36" s="2" t="s">
        <v>2856</v>
      </c>
      <c r="L36" s="2"/>
      <c r="M36" s="2" t="s">
        <v>2856</v>
      </c>
      <c r="N36" s="2"/>
      <c r="O36" s="2" t="s">
        <v>2856</v>
      </c>
      <c r="P36" s="2" t="s">
        <v>392</v>
      </c>
      <c r="Q36" s="12" t="s">
        <v>97</v>
      </c>
      <c r="U36" t="s">
        <v>2482</v>
      </c>
      <c r="V36" t="s">
        <v>2856</v>
      </c>
      <c r="W36" t="s">
        <v>632</v>
      </c>
      <c r="X36" t="s">
        <v>2856</v>
      </c>
    </row>
    <row r="37" spans="1:24" ht="18.399999999999999" customHeight="1" x14ac:dyDescent="0.15">
      <c r="A37" s="11" t="s">
        <v>2288</v>
      </c>
      <c r="B37" s="2" t="s">
        <v>162</v>
      </c>
      <c r="C37" s="2" t="s">
        <v>988</v>
      </c>
      <c r="D37" s="2" t="s">
        <v>545</v>
      </c>
      <c r="E37" s="25">
        <v>2650000</v>
      </c>
      <c r="F37" s="25">
        <v>2650000</v>
      </c>
      <c r="G37" s="2" t="s">
        <v>2174</v>
      </c>
      <c r="H37" s="2"/>
      <c r="I37" s="2" t="s">
        <v>2856</v>
      </c>
      <c r="J37" s="2"/>
      <c r="K37" s="2" t="s">
        <v>2856</v>
      </c>
      <c r="L37" s="2"/>
      <c r="M37" s="2" t="s">
        <v>2856</v>
      </c>
      <c r="N37" s="2"/>
      <c r="O37" s="2" t="s">
        <v>2856</v>
      </c>
      <c r="P37" s="2" t="s">
        <v>392</v>
      </c>
      <c r="Q37" s="12" t="s">
        <v>97</v>
      </c>
      <c r="U37" t="s">
        <v>2482</v>
      </c>
      <c r="V37" t="s">
        <v>2856</v>
      </c>
      <c r="W37" t="s">
        <v>2288</v>
      </c>
      <c r="X37" t="s">
        <v>2856</v>
      </c>
    </row>
    <row r="38" spans="1:24" ht="18.399999999999999" customHeight="1" x14ac:dyDescent="0.15">
      <c r="A38" s="11" t="s">
        <v>1316</v>
      </c>
      <c r="B38" s="2" t="s">
        <v>1069</v>
      </c>
      <c r="C38" s="2" t="s">
        <v>863</v>
      </c>
      <c r="D38" s="2" t="s">
        <v>545</v>
      </c>
      <c r="E38" s="25">
        <v>3700</v>
      </c>
      <c r="F38" s="25">
        <v>3700</v>
      </c>
      <c r="G38" s="2" t="s">
        <v>2174</v>
      </c>
      <c r="H38" s="2"/>
      <c r="I38" s="2" t="s">
        <v>2856</v>
      </c>
      <c r="J38" s="2"/>
      <c r="K38" s="2" t="s">
        <v>2856</v>
      </c>
      <c r="L38" s="2"/>
      <c r="M38" s="2" t="s">
        <v>2856</v>
      </c>
      <c r="N38" s="2"/>
      <c r="O38" s="2" t="s">
        <v>2856</v>
      </c>
      <c r="P38" s="2" t="s">
        <v>392</v>
      </c>
      <c r="Q38" s="12" t="s">
        <v>97</v>
      </c>
      <c r="V38" t="s">
        <v>859</v>
      </c>
      <c r="W38" t="s">
        <v>1316</v>
      </c>
      <c r="X38" t="s">
        <v>2856</v>
      </c>
    </row>
    <row r="39" spans="1:24" ht="18.399999999999999" customHeight="1" x14ac:dyDescent="0.15">
      <c r="A39" s="11" t="s">
        <v>997</v>
      </c>
      <c r="B39" s="2" t="s">
        <v>2398</v>
      </c>
      <c r="C39" s="2" t="s">
        <v>1898</v>
      </c>
      <c r="D39" s="2" t="s">
        <v>1622</v>
      </c>
      <c r="E39" s="25">
        <v>500</v>
      </c>
      <c r="F39" s="2"/>
      <c r="G39" s="2" t="s">
        <v>2856</v>
      </c>
      <c r="H39" s="2"/>
      <c r="I39" s="2" t="s">
        <v>2856</v>
      </c>
      <c r="J39" s="25">
        <v>500</v>
      </c>
      <c r="K39" s="2" t="s">
        <v>873</v>
      </c>
      <c r="L39" s="2"/>
      <c r="M39" s="2" t="s">
        <v>2856</v>
      </c>
      <c r="N39" s="2"/>
      <c r="O39" s="2" t="s">
        <v>2856</v>
      </c>
      <c r="P39" s="2" t="s">
        <v>392</v>
      </c>
      <c r="Q39" s="12" t="s">
        <v>97</v>
      </c>
      <c r="V39" t="s">
        <v>748</v>
      </c>
      <c r="W39" t="s">
        <v>1276</v>
      </c>
      <c r="X39" t="s">
        <v>2856</v>
      </c>
    </row>
    <row r="40" spans="1:24" ht="18.399999999999999" customHeight="1" x14ac:dyDescent="0.15">
      <c r="A40" s="11" t="s">
        <v>2745</v>
      </c>
      <c r="B40" s="2" t="s">
        <v>518</v>
      </c>
      <c r="C40" s="2" t="s">
        <v>1424</v>
      </c>
      <c r="D40" s="2" t="s">
        <v>545</v>
      </c>
      <c r="E40" s="25">
        <v>1000</v>
      </c>
      <c r="F40" s="2"/>
      <c r="G40" s="2" t="s">
        <v>2856</v>
      </c>
      <c r="H40" s="2"/>
      <c r="I40" s="2" t="s">
        <v>2856</v>
      </c>
      <c r="J40" s="25">
        <v>1000</v>
      </c>
      <c r="K40" s="2" t="s">
        <v>2420</v>
      </c>
      <c r="L40" s="2"/>
      <c r="M40" s="2" t="s">
        <v>2856</v>
      </c>
      <c r="N40" s="2"/>
      <c r="O40" s="2" t="s">
        <v>2856</v>
      </c>
      <c r="P40" s="2" t="s">
        <v>392</v>
      </c>
      <c r="Q40" s="12" t="s">
        <v>97</v>
      </c>
      <c r="V40" t="s">
        <v>848</v>
      </c>
      <c r="W40" t="s">
        <v>2745</v>
      </c>
      <c r="X40" t="s">
        <v>2856</v>
      </c>
    </row>
    <row r="41" spans="1:24" ht="18.399999999999999" customHeight="1" x14ac:dyDescent="0.15">
      <c r="A41" s="11" t="s">
        <v>1223</v>
      </c>
      <c r="B41" s="2" t="s">
        <v>959</v>
      </c>
      <c r="C41" s="2" t="s">
        <v>422</v>
      </c>
      <c r="D41" s="2" t="s">
        <v>1622</v>
      </c>
      <c r="E41" s="25">
        <v>1500</v>
      </c>
      <c r="F41" s="2"/>
      <c r="G41" s="2" t="s">
        <v>2856</v>
      </c>
      <c r="H41" s="2"/>
      <c r="I41" s="2" t="s">
        <v>2856</v>
      </c>
      <c r="J41" s="25">
        <v>1500</v>
      </c>
      <c r="K41" s="2" t="s">
        <v>2420</v>
      </c>
      <c r="L41" s="2"/>
      <c r="M41" s="2" t="s">
        <v>2856</v>
      </c>
      <c r="N41" s="2"/>
      <c r="O41" s="2" t="s">
        <v>2856</v>
      </c>
      <c r="P41" s="2" t="s">
        <v>392</v>
      </c>
      <c r="Q41" s="12" t="s">
        <v>97</v>
      </c>
      <c r="V41" t="s">
        <v>2856</v>
      </c>
      <c r="W41" t="s">
        <v>2856</v>
      </c>
      <c r="X41" t="s">
        <v>2856</v>
      </c>
    </row>
    <row r="42" spans="1:24" ht="18.399999999999999" customHeight="1" x14ac:dyDescent="0.15">
      <c r="A42" s="11" t="s">
        <v>712</v>
      </c>
      <c r="B42" s="2" t="s">
        <v>1366</v>
      </c>
      <c r="C42" s="2" t="s">
        <v>1603</v>
      </c>
      <c r="D42" s="2" t="s">
        <v>1622</v>
      </c>
      <c r="E42" s="25">
        <v>1500</v>
      </c>
      <c r="F42" s="2"/>
      <c r="G42" s="2" t="s">
        <v>2856</v>
      </c>
      <c r="H42" s="2"/>
      <c r="I42" s="2" t="s">
        <v>2856</v>
      </c>
      <c r="J42" s="25">
        <v>1500</v>
      </c>
      <c r="K42" s="2" t="s">
        <v>1430</v>
      </c>
      <c r="L42" s="2"/>
      <c r="M42" s="2" t="s">
        <v>2856</v>
      </c>
      <c r="N42" s="2"/>
      <c r="O42" s="2" t="s">
        <v>2856</v>
      </c>
      <c r="P42" s="2" t="s">
        <v>392</v>
      </c>
      <c r="Q42" s="12" t="s">
        <v>97</v>
      </c>
      <c r="V42" t="s">
        <v>546</v>
      </c>
      <c r="W42" t="s">
        <v>2832</v>
      </c>
      <c r="X42" t="s">
        <v>2856</v>
      </c>
    </row>
    <row r="43" spans="1:24" ht="18.399999999999999" customHeight="1" x14ac:dyDescent="0.15">
      <c r="A43" s="11" t="s">
        <v>2523</v>
      </c>
      <c r="B43" s="2" t="s">
        <v>2378</v>
      </c>
      <c r="C43" s="2" t="s">
        <v>590</v>
      </c>
      <c r="D43" s="2" t="s">
        <v>1622</v>
      </c>
      <c r="E43" s="25">
        <v>3000</v>
      </c>
      <c r="F43" s="2"/>
      <c r="G43" s="2" t="s">
        <v>2856</v>
      </c>
      <c r="H43" s="2"/>
      <c r="I43" s="2" t="s">
        <v>2856</v>
      </c>
      <c r="J43" s="2"/>
      <c r="K43" s="2" t="s">
        <v>2856</v>
      </c>
      <c r="L43" s="2"/>
      <c r="M43" s="2" t="s">
        <v>2856</v>
      </c>
      <c r="N43" s="25">
        <v>3000</v>
      </c>
      <c r="O43" s="2" t="s">
        <v>2856</v>
      </c>
      <c r="P43" s="2" t="s">
        <v>392</v>
      </c>
      <c r="Q43" s="12" t="s">
        <v>97</v>
      </c>
      <c r="V43" t="s">
        <v>546</v>
      </c>
      <c r="W43" t="s">
        <v>2832</v>
      </c>
      <c r="X43" t="s">
        <v>2856</v>
      </c>
    </row>
    <row r="44" spans="1:24" ht="18.399999999999999" customHeight="1" x14ac:dyDescent="0.15">
      <c r="A44" s="11" t="s">
        <v>1292</v>
      </c>
      <c r="B44" s="2" t="s">
        <v>315</v>
      </c>
      <c r="C44" s="2" t="s">
        <v>590</v>
      </c>
      <c r="D44" s="2" t="s">
        <v>1622</v>
      </c>
      <c r="E44" s="25">
        <v>3000</v>
      </c>
      <c r="F44" s="2"/>
      <c r="G44" s="2" t="s">
        <v>2856</v>
      </c>
      <c r="H44" s="2"/>
      <c r="I44" s="2" t="s">
        <v>2856</v>
      </c>
      <c r="J44" s="2"/>
      <c r="K44" s="2" t="s">
        <v>2856</v>
      </c>
      <c r="L44" s="2"/>
      <c r="M44" s="2" t="s">
        <v>2856</v>
      </c>
      <c r="N44" s="25">
        <v>3000</v>
      </c>
      <c r="O44" s="2" t="s">
        <v>2856</v>
      </c>
      <c r="P44" s="2" t="s">
        <v>392</v>
      </c>
      <c r="Q44" s="12" t="s">
        <v>97</v>
      </c>
      <c r="V44" t="s">
        <v>546</v>
      </c>
      <c r="W44" t="s">
        <v>2832</v>
      </c>
      <c r="X44" t="s">
        <v>2856</v>
      </c>
    </row>
    <row r="45" spans="1:24" ht="18.399999999999999" customHeight="1" x14ac:dyDescent="0.15">
      <c r="A45" s="11" t="s">
        <v>1278</v>
      </c>
      <c r="B45" s="2" t="s">
        <v>1809</v>
      </c>
      <c r="C45" s="2" t="s">
        <v>590</v>
      </c>
      <c r="D45" s="2" t="s">
        <v>1622</v>
      </c>
      <c r="E45" s="25">
        <v>4000</v>
      </c>
      <c r="F45" s="2"/>
      <c r="G45" s="2" t="s">
        <v>2856</v>
      </c>
      <c r="H45" s="2"/>
      <c r="I45" s="2" t="s">
        <v>2856</v>
      </c>
      <c r="J45" s="25">
        <v>4000</v>
      </c>
      <c r="K45" s="2" t="s">
        <v>1430</v>
      </c>
      <c r="L45" s="2"/>
      <c r="M45" s="2" t="s">
        <v>2856</v>
      </c>
      <c r="N45" s="2"/>
      <c r="O45" s="2" t="s">
        <v>2856</v>
      </c>
      <c r="P45" s="2" t="s">
        <v>392</v>
      </c>
      <c r="Q45" s="12" t="s">
        <v>97</v>
      </c>
      <c r="V45" t="s">
        <v>546</v>
      </c>
      <c r="W45" t="s">
        <v>2832</v>
      </c>
      <c r="X45" t="s">
        <v>2856</v>
      </c>
    </row>
    <row r="46" spans="1:24" ht="18.399999999999999" customHeight="1" x14ac:dyDescent="0.15">
      <c r="A46" s="11" t="s">
        <v>1310</v>
      </c>
      <c r="B46" s="2" t="s">
        <v>1012</v>
      </c>
      <c r="C46" s="2" t="s">
        <v>763</v>
      </c>
      <c r="D46" s="2" t="s">
        <v>1622</v>
      </c>
      <c r="E46" s="25">
        <v>4000</v>
      </c>
      <c r="F46" s="2"/>
      <c r="G46" s="2" t="s">
        <v>2856</v>
      </c>
      <c r="H46" s="25">
        <v>8500</v>
      </c>
      <c r="I46" s="2" t="s">
        <v>1917</v>
      </c>
      <c r="J46" s="25">
        <v>4000</v>
      </c>
      <c r="K46" s="2" t="s">
        <v>1430</v>
      </c>
      <c r="L46" s="2"/>
      <c r="M46" s="2" t="s">
        <v>2856</v>
      </c>
      <c r="N46" s="2"/>
      <c r="O46" s="2" t="s">
        <v>2856</v>
      </c>
      <c r="P46" s="2" t="s">
        <v>392</v>
      </c>
      <c r="Q46" s="12" t="s">
        <v>97</v>
      </c>
      <c r="V46" t="s">
        <v>546</v>
      </c>
      <c r="W46" t="s">
        <v>2832</v>
      </c>
      <c r="X46" t="s">
        <v>2856</v>
      </c>
    </row>
    <row r="47" spans="1:24" ht="18.399999999999999" customHeight="1" x14ac:dyDescent="0.15">
      <c r="A47" s="11" t="s">
        <v>87</v>
      </c>
      <c r="B47" s="2" t="s">
        <v>1822</v>
      </c>
      <c r="C47" s="2" t="s">
        <v>590</v>
      </c>
      <c r="D47" s="2" t="s">
        <v>1622</v>
      </c>
      <c r="E47" s="25">
        <v>2000</v>
      </c>
      <c r="F47" s="2"/>
      <c r="G47" s="2" t="s">
        <v>2856</v>
      </c>
      <c r="H47" s="2"/>
      <c r="I47" s="2" t="s">
        <v>2856</v>
      </c>
      <c r="J47" s="25">
        <v>2000</v>
      </c>
      <c r="K47" s="2" t="s">
        <v>1430</v>
      </c>
      <c r="L47" s="2"/>
      <c r="M47" s="2" t="s">
        <v>2856</v>
      </c>
      <c r="N47" s="2"/>
      <c r="O47" s="2" t="s">
        <v>2856</v>
      </c>
      <c r="P47" s="2" t="s">
        <v>392</v>
      </c>
      <c r="Q47" s="12" t="s">
        <v>97</v>
      </c>
      <c r="V47" t="s">
        <v>546</v>
      </c>
      <c r="W47" t="s">
        <v>2832</v>
      </c>
      <c r="X47" t="s">
        <v>2856</v>
      </c>
    </row>
    <row r="48" spans="1:24" ht="18.399999999999999" customHeight="1" x14ac:dyDescent="0.15">
      <c r="A48" s="11" t="s">
        <v>1906</v>
      </c>
      <c r="B48" s="2" t="s">
        <v>2604</v>
      </c>
      <c r="C48" s="2" t="s">
        <v>1811</v>
      </c>
      <c r="D48" s="2" t="s">
        <v>1622</v>
      </c>
      <c r="E48" s="25">
        <v>2000</v>
      </c>
      <c r="F48" s="2"/>
      <c r="G48" s="2" t="s">
        <v>2856</v>
      </c>
      <c r="H48" s="2"/>
      <c r="I48" s="2" t="s">
        <v>2856</v>
      </c>
      <c r="J48" s="25">
        <v>2000</v>
      </c>
      <c r="K48" s="2" t="s">
        <v>1430</v>
      </c>
      <c r="L48" s="2"/>
      <c r="M48" s="2" t="s">
        <v>2856</v>
      </c>
      <c r="N48" s="2"/>
      <c r="O48" s="2" t="s">
        <v>2856</v>
      </c>
      <c r="P48" s="2" t="s">
        <v>392</v>
      </c>
      <c r="Q48" s="12" t="s">
        <v>97</v>
      </c>
      <c r="V48" t="s">
        <v>546</v>
      </c>
      <c r="W48" t="s">
        <v>2832</v>
      </c>
      <c r="X48" t="s">
        <v>2856</v>
      </c>
    </row>
    <row r="49" spans="1:24" ht="18.399999999999999" customHeight="1" x14ac:dyDescent="0.15">
      <c r="A49" s="11" t="s">
        <v>956</v>
      </c>
      <c r="B49" s="2" t="s">
        <v>39</v>
      </c>
      <c r="C49" s="2" t="s">
        <v>590</v>
      </c>
      <c r="D49" s="2" t="s">
        <v>1622</v>
      </c>
      <c r="E49" s="25">
        <v>8000</v>
      </c>
      <c r="F49" s="2"/>
      <c r="G49" s="2" t="s">
        <v>2856</v>
      </c>
      <c r="H49" s="25">
        <v>8000</v>
      </c>
      <c r="I49" s="2" t="s">
        <v>256</v>
      </c>
      <c r="J49" s="25">
        <v>30000</v>
      </c>
      <c r="K49" s="2" t="s">
        <v>1430</v>
      </c>
      <c r="L49" s="2"/>
      <c r="M49" s="2" t="s">
        <v>2856</v>
      </c>
      <c r="N49" s="2"/>
      <c r="O49" s="2" t="s">
        <v>2856</v>
      </c>
      <c r="P49" s="2" t="s">
        <v>392</v>
      </c>
      <c r="Q49" s="12" t="s">
        <v>97</v>
      </c>
      <c r="V49" t="s">
        <v>546</v>
      </c>
      <c r="W49" t="s">
        <v>2832</v>
      </c>
      <c r="X49" t="s">
        <v>2856</v>
      </c>
    </row>
    <row r="50" spans="1:24" ht="18.399999999999999" customHeight="1" x14ac:dyDescent="0.15">
      <c r="A50" s="11" t="s">
        <v>19</v>
      </c>
      <c r="B50" s="2" t="s">
        <v>1459</v>
      </c>
      <c r="C50" s="2" t="s">
        <v>1910</v>
      </c>
      <c r="D50" s="2" t="s">
        <v>2069</v>
      </c>
      <c r="E50" s="25">
        <v>450</v>
      </c>
      <c r="F50" s="25">
        <v>450</v>
      </c>
      <c r="G50" s="2" t="s">
        <v>2174</v>
      </c>
      <c r="H50" s="2"/>
      <c r="I50" s="2" t="s">
        <v>2856</v>
      </c>
      <c r="J50" s="2"/>
      <c r="K50" s="2" t="s">
        <v>2856</v>
      </c>
      <c r="L50" s="2"/>
      <c r="M50" s="2" t="s">
        <v>2856</v>
      </c>
      <c r="N50" s="2"/>
      <c r="O50" s="2" t="s">
        <v>2856</v>
      </c>
      <c r="P50" s="2" t="s">
        <v>392</v>
      </c>
      <c r="Q50" s="12" t="s">
        <v>97</v>
      </c>
      <c r="V50" t="s">
        <v>2856</v>
      </c>
      <c r="W50" t="s">
        <v>2856</v>
      </c>
      <c r="X50" t="s">
        <v>2856</v>
      </c>
    </row>
    <row r="51" spans="1:24" ht="18.399999999999999" customHeight="1" x14ac:dyDescent="0.15">
      <c r="A51" s="11" t="s">
        <v>587</v>
      </c>
      <c r="B51" s="2" t="s">
        <v>1098</v>
      </c>
      <c r="C51" s="2" t="s">
        <v>33</v>
      </c>
      <c r="D51" s="2" t="s">
        <v>1180</v>
      </c>
      <c r="E51" s="25">
        <v>9550</v>
      </c>
      <c r="F51" s="2"/>
      <c r="G51" s="2" t="s">
        <v>2856</v>
      </c>
      <c r="H51" s="2"/>
      <c r="I51" s="2" t="s">
        <v>2856</v>
      </c>
      <c r="J51" s="2"/>
      <c r="K51" s="2" t="s">
        <v>2856</v>
      </c>
      <c r="L51" s="25">
        <v>9550</v>
      </c>
      <c r="M51" s="2" t="s">
        <v>1739</v>
      </c>
      <c r="N51" s="2"/>
      <c r="O51" s="2" t="s">
        <v>2856</v>
      </c>
      <c r="P51" s="2" t="s">
        <v>392</v>
      </c>
      <c r="Q51" s="12" t="s">
        <v>97</v>
      </c>
      <c r="V51" t="s">
        <v>2856</v>
      </c>
      <c r="W51" t="s">
        <v>2856</v>
      </c>
      <c r="X51" t="s">
        <v>2856</v>
      </c>
    </row>
    <row r="52" spans="1:24" ht="18.399999999999999" customHeight="1" x14ac:dyDescent="0.15">
      <c r="A52" s="11" t="s">
        <v>1596</v>
      </c>
      <c r="B52" s="2" t="s">
        <v>1098</v>
      </c>
      <c r="C52" s="2" t="s">
        <v>850</v>
      </c>
      <c r="D52" s="2" t="s">
        <v>1180</v>
      </c>
      <c r="E52" s="25">
        <v>4610</v>
      </c>
      <c r="F52" s="2"/>
      <c r="G52" s="2" t="s">
        <v>2856</v>
      </c>
      <c r="H52" s="2"/>
      <c r="I52" s="2" t="s">
        <v>2856</v>
      </c>
      <c r="J52" s="2"/>
      <c r="K52" s="2" t="s">
        <v>2856</v>
      </c>
      <c r="L52" s="25">
        <v>4610</v>
      </c>
      <c r="M52" s="2" t="s">
        <v>1739</v>
      </c>
      <c r="N52" s="2"/>
      <c r="O52" s="2" t="s">
        <v>2856</v>
      </c>
      <c r="P52" s="2" t="s">
        <v>392</v>
      </c>
      <c r="Q52" s="12" t="s">
        <v>97</v>
      </c>
      <c r="V52" t="s">
        <v>2856</v>
      </c>
      <c r="W52" t="s">
        <v>2856</v>
      </c>
      <c r="X52" t="s">
        <v>2856</v>
      </c>
    </row>
    <row r="53" spans="1:24" ht="12.75" customHeight="1" x14ac:dyDescent="0.15">
      <c r="A53" s="2" t="s">
        <v>3120</v>
      </c>
      <c r="B53" s="2" t="s">
        <v>3133</v>
      </c>
      <c r="C53" s="2" t="s">
        <v>3119</v>
      </c>
      <c r="D53" s="2" t="s">
        <v>2587</v>
      </c>
      <c r="E53" s="25">
        <v>340000</v>
      </c>
      <c r="F53" s="25">
        <v>340000</v>
      </c>
      <c r="G53" s="2" t="s">
        <v>3134</v>
      </c>
      <c r="H53" s="2"/>
      <c r="I53" s="2" t="s">
        <v>2856</v>
      </c>
      <c r="J53" s="2"/>
      <c r="K53" s="2" t="s">
        <v>2856</v>
      </c>
      <c r="L53" s="2"/>
      <c r="M53" s="2" t="s">
        <v>2856</v>
      </c>
      <c r="N53" s="2"/>
      <c r="O53" s="2" t="s">
        <v>2856</v>
      </c>
      <c r="U53" t="s">
        <v>2707</v>
      </c>
      <c r="V53" t="s">
        <v>2856</v>
      </c>
      <c r="W53" t="s">
        <v>2856</v>
      </c>
      <c r="X53" t="s">
        <v>2856</v>
      </c>
    </row>
    <row r="54" spans="1:24" ht="12.75" customHeight="1" x14ac:dyDescent="0.15">
      <c r="A54" s="2" t="s">
        <v>3128</v>
      </c>
      <c r="B54" s="2" t="s">
        <v>3158</v>
      </c>
      <c r="C54" s="2" t="s">
        <v>3127</v>
      </c>
      <c r="D54" s="2" t="s">
        <v>2112</v>
      </c>
      <c r="E54" s="25">
        <v>170000</v>
      </c>
      <c r="F54" s="25">
        <v>170000</v>
      </c>
      <c r="G54" s="2" t="s">
        <v>3159</v>
      </c>
      <c r="H54" s="2"/>
      <c r="I54" s="2" t="s">
        <v>2856</v>
      </c>
      <c r="J54" s="2"/>
      <c r="K54" s="2" t="s">
        <v>2856</v>
      </c>
      <c r="L54" s="2"/>
      <c r="M54" s="2" t="s">
        <v>2856</v>
      </c>
      <c r="N54" s="2"/>
      <c r="O54" s="2" t="s">
        <v>2856</v>
      </c>
      <c r="U54" t="s">
        <v>2482</v>
      </c>
      <c r="V54" t="s">
        <v>2856</v>
      </c>
      <c r="W54" t="s">
        <v>2856</v>
      </c>
      <c r="X54" t="s">
        <v>2856</v>
      </c>
    </row>
    <row r="55" spans="1:24" ht="18.399999999999999" customHeight="1" x14ac:dyDescent="0.15">
      <c r="A55" s="11" t="s">
        <v>2034</v>
      </c>
      <c r="B55" s="2" t="s">
        <v>1590</v>
      </c>
      <c r="C55" s="2" t="s">
        <v>943</v>
      </c>
      <c r="D55" s="2" t="s">
        <v>2587</v>
      </c>
      <c r="E55" s="25">
        <v>255000</v>
      </c>
      <c r="F55" s="25">
        <v>255000</v>
      </c>
      <c r="G55" s="2" t="s">
        <v>86</v>
      </c>
      <c r="H55" s="2"/>
      <c r="I55" s="2" t="s">
        <v>2856</v>
      </c>
      <c r="J55" s="2"/>
      <c r="K55" s="2" t="s">
        <v>2856</v>
      </c>
      <c r="L55" s="2"/>
      <c r="M55" s="2" t="s">
        <v>2856</v>
      </c>
      <c r="N55" s="2"/>
      <c r="O55" s="2" t="s">
        <v>2856</v>
      </c>
      <c r="P55" s="2" t="s">
        <v>392</v>
      </c>
      <c r="Q55" s="12" t="s">
        <v>97</v>
      </c>
      <c r="V55" t="s">
        <v>2856</v>
      </c>
      <c r="W55" t="s">
        <v>2856</v>
      </c>
      <c r="X55" t="s">
        <v>2856</v>
      </c>
    </row>
    <row r="56" spans="1:24" ht="18.399999999999999" customHeight="1" x14ac:dyDescent="0.15">
      <c r="A56" s="11" t="s">
        <v>936</v>
      </c>
      <c r="B56" s="2" t="s">
        <v>593</v>
      </c>
      <c r="C56" s="2" t="s">
        <v>1226</v>
      </c>
      <c r="D56" s="2" t="s">
        <v>1549</v>
      </c>
      <c r="E56" s="25">
        <v>66000</v>
      </c>
      <c r="F56" s="25">
        <v>66000</v>
      </c>
      <c r="G56" s="2" t="s">
        <v>1</v>
      </c>
      <c r="H56" s="2"/>
      <c r="I56" s="2" t="s">
        <v>2856</v>
      </c>
      <c r="J56" s="2"/>
      <c r="K56" s="2" t="s">
        <v>2856</v>
      </c>
      <c r="L56" s="2"/>
      <c r="M56" s="2" t="s">
        <v>2856</v>
      </c>
      <c r="N56" s="2"/>
      <c r="O56" s="2" t="s">
        <v>2856</v>
      </c>
      <c r="P56" s="2" t="s">
        <v>392</v>
      </c>
      <c r="Q56" s="12" t="s">
        <v>97</v>
      </c>
      <c r="V56" t="s">
        <v>2856</v>
      </c>
      <c r="W56" t="s">
        <v>2856</v>
      </c>
      <c r="X56" t="s">
        <v>2856</v>
      </c>
    </row>
    <row r="57" spans="1:24" ht="18.399999999999999" customHeight="1" x14ac:dyDescent="0.15">
      <c r="A57" s="11" t="s">
        <v>879</v>
      </c>
      <c r="B57" s="2" t="s">
        <v>787</v>
      </c>
      <c r="C57" s="2" t="s">
        <v>1503</v>
      </c>
      <c r="D57" s="2" t="s">
        <v>2112</v>
      </c>
      <c r="E57" s="25">
        <v>16400000</v>
      </c>
      <c r="F57" s="25">
        <v>16400000</v>
      </c>
      <c r="G57" s="2" t="s">
        <v>935</v>
      </c>
      <c r="H57" s="2"/>
      <c r="I57" s="2" t="s">
        <v>2856</v>
      </c>
      <c r="J57" s="2"/>
      <c r="K57" s="2" t="s">
        <v>2856</v>
      </c>
      <c r="L57" s="2"/>
      <c r="M57" s="2" t="s">
        <v>2856</v>
      </c>
      <c r="N57" s="2"/>
      <c r="O57" s="2" t="s">
        <v>2856</v>
      </c>
      <c r="P57" s="2" t="s">
        <v>392</v>
      </c>
      <c r="Q57" s="12" t="s">
        <v>97</v>
      </c>
      <c r="V57" t="s">
        <v>2856</v>
      </c>
      <c r="W57" t="s">
        <v>2856</v>
      </c>
      <c r="X57" t="s">
        <v>2856</v>
      </c>
    </row>
    <row r="58" spans="1:24" ht="18.399999999999999" customHeight="1" x14ac:dyDescent="0.15">
      <c r="A58" s="11" t="s">
        <v>735</v>
      </c>
      <c r="B58" s="2" t="s">
        <v>2028</v>
      </c>
      <c r="C58" s="2" t="s">
        <v>2515</v>
      </c>
      <c r="D58" s="2" t="s">
        <v>2112</v>
      </c>
      <c r="E58" s="25">
        <v>440000</v>
      </c>
      <c r="F58" s="25">
        <v>440000</v>
      </c>
      <c r="G58" s="2" t="s">
        <v>920</v>
      </c>
      <c r="H58" s="2"/>
      <c r="I58" s="2" t="s">
        <v>2856</v>
      </c>
      <c r="J58" s="2"/>
      <c r="K58" s="2" t="s">
        <v>2856</v>
      </c>
      <c r="L58" s="2"/>
      <c r="M58" s="2" t="s">
        <v>2856</v>
      </c>
      <c r="N58" s="2"/>
      <c r="O58" s="2" t="s">
        <v>2856</v>
      </c>
      <c r="P58" s="2" t="s">
        <v>392</v>
      </c>
      <c r="Q58" s="12" t="s">
        <v>97</v>
      </c>
      <c r="V58" t="s">
        <v>2856</v>
      </c>
      <c r="W58" t="s">
        <v>2856</v>
      </c>
      <c r="X58" t="s">
        <v>2856</v>
      </c>
    </row>
    <row r="59" spans="1:24" ht="18.399999999999999" customHeight="1" x14ac:dyDescent="0.15">
      <c r="A59" s="11" t="s">
        <v>1491</v>
      </c>
      <c r="B59" s="2" t="s">
        <v>204</v>
      </c>
      <c r="C59" s="2" t="s">
        <v>1085</v>
      </c>
      <c r="D59" s="2" t="s">
        <v>2112</v>
      </c>
      <c r="E59" s="25">
        <v>2140000</v>
      </c>
      <c r="F59" s="25">
        <v>2140000</v>
      </c>
      <c r="G59" s="2" t="s">
        <v>979</v>
      </c>
      <c r="H59" s="2"/>
      <c r="I59" s="2" t="s">
        <v>2856</v>
      </c>
      <c r="J59" s="2"/>
      <c r="K59" s="2" t="s">
        <v>2856</v>
      </c>
      <c r="L59" s="2"/>
      <c r="M59" s="2" t="s">
        <v>2856</v>
      </c>
      <c r="N59" s="2"/>
      <c r="O59" s="2" t="s">
        <v>2856</v>
      </c>
      <c r="P59" s="2" t="s">
        <v>392</v>
      </c>
      <c r="Q59" s="12" t="s">
        <v>97</v>
      </c>
      <c r="V59" t="s">
        <v>2856</v>
      </c>
      <c r="W59" t="s">
        <v>2856</v>
      </c>
      <c r="X59" t="s">
        <v>2856</v>
      </c>
    </row>
    <row r="60" spans="1:24" ht="18.399999999999999" customHeight="1" x14ac:dyDescent="0.15">
      <c r="A60" s="11" t="s">
        <v>176</v>
      </c>
      <c r="B60" s="2" t="s">
        <v>2044</v>
      </c>
      <c r="C60" s="2" t="s">
        <v>1483</v>
      </c>
      <c r="D60" s="2" t="s">
        <v>2112</v>
      </c>
      <c r="E60" s="25">
        <v>2460000</v>
      </c>
      <c r="F60" s="25">
        <v>2460000</v>
      </c>
      <c r="G60" s="2" t="s">
        <v>1755</v>
      </c>
      <c r="H60" s="2"/>
      <c r="I60" s="2" t="s">
        <v>2856</v>
      </c>
      <c r="J60" s="2"/>
      <c r="K60" s="2" t="s">
        <v>2856</v>
      </c>
      <c r="L60" s="2"/>
      <c r="M60" s="2" t="s">
        <v>2856</v>
      </c>
      <c r="N60" s="2"/>
      <c r="O60" s="2" t="s">
        <v>2856</v>
      </c>
      <c r="P60" s="2" t="s">
        <v>392</v>
      </c>
      <c r="Q60" s="12" t="s">
        <v>97</v>
      </c>
      <c r="V60" t="s">
        <v>2856</v>
      </c>
      <c r="W60" t="s">
        <v>2856</v>
      </c>
      <c r="X60" t="s">
        <v>2856</v>
      </c>
    </row>
    <row r="61" spans="1:24" ht="18.399999999999999" customHeight="1" x14ac:dyDescent="0.15">
      <c r="A61" s="11" t="s">
        <v>1434</v>
      </c>
      <c r="B61" s="2" t="s">
        <v>1499</v>
      </c>
      <c r="C61" s="2" t="s">
        <v>2682</v>
      </c>
      <c r="D61" s="2" t="s">
        <v>2112</v>
      </c>
      <c r="E61" s="25">
        <v>3520000</v>
      </c>
      <c r="F61" s="25">
        <v>3520000</v>
      </c>
      <c r="G61" s="2" t="s">
        <v>2024</v>
      </c>
      <c r="H61" s="2"/>
      <c r="I61" s="2" t="s">
        <v>2856</v>
      </c>
      <c r="J61" s="2"/>
      <c r="K61" s="2" t="s">
        <v>2856</v>
      </c>
      <c r="L61" s="2"/>
      <c r="M61" s="2" t="s">
        <v>2856</v>
      </c>
      <c r="N61" s="2"/>
      <c r="O61" s="2" t="s">
        <v>2856</v>
      </c>
      <c r="P61" s="2" t="s">
        <v>392</v>
      </c>
      <c r="Q61" s="12" t="s">
        <v>97</v>
      </c>
      <c r="V61" t="s">
        <v>2856</v>
      </c>
      <c r="W61" t="s">
        <v>2856</v>
      </c>
      <c r="X61" t="s">
        <v>2856</v>
      </c>
    </row>
    <row r="62" spans="1:24" ht="18.399999999999999" customHeight="1" x14ac:dyDescent="0.15">
      <c r="A62" s="11" t="s">
        <v>260</v>
      </c>
      <c r="B62" s="2" t="s">
        <v>1782</v>
      </c>
      <c r="C62" s="2" t="s">
        <v>2698</v>
      </c>
      <c r="D62" s="2" t="s">
        <v>2112</v>
      </c>
      <c r="E62" s="25">
        <v>2690000</v>
      </c>
      <c r="F62" s="25">
        <v>2690000</v>
      </c>
      <c r="G62" s="2" t="s">
        <v>1694</v>
      </c>
      <c r="H62" s="2"/>
      <c r="I62" s="2" t="s">
        <v>2856</v>
      </c>
      <c r="J62" s="2"/>
      <c r="K62" s="2" t="s">
        <v>2856</v>
      </c>
      <c r="L62" s="2"/>
      <c r="M62" s="2" t="s">
        <v>2856</v>
      </c>
      <c r="N62" s="2"/>
      <c r="O62" s="2" t="s">
        <v>2856</v>
      </c>
      <c r="P62" s="2" t="s">
        <v>392</v>
      </c>
      <c r="Q62" s="12" t="s">
        <v>97</v>
      </c>
      <c r="V62" t="s">
        <v>2856</v>
      </c>
      <c r="W62" t="s">
        <v>2856</v>
      </c>
      <c r="X62" t="s">
        <v>2856</v>
      </c>
    </row>
    <row r="63" spans="1:24" ht="18.399999999999999" customHeight="1" x14ac:dyDescent="0.15">
      <c r="A63" s="11" t="s">
        <v>2702</v>
      </c>
      <c r="B63" s="2" t="s">
        <v>836</v>
      </c>
      <c r="C63" s="2" t="s">
        <v>1552</v>
      </c>
      <c r="D63" s="2" t="s">
        <v>2112</v>
      </c>
      <c r="E63" s="25">
        <v>2100000</v>
      </c>
      <c r="F63" s="25">
        <v>2100000</v>
      </c>
      <c r="G63" s="2" t="s">
        <v>1379</v>
      </c>
      <c r="H63" s="2"/>
      <c r="I63" s="2" t="s">
        <v>2856</v>
      </c>
      <c r="J63" s="2"/>
      <c r="K63" s="2" t="s">
        <v>2856</v>
      </c>
      <c r="L63" s="2"/>
      <c r="M63" s="2" t="s">
        <v>2856</v>
      </c>
      <c r="N63" s="2"/>
      <c r="O63" s="2" t="s">
        <v>2856</v>
      </c>
      <c r="P63" s="2" t="s">
        <v>392</v>
      </c>
      <c r="Q63" s="12" t="s">
        <v>97</v>
      </c>
      <c r="V63" t="s">
        <v>2856</v>
      </c>
      <c r="W63" t="s">
        <v>2856</v>
      </c>
      <c r="X63" t="s">
        <v>2856</v>
      </c>
    </row>
    <row r="64" spans="1:24" ht="18.399999999999999" customHeight="1" x14ac:dyDescent="0.15">
      <c r="A64" s="11" t="s">
        <v>1122</v>
      </c>
      <c r="B64" s="2" t="s">
        <v>492</v>
      </c>
      <c r="C64" s="2" t="s">
        <v>425</v>
      </c>
      <c r="D64" s="2" t="s">
        <v>2112</v>
      </c>
      <c r="E64" s="25">
        <v>2350000</v>
      </c>
      <c r="F64" s="25">
        <v>2350000</v>
      </c>
      <c r="G64" s="2" t="s">
        <v>2723</v>
      </c>
      <c r="H64" s="2"/>
      <c r="I64" s="2" t="s">
        <v>2856</v>
      </c>
      <c r="J64" s="2"/>
      <c r="K64" s="2" t="s">
        <v>2856</v>
      </c>
      <c r="L64" s="2"/>
      <c r="M64" s="2" t="s">
        <v>2856</v>
      </c>
      <c r="N64" s="2"/>
      <c r="O64" s="2" t="s">
        <v>2856</v>
      </c>
      <c r="P64" s="2" t="s">
        <v>392</v>
      </c>
      <c r="Q64" s="12" t="s">
        <v>97</v>
      </c>
      <c r="V64" t="s">
        <v>2856</v>
      </c>
      <c r="W64" t="s">
        <v>2856</v>
      </c>
      <c r="X64" t="s">
        <v>2856</v>
      </c>
    </row>
    <row r="65" spans="1:24" ht="18.399999999999999" customHeight="1" x14ac:dyDescent="0.15">
      <c r="A65" s="11" t="s">
        <v>2071</v>
      </c>
      <c r="B65" s="2" t="s">
        <v>1856</v>
      </c>
      <c r="C65" s="2" t="s">
        <v>2199</v>
      </c>
      <c r="D65" s="2" t="s">
        <v>2112</v>
      </c>
      <c r="E65" s="25">
        <v>12600000</v>
      </c>
      <c r="F65" s="25">
        <v>12600000</v>
      </c>
      <c r="G65" s="2" t="s">
        <v>1997</v>
      </c>
      <c r="H65" s="2"/>
      <c r="I65" s="2" t="s">
        <v>2856</v>
      </c>
      <c r="J65" s="2"/>
      <c r="K65" s="2" t="s">
        <v>2856</v>
      </c>
      <c r="L65" s="2"/>
      <c r="M65" s="2" t="s">
        <v>2856</v>
      </c>
      <c r="N65" s="2"/>
      <c r="O65" s="2" t="s">
        <v>2856</v>
      </c>
      <c r="P65" s="2" t="s">
        <v>392</v>
      </c>
      <c r="Q65" s="12" t="s">
        <v>97</v>
      </c>
      <c r="V65" t="s">
        <v>2856</v>
      </c>
      <c r="W65" t="s">
        <v>2856</v>
      </c>
      <c r="X65" t="s">
        <v>2856</v>
      </c>
    </row>
    <row r="66" spans="1:24" ht="18.399999999999999" customHeight="1" x14ac:dyDescent="0.15">
      <c r="A66" s="11" t="s">
        <v>113</v>
      </c>
      <c r="B66" s="2" t="s">
        <v>2578</v>
      </c>
      <c r="C66" s="2" t="s">
        <v>942</v>
      </c>
      <c r="D66" s="2" t="s">
        <v>2112</v>
      </c>
      <c r="E66" s="25">
        <v>5900000</v>
      </c>
      <c r="F66" s="25">
        <v>5900000</v>
      </c>
      <c r="G66" s="2" t="s">
        <v>2227</v>
      </c>
      <c r="H66" s="2"/>
      <c r="I66" s="2" t="s">
        <v>2856</v>
      </c>
      <c r="J66" s="2"/>
      <c r="K66" s="2" t="s">
        <v>2856</v>
      </c>
      <c r="L66" s="2"/>
      <c r="M66" s="2" t="s">
        <v>2856</v>
      </c>
      <c r="N66" s="2"/>
      <c r="O66" s="2" t="s">
        <v>2856</v>
      </c>
      <c r="P66" s="2" t="s">
        <v>392</v>
      </c>
      <c r="Q66" s="12" t="s">
        <v>97</v>
      </c>
      <c r="V66" t="s">
        <v>2856</v>
      </c>
      <c r="W66" t="s">
        <v>2856</v>
      </c>
      <c r="X66" t="s">
        <v>2856</v>
      </c>
    </row>
    <row r="67" spans="1:24" ht="18.399999999999999" customHeight="1" x14ac:dyDescent="0.15">
      <c r="A67" s="11" t="s">
        <v>649</v>
      </c>
      <c r="B67" s="2" t="s">
        <v>104</v>
      </c>
      <c r="C67" s="2" t="s">
        <v>283</v>
      </c>
      <c r="D67" s="2" t="s">
        <v>2112</v>
      </c>
      <c r="E67" s="25">
        <v>5200000</v>
      </c>
      <c r="F67" s="25">
        <v>5200000</v>
      </c>
      <c r="G67" s="2" t="s">
        <v>1805</v>
      </c>
      <c r="H67" s="2"/>
      <c r="I67" s="2" t="s">
        <v>2856</v>
      </c>
      <c r="J67" s="2"/>
      <c r="K67" s="2" t="s">
        <v>2856</v>
      </c>
      <c r="L67" s="2"/>
      <c r="M67" s="2" t="s">
        <v>2856</v>
      </c>
      <c r="N67" s="2"/>
      <c r="O67" s="2" t="s">
        <v>2856</v>
      </c>
      <c r="P67" s="2" t="s">
        <v>392</v>
      </c>
      <c r="Q67" s="12" t="s">
        <v>97</v>
      </c>
      <c r="V67" t="s">
        <v>2856</v>
      </c>
      <c r="W67" t="s">
        <v>2856</v>
      </c>
      <c r="X67" t="s">
        <v>2856</v>
      </c>
    </row>
    <row r="68" spans="1:24" ht="18.399999999999999" customHeight="1" x14ac:dyDescent="0.15">
      <c r="A68" s="11" t="s">
        <v>923</v>
      </c>
      <c r="B68" s="2" t="s">
        <v>999</v>
      </c>
      <c r="C68" s="2" t="s">
        <v>130</v>
      </c>
      <c r="D68" s="2" t="s">
        <v>2112</v>
      </c>
      <c r="E68" s="25">
        <v>2900000</v>
      </c>
      <c r="F68" s="25">
        <v>2900000</v>
      </c>
      <c r="G68" s="2" t="s">
        <v>568</v>
      </c>
      <c r="H68" s="2"/>
      <c r="I68" s="2" t="s">
        <v>2856</v>
      </c>
      <c r="J68" s="2"/>
      <c r="K68" s="2" t="s">
        <v>2856</v>
      </c>
      <c r="L68" s="2"/>
      <c r="M68" s="2" t="s">
        <v>2856</v>
      </c>
      <c r="N68" s="2"/>
      <c r="O68" s="2" t="s">
        <v>2856</v>
      </c>
      <c r="P68" s="2" t="s">
        <v>392</v>
      </c>
      <c r="Q68" s="12" t="s">
        <v>97</v>
      </c>
      <c r="V68" t="s">
        <v>2856</v>
      </c>
      <c r="W68" t="s">
        <v>2856</v>
      </c>
      <c r="X68" t="s">
        <v>2856</v>
      </c>
    </row>
    <row r="69" spans="1:24" ht="18.399999999999999" customHeight="1" x14ac:dyDescent="0.15">
      <c r="A69" s="11" t="s">
        <v>1237</v>
      </c>
      <c r="B69" s="2" t="s">
        <v>306</v>
      </c>
      <c r="C69" s="2" t="s">
        <v>1838</v>
      </c>
      <c r="D69" s="2" t="s">
        <v>2112</v>
      </c>
      <c r="E69" s="25">
        <v>282000</v>
      </c>
      <c r="F69" s="25">
        <v>282000</v>
      </c>
      <c r="G69" s="2" t="s">
        <v>174</v>
      </c>
      <c r="H69" s="2"/>
      <c r="I69" s="2" t="s">
        <v>2856</v>
      </c>
      <c r="J69" s="2"/>
      <c r="K69" s="2" t="s">
        <v>2856</v>
      </c>
      <c r="L69" s="2"/>
      <c r="M69" s="2" t="s">
        <v>2856</v>
      </c>
      <c r="N69" s="2"/>
      <c r="O69" s="2" t="s">
        <v>2856</v>
      </c>
      <c r="P69" s="2" t="s">
        <v>392</v>
      </c>
      <c r="Q69" s="12" t="s">
        <v>97</v>
      </c>
      <c r="V69" t="s">
        <v>2856</v>
      </c>
      <c r="W69" t="s">
        <v>2856</v>
      </c>
      <c r="X69" t="s">
        <v>2856</v>
      </c>
    </row>
    <row r="70" spans="1:24" ht="18.399999999999999" customHeight="1" x14ac:dyDescent="0.15">
      <c r="A70" s="11" t="s">
        <v>970</v>
      </c>
      <c r="B70" s="2" t="s">
        <v>1002</v>
      </c>
      <c r="C70" s="2" t="s">
        <v>846</v>
      </c>
      <c r="D70" s="2" t="s">
        <v>2112</v>
      </c>
      <c r="E70" s="25">
        <v>4300000</v>
      </c>
      <c r="F70" s="2"/>
      <c r="G70" s="2" t="s">
        <v>2856</v>
      </c>
      <c r="H70" s="2"/>
      <c r="I70" s="2" t="s">
        <v>2856</v>
      </c>
      <c r="J70" s="2"/>
      <c r="K70" s="2" t="s">
        <v>2856</v>
      </c>
      <c r="L70" s="2"/>
      <c r="M70" s="2" t="s">
        <v>2856</v>
      </c>
      <c r="N70" s="25">
        <v>4300000</v>
      </c>
      <c r="O70" s="2" t="s">
        <v>385</v>
      </c>
      <c r="P70" s="2" t="s">
        <v>392</v>
      </c>
      <c r="Q70" s="12" t="s">
        <v>97</v>
      </c>
      <c r="V70" t="s">
        <v>2856</v>
      </c>
      <c r="W70" t="s">
        <v>2856</v>
      </c>
      <c r="X70" t="s">
        <v>2856</v>
      </c>
    </row>
    <row r="71" spans="1:24" ht="18.399999999999999" customHeight="1" x14ac:dyDescent="0.15">
      <c r="A71" s="11" t="s">
        <v>998</v>
      </c>
      <c r="B71" s="2" t="s">
        <v>1388</v>
      </c>
      <c r="C71" s="2" t="s">
        <v>2778</v>
      </c>
      <c r="D71" s="2" t="s">
        <v>2112</v>
      </c>
      <c r="E71" s="25">
        <v>3900000</v>
      </c>
      <c r="F71" s="25">
        <v>3900000</v>
      </c>
      <c r="G71" s="2" t="s">
        <v>2601</v>
      </c>
      <c r="H71" s="2"/>
      <c r="I71" s="2" t="s">
        <v>2856</v>
      </c>
      <c r="J71" s="2"/>
      <c r="K71" s="2" t="s">
        <v>2856</v>
      </c>
      <c r="L71" s="2"/>
      <c r="M71" s="2" t="s">
        <v>2856</v>
      </c>
      <c r="N71" s="2"/>
      <c r="O71" s="2" t="s">
        <v>2856</v>
      </c>
      <c r="P71" s="2" t="s">
        <v>392</v>
      </c>
      <c r="Q71" s="12" t="s">
        <v>97</v>
      </c>
      <c r="V71" t="s">
        <v>2856</v>
      </c>
      <c r="W71" t="s">
        <v>2856</v>
      </c>
      <c r="X71" t="s">
        <v>2856</v>
      </c>
    </row>
    <row r="72" spans="1:24" ht="18.399999999999999" customHeight="1" x14ac:dyDescent="0.15">
      <c r="A72" s="11" t="s">
        <v>2524</v>
      </c>
      <c r="B72" s="2" t="s">
        <v>829</v>
      </c>
      <c r="C72" s="2" t="s">
        <v>2249</v>
      </c>
      <c r="D72" s="2" t="s">
        <v>2112</v>
      </c>
      <c r="E72" s="25">
        <v>1300000</v>
      </c>
      <c r="F72" s="25">
        <v>1300000</v>
      </c>
      <c r="G72" s="2" t="s">
        <v>1106</v>
      </c>
      <c r="H72" s="2"/>
      <c r="I72" s="2" t="s">
        <v>2856</v>
      </c>
      <c r="J72" s="2"/>
      <c r="K72" s="2" t="s">
        <v>2856</v>
      </c>
      <c r="L72" s="2"/>
      <c r="M72" s="2" t="s">
        <v>2856</v>
      </c>
      <c r="N72" s="2"/>
      <c r="O72" s="2" t="s">
        <v>2856</v>
      </c>
      <c r="P72" s="2" t="s">
        <v>392</v>
      </c>
      <c r="Q72" s="12" t="s">
        <v>97</v>
      </c>
      <c r="V72" t="s">
        <v>2856</v>
      </c>
      <c r="W72" t="s">
        <v>2856</v>
      </c>
      <c r="X72" t="s">
        <v>2856</v>
      </c>
    </row>
    <row r="73" spans="1:24" ht="18.399999999999999" customHeight="1" x14ac:dyDescent="0.15">
      <c r="A73" s="11" t="s">
        <v>2547</v>
      </c>
      <c r="B73" s="2" t="s">
        <v>353</v>
      </c>
      <c r="C73" s="2" t="s">
        <v>2279</v>
      </c>
      <c r="D73" s="2" t="s">
        <v>635</v>
      </c>
      <c r="E73" s="25">
        <v>89830</v>
      </c>
      <c r="F73" s="25">
        <v>89830</v>
      </c>
      <c r="G73" s="2" t="s">
        <v>2436</v>
      </c>
      <c r="H73" s="2"/>
      <c r="I73" s="2" t="s">
        <v>2856</v>
      </c>
      <c r="J73" s="2"/>
      <c r="K73" s="2" t="s">
        <v>2856</v>
      </c>
      <c r="L73" s="2"/>
      <c r="M73" s="2" t="s">
        <v>2856</v>
      </c>
      <c r="N73" s="2"/>
      <c r="O73" s="2" t="s">
        <v>2856</v>
      </c>
      <c r="P73" s="2" t="s">
        <v>392</v>
      </c>
      <c r="Q73" s="12" t="s">
        <v>97</v>
      </c>
      <c r="V73" t="s">
        <v>2856</v>
      </c>
      <c r="W73" t="s">
        <v>2856</v>
      </c>
      <c r="X73" t="s">
        <v>2856</v>
      </c>
    </row>
    <row r="74" spans="1:24" ht="18.399999999999999" customHeight="1" x14ac:dyDescent="0.15">
      <c r="A74" s="11" t="s">
        <v>981</v>
      </c>
      <c r="B74" s="2" t="s">
        <v>1294</v>
      </c>
      <c r="C74" s="2" t="s">
        <v>309</v>
      </c>
      <c r="D74" s="2" t="s">
        <v>2772</v>
      </c>
      <c r="E74" s="25">
        <v>528153</v>
      </c>
      <c r="F74" s="25">
        <v>528153</v>
      </c>
      <c r="G74" s="2" t="s">
        <v>2856</v>
      </c>
      <c r="H74" s="25">
        <v>600000</v>
      </c>
      <c r="I74" s="2" t="s">
        <v>2650</v>
      </c>
      <c r="J74" s="25">
        <v>720000</v>
      </c>
      <c r="K74" s="2" t="s">
        <v>397</v>
      </c>
      <c r="L74" s="2"/>
      <c r="M74" s="2" t="s">
        <v>2856</v>
      </c>
      <c r="N74" s="2"/>
      <c r="O74" s="2" t="s">
        <v>2856</v>
      </c>
      <c r="P74" s="2" t="s">
        <v>392</v>
      </c>
      <c r="Q74" s="12" t="s">
        <v>97</v>
      </c>
      <c r="V74" t="s">
        <v>2856</v>
      </c>
      <c r="W74" t="s">
        <v>2856</v>
      </c>
      <c r="X74" t="s">
        <v>2856</v>
      </c>
    </row>
    <row r="75" spans="1:24" ht="18.399999999999999" customHeight="1" x14ac:dyDescent="0.15">
      <c r="A75" s="11" t="s">
        <v>141</v>
      </c>
      <c r="B75" s="2" t="s">
        <v>3131</v>
      </c>
      <c r="C75" s="2" t="s">
        <v>1019</v>
      </c>
      <c r="D75" s="2" t="s">
        <v>2305</v>
      </c>
      <c r="E75" s="25">
        <v>990</v>
      </c>
      <c r="F75" s="2"/>
      <c r="G75" s="2" t="s">
        <v>2856</v>
      </c>
      <c r="H75" s="25">
        <v>2300</v>
      </c>
      <c r="I75" s="2" t="s">
        <v>1196</v>
      </c>
      <c r="J75" s="25">
        <v>990</v>
      </c>
      <c r="K75" s="2" t="s">
        <v>1794</v>
      </c>
      <c r="L75" s="2"/>
      <c r="M75" s="2" t="s">
        <v>2856</v>
      </c>
      <c r="N75" s="2"/>
      <c r="O75" s="2" t="s">
        <v>2856</v>
      </c>
      <c r="P75" s="2" t="s">
        <v>392</v>
      </c>
      <c r="Q75" s="12" t="s">
        <v>97</v>
      </c>
      <c r="V75" t="s">
        <v>2856</v>
      </c>
      <c r="W75" t="s">
        <v>1511</v>
      </c>
      <c r="X75" t="s">
        <v>2856</v>
      </c>
    </row>
    <row r="76" spans="1:24" ht="18.399999999999999" customHeight="1" x14ac:dyDescent="0.15">
      <c r="A76" s="11" t="s">
        <v>1687</v>
      </c>
      <c r="B76" s="2" t="s">
        <v>207</v>
      </c>
      <c r="C76" s="2" t="s">
        <v>1172</v>
      </c>
      <c r="D76" s="2" t="s">
        <v>477</v>
      </c>
      <c r="E76" s="25">
        <v>1210</v>
      </c>
      <c r="F76" s="2"/>
      <c r="G76" s="2" t="s">
        <v>2856</v>
      </c>
      <c r="H76" s="2"/>
      <c r="I76" s="2" t="s">
        <v>2856</v>
      </c>
      <c r="J76" s="25">
        <v>1210</v>
      </c>
      <c r="K76" s="2" t="s">
        <v>84</v>
      </c>
      <c r="L76" s="2"/>
      <c r="M76" s="2" t="s">
        <v>2856</v>
      </c>
      <c r="N76" s="2"/>
      <c r="O76" s="2" t="s">
        <v>2856</v>
      </c>
      <c r="P76" s="2" t="s">
        <v>392</v>
      </c>
      <c r="Q76" s="12" t="s">
        <v>97</v>
      </c>
      <c r="V76" t="s">
        <v>2856</v>
      </c>
      <c r="W76" t="s">
        <v>1511</v>
      </c>
      <c r="X76" t="s">
        <v>2856</v>
      </c>
    </row>
    <row r="77" spans="1:24" ht="18.399999999999999" customHeight="1" x14ac:dyDescent="0.15">
      <c r="A77" s="11" t="s">
        <v>2284</v>
      </c>
      <c r="B77" s="2" t="s">
        <v>2209</v>
      </c>
      <c r="C77" s="2" t="s">
        <v>1010</v>
      </c>
      <c r="D77" s="2" t="s">
        <v>1929</v>
      </c>
      <c r="E77" s="25">
        <v>1540000</v>
      </c>
      <c r="F77" s="2"/>
      <c r="G77" s="2" t="s">
        <v>2856</v>
      </c>
      <c r="H77" s="25">
        <v>1543000</v>
      </c>
      <c r="I77" s="2" t="s">
        <v>84</v>
      </c>
      <c r="J77" s="25">
        <v>1540000</v>
      </c>
      <c r="K77" s="2" t="s">
        <v>84</v>
      </c>
      <c r="L77" s="2"/>
      <c r="M77" s="2" t="s">
        <v>2856</v>
      </c>
      <c r="N77" s="2"/>
      <c r="O77" s="2" t="s">
        <v>2856</v>
      </c>
      <c r="P77" s="2" t="s">
        <v>392</v>
      </c>
      <c r="Q77" s="12" t="s">
        <v>97</v>
      </c>
      <c r="V77" t="s">
        <v>2856</v>
      </c>
      <c r="W77" t="s">
        <v>1511</v>
      </c>
      <c r="X77" t="s">
        <v>2856</v>
      </c>
    </row>
    <row r="78" spans="1:24" ht="18.399999999999999" customHeight="1" x14ac:dyDescent="0.15">
      <c r="A78" s="11" t="s">
        <v>1326</v>
      </c>
      <c r="B78" s="2" t="s">
        <v>2209</v>
      </c>
      <c r="C78" s="2" t="s">
        <v>540</v>
      </c>
      <c r="D78" s="2" t="s">
        <v>1929</v>
      </c>
      <c r="E78" s="25">
        <v>1540000</v>
      </c>
      <c r="F78" s="2"/>
      <c r="G78" s="2" t="s">
        <v>2856</v>
      </c>
      <c r="H78" s="2"/>
      <c r="I78" s="2" t="s">
        <v>2856</v>
      </c>
      <c r="J78" s="25">
        <v>1540000</v>
      </c>
      <c r="K78" s="2" t="s">
        <v>84</v>
      </c>
      <c r="L78" s="2"/>
      <c r="M78" s="2" t="s">
        <v>2856</v>
      </c>
      <c r="N78" s="2"/>
      <c r="O78" s="2" t="s">
        <v>2856</v>
      </c>
      <c r="P78" s="2" t="s">
        <v>392</v>
      </c>
      <c r="Q78" s="12" t="s">
        <v>97</v>
      </c>
      <c r="V78" t="s">
        <v>2856</v>
      </c>
      <c r="W78" t="s">
        <v>1511</v>
      </c>
      <c r="X78" t="s">
        <v>2856</v>
      </c>
    </row>
    <row r="79" spans="1:24" ht="18.399999999999999" customHeight="1" x14ac:dyDescent="0.15">
      <c r="A79" s="11" t="s">
        <v>2500</v>
      </c>
      <c r="B79" s="2" t="s">
        <v>1757</v>
      </c>
      <c r="C79" s="2" t="s">
        <v>250</v>
      </c>
      <c r="D79" s="2" t="s">
        <v>883</v>
      </c>
      <c r="E79" s="25">
        <v>1009</v>
      </c>
      <c r="F79" s="25">
        <v>1009</v>
      </c>
      <c r="G79" s="2" t="s">
        <v>2856</v>
      </c>
      <c r="H79" s="25">
        <v>2220</v>
      </c>
      <c r="I79" s="2" t="s">
        <v>2300</v>
      </c>
      <c r="J79" s="2"/>
      <c r="K79" s="2" t="s">
        <v>2856</v>
      </c>
      <c r="L79" s="2"/>
      <c r="M79" s="2" t="s">
        <v>2856</v>
      </c>
      <c r="N79" s="2"/>
      <c r="O79" s="2" t="s">
        <v>2856</v>
      </c>
      <c r="P79" s="2" t="s">
        <v>392</v>
      </c>
      <c r="Q79" s="12" t="s">
        <v>97</v>
      </c>
      <c r="V79" t="s">
        <v>2856</v>
      </c>
      <c r="W79" t="s">
        <v>1511</v>
      </c>
      <c r="X79" t="s">
        <v>2856</v>
      </c>
    </row>
    <row r="80" spans="1:24" ht="18.399999999999999" customHeight="1" x14ac:dyDescent="0.15">
      <c r="A80" s="11" t="s">
        <v>750</v>
      </c>
      <c r="B80" s="2" t="s">
        <v>1521</v>
      </c>
      <c r="C80" s="2" t="s">
        <v>73</v>
      </c>
      <c r="D80" s="2" t="s">
        <v>1929</v>
      </c>
      <c r="E80" s="25">
        <v>1000000</v>
      </c>
      <c r="F80" s="2"/>
      <c r="G80" s="2" t="s">
        <v>2856</v>
      </c>
      <c r="H80" s="2"/>
      <c r="I80" s="2" t="s">
        <v>2856</v>
      </c>
      <c r="J80" s="2"/>
      <c r="K80" s="2" t="s">
        <v>2856</v>
      </c>
      <c r="L80" s="2"/>
      <c r="M80" s="2" t="s">
        <v>2856</v>
      </c>
      <c r="N80" s="25">
        <v>1000000</v>
      </c>
      <c r="O80" s="2" t="s">
        <v>2856</v>
      </c>
      <c r="P80" s="2" t="s">
        <v>392</v>
      </c>
      <c r="Q80" s="12" t="s">
        <v>97</v>
      </c>
      <c r="V80" t="s">
        <v>2856</v>
      </c>
      <c r="W80" t="s">
        <v>1511</v>
      </c>
      <c r="X80" t="s">
        <v>2856</v>
      </c>
    </row>
    <row r="81" spans="1:24" ht="18.399999999999999" customHeight="1" x14ac:dyDescent="0.15">
      <c r="A81" s="11" t="s">
        <v>2383</v>
      </c>
      <c r="B81" s="2" t="s">
        <v>2143</v>
      </c>
      <c r="C81" s="2" t="s">
        <v>2351</v>
      </c>
      <c r="D81" s="2" t="s">
        <v>2819</v>
      </c>
      <c r="E81" s="25">
        <v>4500</v>
      </c>
      <c r="F81" s="2"/>
      <c r="G81" s="2" t="s">
        <v>2856</v>
      </c>
      <c r="H81" s="25">
        <v>8000</v>
      </c>
      <c r="I81" s="2" t="s">
        <v>1196</v>
      </c>
      <c r="J81" s="25">
        <v>4500</v>
      </c>
      <c r="K81" s="2" t="s">
        <v>1794</v>
      </c>
      <c r="L81" s="2"/>
      <c r="M81" s="2" t="s">
        <v>2856</v>
      </c>
      <c r="N81" s="2"/>
      <c r="O81" s="2" t="s">
        <v>2856</v>
      </c>
      <c r="P81" s="2" t="s">
        <v>392</v>
      </c>
      <c r="Q81" s="12" t="s">
        <v>97</v>
      </c>
      <c r="V81" t="s">
        <v>2856</v>
      </c>
      <c r="W81" t="s">
        <v>1511</v>
      </c>
      <c r="X81" t="s">
        <v>2856</v>
      </c>
    </row>
    <row r="82" spans="1:24" ht="18.399999999999999" customHeight="1" x14ac:dyDescent="0.15">
      <c r="A82" s="11" t="s">
        <v>1245</v>
      </c>
      <c r="B82" s="2" t="s">
        <v>1852</v>
      </c>
      <c r="C82" s="2" t="s">
        <v>1342</v>
      </c>
      <c r="D82" s="2" t="s">
        <v>477</v>
      </c>
      <c r="E82" s="25">
        <v>1170</v>
      </c>
      <c r="F82" s="2"/>
      <c r="G82" s="2" t="s">
        <v>2856</v>
      </c>
      <c r="H82" s="25">
        <v>1325</v>
      </c>
      <c r="I82" s="2" t="s">
        <v>554</v>
      </c>
      <c r="J82" s="25">
        <v>1240</v>
      </c>
      <c r="K82" s="2" t="s">
        <v>1376</v>
      </c>
      <c r="L82" s="25">
        <v>1170</v>
      </c>
      <c r="M82" s="2" t="s">
        <v>2323</v>
      </c>
      <c r="N82" s="2"/>
      <c r="O82" s="2" t="s">
        <v>2856</v>
      </c>
      <c r="P82" s="2" t="s">
        <v>392</v>
      </c>
      <c r="Q82" s="12" t="s">
        <v>97</v>
      </c>
      <c r="V82" t="s">
        <v>2856</v>
      </c>
      <c r="W82" t="s">
        <v>1511</v>
      </c>
      <c r="X82" t="s">
        <v>2856</v>
      </c>
    </row>
    <row r="83" spans="1:24" ht="18.399999999999999" customHeight="1" x14ac:dyDescent="0.15">
      <c r="A83" s="11" t="s">
        <v>2789</v>
      </c>
      <c r="B83" s="2" t="s">
        <v>1852</v>
      </c>
      <c r="C83" s="2" t="s">
        <v>884</v>
      </c>
      <c r="D83" s="2" t="s">
        <v>477</v>
      </c>
      <c r="E83" s="25">
        <v>1170</v>
      </c>
      <c r="F83" s="2"/>
      <c r="G83" s="2" t="s">
        <v>2856</v>
      </c>
      <c r="H83" s="25">
        <v>1325</v>
      </c>
      <c r="I83" s="2" t="s">
        <v>554</v>
      </c>
      <c r="J83" s="25">
        <v>1240</v>
      </c>
      <c r="K83" s="2" t="s">
        <v>1376</v>
      </c>
      <c r="L83" s="25">
        <v>1170</v>
      </c>
      <c r="M83" s="2" t="s">
        <v>2323</v>
      </c>
      <c r="N83" s="2"/>
      <c r="O83" s="2" t="s">
        <v>2856</v>
      </c>
      <c r="P83" s="2" t="s">
        <v>392</v>
      </c>
      <c r="Q83" s="12" t="s">
        <v>97</v>
      </c>
      <c r="V83" t="s">
        <v>2856</v>
      </c>
      <c r="W83" t="s">
        <v>1511</v>
      </c>
      <c r="X83" t="s">
        <v>2856</v>
      </c>
    </row>
    <row r="84" spans="1:24" ht="18.399999999999999" customHeight="1" x14ac:dyDescent="0.15">
      <c r="A84" s="11" t="s">
        <v>1177</v>
      </c>
      <c r="B84" s="2" t="s">
        <v>1092</v>
      </c>
      <c r="C84" s="2" t="s">
        <v>73</v>
      </c>
      <c r="D84" s="2" t="s">
        <v>1929</v>
      </c>
      <c r="E84" s="25">
        <v>500000</v>
      </c>
      <c r="F84" s="2"/>
      <c r="G84" s="2" t="s">
        <v>2856</v>
      </c>
      <c r="H84" s="2"/>
      <c r="I84" s="2" t="s">
        <v>2856</v>
      </c>
      <c r="J84" s="2"/>
      <c r="K84" s="2" t="s">
        <v>2856</v>
      </c>
      <c r="L84" s="2"/>
      <c r="M84" s="2" t="s">
        <v>2856</v>
      </c>
      <c r="N84" s="25">
        <v>500000</v>
      </c>
      <c r="O84" s="2" t="s">
        <v>2856</v>
      </c>
      <c r="P84" s="2" t="s">
        <v>392</v>
      </c>
      <c r="Q84" s="12" t="s">
        <v>97</v>
      </c>
      <c r="V84" t="s">
        <v>2856</v>
      </c>
      <c r="W84" t="s">
        <v>1511</v>
      </c>
      <c r="X84" t="s">
        <v>2856</v>
      </c>
    </row>
    <row r="85" spans="1:24" ht="18.399999999999999" customHeight="1" x14ac:dyDescent="0.15">
      <c r="A85" s="11" t="s">
        <v>609</v>
      </c>
      <c r="B85" s="2" t="s">
        <v>770</v>
      </c>
      <c r="C85" s="2" t="s">
        <v>626</v>
      </c>
      <c r="D85" s="2" t="s">
        <v>635</v>
      </c>
      <c r="E85" s="25">
        <v>24000</v>
      </c>
      <c r="F85" s="2"/>
      <c r="G85" s="2" t="s">
        <v>2856</v>
      </c>
      <c r="H85" s="2"/>
      <c r="I85" s="2" t="s">
        <v>2856</v>
      </c>
      <c r="J85" s="25">
        <v>24000</v>
      </c>
      <c r="K85" s="2" t="s">
        <v>2738</v>
      </c>
      <c r="L85" s="2"/>
      <c r="M85" s="2" t="s">
        <v>2856</v>
      </c>
      <c r="N85" s="2"/>
      <c r="O85" s="2" t="s">
        <v>2856</v>
      </c>
      <c r="P85" s="2" t="s">
        <v>392</v>
      </c>
      <c r="Q85" s="12" t="s">
        <v>97</v>
      </c>
      <c r="V85" t="s">
        <v>2856</v>
      </c>
      <c r="W85" t="s">
        <v>2856</v>
      </c>
      <c r="X85" t="s">
        <v>2856</v>
      </c>
    </row>
    <row r="86" spans="1:24" ht="18.399999999999999" customHeight="1" x14ac:dyDescent="0.15">
      <c r="A86" s="11" t="s">
        <v>2805</v>
      </c>
      <c r="B86" s="2" t="s">
        <v>2701</v>
      </c>
      <c r="C86" s="2" t="s">
        <v>1763</v>
      </c>
      <c r="D86" s="2" t="s">
        <v>635</v>
      </c>
      <c r="E86" s="25">
        <v>37000</v>
      </c>
      <c r="F86" s="2"/>
      <c r="G86" s="2" t="s">
        <v>2856</v>
      </c>
      <c r="H86" s="2"/>
      <c r="I86" s="2" t="s">
        <v>2856</v>
      </c>
      <c r="J86" s="2"/>
      <c r="K86" s="2" t="s">
        <v>2856</v>
      </c>
      <c r="L86" s="25">
        <v>37000</v>
      </c>
      <c r="M86" s="2" t="s">
        <v>898</v>
      </c>
      <c r="N86" s="2"/>
      <c r="O86" s="2" t="s">
        <v>2856</v>
      </c>
      <c r="P86" s="2" t="s">
        <v>392</v>
      </c>
      <c r="Q86" s="12" t="s">
        <v>97</v>
      </c>
      <c r="V86" t="s">
        <v>2856</v>
      </c>
      <c r="W86" t="s">
        <v>2856</v>
      </c>
      <c r="X86" t="s">
        <v>2856</v>
      </c>
    </row>
    <row r="87" spans="1:24" ht="18.399999999999999" customHeight="1" x14ac:dyDescent="0.15">
      <c r="A87" s="11" t="s">
        <v>2130</v>
      </c>
      <c r="B87" s="2" t="s">
        <v>2708</v>
      </c>
      <c r="C87" s="2" t="s">
        <v>2760</v>
      </c>
      <c r="D87" s="2" t="s">
        <v>2772</v>
      </c>
      <c r="E87" s="25">
        <v>31000</v>
      </c>
      <c r="F87" s="2"/>
      <c r="G87" s="2" t="s">
        <v>2856</v>
      </c>
      <c r="H87" s="2"/>
      <c r="I87" s="2" t="s">
        <v>2856</v>
      </c>
      <c r="J87" s="25">
        <v>31000</v>
      </c>
      <c r="K87" s="2" t="s">
        <v>2738</v>
      </c>
      <c r="L87" s="2"/>
      <c r="M87" s="2" t="s">
        <v>2856</v>
      </c>
      <c r="N87" s="2"/>
      <c r="O87" s="2" t="s">
        <v>2856</v>
      </c>
      <c r="P87" s="2" t="s">
        <v>392</v>
      </c>
      <c r="Q87" s="12" t="s">
        <v>97</v>
      </c>
      <c r="V87" t="s">
        <v>695</v>
      </c>
      <c r="W87" t="s">
        <v>2045</v>
      </c>
      <c r="X87" t="s">
        <v>2856</v>
      </c>
    </row>
    <row r="88" spans="1:24" ht="18.399999999999999" customHeight="1" x14ac:dyDescent="0.15">
      <c r="A88" s="11" t="s">
        <v>439</v>
      </c>
      <c r="B88" s="2" t="s">
        <v>2507</v>
      </c>
      <c r="C88" s="2" t="s">
        <v>2760</v>
      </c>
      <c r="D88" s="2" t="s">
        <v>635</v>
      </c>
      <c r="E88" s="25">
        <v>31000</v>
      </c>
      <c r="F88" s="2"/>
      <c r="G88" s="2" t="s">
        <v>2856</v>
      </c>
      <c r="H88" s="2"/>
      <c r="I88" s="2" t="s">
        <v>2856</v>
      </c>
      <c r="J88" s="25">
        <v>31000</v>
      </c>
      <c r="K88" s="2" t="s">
        <v>2738</v>
      </c>
      <c r="L88" s="2"/>
      <c r="M88" s="2" t="s">
        <v>2856</v>
      </c>
      <c r="N88" s="2"/>
      <c r="O88" s="2" t="s">
        <v>2856</v>
      </c>
      <c r="P88" s="2" t="s">
        <v>392</v>
      </c>
      <c r="Q88" s="12" t="s">
        <v>97</v>
      </c>
      <c r="V88" t="s">
        <v>2856</v>
      </c>
      <c r="W88" t="s">
        <v>2856</v>
      </c>
      <c r="X88" t="s">
        <v>2856</v>
      </c>
    </row>
    <row r="89" spans="1:24" ht="18.399999999999999" customHeight="1" x14ac:dyDescent="0.15">
      <c r="A89" s="11" t="s">
        <v>2422</v>
      </c>
      <c r="B89" s="2" t="s">
        <v>2655</v>
      </c>
      <c r="C89" s="2" t="s">
        <v>1225</v>
      </c>
      <c r="D89" s="2" t="s">
        <v>1929</v>
      </c>
      <c r="E89" s="25">
        <v>1039100</v>
      </c>
      <c r="F89" s="25">
        <v>1039100</v>
      </c>
      <c r="G89" s="2" t="s">
        <v>421</v>
      </c>
      <c r="H89" s="2"/>
      <c r="I89" s="2" t="s">
        <v>2856</v>
      </c>
      <c r="J89" s="2"/>
      <c r="K89" s="2" t="s">
        <v>2856</v>
      </c>
      <c r="L89" s="2"/>
      <c r="M89" s="2" t="s">
        <v>2856</v>
      </c>
      <c r="N89" s="2"/>
      <c r="O89" s="2" t="s">
        <v>2856</v>
      </c>
      <c r="P89" s="2" t="s">
        <v>392</v>
      </c>
      <c r="Q89" s="12" t="s">
        <v>97</v>
      </c>
      <c r="V89" t="s">
        <v>2004</v>
      </c>
      <c r="W89" t="s">
        <v>2008</v>
      </c>
      <c r="X89" t="s">
        <v>2856</v>
      </c>
    </row>
    <row r="90" spans="1:24" ht="18.399999999999999" customHeight="1" x14ac:dyDescent="0.15">
      <c r="A90" s="11" t="s">
        <v>887</v>
      </c>
      <c r="B90" s="2" t="s">
        <v>2830</v>
      </c>
      <c r="C90" s="2" t="s">
        <v>1449</v>
      </c>
      <c r="D90" s="2" t="s">
        <v>477</v>
      </c>
      <c r="E90" s="25">
        <v>189</v>
      </c>
      <c r="F90" s="2"/>
      <c r="G90" s="2" t="s">
        <v>2856</v>
      </c>
      <c r="H90" s="25">
        <v>207.5</v>
      </c>
      <c r="I90" s="2" t="s">
        <v>444</v>
      </c>
      <c r="J90" s="25">
        <v>210</v>
      </c>
      <c r="K90" s="2" t="s">
        <v>976</v>
      </c>
      <c r="L90" s="25">
        <v>189</v>
      </c>
      <c r="M90" s="2" t="s">
        <v>288</v>
      </c>
      <c r="N90" s="2"/>
      <c r="O90" s="2" t="s">
        <v>2856</v>
      </c>
      <c r="P90" s="2" t="s">
        <v>392</v>
      </c>
      <c r="Q90" s="12" t="s">
        <v>97</v>
      </c>
      <c r="V90" t="s">
        <v>2856</v>
      </c>
      <c r="W90" t="s">
        <v>2856</v>
      </c>
      <c r="X90" t="s">
        <v>2856</v>
      </c>
    </row>
    <row r="91" spans="1:24" ht="18.399999999999999" customHeight="1" x14ac:dyDescent="0.15">
      <c r="A91" s="11" t="s">
        <v>1930</v>
      </c>
      <c r="B91" s="2" t="s">
        <v>1545</v>
      </c>
      <c r="C91" s="2" t="s">
        <v>2856</v>
      </c>
      <c r="D91" s="2" t="s">
        <v>477</v>
      </c>
      <c r="E91" s="25">
        <v>7550</v>
      </c>
      <c r="F91" s="2"/>
      <c r="G91" s="2" t="s">
        <v>2856</v>
      </c>
      <c r="H91" s="2"/>
      <c r="I91" s="2" t="s">
        <v>2856</v>
      </c>
      <c r="J91" s="25">
        <v>7550</v>
      </c>
      <c r="K91" s="2" t="s">
        <v>1918</v>
      </c>
      <c r="L91" s="2"/>
      <c r="M91" s="2" t="s">
        <v>2856</v>
      </c>
      <c r="N91" s="2"/>
      <c r="O91" s="2" t="s">
        <v>2856</v>
      </c>
      <c r="P91" s="2" t="s">
        <v>392</v>
      </c>
      <c r="Q91" s="12" t="s">
        <v>97</v>
      </c>
      <c r="V91" t="s">
        <v>2856</v>
      </c>
      <c r="W91" t="s">
        <v>2856</v>
      </c>
      <c r="X91" t="s">
        <v>2856</v>
      </c>
    </row>
    <row r="92" spans="1:24" ht="18.399999999999999" customHeight="1" x14ac:dyDescent="0.15">
      <c r="A92" s="11" t="s">
        <v>957</v>
      </c>
      <c r="B92" s="2" t="s">
        <v>703</v>
      </c>
      <c r="C92" s="2" t="s">
        <v>2798</v>
      </c>
      <c r="D92" s="2" t="s">
        <v>2294</v>
      </c>
      <c r="E92" s="25">
        <v>11211</v>
      </c>
      <c r="F92" s="2"/>
      <c r="G92" s="2" t="s">
        <v>2856</v>
      </c>
      <c r="H92" s="25">
        <v>11211</v>
      </c>
      <c r="I92" s="2" t="s">
        <v>2327</v>
      </c>
      <c r="J92" s="25">
        <v>22250</v>
      </c>
      <c r="K92" s="2" t="s">
        <v>1141</v>
      </c>
      <c r="L92" s="2"/>
      <c r="M92" s="2" t="s">
        <v>2856</v>
      </c>
      <c r="N92" s="2"/>
      <c r="O92" s="2" t="s">
        <v>2856</v>
      </c>
      <c r="P92" s="2" t="s">
        <v>392</v>
      </c>
      <c r="Q92" s="12" t="s">
        <v>97</v>
      </c>
      <c r="V92" t="s">
        <v>2856</v>
      </c>
      <c r="W92" t="s">
        <v>2856</v>
      </c>
      <c r="X92" t="s">
        <v>2856</v>
      </c>
    </row>
    <row r="93" spans="1:24" ht="12.75" customHeight="1" x14ac:dyDescent="0.15">
      <c r="A93" s="2" t="s">
        <v>3152</v>
      </c>
      <c r="B93" s="2" t="s">
        <v>3154</v>
      </c>
      <c r="C93" s="2" t="s">
        <v>3150</v>
      </c>
      <c r="D93" s="2" t="s">
        <v>2305</v>
      </c>
      <c r="E93" s="25">
        <v>5000</v>
      </c>
      <c r="F93" s="2"/>
      <c r="G93" s="2" t="s">
        <v>2856</v>
      </c>
      <c r="H93" s="25">
        <v>5500</v>
      </c>
      <c r="I93" s="2" t="s">
        <v>3060</v>
      </c>
      <c r="J93" s="25">
        <v>5000</v>
      </c>
      <c r="K93" s="2" t="s">
        <v>3155</v>
      </c>
      <c r="L93" s="2"/>
      <c r="M93" s="2" t="s">
        <v>2856</v>
      </c>
      <c r="N93" s="2"/>
      <c r="O93" s="2" t="s">
        <v>2856</v>
      </c>
      <c r="V93" t="s">
        <v>2856</v>
      </c>
      <c r="W93" t="s">
        <v>2856</v>
      </c>
      <c r="X93" t="s">
        <v>2856</v>
      </c>
    </row>
    <row r="94" spans="1:24" ht="12.75" customHeight="1" x14ac:dyDescent="0.15">
      <c r="A94" s="2" t="s">
        <v>3057</v>
      </c>
      <c r="B94" s="2" t="s">
        <v>3069</v>
      </c>
      <c r="C94" s="2" t="s">
        <v>3056</v>
      </c>
      <c r="D94" s="2" t="s">
        <v>1549</v>
      </c>
      <c r="E94" s="25">
        <v>234500</v>
      </c>
      <c r="F94" s="25">
        <v>234500</v>
      </c>
      <c r="G94" s="2" t="s">
        <v>2856</v>
      </c>
      <c r="H94" s="2"/>
      <c r="I94" s="2" t="s">
        <v>2856</v>
      </c>
      <c r="J94" s="2"/>
      <c r="K94" s="2" t="s">
        <v>2856</v>
      </c>
      <c r="L94" s="2"/>
      <c r="M94" s="2" t="s">
        <v>2856</v>
      </c>
      <c r="N94" s="2"/>
      <c r="O94" s="2" t="s">
        <v>2856</v>
      </c>
      <c r="V94" t="s">
        <v>2856</v>
      </c>
      <c r="W94" t="s">
        <v>2856</v>
      </c>
      <c r="X94" t="s">
        <v>2856</v>
      </c>
    </row>
    <row r="95" spans="1:24" ht="18.399999999999999" customHeight="1" x14ac:dyDescent="0.15">
      <c r="A95" s="11" t="s">
        <v>1728</v>
      </c>
      <c r="B95" s="2" t="s">
        <v>2136</v>
      </c>
      <c r="C95" s="2" t="s">
        <v>2444</v>
      </c>
      <c r="D95" s="2" t="s">
        <v>1549</v>
      </c>
      <c r="E95" s="25">
        <v>37000</v>
      </c>
      <c r="F95" s="2"/>
      <c r="G95" s="2" t="s">
        <v>2856</v>
      </c>
      <c r="H95" s="25">
        <v>40000</v>
      </c>
      <c r="I95" s="2" t="s">
        <v>1221</v>
      </c>
      <c r="J95" s="25">
        <v>37000</v>
      </c>
      <c r="K95" s="2" t="s">
        <v>276</v>
      </c>
      <c r="L95" s="2"/>
      <c r="M95" s="2" t="s">
        <v>2856</v>
      </c>
      <c r="N95" s="2"/>
      <c r="O95" s="2" t="s">
        <v>2856</v>
      </c>
      <c r="P95" s="2" t="s">
        <v>392</v>
      </c>
      <c r="Q95" s="12" t="s">
        <v>97</v>
      </c>
      <c r="V95" t="s">
        <v>2856</v>
      </c>
      <c r="W95" t="s">
        <v>2856</v>
      </c>
      <c r="X95" t="s">
        <v>2856</v>
      </c>
    </row>
    <row r="96" spans="1:24" ht="18.399999999999999" customHeight="1" x14ac:dyDescent="0.15">
      <c r="A96" s="11" t="s">
        <v>282</v>
      </c>
      <c r="B96" s="2" t="s">
        <v>1238</v>
      </c>
      <c r="C96" s="2" t="s">
        <v>2518</v>
      </c>
      <c r="D96" s="2" t="s">
        <v>2305</v>
      </c>
      <c r="E96" s="25">
        <v>450000</v>
      </c>
      <c r="F96" s="2"/>
      <c r="G96" s="2" t="s">
        <v>2856</v>
      </c>
      <c r="H96" s="25">
        <v>450000</v>
      </c>
      <c r="I96" s="2" t="s">
        <v>96</v>
      </c>
      <c r="J96" s="25">
        <v>450000</v>
      </c>
      <c r="K96" s="2" t="s">
        <v>1550</v>
      </c>
      <c r="L96" s="2"/>
      <c r="M96" s="2" t="s">
        <v>2856</v>
      </c>
      <c r="N96" s="2"/>
      <c r="O96" s="2" t="s">
        <v>2856</v>
      </c>
      <c r="P96" s="2" t="s">
        <v>392</v>
      </c>
      <c r="Q96" s="12" t="s">
        <v>97</v>
      </c>
      <c r="V96" t="s">
        <v>2856</v>
      </c>
      <c r="W96" t="s">
        <v>2856</v>
      </c>
      <c r="X96" t="s">
        <v>2856</v>
      </c>
    </row>
    <row r="97" spans="1:24" ht="18.399999999999999" customHeight="1" x14ac:dyDescent="0.15">
      <c r="A97" s="11" t="s">
        <v>1672</v>
      </c>
      <c r="B97" s="2" t="s">
        <v>2267</v>
      </c>
      <c r="C97" s="2" t="s">
        <v>2704</v>
      </c>
      <c r="D97" s="2" t="s">
        <v>2305</v>
      </c>
      <c r="E97" s="25">
        <v>80000</v>
      </c>
      <c r="F97" s="2"/>
      <c r="G97" s="2" t="s">
        <v>2856</v>
      </c>
      <c r="H97" s="25">
        <v>85000</v>
      </c>
      <c r="I97" s="2" t="s">
        <v>96</v>
      </c>
      <c r="J97" s="25">
        <v>80000</v>
      </c>
      <c r="K97" s="2" t="s">
        <v>1550</v>
      </c>
      <c r="L97" s="2"/>
      <c r="M97" s="2" t="s">
        <v>2856</v>
      </c>
      <c r="N97" s="2"/>
      <c r="O97" s="2" t="s">
        <v>2856</v>
      </c>
      <c r="P97" s="2" t="s">
        <v>392</v>
      </c>
      <c r="Q97" s="12" t="s">
        <v>97</v>
      </c>
      <c r="V97" t="s">
        <v>2856</v>
      </c>
      <c r="W97" t="s">
        <v>2856</v>
      </c>
      <c r="X97" t="s">
        <v>2856</v>
      </c>
    </row>
    <row r="98" spans="1:24" ht="18.399999999999999" customHeight="1" x14ac:dyDescent="0.15">
      <c r="A98" s="11" t="s">
        <v>493</v>
      </c>
      <c r="B98" s="2" t="s">
        <v>2426</v>
      </c>
      <c r="C98" s="2" t="s">
        <v>561</v>
      </c>
      <c r="D98" s="2" t="s">
        <v>2305</v>
      </c>
      <c r="E98" s="25">
        <v>15270</v>
      </c>
      <c r="F98" s="25">
        <v>15270</v>
      </c>
      <c r="G98" s="2" t="s">
        <v>1628</v>
      </c>
      <c r="H98" s="2"/>
      <c r="I98" s="2" t="s">
        <v>2856</v>
      </c>
      <c r="J98" s="2"/>
      <c r="K98" s="2" t="s">
        <v>2856</v>
      </c>
      <c r="L98" s="2"/>
      <c r="M98" s="2" t="s">
        <v>2856</v>
      </c>
      <c r="N98" s="2"/>
      <c r="O98" s="2" t="s">
        <v>2856</v>
      </c>
      <c r="P98" s="2" t="s">
        <v>392</v>
      </c>
      <c r="Q98" s="12" t="s">
        <v>97</v>
      </c>
      <c r="V98" t="s">
        <v>2856</v>
      </c>
      <c r="W98" t="s">
        <v>2856</v>
      </c>
      <c r="X98" t="s">
        <v>2856</v>
      </c>
    </row>
    <row r="99" spans="1:24" ht="18.399999999999999" customHeight="1" x14ac:dyDescent="0.15">
      <c r="A99" s="11" t="s">
        <v>1239</v>
      </c>
      <c r="B99" s="2" t="s">
        <v>2426</v>
      </c>
      <c r="C99" s="2" t="s">
        <v>2212</v>
      </c>
      <c r="D99" s="2" t="s">
        <v>2305</v>
      </c>
      <c r="E99" s="25">
        <v>26670</v>
      </c>
      <c r="F99" s="25">
        <v>26670</v>
      </c>
      <c r="G99" s="2" t="s">
        <v>511</v>
      </c>
      <c r="H99" s="2"/>
      <c r="I99" s="2" t="s">
        <v>2856</v>
      </c>
      <c r="J99" s="2"/>
      <c r="K99" s="2" t="s">
        <v>2856</v>
      </c>
      <c r="L99" s="2"/>
      <c r="M99" s="2" t="s">
        <v>2856</v>
      </c>
      <c r="N99" s="2"/>
      <c r="O99" s="2" t="s">
        <v>2856</v>
      </c>
      <c r="P99" s="2" t="s">
        <v>392</v>
      </c>
      <c r="Q99" s="12" t="s">
        <v>97</v>
      </c>
      <c r="V99" t="s">
        <v>2856</v>
      </c>
      <c r="W99" t="s">
        <v>2856</v>
      </c>
      <c r="X99" t="s">
        <v>2856</v>
      </c>
    </row>
    <row r="100" spans="1:24" ht="18.399999999999999" customHeight="1" x14ac:dyDescent="0.15">
      <c r="A100" s="11" t="s">
        <v>281</v>
      </c>
      <c r="B100" s="2" t="s">
        <v>633</v>
      </c>
      <c r="C100" s="2" t="s">
        <v>2248</v>
      </c>
      <c r="D100" s="2" t="s">
        <v>1180</v>
      </c>
      <c r="E100" s="25">
        <v>13800</v>
      </c>
      <c r="F100" s="2"/>
      <c r="G100" s="2" t="s">
        <v>2856</v>
      </c>
      <c r="H100" s="2"/>
      <c r="I100" s="2" t="s">
        <v>2856</v>
      </c>
      <c r="J100" s="25">
        <v>13800</v>
      </c>
      <c r="K100" s="2" t="s">
        <v>2386</v>
      </c>
      <c r="L100" s="25">
        <v>15800</v>
      </c>
      <c r="M100" s="2" t="s">
        <v>336</v>
      </c>
      <c r="N100" s="2"/>
      <c r="O100" s="2" t="s">
        <v>2856</v>
      </c>
      <c r="P100" s="2" t="s">
        <v>392</v>
      </c>
      <c r="Q100" s="12" t="s">
        <v>97</v>
      </c>
      <c r="V100" t="s">
        <v>2856</v>
      </c>
      <c r="W100" t="s">
        <v>2856</v>
      </c>
      <c r="X100" t="s">
        <v>2856</v>
      </c>
    </row>
    <row r="101" spans="1:24" ht="18.399999999999999" customHeight="1" x14ac:dyDescent="0.15">
      <c r="A101" s="11" t="s">
        <v>1330</v>
      </c>
      <c r="B101" s="2" t="s">
        <v>147</v>
      </c>
      <c r="C101" s="2" t="s">
        <v>645</v>
      </c>
      <c r="D101" s="2" t="s">
        <v>1549</v>
      </c>
      <c r="E101" s="25">
        <v>38300</v>
      </c>
      <c r="F101" s="25">
        <v>38300</v>
      </c>
      <c r="G101" s="2" t="s">
        <v>1827</v>
      </c>
      <c r="H101" s="2"/>
      <c r="I101" s="2" t="s">
        <v>2856</v>
      </c>
      <c r="J101" s="2"/>
      <c r="K101" s="2" t="s">
        <v>2856</v>
      </c>
      <c r="L101" s="2"/>
      <c r="M101" s="2" t="s">
        <v>2856</v>
      </c>
      <c r="N101" s="2"/>
      <c r="O101" s="2" t="s">
        <v>2856</v>
      </c>
      <c r="P101" s="2" t="s">
        <v>392</v>
      </c>
      <c r="Q101" s="12" t="s">
        <v>97</v>
      </c>
      <c r="V101" t="s">
        <v>2856</v>
      </c>
      <c r="W101" t="s">
        <v>2856</v>
      </c>
      <c r="X101" t="s">
        <v>2856</v>
      </c>
    </row>
    <row r="102" spans="1:24" ht="18.399999999999999" customHeight="1" x14ac:dyDescent="0.15">
      <c r="A102" s="11" t="s">
        <v>1285</v>
      </c>
      <c r="B102" s="2" t="s">
        <v>1443</v>
      </c>
      <c r="C102" s="2" t="s">
        <v>995</v>
      </c>
      <c r="D102" s="2" t="s">
        <v>1549</v>
      </c>
      <c r="E102" s="25">
        <v>25000</v>
      </c>
      <c r="F102" s="25">
        <v>25000</v>
      </c>
      <c r="G102" s="2" t="s">
        <v>1576</v>
      </c>
      <c r="H102" s="2"/>
      <c r="I102" s="2" t="s">
        <v>2856</v>
      </c>
      <c r="J102" s="2"/>
      <c r="K102" s="2" t="s">
        <v>2856</v>
      </c>
      <c r="L102" s="2"/>
      <c r="M102" s="2" t="s">
        <v>2856</v>
      </c>
      <c r="N102" s="2"/>
      <c r="O102" s="2" t="s">
        <v>2856</v>
      </c>
      <c r="P102" s="2" t="s">
        <v>392</v>
      </c>
      <c r="Q102" s="12" t="s">
        <v>97</v>
      </c>
      <c r="V102" t="s">
        <v>2856</v>
      </c>
      <c r="W102" t="s">
        <v>2856</v>
      </c>
      <c r="X102" t="s">
        <v>2856</v>
      </c>
    </row>
    <row r="103" spans="1:24" ht="18.399999999999999" customHeight="1" x14ac:dyDescent="0.15">
      <c r="A103" s="11" t="s">
        <v>2736</v>
      </c>
      <c r="B103" s="2" t="s">
        <v>2114</v>
      </c>
      <c r="C103" s="2" t="s">
        <v>127</v>
      </c>
      <c r="D103" s="2" t="s">
        <v>1549</v>
      </c>
      <c r="E103" s="25">
        <v>76837</v>
      </c>
      <c r="F103" s="2"/>
      <c r="G103" s="2" t="s">
        <v>2856</v>
      </c>
      <c r="H103" s="25">
        <v>76837</v>
      </c>
      <c r="I103" s="2" t="s">
        <v>1873</v>
      </c>
      <c r="J103" s="2"/>
      <c r="K103" s="2" t="s">
        <v>2856</v>
      </c>
      <c r="L103" s="2"/>
      <c r="M103" s="2" t="s">
        <v>2856</v>
      </c>
      <c r="N103" s="2"/>
      <c r="O103" s="2" t="s">
        <v>2856</v>
      </c>
      <c r="P103" s="2" t="s">
        <v>392</v>
      </c>
      <c r="Q103" s="12" t="s">
        <v>97</v>
      </c>
      <c r="V103" t="s">
        <v>2856</v>
      </c>
      <c r="W103" t="s">
        <v>2856</v>
      </c>
      <c r="X103" t="s">
        <v>2856</v>
      </c>
    </row>
    <row r="104" spans="1:24" ht="18.399999999999999" customHeight="1" x14ac:dyDescent="0.15">
      <c r="A104" s="11" t="s">
        <v>456</v>
      </c>
      <c r="B104" s="2" t="s">
        <v>35</v>
      </c>
      <c r="C104" s="2" t="s">
        <v>1770</v>
      </c>
      <c r="D104" s="2" t="s">
        <v>1549</v>
      </c>
      <c r="E104" s="25">
        <v>21800</v>
      </c>
      <c r="F104" s="2"/>
      <c r="G104" s="2" t="s">
        <v>2856</v>
      </c>
      <c r="H104" s="25">
        <v>41000</v>
      </c>
      <c r="I104" s="2" t="s">
        <v>1873</v>
      </c>
      <c r="J104" s="25">
        <v>21800</v>
      </c>
      <c r="K104" s="2" t="s">
        <v>2546</v>
      </c>
      <c r="L104" s="2"/>
      <c r="M104" s="2" t="s">
        <v>2856</v>
      </c>
      <c r="N104" s="2"/>
      <c r="O104" s="2" t="s">
        <v>2856</v>
      </c>
      <c r="P104" s="2" t="s">
        <v>392</v>
      </c>
      <c r="Q104" s="12" t="s">
        <v>97</v>
      </c>
      <c r="V104" t="s">
        <v>2856</v>
      </c>
      <c r="W104" t="s">
        <v>2856</v>
      </c>
      <c r="X104" t="s">
        <v>2856</v>
      </c>
    </row>
    <row r="105" spans="1:24" ht="18.399999999999999" customHeight="1" x14ac:dyDescent="0.15">
      <c r="A105" s="11" t="s">
        <v>1111</v>
      </c>
      <c r="B105" s="2" t="s">
        <v>2605</v>
      </c>
      <c r="C105" s="2" t="s">
        <v>2856</v>
      </c>
      <c r="D105" s="2" t="s">
        <v>477</v>
      </c>
      <c r="E105" s="25">
        <v>1377</v>
      </c>
      <c r="F105" s="2"/>
      <c r="G105" s="2" t="s">
        <v>2856</v>
      </c>
      <c r="H105" s="25">
        <v>2500</v>
      </c>
      <c r="I105" s="2" t="s">
        <v>2198</v>
      </c>
      <c r="J105" s="25">
        <v>1377</v>
      </c>
      <c r="K105" s="2" t="s">
        <v>566</v>
      </c>
      <c r="L105" s="2"/>
      <c r="M105" s="2" t="s">
        <v>2856</v>
      </c>
      <c r="N105" s="2"/>
      <c r="O105" s="2" t="s">
        <v>2856</v>
      </c>
      <c r="P105" s="2" t="s">
        <v>392</v>
      </c>
      <c r="Q105" s="12" t="s">
        <v>97</v>
      </c>
      <c r="V105" t="s">
        <v>2856</v>
      </c>
      <c r="W105" t="s">
        <v>2856</v>
      </c>
      <c r="X105" t="s">
        <v>2856</v>
      </c>
    </row>
    <row r="106" spans="1:24" ht="18.399999999999999" customHeight="1" x14ac:dyDescent="0.15">
      <c r="A106" s="11" t="s">
        <v>687</v>
      </c>
      <c r="B106" s="2" t="s">
        <v>435</v>
      </c>
      <c r="C106" s="2" t="s">
        <v>2651</v>
      </c>
      <c r="D106" s="2" t="s">
        <v>635</v>
      </c>
      <c r="E106" s="25">
        <v>2209000</v>
      </c>
      <c r="F106" s="2"/>
      <c r="G106" s="2" t="s">
        <v>2856</v>
      </c>
      <c r="H106" s="2"/>
      <c r="I106" s="2" t="s">
        <v>2856</v>
      </c>
      <c r="J106" s="25">
        <v>2209000</v>
      </c>
      <c r="K106" s="2" t="s">
        <v>1960</v>
      </c>
      <c r="L106" s="2"/>
      <c r="M106" s="2" t="s">
        <v>2856</v>
      </c>
      <c r="N106" s="2"/>
      <c r="O106" s="2" t="s">
        <v>2856</v>
      </c>
      <c r="P106" s="2" t="s">
        <v>392</v>
      </c>
      <c r="Q106" s="12" t="s">
        <v>97</v>
      </c>
      <c r="V106" t="s">
        <v>2856</v>
      </c>
      <c r="W106" t="s">
        <v>2856</v>
      </c>
      <c r="X106" t="s">
        <v>2856</v>
      </c>
    </row>
    <row r="107" spans="1:24" ht="18.399999999999999" customHeight="1" x14ac:dyDescent="0.15">
      <c r="A107" s="11" t="s">
        <v>1284</v>
      </c>
      <c r="B107" s="2" t="s">
        <v>661</v>
      </c>
      <c r="C107" s="2" t="s">
        <v>2312</v>
      </c>
      <c r="D107" s="2" t="s">
        <v>2112</v>
      </c>
      <c r="E107" s="25">
        <v>700000</v>
      </c>
      <c r="F107" s="2"/>
      <c r="G107" s="2" t="s">
        <v>2856</v>
      </c>
      <c r="H107" s="25">
        <v>700000</v>
      </c>
      <c r="I107" s="2" t="s">
        <v>709</v>
      </c>
      <c r="J107" s="25">
        <v>800000</v>
      </c>
      <c r="K107" s="2" t="s">
        <v>2421</v>
      </c>
      <c r="L107" s="2"/>
      <c r="M107" s="2" t="s">
        <v>2856</v>
      </c>
      <c r="N107" s="2"/>
      <c r="O107" s="2" t="s">
        <v>2856</v>
      </c>
      <c r="P107" s="2" t="s">
        <v>392</v>
      </c>
      <c r="Q107" s="12" t="s">
        <v>97</v>
      </c>
      <c r="V107" t="s">
        <v>2856</v>
      </c>
      <c r="W107" t="s">
        <v>2856</v>
      </c>
      <c r="X107" t="s">
        <v>2856</v>
      </c>
    </row>
    <row r="108" spans="1:24" ht="18.399999999999999" customHeight="1" x14ac:dyDescent="0.15">
      <c r="A108" s="11" t="s">
        <v>2713</v>
      </c>
      <c r="B108" s="2" t="s">
        <v>367</v>
      </c>
      <c r="C108" s="2" t="s">
        <v>2335</v>
      </c>
      <c r="D108" s="2" t="s">
        <v>2112</v>
      </c>
      <c r="E108" s="25">
        <v>2800000</v>
      </c>
      <c r="F108" s="2"/>
      <c r="G108" s="2" t="s">
        <v>2856</v>
      </c>
      <c r="H108" s="2"/>
      <c r="I108" s="2" t="s">
        <v>2856</v>
      </c>
      <c r="J108" s="2"/>
      <c r="K108" s="2" t="s">
        <v>2856</v>
      </c>
      <c r="L108" s="2"/>
      <c r="M108" s="2" t="s">
        <v>2856</v>
      </c>
      <c r="N108" s="25">
        <v>2800000</v>
      </c>
      <c r="O108" s="2" t="s">
        <v>385</v>
      </c>
      <c r="P108" s="2" t="s">
        <v>392</v>
      </c>
      <c r="Q108" s="12" t="s">
        <v>97</v>
      </c>
      <c r="V108" t="s">
        <v>2856</v>
      </c>
      <c r="W108" t="s">
        <v>2856</v>
      </c>
      <c r="X108" t="s">
        <v>2856</v>
      </c>
    </row>
    <row r="109" spans="1:24" ht="18.399999999999999" customHeight="1" x14ac:dyDescent="0.15">
      <c r="A109" s="11" t="s">
        <v>2211</v>
      </c>
      <c r="B109" s="2" t="s">
        <v>1334</v>
      </c>
      <c r="C109" s="2" t="s">
        <v>1726</v>
      </c>
      <c r="D109" s="2" t="s">
        <v>2112</v>
      </c>
      <c r="E109" s="25">
        <v>12000000</v>
      </c>
      <c r="F109" s="2"/>
      <c r="G109" s="2" t="s">
        <v>2856</v>
      </c>
      <c r="H109" s="2"/>
      <c r="I109" s="2" t="s">
        <v>2856</v>
      </c>
      <c r="J109" s="2"/>
      <c r="K109" s="2" t="s">
        <v>2856</v>
      </c>
      <c r="L109" s="2"/>
      <c r="M109" s="2" t="s">
        <v>2856</v>
      </c>
      <c r="N109" s="25">
        <v>12000000</v>
      </c>
      <c r="O109" s="2" t="s">
        <v>385</v>
      </c>
      <c r="P109" s="2" t="s">
        <v>392</v>
      </c>
      <c r="Q109" s="12" t="s">
        <v>97</v>
      </c>
      <c r="V109" t="s">
        <v>2856</v>
      </c>
      <c r="W109" t="s">
        <v>2856</v>
      </c>
      <c r="X109" t="s">
        <v>2856</v>
      </c>
    </row>
    <row r="110" spans="1:24" ht="18.399999999999999" customHeight="1" x14ac:dyDescent="0.15">
      <c r="A110" s="11" t="s">
        <v>901</v>
      </c>
      <c r="B110" s="2" t="s">
        <v>965</v>
      </c>
      <c r="C110" s="2" t="s">
        <v>362</v>
      </c>
      <c r="D110" s="2" t="s">
        <v>2112</v>
      </c>
      <c r="E110" s="25">
        <v>33600000</v>
      </c>
      <c r="F110" s="2"/>
      <c r="G110" s="2" t="s">
        <v>2856</v>
      </c>
      <c r="H110" s="2"/>
      <c r="I110" s="2" t="s">
        <v>2856</v>
      </c>
      <c r="J110" s="2"/>
      <c r="K110" s="2" t="s">
        <v>2856</v>
      </c>
      <c r="L110" s="2"/>
      <c r="M110" s="2" t="s">
        <v>2856</v>
      </c>
      <c r="N110" s="25">
        <v>33600000</v>
      </c>
      <c r="O110" s="2" t="s">
        <v>385</v>
      </c>
      <c r="P110" s="2" t="s">
        <v>392</v>
      </c>
      <c r="Q110" s="12" t="s">
        <v>97</v>
      </c>
      <c r="V110" t="s">
        <v>2856</v>
      </c>
      <c r="W110" t="s">
        <v>2856</v>
      </c>
      <c r="X110" t="s">
        <v>2856</v>
      </c>
    </row>
    <row r="111" spans="1:24" ht="18.399999999999999" customHeight="1" x14ac:dyDescent="0.15">
      <c r="A111" s="11" t="s">
        <v>1390</v>
      </c>
      <c r="B111" s="2" t="s">
        <v>1743</v>
      </c>
      <c r="C111" s="2" t="s">
        <v>2856</v>
      </c>
      <c r="D111" s="2" t="s">
        <v>2112</v>
      </c>
      <c r="E111" s="25">
        <v>900000</v>
      </c>
      <c r="F111" s="2"/>
      <c r="G111" s="2" t="s">
        <v>2856</v>
      </c>
      <c r="H111" s="2"/>
      <c r="I111" s="2" t="s">
        <v>2856</v>
      </c>
      <c r="J111" s="2"/>
      <c r="K111" s="2" t="s">
        <v>2856</v>
      </c>
      <c r="L111" s="2"/>
      <c r="M111" s="2" t="s">
        <v>2856</v>
      </c>
      <c r="N111" s="25">
        <v>900000</v>
      </c>
      <c r="O111" s="2" t="s">
        <v>385</v>
      </c>
      <c r="P111" s="2" t="s">
        <v>392</v>
      </c>
      <c r="Q111" s="12" t="s">
        <v>97</v>
      </c>
      <c r="V111" t="s">
        <v>2856</v>
      </c>
      <c r="W111" t="s">
        <v>2856</v>
      </c>
      <c r="X111" t="s">
        <v>2856</v>
      </c>
    </row>
    <row r="112" spans="1:24" ht="18.399999999999999" customHeight="1" x14ac:dyDescent="0.15">
      <c r="A112" s="11" t="s">
        <v>2648</v>
      </c>
      <c r="B112" s="2" t="s">
        <v>1329</v>
      </c>
      <c r="C112" s="2" t="s">
        <v>893</v>
      </c>
      <c r="D112" s="2" t="s">
        <v>2112</v>
      </c>
      <c r="E112" s="25">
        <v>4760000</v>
      </c>
      <c r="F112" s="2"/>
      <c r="G112" s="2" t="s">
        <v>2856</v>
      </c>
      <c r="H112" s="2"/>
      <c r="I112" s="2" t="s">
        <v>2856</v>
      </c>
      <c r="J112" s="2"/>
      <c r="K112" s="2" t="s">
        <v>2856</v>
      </c>
      <c r="L112" s="2"/>
      <c r="M112" s="2" t="s">
        <v>2856</v>
      </c>
      <c r="N112" s="25">
        <v>4760000</v>
      </c>
      <c r="O112" s="2" t="s">
        <v>1962</v>
      </c>
      <c r="P112" s="2" t="s">
        <v>392</v>
      </c>
      <c r="Q112" s="12" t="s">
        <v>97</v>
      </c>
      <c r="V112" t="s">
        <v>2856</v>
      </c>
      <c r="W112" t="s">
        <v>2856</v>
      </c>
      <c r="X112" t="s">
        <v>2856</v>
      </c>
    </row>
    <row r="113" spans="1:24" ht="18.399999999999999" customHeight="1" x14ac:dyDescent="0.15">
      <c r="A113" s="11" t="s">
        <v>2795</v>
      </c>
      <c r="B113" s="2" t="s">
        <v>1984</v>
      </c>
      <c r="C113" s="2" t="s">
        <v>352</v>
      </c>
      <c r="D113" s="2" t="s">
        <v>1180</v>
      </c>
      <c r="E113" s="25">
        <v>14300</v>
      </c>
      <c r="F113" s="25">
        <v>14300</v>
      </c>
      <c r="G113" s="2" t="s">
        <v>1236</v>
      </c>
      <c r="H113" s="2"/>
      <c r="I113" s="2" t="s">
        <v>2856</v>
      </c>
      <c r="J113" s="2"/>
      <c r="K113" s="2" t="s">
        <v>2856</v>
      </c>
      <c r="L113" s="2"/>
      <c r="M113" s="2" t="s">
        <v>2856</v>
      </c>
      <c r="N113" s="2"/>
      <c r="O113" s="2" t="s">
        <v>2856</v>
      </c>
      <c r="P113" s="2" t="s">
        <v>392</v>
      </c>
      <c r="Q113" s="12" t="s">
        <v>97</v>
      </c>
      <c r="V113" t="s">
        <v>2856</v>
      </c>
      <c r="W113" t="s">
        <v>2856</v>
      </c>
      <c r="X113" t="s">
        <v>2856</v>
      </c>
    </row>
    <row r="114" spans="1:24" ht="18.399999999999999" customHeight="1" x14ac:dyDescent="0.15">
      <c r="A114" s="11" t="s">
        <v>699</v>
      </c>
      <c r="B114" s="2" t="s">
        <v>322</v>
      </c>
      <c r="C114" s="2" t="s">
        <v>1049</v>
      </c>
      <c r="D114" s="2" t="s">
        <v>1549</v>
      </c>
      <c r="E114" s="25">
        <v>137500</v>
      </c>
      <c r="F114" s="25">
        <v>137500</v>
      </c>
      <c r="G114" s="2" t="s">
        <v>2711</v>
      </c>
      <c r="H114" s="2"/>
      <c r="I114" s="2" t="s">
        <v>2856</v>
      </c>
      <c r="J114" s="2"/>
      <c r="K114" s="2" t="s">
        <v>2856</v>
      </c>
      <c r="L114" s="2"/>
      <c r="M114" s="2" t="s">
        <v>2856</v>
      </c>
      <c r="N114" s="2"/>
      <c r="O114" s="2" t="s">
        <v>2856</v>
      </c>
      <c r="P114" s="2" t="s">
        <v>392</v>
      </c>
      <c r="Q114" s="12" t="s">
        <v>97</v>
      </c>
      <c r="V114" t="s">
        <v>2856</v>
      </c>
      <c r="W114" t="s">
        <v>2856</v>
      </c>
      <c r="X114" t="s">
        <v>2856</v>
      </c>
    </row>
    <row r="115" spans="1:24" ht="18.399999999999999" customHeight="1" x14ac:dyDescent="0.15">
      <c r="A115" s="11" t="s">
        <v>1303</v>
      </c>
      <c r="B115" s="2" t="s">
        <v>2557</v>
      </c>
      <c r="C115" s="2" t="s">
        <v>2642</v>
      </c>
      <c r="D115" s="2" t="s">
        <v>2631</v>
      </c>
      <c r="E115" s="25">
        <v>360</v>
      </c>
      <c r="F115" s="25">
        <v>360</v>
      </c>
      <c r="G115" s="2" t="s">
        <v>793</v>
      </c>
      <c r="H115" s="2"/>
      <c r="I115" s="2" t="s">
        <v>2856</v>
      </c>
      <c r="J115" s="2"/>
      <c r="K115" s="2" t="s">
        <v>2856</v>
      </c>
      <c r="L115" s="2"/>
      <c r="M115" s="2" t="s">
        <v>2856</v>
      </c>
      <c r="N115" s="2"/>
      <c r="O115" s="2" t="s">
        <v>2856</v>
      </c>
      <c r="P115" s="2" t="s">
        <v>392</v>
      </c>
      <c r="Q115" s="12" t="s">
        <v>97</v>
      </c>
      <c r="V115" t="s">
        <v>2856</v>
      </c>
      <c r="W115" t="s">
        <v>2856</v>
      </c>
      <c r="X115" t="s">
        <v>2856</v>
      </c>
    </row>
    <row r="116" spans="1:24" ht="18.399999999999999" customHeight="1" x14ac:dyDescent="0.15">
      <c r="A116" s="11" t="s">
        <v>2117</v>
      </c>
      <c r="B116" s="2" t="s">
        <v>501</v>
      </c>
      <c r="C116" s="2" t="s">
        <v>747</v>
      </c>
      <c r="D116" s="2" t="s">
        <v>1622</v>
      </c>
      <c r="E116" s="25">
        <v>5000</v>
      </c>
      <c r="F116" s="2"/>
      <c r="G116" s="2" t="s">
        <v>2856</v>
      </c>
      <c r="H116" s="25">
        <v>9000</v>
      </c>
      <c r="I116" s="2" t="s">
        <v>1917</v>
      </c>
      <c r="J116" s="25">
        <v>5000</v>
      </c>
      <c r="K116" s="2" t="s">
        <v>1430</v>
      </c>
      <c r="L116" s="2"/>
      <c r="M116" s="2" t="s">
        <v>2856</v>
      </c>
      <c r="N116" s="2"/>
      <c r="O116" s="2" t="s">
        <v>2856</v>
      </c>
      <c r="P116" s="2" t="s">
        <v>392</v>
      </c>
      <c r="Q116" s="12" t="s">
        <v>97</v>
      </c>
      <c r="V116" t="s">
        <v>2856</v>
      </c>
      <c r="W116" t="s">
        <v>2856</v>
      </c>
      <c r="X116" t="s">
        <v>2856</v>
      </c>
    </row>
    <row r="117" spans="1:24" ht="18.399999999999999" customHeight="1" x14ac:dyDescent="0.15">
      <c r="A117" s="11" t="s">
        <v>1406</v>
      </c>
      <c r="B117" s="2" t="s">
        <v>1644</v>
      </c>
      <c r="C117" s="2" t="s">
        <v>2465</v>
      </c>
      <c r="D117" s="2" t="s">
        <v>1622</v>
      </c>
      <c r="E117" s="25">
        <v>5000</v>
      </c>
      <c r="F117" s="2"/>
      <c r="G117" s="2" t="s">
        <v>2856</v>
      </c>
      <c r="H117" s="25">
        <v>9000</v>
      </c>
      <c r="I117" s="2" t="s">
        <v>1917</v>
      </c>
      <c r="J117" s="25">
        <v>5000</v>
      </c>
      <c r="K117" s="2" t="s">
        <v>1430</v>
      </c>
      <c r="L117" s="2"/>
      <c r="M117" s="2" t="s">
        <v>2856</v>
      </c>
      <c r="N117" s="2"/>
      <c r="O117" s="2" t="s">
        <v>2856</v>
      </c>
      <c r="P117" s="2" t="s">
        <v>392</v>
      </c>
      <c r="Q117" s="12" t="s">
        <v>97</v>
      </c>
      <c r="V117" t="s">
        <v>2856</v>
      </c>
      <c r="W117" t="s">
        <v>2856</v>
      </c>
      <c r="X117" t="s">
        <v>2856</v>
      </c>
    </row>
    <row r="118" spans="1:24" ht="18.399999999999999" customHeight="1" x14ac:dyDescent="0.15">
      <c r="A118" s="11" t="s">
        <v>666</v>
      </c>
      <c r="B118" s="2" t="s">
        <v>1761</v>
      </c>
      <c r="C118" s="2" t="s">
        <v>2465</v>
      </c>
      <c r="D118" s="2" t="s">
        <v>1622</v>
      </c>
      <c r="E118" s="25">
        <v>1200</v>
      </c>
      <c r="F118" s="2"/>
      <c r="G118" s="2" t="s">
        <v>2856</v>
      </c>
      <c r="H118" s="2"/>
      <c r="I118" s="2" t="s">
        <v>2856</v>
      </c>
      <c r="J118" s="25">
        <v>1200</v>
      </c>
      <c r="K118" s="2" t="s">
        <v>2420</v>
      </c>
      <c r="L118" s="2"/>
      <c r="M118" s="2" t="s">
        <v>2856</v>
      </c>
      <c r="N118" s="2"/>
      <c r="O118" s="2" t="s">
        <v>2856</v>
      </c>
      <c r="P118" s="2" t="s">
        <v>392</v>
      </c>
      <c r="Q118" s="12" t="s">
        <v>97</v>
      </c>
      <c r="V118" t="s">
        <v>2856</v>
      </c>
      <c r="W118" t="s">
        <v>2856</v>
      </c>
      <c r="X118" t="s">
        <v>2856</v>
      </c>
    </row>
    <row r="119" spans="1:24" ht="18.399999999999999" customHeight="1" x14ac:dyDescent="0.15">
      <c r="A119" s="11" t="s">
        <v>2571</v>
      </c>
      <c r="B119" s="2" t="s">
        <v>2846</v>
      </c>
      <c r="C119" s="2" t="s">
        <v>715</v>
      </c>
      <c r="D119" s="2" t="s">
        <v>1929</v>
      </c>
      <c r="E119" s="25">
        <v>40000</v>
      </c>
      <c r="F119" s="2"/>
      <c r="G119" s="2" t="s">
        <v>2856</v>
      </c>
      <c r="H119" s="2"/>
      <c r="I119" s="2" t="s">
        <v>2856</v>
      </c>
      <c r="J119" s="25">
        <v>40000</v>
      </c>
      <c r="K119" s="2" t="s">
        <v>1550</v>
      </c>
      <c r="L119" s="2"/>
      <c r="M119" s="2" t="s">
        <v>2856</v>
      </c>
      <c r="N119" s="2"/>
      <c r="O119" s="2" t="s">
        <v>2856</v>
      </c>
      <c r="P119" s="2" t="s">
        <v>392</v>
      </c>
      <c r="Q119" s="12" t="s">
        <v>97</v>
      </c>
      <c r="V119" t="s">
        <v>2856</v>
      </c>
      <c r="W119" t="s">
        <v>2856</v>
      </c>
      <c r="X119" t="s">
        <v>2856</v>
      </c>
    </row>
    <row r="120" spans="1:24" ht="18.399999999999999" customHeight="1" x14ac:dyDescent="0.15">
      <c r="A120" s="11" t="s">
        <v>1300</v>
      </c>
      <c r="B120" s="2" t="s">
        <v>2846</v>
      </c>
      <c r="C120" s="2" t="s">
        <v>1345</v>
      </c>
      <c r="D120" s="2" t="s">
        <v>1929</v>
      </c>
      <c r="E120" s="25">
        <v>45000</v>
      </c>
      <c r="F120" s="2"/>
      <c r="G120" s="2" t="s">
        <v>2856</v>
      </c>
      <c r="H120" s="2"/>
      <c r="I120" s="2" t="s">
        <v>2856</v>
      </c>
      <c r="J120" s="25">
        <v>45000</v>
      </c>
      <c r="K120" s="2" t="s">
        <v>1550</v>
      </c>
      <c r="L120" s="2"/>
      <c r="M120" s="2" t="s">
        <v>2856</v>
      </c>
      <c r="N120" s="2"/>
      <c r="O120" s="2" t="s">
        <v>2856</v>
      </c>
      <c r="P120" s="2" t="s">
        <v>392</v>
      </c>
      <c r="Q120" s="12" t="s">
        <v>97</v>
      </c>
      <c r="V120" t="s">
        <v>2856</v>
      </c>
      <c r="W120" t="s">
        <v>2856</v>
      </c>
      <c r="X120" t="s">
        <v>2856</v>
      </c>
    </row>
    <row r="121" spans="1:24" ht="18.399999999999999" customHeight="1" x14ac:dyDescent="0.15">
      <c r="A121" s="11" t="s">
        <v>2530</v>
      </c>
      <c r="B121" s="2" t="s">
        <v>2846</v>
      </c>
      <c r="C121" s="2" t="s">
        <v>826</v>
      </c>
      <c r="D121" s="2" t="s">
        <v>1929</v>
      </c>
      <c r="E121" s="25">
        <v>50000</v>
      </c>
      <c r="F121" s="2"/>
      <c r="G121" s="2" t="s">
        <v>2856</v>
      </c>
      <c r="H121" s="2"/>
      <c r="I121" s="2" t="s">
        <v>2856</v>
      </c>
      <c r="J121" s="25">
        <v>50000</v>
      </c>
      <c r="K121" s="2" t="s">
        <v>1550</v>
      </c>
      <c r="L121" s="2"/>
      <c r="M121" s="2" t="s">
        <v>2856</v>
      </c>
      <c r="N121" s="2"/>
      <c r="O121" s="2" t="s">
        <v>2856</v>
      </c>
      <c r="P121" s="2" t="s">
        <v>392</v>
      </c>
      <c r="Q121" s="12" t="s">
        <v>97</v>
      </c>
      <c r="V121" t="s">
        <v>2856</v>
      </c>
      <c r="W121" t="s">
        <v>2856</v>
      </c>
      <c r="X121" t="s">
        <v>2856</v>
      </c>
    </row>
    <row r="122" spans="1:24" ht="18.399999999999999" customHeight="1" x14ac:dyDescent="0.15">
      <c r="A122" s="11" t="s">
        <v>1484</v>
      </c>
      <c r="B122" s="2" t="s">
        <v>2239</v>
      </c>
      <c r="C122" s="2" t="s">
        <v>924</v>
      </c>
      <c r="D122" s="2" t="s">
        <v>1929</v>
      </c>
      <c r="E122" s="25">
        <v>120000</v>
      </c>
      <c r="F122" s="2"/>
      <c r="G122" s="2" t="s">
        <v>2856</v>
      </c>
      <c r="H122" s="2"/>
      <c r="I122" s="2" t="s">
        <v>2856</v>
      </c>
      <c r="J122" s="25">
        <v>120000</v>
      </c>
      <c r="K122" s="2" t="s">
        <v>1550</v>
      </c>
      <c r="L122" s="2"/>
      <c r="M122" s="2" t="s">
        <v>2856</v>
      </c>
      <c r="N122" s="2"/>
      <c r="O122" s="2" t="s">
        <v>2856</v>
      </c>
      <c r="P122" s="2" t="s">
        <v>392</v>
      </c>
      <c r="Q122" s="12" t="s">
        <v>97</v>
      </c>
      <c r="V122" t="s">
        <v>2856</v>
      </c>
      <c r="W122" t="s">
        <v>2856</v>
      </c>
      <c r="X122" t="s">
        <v>2856</v>
      </c>
    </row>
    <row r="123" spans="1:24" ht="18.399999999999999" customHeight="1" x14ac:dyDescent="0.15">
      <c r="A123" s="11" t="s">
        <v>212</v>
      </c>
      <c r="B123" s="2" t="s">
        <v>941</v>
      </c>
      <c r="C123" s="2" t="s">
        <v>1227</v>
      </c>
      <c r="D123" s="2" t="s">
        <v>2112</v>
      </c>
      <c r="E123" s="25">
        <v>220000</v>
      </c>
      <c r="F123" s="2"/>
      <c r="G123" s="2" t="s">
        <v>2856</v>
      </c>
      <c r="H123" s="2"/>
      <c r="I123" s="2" t="s">
        <v>2856</v>
      </c>
      <c r="J123" s="25">
        <v>220000</v>
      </c>
      <c r="K123" s="2" t="s">
        <v>1550</v>
      </c>
      <c r="L123" s="2"/>
      <c r="M123" s="2" t="s">
        <v>2856</v>
      </c>
      <c r="N123" s="2"/>
      <c r="O123" s="2" t="s">
        <v>2856</v>
      </c>
      <c r="P123" s="2" t="s">
        <v>392</v>
      </c>
      <c r="Q123" s="12" t="s">
        <v>97</v>
      </c>
      <c r="V123" t="s">
        <v>2856</v>
      </c>
      <c r="W123" t="s">
        <v>2856</v>
      </c>
      <c r="X123" t="s">
        <v>2856</v>
      </c>
    </row>
    <row r="124" spans="1:24" ht="18.399999999999999" customHeight="1" x14ac:dyDescent="0.15">
      <c r="A124" s="11" t="s">
        <v>1214</v>
      </c>
      <c r="B124" s="2" t="s">
        <v>2653</v>
      </c>
      <c r="C124" s="2" t="s">
        <v>2280</v>
      </c>
      <c r="D124" s="2" t="s">
        <v>2112</v>
      </c>
      <c r="E124" s="25">
        <v>12500</v>
      </c>
      <c r="F124" s="2"/>
      <c r="G124" s="2" t="s">
        <v>2856</v>
      </c>
      <c r="H124" s="2"/>
      <c r="I124" s="2" t="s">
        <v>2856</v>
      </c>
      <c r="J124" s="2"/>
      <c r="K124" s="2" t="s">
        <v>2856</v>
      </c>
      <c r="L124" s="2"/>
      <c r="M124" s="2" t="s">
        <v>2856</v>
      </c>
      <c r="N124" s="25">
        <v>12500</v>
      </c>
      <c r="O124" s="2" t="s">
        <v>2856</v>
      </c>
      <c r="P124" s="2" t="s">
        <v>392</v>
      </c>
      <c r="Q124" s="12" t="s">
        <v>97</v>
      </c>
      <c r="V124" t="s">
        <v>2856</v>
      </c>
      <c r="W124" t="s">
        <v>2856</v>
      </c>
      <c r="X124" t="s">
        <v>2856</v>
      </c>
    </row>
    <row r="125" spans="1:24" ht="12.75" customHeight="1" x14ac:dyDescent="0.15">
      <c r="A125" s="2" t="s">
        <v>3061</v>
      </c>
      <c r="B125" s="2" t="s">
        <v>3070</v>
      </c>
      <c r="C125" s="2" t="s">
        <v>3059</v>
      </c>
      <c r="D125" s="2" t="s">
        <v>1180</v>
      </c>
      <c r="E125" s="25">
        <v>140000</v>
      </c>
      <c r="F125" s="25">
        <v>140000</v>
      </c>
      <c r="G125" s="2" t="s">
        <v>2856</v>
      </c>
      <c r="H125" s="2"/>
      <c r="I125" s="2" t="s">
        <v>2856</v>
      </c>
      <c r="J125" s="2"/>
      <c r="K125" s="2" t="s">
        <v>2856</v>
      </c>
      <c r="L125" s="2"/>
      <c r="M125" s="2" t="s">
        <v>2856</v>
      </c>
      <c r="N125" s="2"/>
      <c r="O125" s="2" t="s">
        <v>2856</v>
      </c>
      <c r="V125" t="s">
        <v>2856</v>
      </c>
      <c r="W125" t="s">
        <v>2856</v>
      </c>
      <c r="X125" t="s">
        <v>2856</v>
      </c>
    </row>
    <row r="126" spans="1:24" ht="18.399999999999999" customHeight="1" x14ac:dyDescent="0.15">
      <c r="A126" s="11" t="s">
        <v>783</v>
      </c>
      <c r="B126" s="2" t="s">
        <v>1772</v>
      </c>
      <c r="C126" s="2" t="s">
        <v>1732</v>
      </c>
      <c r="D126" s="2" t="s">
        <v>2305</v>
      </c>
      <c r="E126" s="25">
        <v>54300</v>
      </c>
      <c r="F126" s="2"/>
      <c r="G126" s="2" t="s">
        <v>2856</v>
      </c>
      <c r="H126" s="2"/>
      <c r="I126" s="2" t="s">
        <v>2856</v>
      </c>
      <c r="J126" s="25">
        <v>54300</v>
      </c>
      <c r="K126" s="2" t="s">
        <v>1203</v>
      </c>
      <c r="L126" s="2"/>
      <c r="M126" s="2" t="s">
        <v>2856</v>
      </c>
      <c r="N126" s="2"/>
      <c r="O126" s="2" t="s">
        <v>2856</v>
      </c>
      <c r="P126" s="2" t="s">
        <v>392</v>
      </c>
      <c r="Q126" s="12" t="s">
        <v>97</v>
      </c>
      <c r="V126" t="s">
        <v>2856</v>
      </c>
      <c r="W126" t="s">
        <v>2856</v>
      </c>
      <c r="X126" t="s">
        <v>2856</v>
      </c>
    </row>
    <row r="127" spans="1:24" ht="18.399999999999999" customHeight="1" x14ac:dyDescent="0.15">
      <c r="A127" s="11" t="s">
        <v>2837</v>
      </c>
      <c r="B127" s="2" t="s">
        <v>1772</v>
      </c>
      <c r="C127" s="2" t="s">
        <v>1506</v>
      </c>
      <c r="D127" s="2" t="s">
        <v>2305</v>
      </c>
      <c r="E127" s="25">
        <v>67100</v>
      </c>
      <c r="F127" s="2"/>
      <c r="G127" s="2" t="s">
        <v>2856</v>
      </c>
      <c r="H127" s="2"/>
      <c r="I127" s="2" t="s">
        <v>2856</v>
      </c>
      <c r="J127" s="25">
        <v>67100</v>
      </c>
      <c r="K127" s="2" t="s">
        <v>1203</v>
      </c>
      <c r="L127" s="2"/>
      <c r="M127" s="2" t="s">
        <v>2856</v>
      </c>
      <c r="N127" s="2"/>
      <c r="O127" s="2" t="s">
        <v>2856</v>
      </c>
      <c r="P127" s="2" t="s">
        <v>392</v>
      </c>
      <c r="Q127" s="12" t="s">
        <v>97</v>
      </c>
      <c r="V127" t="s">
        <v>2856</v>
      </c>
      <c r="W127" t="s">
        <v>2856</v>
      </c>
      <c r="X127" t="s">
        <v>2856</v>
      </c>
    </row>
    <row r="128" spans="1:24" ht="18.399999999999999" customHeight="1" x14ac:dyDescent="0.15">
      <c r="A128" s="11" t="s">
        <v>1210</v>
      </c>
      <c r="B128" s="2" t="s">
        <v>1445</v>
      </c>
      <c r="C128" s="2" t="s">
        <v>569</v>
      </c>
      <c r="D128" s="2" t="s">
        <v>2112</v>
      </c>
      <c r="E128" s="25">
        <v>400000</v>
      </c>
      <c r="F128" s="2"/>
      <c r="G128" s="2" t="s">
        <v>2856</v>
      </c>
      <c r="H128" s="2"/>
      <c r="I128" s="2" t="s">
        <v>2856</v>
      </c>
      <c r="J128" s="2"/>
      <c r="K128" s="2" t="s">
        <v>2856</v>
      </c>
      <c r="L128" s="2"/>
      <c r="M128" s="2" t="s">
        <v>2856</v>
      </c>
      <c r="N128" s="25">
        <v>400000</v>
      </c>
      <c r="O128" s="2" t="s">
        <v>2856</v>
      </c>
      <c r="P128" s="2" t="s">
        <v>392</v>
      </c>
      <c r="Q128" s="12" t="s">
        <v>97</v>
      </c>
      <c r="V128" t="s">
        <v>2856</v>
      </c>
      <c r="W128" t="s">
        <v>2856</v>
      </c>
      <c r="X128" t="s">
        <v>2856</v>
      </c>
    </row>
    <row r="129" spans="1:24" ht="18.399999999999999" customHeight="1" x14ac:dyDescent="0.15">
      <c r="A129" s="11" t="s">
        <v>1422</v>
      </c>
      <c r="B129" s="2" t="s">
        <v>1195</v>
      </c>
      <c r="C129" s="2" t="s">
        <v>2437</v>
      </c>
      <c r="D129" s="2" t="s">
        <v>477</v>
      </c>
      <c r="E129" s="25">
        <v>433</v>
      </c>
      <c r="F129" s="25">
        <v>433</v>
      </c>
      <c r="G129" s="2" t="s">
        <v>441</v>
      </c>
      <c r="H129" s="2"/>
      <c r="I129" s="2" t="s">
        <v>2856</v>
      </c>
      <c r="J129" s="2"/>
      <c r="K129" s="2" t="s">
        <v>2856</v>
      </c>
      <c r="L129" s="2"/>
      <c r="M129" s="2" t="s">
        <v>2856</v>
      </c>
      <c r="N129" s="2"/>
      <c r="O129" s="2" t="s">
        <v>2856</v>
      </c>
      <c r="P129" s="2" t="s">
        <v>392</v>
      </c>
      <c r="Q129" s="12" t="s">
        <v>97</v>
      </c>
      <c r="V129" t="s">
        <v>2856</v>
      </c>
      <c r="W129" t="s">
        <v>2856</v>
      </c>
      <c r="X129" t="s">
        <v>2856</v>
      </c>
    </row>
    <row r="130" spans="1:24" ht="18.399999999999999" customHeight="1" x14ac:dyDescent="0.15">
      <c r="A130" s="11" t="s">
        <v>2602</v>
      </c>
      <c r="B130" s="2" t="s">
        <v>1195</v>
      </c>
      <c r="C130" s="2" t="s">
        <v>938</v>
      </c>
      <c r="D130" s="2" t="s">
        <v>1325</v>
      </c>
      <c r="E130" s="25">
        <v>8657</v>
      </c>
      <c r="F130" s="25">
        <v>8657</v>
      </c>
      <c r="G130" s="2" t="s">
        <v>441</v>
      </c>
      <c r="H130" s="2"/>
      <c r="I130" s="2" t="s">
        <v>2856</v>
      </c>
      <c r="J130" s="2"/>
      <c r="K130" s="2" t="s">
        <v>2856</v>
      </c>
      <c r="L130" s="2"/>
      <c r="M130" s="2" t="s">
        <v>2856</v>
      </c>
      <c r="N130" s="2"/>
      <c r="O130" s="2" t="s">
        <v>2856</v>
      </c>
      <c r="P130" s="2" t="s">
        <v>392</v>
      </c>
      <c r="Q130" s="12" t="s">
        <v>97</v>
      </c>
      <c r="V130" t="s">
        <v>2856</v>
      </c>
      <c r="W130" t="s">
        <v>2856</v>
      </c>
      <c r="X130" t="s">
        <v>2856</v>
      </c>
    </row>
    <row r="131" spans="1:24" ht="18.399999999999999" customHeight="1" x14ac:dyDescent="0.15">
      <c r="A131" s="11" t="s">
        <v>2314</v>
      </c>
      <c r="B131" s="2" t="s">
        <v>2821</v>
      </c>
      <c r="C131" s="2" t="s">
        <v>816</v>
      </c>
      <c r="D131" s="2" t="s">
        <v>2118</v>
      </c>
      <c r="E131" s="25">
        <v>24700</v>
      </c>
      <c r="F131" s="2"/>
      <c r="G131" s="2" t="s">
        <v>2856</v>
      </c>
      <c r="H131" s="25">
        <v>24700</v>
      </c>
      <c r="I131" s="2" t="s">
        <v>551</v>
      </c>
      <c r="J131" s="25">
        <v>25600</v>
      </c>
      <c r="K131" s="2" t="s">
        <v>2289</v>
      </c>
      <c r="L131" s="2"/>
      <c r="M131" s="2" t="s">
        <v>2856</v>
      </c>
      <c r="N131" s="2"/>
      <c r="O131" s="2" t="s">
        <v>2856</v>
      </c>
      <c r="P131" s="2" t="s">
        <v>392</v>
      </c>
      <c r="Q131" s="12" t="s">
        <v>97</v>
      </c>
      <c r="V131" t="s">
        <v>2856</v>
      </c>
      <c r="W131" t="s">
        <v>2856</v>
      </c>
      <c r="X131" t="s">
        <v>2856</v>
      </c>
    </row>
    <row r="132" spans="1:24" ht="18.399999999999999" customHeight="1" x14ac:dyDescent="0.15">
      <c r="A132" s="11" t="s">
        <v>1011</v>
      </c>
      <c r="B132" s="2" t="s">
        <v>1911</v>
      </c>
      <c r="C132" s="2" t="s">
        <v>1807</v>
      </c>
      <c r="D132" s="2" t="s">
        <v>2118</v>
      </c>
      <c r="E132" s="25">
        <v>17700</v>
      </c>
      <c r="F132" s="2"/>
      <c r="G132" s="2" t="s">
        <v>2856</v>
      </c>
      <c r="H132" s="2"/>
      <c r="I132" s="2" t="s">
        <v>2856</v>
      </c>
      <c r="J132" s="25">
        <v>17700</v>
      </c>
      <c r="K132" s="2" t="s">
        <v>2289</v>
      </c>
      <c r="L132" s="2"/>
      <c r="M132" s="2" t="s">
        <v>2856</v>
      </c>
      <c r="N132" s="2"/>
      <c r="O132" s="2" t="s">
        <v>2856</v>
      </c>
      <c r="P132" s="2" t="s">
        <v>392</v>
      </c>
      <c r="Q132" s="12" t="s">
        <v>97</v>
      </c>
      <c r="V132" t="s">
        <v>2856</v>
      </c>
      <c r="W132" t="s">
        <v>2856</v>
      </c>
      <c r="X132" t="s">
        <v>2856</v>
      </c>
    </row>
    <row r="133" spans="1:24" ht="18.399999999999999" customHeight="1" x14ac:dyDescent="0.15">
      <c r="A133" s="11" t="s">
        <v>627</v>
      </c>
      <c r="B133" s="2" t="s">
        <v>2684</v>
      </c>
      <c r="C133" s="2" t="s">
        <v>2570</v>
      </c>
      <c r="D133" s="2" t="s">
        <v>2118</v>
      </c>
      <c r="E133" s="25">
        <v>10400</v>
      </c>
      <c r="F133" s="2"/>
      <c r="G133" s="2" t="s">
        <v>2856</v>
      </c>
      <c r="H133" s="2"/>
      <c r="I133" s="2" t="s">
        <v>2856</v>
      </c>
      <c r="J133" s="25">
        <v>10400</v>
      </c>
      <c r="K133" s="2" t="s">
        <v>2289</v>
      </c>
      <c r="L133" s="2"/>
      <c r="M133" s="2" t="s">
        <v>2856</v>
      </c>
      <c r="N133" s="2"/>
      <c r="O133" s="2" t="s">
        <v>2856</v>
      </c>
      <c r="P133" s="2" t="s">
        <v>392</v>
      </c>
      <c r="Q133" s="12" t="s">
        <v>97</v>
      </c>
      <c r="V133" t="s">
        <v>2856</v>
      </c>
      <c r="W133" t="s">
        <v>2856</v>
      </c>
      <c r="X133" t="s">
        <v>2856</v>
      </c>
    </row>
    <row r="134" spans="1:24" ht="18.399999999999999" customHeight="1" x14ac:dyDescent="0.15">
      <c r="A134" s="11" t="s">
        <v>400</v>
      </c>
      <c r="B134" s="2" t="s">
        <v>40</v>
      </c>
      <c r="C134" s="2" t="s">
        <v>1854</v>
      </c>
      <c r="D134" s="2" t="s">
        <v>1549</v>
      </c>
      <c r="E134" s="25">
        <v>1100</v>
      </c>
      <c r="F134" s="2"/>
      <c r="G134" s="2" t="s">
        <v>2856</v>
      </c>
      <c r="H134" s="2"/>
      <c r="I134" s="2" t="s">
        <v>2856</v>
      </c>
      <c r="J134" s="25">
        <v>1100</v>
      </c>
      <c r="K134" s="2" t="s">
        <v>525</v>
      </c>
      <c r="L134" s="2"/>
      <c r="M134" s="2" t="s">
        <v>2856</v>
      </c>
      <c r="N134" s="2"/>
      <c r="O134" s="2" t="s">
        <v>2856</v>
      </c>
      <c r="P134" s="2" t="s">
        <v>392</v>
      </c>
      <c r="Q134" s="12" t="s">
        <v>97</v>
      </c>
      <c r="V134" t="s">
        <v>460</v>
      </c>
      <c r="W134" t="s">
        <v>235</v>
      </c>
      <c r="X134" t="s">
        <v>2856</v>
      </c>
    </row>
    <row r="135" spans="1:24" ht="18.399999999999999" customHeight="1" x14ac:dyDescent="0.15">
      <c r="A135" s="11" t="s">
        <v>2000</v>
      </c>
      <c r="B135" s="2" t="s">
        <v>2332</v>
      </c>
      <c r="C135" s="2" t="s">
        <v>1692</v>
      </c>
      <c r="D135" s="2" t="s">
        <v>1549</v>
      </c>
      <c r="E135" s="25">
        <v>3500</v>
      </c>
      <c r="F135" s="2"/>
      <c r="G135" s="2" t="s">
        <v>2856</v>
      </c>
      <c r="H135" s="2"/>
      <c r="I135" s="2" t="s">
        <v>2856</v>
      </c>
      <c r="J135" s="2"/>
      <c r="K135" s="2" t="s">
        <v>2856</v>
      </c>
      <c r="L135" s="2"/>
      <c r="M135" s="2" t="s">
        <v>2856</v>
      </c>
      <c r="N135" s="25">
        <v>3500</v>
      </c>
      <c r="O135" s="2" t="s">
        <v>56</v>
      </c>
      <c r="P135" s="2" t="s">
        <v>392</v>
      </c>
      <c r="Q135" s="12" t="s">
        <v>97</v>
      </c>
      <c r="V135" t="s">
        <v>460</v>
      </c>
      <c r="W135" t="s">
        <v>235</v>
      </c>
      <c r="X135" t="s">
        <v>2856</v>
      </c>
    </row>
    <row r="136" spans="1:24" ht="18.399999999999999" customHeight="1" x14ac:dyDescent="0.15">
      <c r="A136" s="11" t="s">
        <v>794</v>
      </c>
      <c r="B136" s="2" t="s">
        <v>1105</v>
      </c>
      <c r="C136" s="2" t="s">
        <v>1038</v>
      </c>
      <c r="D136" s="2" t="s">
        <v>1079</v>
      </c>
      <c r="E136" s="25">
        <v>150</v>
      </c>
      <c r="F136" s="2"/>
      <c r="G136" s="2" t="s">
        <v>2856</v>
      </c>
      <c r="H136" s="2"/>
      <c r="I136" s="2" t="s">
        <v>2856</v>
      </c>
      <c r="J136" s="25">
        <v>169</v>
      </c>
      <c r="K136" s="2" t="s">
        <v>2031</v>
      </c>
      <c r="L136" s="25">
        <v>150</v>
      </c>
      <c r="M136" s="2" t="s">
        <v>2592</v>
      </c>
      <c r="N136" s="2"/>
      <c r="O136" s="2" t="s">
        <v>2856</v>
      </c>
      <c r="P136" s="2" t="s">
        <v>392</v>
      </c>
      <c r="Q136" s="12" t="s">
        <v>97</v>
      </c>
      <c r="V136" t="s">
        <v>2856</v>
      </c>
      <c r="W136" t="s">
        <v>2779</v>
      </c>
      <c r="X136" t="s">
        <v>2856</v>
      </c>
    </row>
    <row r="137" spans="1:24" ht="18.399999999999999" customHeight="1" x14ac:dyDescent="0.15">
      <c r="A137" s="11" t="s">
        <v>316</v>
      </c>
      <c r="B137" s="2" t="s">
        <v>75</v>
      </c>
      <c r="C137" s="2" t="s">
        <v>1936</v>
      </c>
      <c r="D137" s="2" t="s">
        <v>1079</v>
      </c>
      <c r="E137" s="25">
        <v>40</v>
      </c>
      <c r="F137" s="2"/>
      <c r="G137" s="2" t="s">
        <v>2856</v>
      </c>
      <c r="H137" s="2"/>
      <c r="I137" s="2" t="s">
        <v>2856</v>
      </c>
      <c r="J137" s="25">
        <v>69</v>
      </c>
      <c r="K137" s="2" t="s">
        <v>2031</v>
      </c>
      <c r="L137" s="25">
        <v>40</v>
      </c>
      <c r="M137" s="2" t="s">
        <v>2592</v>
      </c>
      <c r="N137" s="2"/>
      <c r="O137" s="2" t="s">
        <v>2856</v>
      </c>
      <c r="P137" s="2" t="s">
        <v>392</v>
      </c>
      <c r="Q137" s="12" t="s">
        <v>97</v>
      </c>
      <c r="V137" t="s">
        <v>2856</v>
      </c>
      <c r="W137" t="s">
        <v>1166</v>
      </c>
      <c r="X137" t="s">
        <v>2856</v>
      </c>
    </row>
    <row r="138" spans="1:24" ht="18.399999999999999" customHeight="1" x14ac:dyDescent="0.15">
      <c r="A138" s="11" t="s">
        <v>1046</v>
      </c>
      <c r="B138" s="2" t="s">
        <v>771</v>
      </c>
      <c r="C138" s="2" t="s">
        <v>2741</v>
      </c>
      <c r="D138" s="2" t="s">
        <v>477</v>
      </c>
      <c r="E138" s="25">
        <v>1245</v>
      </c>
      <c r="F138" s="25">
        <v>1245</v>
      </c>
      <c r="G138" s="2" t="s">
        <v>2856</v>
      </c>
      <c r="H138" s="2"/>
      <c r="I138" s="2" t="s">
        <v>2856</v>
      </c>
      <c r="J138" s="25">
        <v>1350</v>
      </c>
      <c r="K138" s="2" t="s">
        <v>1417</v>
      </c>
      <c r="L138" s="2"/>
      <c r="M138" s="2" t="s">
        <v>2856</v>
      </c>
      <c r="N138" s="2"/>
      <c r="O138" s="2" t="s">
        <v>2856</v>
      </c>
      <c r="P138" s="2" t="s">
        <v>392</v>
      </c>
      <c r="Q138" s="12" t="s">
        <v>97</v>
      </c>
      <c r="V138" t="s">
        <v>2856</v>
      </c>
      <c r="W138" t="s">
        <v>2856</v>
      </c>
      <c r="X138" t="s">
        <v>2856</v>
      </c>
    </row>
    <row r="139" spans="1:24" ht="18.399999999999999" customHeight="1" x14ac:dyDescent="0.15">
      <c r="A139" s="11" t="s">
        <v>2677</v>
      </c>
      <c r="B139" s="2" t="s">
        <v>175</v>
      </c>
      <c r="C139" s="2" t="s">
        <v>2208</v>
      </c>
      <c r="D139" s="2" t="s">
        <v>2069</v>
      </c>
      <c r="E139" s="25">
        <v>29000</v>
      </c>
      <c r="F139" s="25">
        <v>29077</v>
      </c>
      <c r="G139" s="2" t="s">
        <v>2856</v>
      </c>
      <c r="H139" s="2"/>
      <c r="I139" s="2" t="s">
        <v>2856</v>
      </c>
      <c r="J139" s="2"/>
      <c r="K139" s="2" t="s">
        <v>2856</v>
      </c>
      <c r="L139" s="25">
        <v>29000</v>
      </c>
      <c r="M139" s="2" t="s">
        <v>2170</v>
      </c>
      <c r="N139" s="2"/>
      <c r="O139" s="2" t="s">
        <v>2856</v>
      </c>
      <c r="P139" s="2" t="s">
        <v>392</v>
      </c>
      <c r="Q139" s="12" t="s">
        <v>97</v>
      </c>
      <c r="V139" t="s">
        <v>2856</v>
      </c>
      <c r="W139" t="s">
        <v>2856</v>
      </c>
      <c r="X139" t="s">
        <v>2856</v>
      </c>
    </row>
    <row r="140" spans="1:24" ht="18.399999999999999" customHeight="1" thickBot="1" x14ac:dyDescent="0.2">
      <c r="A140" s="13" t="s">
        <v>961</v>
      </c>
      <c r="B140" s="14" t="s">
        <v>433</v>
      </c>
      <c r="C140" s="14" t="s">
        <v>1118</v>
      </c>
      <c r="D140" s="14" t="s">
        <v>2069</v>
      </c>
      <c r="E140" s="26">
        <v>23232</v>
      </c>
      <c r="F140" s="26">
        <v>23232</v>
      </c>
      <c r="G140" s="14" t="s">
        <v>2856</v>
      </c>
      <c r="H140" s="14"/>
      <c r="I140" s="14" t="s">
        <v>2856</v>
      </c>
      <c r="J140" s="14"/>
      <c r="K140" s="14" t="s">
        <v>2856</v>
      </c>
      <c r="L140" s="14"/>
      <c r="M140" s="14" t="s">
        <v>2856</v>
      </c>
      <c r="N140" s="14"/>
      <c r="O140" s="14" t="s">
        <v>2856</v>
      </c>
      <c r="P140" s="14" t="s">
        <v>392</v>
      </c>
      <c r="Q140" s="15" t="s">
        <v>97</v>
      </c>
      <c r="V140" t="s">
        <v>2856</v>
      </c>
      <c r="W140" t="s">
        <v>2856</v>
      </c>
      <c r="X140" t="s">
        <v>2856</v>
      </c>
    </row>
  </sheetData>
  <mergeCells count="12">
    <mergeCell ref="A2:A3"/>
    <mergeCell ref="B2:B3"/>
    <mergeCell ref="C2:C3"/>
    <mergeCell ref="D2:D3"/>
    <mergeCell ref="E2:E3"/>
    <mergeCell ref="F2:G2"/>
    <mergeCell ref="H2:I2"/>
    <mergeCell ref="J2:K2"/>
    <mergeCell ref="L2:M2"/>
    <mergeCell ref="N2:O2"/>
    <mergeCell ref="P2:P3"/>
    <mergeCell ref="Q2:Q3"/>
  </mergeCells>
  <phoneticPr fontId="6" type="noConversion"/>
  <pageMargins left="0.31496062992125984" right="0.31496062992125984" top="1" bottom="0.59055118110236215" header="0.5" footer="0.5"/>
  <pageSetup paperSize="9" orientation="landscape" copies="0"/>
  <headerFooter alignWithMargins="0">
    <oddHeader>&amp;RPage : &amp;P/&amp;N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503E1-8F18-4199-A9AB-08C3237CA87A}">
  <dimension ref="A1:E7"/>
  <sheetViews>
    <sheetView workbookViewId="0">
      <selection activeCell="F23" sqref="F23"/>
    </sheetView>
  </sheetViews>
  <sheetFormatPr defaultRowHeight="18.399999999999999" customHeight="1" x14ac:dyDescent="0.15"/>
  <cols>
    <col min="1" max="1" width="25" customWidth="1"/>
    <col min="2" max="2" width="10" customWidth="1"/>
    <col min="3" max="3" width="25" customWidth="1"/>
    <col min="4" max="4" width="30" customWidth="1"/>
    <col min="5" max="5" width="70" customWidth="1"/>
  </cols>
  <sheetData>
    <row r="1" spans="1:5" ht="18.399999999999999" customHeight="1" thickBot="1" x14ac:dyDescent="0.2">
      <c r="A1" t="s">
        <v>2146</v>
      </c>
    </row>
    <row r="2" spans="1:5" ht="18.399999999999999" customHeight="1" thickBot="1" x14ac:dyDescent="0.2">
      <c r="A2" s="16" t="s">
        <v>269</v>
      </c>
      <c r="B2" s="17" t="s">
        <v>2190</v>
      </c>
      <c r="C2" s="17" t="s">
        <v>491</v>
      </c>
      <c r="D2" s="22" t="s">
        <v>646</v>
      </c>
      <c r="E2" s="18" t="s">
        <v>71</v>
      </c>
    </row>
    <row r="3" spans="1:5" ht="18.399999999999999" customHeight="1" x14ac:dyDescent="0.15">
      <c r="A3" s="11" t="s">
        <v>2077</v>
      </c>
      <c r="B3" s="2" t="s">
        <v>2804</v>
      </c>
      <c r="C3" s="2">
        <v>75</v>
      </c>
      <c r="D3" s="23" t="s">
        <v>966</v>
      </c>
      <c r="E3" s="12" t="s">
        <v>2458</v>
      </c>
    </row>
    <row r="4" spans="1:5" ht="18.399999999999999" customHeight="1" x14ac:dyDescent="0.15">
      <c r="A4" s="11" t="s">
        <v>2265</v>
      </c>
      <c r="B4" s="2" t="s">
        <v>2804</v>
      </c>
      <c r="C4" s="2">
        <v>1.0386</v>
      </c>
      <c r="D4" s="23" t="s">
        <v>149</v>
      </c>
      <c r="E4" s="12" t="s">
        <v>2458</v>
      </c>
    </row>
    <row r="5" spans="1:5" ht="18.399999999999999" customHeight="1" x14ac:dyDescent="0.15">
      <c r="A5" s="11" t="s">
        <v>987</v>
      </c>
      <c r="B5" s="2" t="s">
        <v>2804</v>
      </c>
      <c r="C5" s="2">
        <v>1.25</v>
      </c>
      <c r="D5" s="23" t="s">
        <v>2307</v>
      </c>
      <c r="E5" s="12" t="s">
        <v>2458</v>
      </c>
    </row>
    <row r="6" spans="1:5" ht="18.399999999999999" customHeight="1" x14ac:dyDescent="0.15">
      <c r="A6" s="11" t="s">
        <v>564</v>
      </c>
      <c r="B6" s="2" t="s">
        <v>2804</v>
      </c>
      <c r="C6" s="2">
        <v>88.388000000000005</v>
      </c>
      <c r="D6" s="23" t="s">
        <v>1691</v>
      </c>
      <c r="E6" s="12" t="s">
        <v>1296</v>
      </c>
    </row>
    <row r="7" spans="1:5" ht="18.399999999999999" customHeight="1" thickBot="1" x14ac:dyDescent="0.2">
      <c r="A7" s="13" t="s">
        <v>2609</v>
      </c>
      <c r="B7" s="14" t="s">
        <v>2804</v>
      </c>
      <c r="C7" s="14">
        <v>100</v>
      </c>
      <c r="D7" s="24" t="s">
        <v>2496</v>
      </c>
      <c r="E7" s="15" t="s">
        <v>1296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B155-62BD-4A7A-A912-C58DCCD59D37}">
  <dimension ref="A1:D50"/>
  <sheetViews>
    <sheetView showFormulas="1" workbookViewId="0">
      <selection activeCell="F23" sqref="F23"/>
    </sheetView>
  </sheetViews>
  <sheetFormatPr defaultRowHeight="18.399999999999999" customHeight="1" x14ac:dyDescent="0.15"/>
  <cols>
    <col min="1" max="1" width="15" customWidth="1"/>
    <col min="2" max="2" width="5" customWidth="1"/>
    <col min="3" max="4" width="20" customWidth="1"/>
  </cols>
  <sheetData>
    <row r="1" spans="1:4" ht="18.399999999999999" customHeight="1" thickBot="1" x14ac:dyDescent="0.2">
      <c r="A1" t="s">
        <v>2579</v>
      </c>
    </row>
    <row r="2" spans="1:4" ht="18.399999999999999" customHeight="1" thickBot="1" x14ac:dyDescent="0.2">
      <c r="A2" s="16" t="s">
        <v>269</v>
      </c>
      <c r="B2" s="17" t="s">
        <v>2190</v>
      </c>
      <c r="C2" s="17" t="s">
        <v>491</v>
      </c>
      <c r="D2" s="19" t="s">
        <v>646</v>
      </c>
    </row>
    <row r="3" spans="1:4" ht="18.399999999999999" customHeight="1" x14ac:dyDescent="0.15">
      <c r="A3" s="11" t="s">
        <v>1894</v>
      </c>
      <c r="B3" s="2" t="s">
        <v>958</v>
      </c>
      <c r="C3" s="2" t="s">
        <v>2697</v>
      </c>
      <c r="D3" s="20" t="s">
        <v>2856</v>
      </c>
    </row>
    <row r="4" spans="1:4" ht="18.399999999999999" customHeight="1" x14ac:dyDescent="0.15">
      <c r="A4" s="11" t="s">
        <v>1780</v>
      </c>
      <c r="B4" s="2" t="s">
        <v>2804</v>
      </c>
      <c r="C4" s="2">
        <v>1289</v>
      </c>
      <c r="D4" s="20" t="s">
        <v>1217</v>
      </c>
    </row>
    <row r="5" spans="1:4" ht="18.399999999999999" customHeight="1" x14ac:dyDescent="0.15">
      <c r="A5" s="11" t="s">
        <v>589</v>
      </c>
      <c r="B5" s="2" t="s">
        <v>2804</v>
      </c>
      <c r="C5" s="2">
        <v>1289</v>
      </c>
      <c r="D5" s="20" t="s">
        <v>2432</v>
      </c>
    </row>
    <row r="6" spans="1:4" ht="18.399999999999999" customHeight="1" x14ac:dyDescent="0.15">
      <c r="A6" s="11" t="s">
        <v>337</v>
      </c>
      <c r="B6" s="2" t="s">
        <v>2804</v>
      </c>
      <c r="C6" s="2">
        <v>9.15</v>
      </c>
      <c r="D6" s="20" t="s">
        <v>2342</v>
      </c>
    </row>
    <row r="7" spans="1:4" ht="18.399999999999999" customHeight="1" x14ac:dyDescent="0.15">
      <c r="A7" s="11" t="s">
        <v>736</v>
      </c>
      <c r="B7" s="2" t="s">
        <v>2804</v>
      </c>
      <c r="C7" s="2">
        <v>0</v>
      </c>
      <c r="D7" s="20" t="s">
        <v>1685</v>
      </c>
    </row>
    <row r="8" spans="1:4" ht="18.399999999999999" customHeight="1" x14ac:dyDescent="0.15">
      <c r="A8" s="11" t="s">
        <v>1328</v>
      </c>
      <c r="B8" s="2" t="s">
        <v>2804</v>
      </c>
      <c r="C8" s="2">
        <v>0</v>
      </c>
      <c r="D8" s="20" t="s">
        <v>2535</v>
      </c>
    </row>
    <row r="9" spans="1:4" ht="18.399999999999999" customHeight="1" x14ac:dyDescent="0.15">
      <c r="A9" s="11" t="s">
        <v>462</v>
      </c>
      <c r="B9" s="2" t="s">
        <v>2804</v>
      </c>
      <c r="C9" s="2">
        <v>0</v>
      </c>
      <c r="D9" s="20" t="s">
        <v>1241</v>
      </c>
    </row>
    <row r="10" spans="1:4" ht="18.399999999999999" customHeight="1" x14ac:dyDescent="0.15">
      <c r="A10" s="11" t="s">
        <v>2092</v>
      </c>
      <c r="B10" s="2" t="s">
        <v>958</v>
      </c>
      <c r="C10" s="2" t="s">
        <v>12</v>
      </c>
      <c r="D10" s="20" t="s">
        <v>2154</v>
      </c>
    </row>
    <row r="11" spans="1:4" ht="18.399999999999999" customHeight="1" x14ac:dyDescent="0.15">
      <c r="A11" s="11" t="s">
        <v>9</v>
      </c>
      <c r="B11" s="2" t="s">
        <v>958</v>
      </c>
      <c r="C11" s="2" t="s">
        <v>12</v>
      </c>
      <c r="D11" s="20" t="s">
        <v>617</v>
      </c>
    </row>
    <row r="12" spans="1:4" ht="18.399999999999999" customHeight="1" x14ac:dyDescent="0.15">
      <c r="A12" s="11" t="s">
        <v>1668</v>
      </c>
      <c r="B12" s="2" t="s">
        <v>958</v>
      </c>
      <c r="C12" s="2" t="s">
        <v>1490</v>
      </c>
      <c r="D12" s="20" t="s">
        <v>2070</v>
      </c>
    </row>
    <row r="13" spans="1:4" ht="18.399999999999999" customHeight="1" x14ac:dyDescent="0.15">
      <c r="A13" s="11" t="s">
        <v>128</v>
      </c>
      <c r="B13" s="2" t="s">
        <v>2804</v>
      </c>
      <c r="C13" s="2">
        <v>1.25</v>
      </c>
      <c r="D13" s="20" t="s">
        <v>2334</v>
      </c>
    </row>
    <row r="14" spans="1:4" ht="18.399999999999999" customHeight="1" x14ac:dyDescent="0.15">
      <c r="A14" s="11" t="s">
        <v>1706</v>
      </c>
      <c r="B14" s="2" t="s">
        <v>2804</v>
      </c>
      <c r="C14" s="2">
        <v>1.071</v>
      </c>
      <c r="D14" s="20" t="s">
        <v>1025</v>
      </c>
    </row>
    <row r="15" spans="1:4" ht="18.399999999999999" customHeight="1" x14ac:dyDescent="0.15">
      <c r="A15" s="11" t="s">
        <v>1428</v>
      </c>
      <c r="B15" s="2" t="s">
        <v>958</v>
      </c>
      <c r="C15" s="2" t="s">
        <v>2482</v>
      </c>
      <c r="D15" s="20" t="s">
        <v>1882</v>
      </c>
    </row>
    <row r="16" spans="1:4" ht="18.399999999999999" customHeight="1" x14ac:dyDescent="0.15">
      <c r="A16" s="11" t="s">
        <v>1889</v>
      </c>
      <c r="B16" s="2" t="s">
        <v>958</v>
      </c>
      <c r="C16" s="2" t="s">
        <v>805</v>
      </c>
      <c r="D16" s="20" t="s">
        <v>1957</v>
      </c>
    </row>
    <row r="17" spans="1:4" ht="18.399999999999999" customHeight="1" x14ac:dyDescent="0.15">
      <c r="A17" s="11" t="s">
        <v>555</v>
      </c>
      <c r="B17" s="2" t="s">
        <v>958</v>
      </c>
      <c r="C17" s="2" t="s">
        <v>2482</v>
      </c>
      <c r="D17" s="20" t="s">
        <v>496</v>
      </c>
    </row>
    <row r="18" spans="1:4" ht="18.399999999999999" customHeight="1" x14ac:dyDescent="0.15">
      <c r="A18" s="11" t="s">
        <v>1067</v>
      </c>
      <c r="B18" s="2" t="s">
        <v>958</v>
      </c>
      <c r="C18" s="5">
        <f t="shared" ref="C18:C23" si="0">25/20 * 16/12 * 1/8</f>
        <v>0.20833333333333334</v>
      </c>
      <c r="D18" s="20" t="s">
        <v>2649</v>
      </c>
    </row>
    <row r="19" spans="1:4" ht="18.399999999999999" customHeight="1" x14ac:dyDescent="0.15">
      <c r="A19" s="11" t="s">
        <v>2589</v>
      </c>
      <c r="B19" s="2" t="s">
        <v>958</v>
      </c>
      <c r="C19" s="5">
        <f t="shared" si="0"/>
        <v>0.20833333333333334</v>
      </c>
      <c r="D19" s="20" t="s">
        <v>849</v>
      </c>
    </row>
    <row r="20" spans="1:4" ht="18.399999999999999" customHeight="1" x14ac:dyDescent="0.15">
      <c r="A20" s="11" t="s">
        <v>259</v>
      </c>
      <c r="B20" s="2" t="s">
        <v>958</v>
      </c>
      <c r="C20" s="5">
        <f t="shared" si="0"/>
        <v>0.20833333333333334</v>
      </c>
      <c r="D20" s="20" t="s">
        <v>1965</v>
      </c>
    </row>
    <row r="21" spans="1:4" ht="18.399999999999999" customHeight="1" x14ac:dyDescent="0.15">
      <c r="A21" s="11" t="s">
        <v>969</v>
      </c>
      <c r="B21" s="2" t="s">
        <v>958</v>
      </c>
      <c r="C21" s="5">
        <f t="shared" si="0"/>
        <v>0.20833333333333334</v>
      </c>
      <c r="D21" s="20" t="s">
        <v>1219</v>
      </c>
    </row>
    <row r="22" spans="1:4" ht="18.399999999999999" customHeight="1" x14ac:dyDescent="0.15">
      <c r="A22" s="11" t="s">
        <v>2637</v>
      </c>
      <c r="B22" s="2" t="s">
        <v>958</v>
      </c>
      <c r="C22" s="5">
        <f t="shared" si="0"/>
        <v>0.20833333333333334</v>
      </c>
      <c r="D22" s="20" t="s">
        <v>2166</v>
      </c>
    </row>
    <row r="23" spans="1:4" ht="18.399999999999999" customHeight="1" x14ac:dyDescent="0.15">
      <c r="A23" s="11" t="s">
        <v>1361</v>
      </c>
      <c r="B23" s="2" t="s">
        <v>958</v>
      </c>
      <c r="C23" s="5">
        <f t="shared" si="0"/>
        <v>0.20833333333333334</v>
      </c>
      <c r="D23" s="20" t="s">
        <v>201</v>
      </c>
    </row>
    <row r="24" spans="1:4" ht="18.399999999999999" customHeight="1" x14ac:dyDescent="0.15">
      <c r="A24" s="11" t="s">
        <v>2224</v>
      </c>
      <c r="B24" s="2" t="s">
        <v>2804</v>
      </c>
      <c r="C24" s="2">
        <v>1</v>
      </c>
      <c r="D24" s="20" t="s">
        <v>1481</v>
      </c>
    </row>
    <row r="25" spans="1:4" ht="18.399999999999999" customHeight="1" x14ac:dyDescent="0.15">
      <c r="A25" s="11" t="s">
        <v>1404</v>
      </c>
      <c r="B25" s="2" t="s">
        <v>2804</v>
      </c>
      <c r="C25" s="2">
        <v>1.5</v>
      </c>
      <c r="D25" s="20" t="s">
        <v>2640</v>
      </c>
    </row>
    <row r="26" spans="1:4" ht="18.399999999999999" customHeight="1" x14ac:dyDescent="0.15">
      <c r="A26" s="11" t="s">
        <v>2628</v>
      </c>
      <c r="B26" s="2" t="s">
        <v>2804</v>
      </c>
      <c r="C26" s="2">
        <v>1.1599999999999999</v>
      </c>
      <c r="D26" s="20" t="s">
        <v>2729</v>
      </c>
    </row>
    <row r="27" spans="1:4" ht="18.399999999999999" customHeight="1" x14ac:dyDescent="0.15">
      <c r="A27" s="11" t="s">
        <v>2802</v>
      </c>
      <c r="B27" s="2" t="s">
        <v>2804</v>
      </c>
      <c r="C27" s="2">
        <v>1.6</v>
      </c>
      <c r="D27" s="20" t="s">
        <v>738</v>
      </c>
    </row>
    <row r="28" spans="1:4" ht="18.399999999999999" customHeight="1" x14ac:dyDescent="0.15">
      <c r="A28" s="11" t="s">
        <v>710</v>
      </c>
      <c r="B28" s="2" t="s">
        <v>2804</v>
      </c>
      <c r="C28" s="2">
        <v>1.6</v>
      </c>
      <c r="D28" s="20" t="s">
        <v>470</v>
      </c>
    </row>
    <row r="29" spans="1:4" ht="18.399999999999999" customHeight="1" x14ac:dyDescent="0.15">
      <c r="A29" s="11" t="s">
        <v>2394</v>
      </c>
      <c r="B29" s="2" t="s">
        <v>2804</v>
      </c>
      <c r="C29" s="2">
        <v>1.6</v>
      </c>
      <c r="D29" s="20" t="s">
        <v>1881</v>
      </c>
    </row>
    <row r="30" spans="1:4" ht="18.399999999999999" customHeight="1" x14ac:dyDescent="0.15">
      <c r="A30" s="11" t="s">
        <v>1291</v>
      </c>
      <c r="B30" s="2" t="s">
        <v>2804</v>
      </c>
      <c r="C30" s="2">
        <v>1.94</v>
      </c>
      <c r="D30" s="20" t="s">
        <v>1891</v>
      </c>
    </row>
    <row r="31" spans="1:4" ht="18.399999999999999" customHeight="1" x14ac:dyDescent="0.15">
      <c r="A31" s="11" t="s">
        <v>2522</v>
      </c>
      <c r="B31" s="2" t="s">
        <v>2804</v>
      </c>
      <c r="C31" s="2">
        <v>1.94</v>
      </c>
      <c r="D31" s="20" t="s">
        <v>2157</v>
      </c>
    </row>
    <row r="32" spans="1:4" ht="18.399999999999999" customHeight="1" x14ac:dyDescent="0.15">
      <c r="A32" s="11" t="s">
        <v>996</v>
      </c>
      <c r="B32" s="2" t="s">
        <v>2804</v>
      </c>
      <c r="C32" s="2">
        <v>1.94</v>
      </c>
      <c r="D32" s="20" t="s">
        <v>476</v>
      </c>
    </row>
    <row r="33" spans="1:4" ht="18.399999999999999" customHeight="1" x14ac:dyDescent="0.15">
      <c r="A33" s="11" t="s">
        <v>640</v>
      </c>
      <c r="B33" s="2" t="s">
        <v>2804</v>
      </c>
      <c r="C33" s="2">
        <v>1</v>
      </c>
      <c r="D33" s="20" t="s">
        <v>685</v>
      </c>
    </row>
    <row r="34" spans="1:4" ht="18.399999999999999" customHeight="1" x14ac:dyDescent="0.15">
      <c r="A34" s="11" t="s">
        <v>1920</v>
      </c>
      <c r="B34" s="2" t="s">
        <v>2804</v>
      </c>
      <c r="C34" s="2">
        <v>1</v>
      </c>
      <c r="D34" s="20" t="s">
        <v>991</v>
      </c>
    </row>
    <row r="35" spans="1:4" ht="18.399999999999999" customHeight="1" x14ac:dyDescent="0.15">
      <c r="A35" s="11" t="s">
        <v>257</v>
      </c>
      <c r="B35" s="2" t="s">
        <v>2804</v>
      </c>
      <c r="C35" s="2">
        <v>1</v>
      </c>
      <c r="D35" s="20" t="s">
        <v>1662</v>
      </c>
    </row>
    <row r="36" spans="1:4" ht="18.399999999999999" customHeight="1" x14ac:dyDescent="0.15">
      <c r="A36" s="11" t="s">
        <v>1927</v>
      </c>
      <c r="B36" s="2" t="s">
        <v>958</v>
      </c>
      <c r="C36" s="2" t="s">
        <v>805</v>
      </c>
      <c r="D36" s="20" t="s">
        <v>225</v>
      </c>
    </row>
    <row r="37" spans="1:4" ht="18.399999999999999" customHeight="1" x14ac:dyDescent="0.15">
      <c r="A37" s="11" t="s">
        <v>1475</v>
      </c>
      <c r="B37" s="2" t="s">
        <v>958</v>
      </c>
      <c r="C37" s="2" t="s">
        <v>805</v>
      </c>
      <c r="D37" s="20" t="s">
        <v>211</v>
      </c>
    </row>
    <row r="38" spans="1:4" ht="18.399999999999999" customHeight="1" x14ac:dyDescent="0.15">
      <c r="A38" s="11" t="s">
        <v>326</v>
      </c>
      <c r="B38" s="2" t="s">
        <v>958</v>
      </c>
      <c r="C38" s="2" t="s">
        <v>2482</v>
      </c>
      <c r="D38" s="20" t="s">
        <v>112</v>
      </c>
    </row>
    <row r="39" spans="1:4" ht="18.399999999999999" customHeight="1" x14ac:dyDescent="0.15">
      <c r="A39" s="11" t="s">
        <v>2291</v>
      </c>
      <c r="B39" s="2" t="s">
        <v>2804</v>
      </c>
      <c r="C39" s="2">
        <v>1.1100000000000001</v>
      </c>
      <c r="D39" s="20" t="s">
        <v>2501</v>
      </c>
    </row>
    <row r="40" spans="1:4" ht="18.399999999999999" customHeight="1" x14ac:dyDescent="0.15">
      <c r="A40" s="11" t="s">
        <v>1033</v>
      </c>
      <c r="B40" s="2" t="s">
        <v>2804</v>
      </c>
      <c r="C40" s="2">
        <v>1.1200000000000001</v>
      </c>
      <c r="D40" s="20" t="s">
        <v>876</v>
      </c>
    </row>
    <row r="41" spans="1:4" ht="18.399999999999999" customHeight="1" x14ac:dyDescent="0.15">
      <c r="A41" s="11" t="s">
        <v>2647</v>
      </c>
      <c r="B41" s="2" t="s">
        <v>958</v>
      </c>
      <c r="C41" s="2" t="s">
        <v>2707</v>
      </c>
      <c r="D41" s="20" t="s">
        <v>2416</v>
      </c>
    </row>
    <row r="42" spans="1:4" ht="18.399999999999999" customHeight="1" x14ac:dyDescent="0.15">
      <c r="A42" s="11" t="s">
        <v>2207</v>
      </c>
      <c r="B42" s="2" t="s">
        <v>958</v>
      </c>
      <c r="C42" s="2" t="s">
        <v>805</v>
      </c>
      <c r="D42" s="20" t="s">
        <v>2490</v>
      </c>
    </row>
    <row r="43" spans="1:4" ht="18.399999999999999" customHeight="1" x14ac:dyDescent="0.15">
      <c r="A43" s="11" t="s">
        <v>1083</v>
      </c>
      <c r="B43" s="2" t="s">
        <v>958</v>
      </c>
      <c r="C43" s="2" t="s">
        <v>2482</v>
      </c>
      <c r="D43" s="20" t="s">
        <v>1408</v>
      </c>
    </row>
    <row r="44" spans="1:4" ht="18.399999999999999" customHeight="1" x14ac:dyDescent="0.15">
      <c r="A44" s="11" t="s">
        <v>2125</v>
      </c>
      <c r="B44" s="2" t="s">
        <v>958</v>
      </c>
      <c r="C44" s="2" t="s">
        <v>2482</v>
      </c>
      <c r="D44" s="20" t="s">
        <v>2856</v>
      </c>
    </row>
    <row r="45" spans="1:4" ht="18.399999999999999" customHeight="1" x14ac:dyDescent="0.15">
      <c r="A45" s="11" t="s">
        <v>1131</v>
      </c>
      <c r="B45" s="2" t="s">
        <v>958</v>
      </c>
      <c r="C45" s="2" t="s">
        <v>2856</v>
      </c>
      <c r="D45" s="20" t="s">
        <v>2856</v>
      </c>
    </row>
    <row r="46" spans="1:4" ht="18.399999999999999" customHeight="1" x14ac:dyDescent="0.15">
      <c r="A46" s="11" t="s">
        <v>839</v>
      </c>
      <c r="B46" s="2" t="s">
        <v>958</v>
      </c>
      <c r="C46" s="2" t="s">
        <v>2856</v>
      </c>
      <c r="D46" s="20" t="s">
        <v>2856</v>
      </c>
    </row>
    <row r="47" spans="1:4" ht="18.399999999999999" customHeight="1" x14ac:dyDescent="0.15">
      <c r="A47" s="11" t="s">
        <v>1566</v>
      </c>
      <c r="B47" s="2" t="s">
        <v>2804</v>
      </c>
      <c r="C47" s="2">
        <v>0</v>
      </c>
      <c r="D47" s="20" t="s">
        <v>789</v>
      </c>
    </row>
    <row r="48" spans="1:4" ht="18.399999999999999" customHeight="1" x14ac:dyDescent="0.15">
      <c r="A48" s="11" t="s">
        <v>285</v>
      </c>
      <c r="B48" s="2" t="s">
        <v>2804</v>
      </c>
      <c r="C48" s="2">
        <v>0</v>
      </c>
      <c r="D48" s="20" t="s">
        <v>1886</v>
      </c>
    </row>
    <row r="49" spans="1:4" ht="18.399999999999999" customHeight="1" x14ac:dyDescent="0.15">
      <c r="A49" s="11" t="s">
        <v>420</v>
      </c>
      <c r="B49" s="2" t="s">
        <v>958</v>
      </c>
      <c r="C49" s="2" t="s">
        <v>1403</v>
      </c>
      <c r="D49" s="20" t="s">
        <v>2856</v>
      </c>
    </row>
    <row r="50" spans="1:4" ht="18.399999999999999" customHeight="1" thickBot="1" x14ac:dyDescent="0.2">
      <c r="A50" s="13" t="s">
        <v>354</v>
      </c>
      <c r="B50" s="14" t="s">
        <v>958</v>
      </c>
      <c r="C50" s="14" t="s">
        <v>2482</v>
      </c>
      <c r="D50" s="21" t="s">
        <v>2856</v>
      </c>
    </row>
  </sheetData>
  <phoneticPr fontId="6" type="noConversion"/>
  <pageMargins left="0.31496062992125984" right="0.31496062992125984" top="1" bottom="0.59055118110236215" header="0.5" footer="0.5"/>
  <pageSetup paperSize="9" orientation="portrait" copies="0"/>
  <headerFooter alignWithMargins="0">
    <oddHeader>&amp;RPage : 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19</vt:i4>
      </vt:variant>
    </vt:vector>
  </HeadingPairs>
  <TitlesOfParts>
    <vt:vector size="35" baseType="lpstr">
      <vt:lpstr>갑지</vt:lpstr>
      <vt:lpstr>조경원가계산서</vt:lpstr>
      <vt:lpstr>내역서</vt:lpstr>
      <vt:lpstr>일위대가목록 (신규)</vt:lpstr>
      <vt:lpstr>일위대가_호표(신규)</vt:lpstr>
      <vt:lpstr>일위대가목록</vt:lpstr>
      <vt:lpstr>일위대가_산근</vt:lpstr>
      <vt:lpstr>중기사용료목록</vt:lpstr>
      <vt:lpstr>중기사용료</vt:lpstr>
      <vt:lpstr>중기기초자료</vt:lpstr>
      <vt:lpstr>자재</vt:lpstr>
      <vt:lpstr>노임</vt:lpstr>
      <vt:lpstr>경비</vt:lpstr>
      <vt:lpstr>자재조서</vt:lpstr>
      <vt:lpstr>전역변수</vt:lpstr>
      <vt:lpstr>중기전역변수</vt:lpstr>
      <vt:lpstr>갑지!Print_Area</vt:lpstr>
      <vt:lpstr>내역서!Print_Area</vt:lpstr>
      <vt:lpstr>'일위대가_호표(신규)'!Print_Area</vt:lpstr>
      <vt:lpstr>일위대가목록!Print_Area</vt:lpstr>
      <vt:lpstr>'일위대가목록 (신규)'!Print_Area</vt:lpstr>
      <vt:lpstr>조경원가계산서!Print_Area</vt:lpstr>
      <vt:lpstr>경비!Print_Titles</vt:lpstr>
      <vt:lpstr>내역서!Print_Titles</vt:lpstr>
      <vt:lpstr>노임!Print_Titles</vt:lpstr>
      <vt:lpstr>일위대가_산근!Print_Titles</vt:lpstr>
      <vt:lpstr>'일위대가_호표(신규)'!Print_Titles</vt:lpstr>
      <vt:lpstr>일위대가목록!Print_Titles</vt:lpstr>
      <vt:lpstr>'일위대가목록 (신규)'!Print_Titles</vt:lpstr>
      <vt:lpstr>자재!Print_Titles</vt:lpstr>
      <vt:lpstr>자재조서!Print_Titles</vt:lpstr>
      <vt:lpstr>전역변수!Print_Titles</vt:lpstr>
      <vt:lpstr>중기기초자료!Print_Titles</vt:lpstr>
      <vt:lpstr>중기사용료목록!Print_Titles</vt:lpstr>
      <vt:lpstr>중기전역변수!Print_Titles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JONGSEONG</dc:creator>
  <cp:lastModifiedBy>Jeonghun Lee</cp:lastModifiedBy>
  <cp:lastPrinted>2025-06-20T02:05:23Z</cp:lastPrinted>
  <dcterms:created xsi:type="dcterms:W3CDTF">2024-09-09T08:41:40Z</dcterms:created>
  <dcterms:modified xsi:type="dcterms:W3CDTF">2026-08-18T06:15:05Z</dcterms:modified>
</cp:coreProperties>
</file>